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マイドライブ\"/>
    </mc:Choice>
  </mc:AlternateContent>
  <xr:revisionPtr revIDLastSave="0" documentId="8_{E91331A3-36FB-4B6E-973A-2E3384E201B7}" xr6:coauthVersionLast="47" xr6:coauthVersionMax="47" xr10:uidLastSave="{00000000-0000-0000-0000-000000000000}"/>
  <bookViews>
    <workbookView xWindow="-98" yWindow="-98" windowWidth="21795" windowHeight="13875" activeTab="5" xr2:uid="{00000000-000D-0000-FFFF-FFFF00000000}"/>
  </bookViews>
  <sheets>
    <sheet name="オンコール名簿" sheetId="1" r:id="rId1"/>
    <sheet name="暫定シフト表" sheetId="2" r:id="rId2"/>
    <sheet name="統計②" sheetId="3" r:id="rId3"/>
    <sheet name="統計①" sheetId="4" r:id="rId4"/>
    <sheet name="フォーム回答" sheetId="5" r:id="rId5"/>
    <sheet name="確定シフト表" sheetId="6" r:id="rId6"/>
  </sheets>
  <calcPr calcId="191029"/>
  <fileRecoveryPr repairLoad="1"/>
</workbook>
</file>

<file path=xl/calcChain.xml><?xml version="1.0" encoding="utf-8"?>
<calcChain xmlns="http://schemas.openxmlformats.org/spreadsheetml/2006/main">
  <c r="B460" i="6" l="1"/>
  <c r="A460" i="6"/>
  <c r="B459" i="6"/>
  <c r="A459" i="6"/>
  <c r="D458" i="6"/>
  <c r="B458" i="6"/>
  <c r="A458" i="6"/>
  <c r="D457" i="6"/>
  <c r="B457" i="6"/>
  <c r="A457" i="6"/>
  <c r="D456" i="6"/>
  <c r="B456" i="6"/>
  <c r="A456" i="6"/>
  <c r="D455" i="6"/>
  <c r="B455" i="6"/>
  <c r="A455" i="6"/>
  <c r="D454" i="6"/>
  <c r="B454" i="6"/>
  <c r="A454" i="6"/>
  <c r="D453" i="6"/>
  <c r="B453" i="6"/>
  <c r="A453" i="6"/>
  <c r="D452" i="6"/>
  <c r="B452" i="6"/>
  <c r="A452" i="6"/>
  <c r="B451" i="6"/>
  <c r="A451" i="6"/>
  <c r="D450" i="6"/>
  <c r="B450" i="6"/>
  <c r="A450" i="6"/>
  <c r="B449" i="6"/>
  <c r="A449" i="6"/>
  <c r="D448" i="6"/>
  <c r="B448" i="6"/>
  <c r="A448" i="6"/>
  <c r="D447" i="6"/>
  <c r="B447" i="6"/>
  <c r="A447" i="6"/>
  <c r="D446" i="6"/>
  <c r="B446" i="6"/>
  <c r="A446" i="6"/>
  <c r="D445" i="6"/>
  <c r="B445" i="6"/>
  <c r="A445" i="6"/>
  <c r="D444" i="6"/>
  <c r="B444" i="6"/>
  <c r="A444" i="6"/>
  <c r="D443" i="6"/>
  <c r="C443" i="6"/>
  <c r="B443" i="6"/>
  <c r="A443" i="6"/>
  <c r="D442" i="6"/>
  <c r="B442" i="6"/>
  <c r="A442" i="6"/>
  <c r="F441" i="6"/>
  <c r="E441" i="6"/>
  <c r="D441" i="6"/>
  <c r="B441" i="6"/>
  <c r="A441" i="6"/>
  <c r="F440" i="6"/>
  <c r="E440" i="6"/>
  <c r="B440" i="6"/>
  <c r="A440" i="6"/>
  <c r="H439" i="6"/>
  <c r="F439" i="6"/>
  <c r="E439" i="6"/>
  <c r="D439" i="6"/>
  <c r="B439" i="6"/>
  <c r="A439" i="6"/>
  <c r="H438" i="6"/>
  <c r="F438" i="6"/>
  <c r="E438" i="6"/>
  <c r="B438" i="6"/>
  <c r="A438" i="6"/>
  <c r="H437" i="6"/>
  <c r="F437" i="6"/>
  <c r="E437" i="6"/>
  <c r="D437" i="6"/>
  <c r="B437" i="6"/>
  <c r="A437" i="6"/>
  <c r="H436" i="6"/>
  <c r="F436" i="6"/>
  <c r="E436" i="6"/>
  <c r="D436" i="6"/>
  <c r="B436" i="6"/>
  <c r="A436" i="6"/>
  <c r="H435" i="6"/>
  <c r="F435" i="6"/>
  <c r="E435" i="6"/>
  <c r="D435" i="6"/>
  <c r="B435" i="6"/>
  <c r="A435" i="6"/>
  <c r="H434" i="6"/>
  <c r="F434" i="6"/>
  <c r="E434" i="6"/>
  <c r="D434" i="6"/>
  <c r="B434" i="6"/>
  <c r="A434" i="6"/>
  <c r="H433" i="6"/>
  <c r="F433" i="6"/>
  <c r="E433" i="6"/>
  <c r="D433" i="6"/>
  <c r="B433" i="6"/>
  <c r="A433" i="6"/>
  <c r="F432" i="6"/>
  <c r="E432" i="6"/>
  <c r="D432" i="6"/>
  <c r="B432" i="6"/>
  <c r="A432" i="6"/>
  <c r="H431" i="6"/>
  <c r="F431" i="6"/>
  <c r="E431" i="6"/>
  <c r="B431" i="6"/>
  <c r="A431" i="6"/>
  <c r="F430" i="6"/>
  <c r="E430" i="6"/>
  <c r="B430" i="6"/>
  <c r="A430" i="6"/>
  <c r="H429" i="6"/>
  <c r="F429" i="6"/>
  <c r="E429" i="6"/>
  <c r="B429" i="6"/>
  <c r="A429" i="6"/>
  <c r="H428" i="6"/>
  <c r="F428" i="6"/>
  <c r="E428" i="6"/>
  <c r="D428" i="6"/>
  <c r="B428" i="6"/>
  <c r="A428" i="6"/>
  <c r="H427" i="6"/>
  <c r="F427" i="6"/>
  <c r="E427" i="6"/>
  <c r="D427" i="6"/>
  <c r="C427" i="6"/>
  <c r="B427" i="6"/>
  <c r="A427" i="6"/>
  <c r="H426" i="6"/>
  <c r="F426" i="6"/>
  <c r="E426" i="6"/>
  <c r="D426" i="6"/>
  <c r="B426" i="6"/>
  <c r="A426" i="6"/>
  <c r="H425" i="6"/>
  <c r="F425" i="6"/>
  <c r="E425" i="6"/>
  <c r="D425" i="6"/>
  <c r="B425" i="6"/>
  <c r="A425" i="6"/>
  <c r="H424" i="6"/>
  <c r="G424" i="6"/>
  <c r="F424" i="6"/>
  <c r="E424" i="6"/>
  <c r="D424" i="6"/>
  <c r="B424" i="6"/>
  <c r="A424" i="6"/>
  <c r="H423" i="6"/>
  <c r="F423" i="6"/>
  <c r="E423" i="6"/>
  <c r="B423" i="6"/>
  <c r="A423" i="6"/>
  <c r="H422" i="6"/>
  <c r="F422" i="6"/>
  <c r="E422" i="6"/>
  <c r="D422" i="6"/>
  <c r="B422" i="6"/>
  <c r="A422" i="6"/>
  <c r="F421" i="6"/>
  <c r="E421" i="6"/>
  <c r="D421" i="6"/>
  <c r="B421" i="6"/>
  <c r="A421" i="6"/>
  <c r="H420" i="6"/>
  <c r="F420" i="6"/>
  <c r="E420" i="6"/>
  <c r="D420" i="6"/>
  <c r="B420" i="6"/>
  <c r="A420" i="6"/>
  <c r="F419" i="6"/>
  <c r="E419" i="6"/>
  <c r="D419" i="6"/>
  <c r="B419" i="6"/>
  <c r="A419" i="6"/>
  <c r="H418" i="6"/>
  <c r="F418" i="6"/>
  <c r="E418" i="6"/>
  <c r="D418" i="6"/>
  <c r="B418" i="6"/>
  <c r="A418" i="6"/>
  <c r="H417" i="6"/>
  <c r="F417" i="6"/>
  <c r="E417" i="6"/>
  <c r="D417" i="6"/>
  <c r="B417" i="6"/>
  <c r="A417" i="6"/>
  <c r="H416" i="6"/>
  <c r="F416" i="6"/>
  <c r="E416" i="6"/>
  <c r="C416" i="6"/>
  <c r="B416" i="6"/>
  <c r="A416" i="6"/>
  <c r="H415" i="6"/>
  <c r="F415" i="6"/>
  <c r="E415" i="6"/>
  <c r="B415" i="6"/>
  <c r="A415" i="6"/>
  <c r="H414" i="6"/>
  <c r="F414" i="6"/>
  <c r="E414" i="6"/>
  <c r="D414" i="6"/>
  <c r="B414" i="6"/>
  <c r="A414" i="6"/>
  <c r="H413" i="6"/>
  <c r="F413" i="6"/>
  <c r="E413" i="6"/>
  <c r="D413" i="6"/>
  <c r="B413" i="6"/>
  <c r="A413" i="6"/>
  <c r="F412" i="6"/>
  <c r="E412" i="6"/>
  <c r="D412" i="6"/>
  <c r="B412" i="6"/>
  <c r="A412" i="6"/>
  <c r="F411" i="6"/>
  <c r="E411" i="6"/>
  <c r="D411" i="6"/>
  <c r="B411" i="6"/>
  <c r="A411" i="6"/>
  <c r="F410" i="6"/>
  <c r="E410" i="6"/>
  <c r="D410" i="6"/>
  <c r="B410" i="6"/>
  <c r="A410" i="6"/>
  <c r="H409" i="6"/>
  <c r="F409" i="6"/>
  <c r="E409" i="6"/>
  <c r="D409" i="6"/>
  <c r="B409" i="6"/>
  <c r="A409" i="6"/>
  <c r="H408" i="6"/>
  <c r="G408" i="6"/>
  <c r="F408" i="6"/>
  <c r="E408" i="6"/>
  <c r="D408" i="6"/>
  <c r="B408" i="6"/>
  <c r="A408" i="6"/>
  <c r="H407" i="6"/>
  <c r="F407" i="6"/>
  <c r="E407" i="6"/>
  <c r="D407" i="6"/>
  <c r="B407" i="6"/>
  <c r="A407" i="6"/>
  <c r="H406" i="6"/>
  <c r="F406" i="6"/>
  <c r="E406" i="6"/>
  <c r="D406" i="6"/>
  <c r="B406" i="6"/>
  <c r="A406" i="6"/>
  <c r="H405" i="6"/>
  <c r="F405" i="6"/>
  <c r="E405" i="6"/>
  <c r="D405" i="6"/>
  <c r="B405" i="6"/>
  <c r="A405" i="6"/>
  <c r="F404" i="6"/>
  <c r="E404" i="6"/>
  <c r="D404" i="6"/>
  <c r="B404" i="6"/>
  <c r="A404" i="6"/>
  <c r="H403" i="6"/>
  <c r="F403" i="6"/>
  <c r="E403" i="6"/>
  <c r="C403" i="6"/>
  <c r="B403" i="6"/>
  <c r="A403" i="6"/>
  <c r="H402" i="6"/>
  <c r="F402" i="6"/>
  <c r="E402" i="6"/>
  <c r="B402" i="6"/>
  <c r="A402" i="6"/>
  <c r="H401" i="6"/>
  <c r="F401" i="6"/>
  <c r="E401" i="6"/>
  <c r="D401" i="6"/>
  <c r="B401" i="6"/>
  <c r="A401" i="6"/>
  <c r="H400" i="6"/>
  <c r="F400" i="6"/>
  <c r="E400" i="6"/>
  <c r="D400" i="6"/>
  <c r="B400" i="6"/>
  <c r="A400" i="6"/>
  <c r="H399" i="6"/>
  <c r="F399" i="6"/>
  <c r="E399" i="6"/>
  <c r="D399" i="6"/>
  <c r="B399" i="6"/>
  <c r="A399" i="6"/>
  <c r="H398" i="6"/>
  <c r="F398" i="6"/>
  <c r="E398" i="6"/>
  <c r="D398" i="6"/>
  <c r="B398" i="6"/>
  <c r="A398" i="6"/>
  <c r="G397" i="6"/>
  <c r="F397" i="6"/>
  <c r="E397" i="6"/>
  <c r="D397" i="6"/>
  <c r="B397" i="6"/>
  <c r="A397" i="6"/>
  <c r="F396" i="6"/>
  <c r="E396" i="6"/>
  <c r="D396" i="6"/>
  <c r="B396" i="6"/>
  <c r="A396" i="6"/>
  <c r="H395" i="6"/>
  <c r="F395" i="6"/>
  <c r="E395" i="6"/>
  <c r="B395" i="6"/>
  <c r="A395" i="6"/>
  <c r="H394" i="6"/>
  <c r="F394" i="6"/>
  <c r="E394" i="6"/>
  <c r="B394" i="6"/>
  <c r="A394" i="6"/>
  <c r="H393" i="6"/>
  <c r="F393" i="6"/>
  <c r="E393" i="6"/>
  <c r="B393" i="6"/>
  <c r="A393" i="6"/>
  <c r="H392" i="6"/>
  <c r="F392" i="6"/>
  <c r="E392" i="6"/>
  <c r="D392" i="6"/>
  <c r="B392" i="6"/>
  <c r="A392" i="6"/>
  <c r="H391" i="6"/>
  <c r="F391" i="6"/>
  <c r="E391" i="6"/>
  <c r="D391" i="6"/>
  <c r="B391" i="6"/>
  <c r="A391" i="6"/>
  <c r="H390" i="6"/>
  <c r="F390" i="6"/>
  <c r="E390" i="6"/>
  <c r="D390" i="6"/>
  <c r="B390" i="6"/>
  <c r="A390" i="6"/>
  <c r="H389" i="6"/>
  <c r="F389" i="6"/>
  <c r="E389" i="6"/>
  <c r="D389" i="6"/>
  <c r="B389" i="6"/>
  <c r="A389" i="6"/>
  <c r="H388" i="6"/>
  <c r="F388" i="6"/>
  <c r="E388" i="6"/>
  <c r="D388" i="6"/>
  <c r="B388" i="6"/>
  <c r="A388" i="6"/>
  <c r="H387" i="6"/>
  <c r="F387" i="6"/>
  <c r="E387" i="6"/>
  <c r="D387" i="6"/>
  <c r="B387" i="6"/>
  <c r="A387" i="6"/>
  <c r="H386" i="6"/>
  <c r="F386" i="6"/>
  <c r="E386" i="6"/>
  <c r="D386" i="6"/>
  <c r="B386" i="6"/>
  <c r="A386" i="6"/>
  <c r="H385" i="6"/>
  <c r="F385" i="6"/>
  <c r="E385" i="6"/>
  <c r="B385" i="6"/>
  <c r="A385" i="6"/>
  <c r="G384" i="6"/>
  <c r="F384" i="6"/>
  <c r="E384" i="6"/>
  <c r="D384" i="6"/>
  <c r="B384" i="6"/>
  <c r="A384" i="6"/>
  <c r="F383" i="6"/>
  <c r="E383" i="6"/>
  <c r="D383" i="6"/>
  <c r="B383" i="6"/>
  <c r="A383" i="6"/>
  <c r="H382" i="6"/>
  <c r="F382" i="6"/>
  <c r="E382" i="6"/>
  <c r="D382" i="6"/>
  <c r="B382" i="6"/>
  <c r="A382" i="6"/>
  <c r="H381" i="6"/>
  <c r="F381" i="6"/>
  <c r="E381" i="6"/>
  <c r="D381" i="6"/>
  <c r="B381" i="6"/>
  <c r="A381" i="6"/>
  <c r="H380" i="6"/>
  <c r="F380" i="6"/>
  <c r="E380" i="6"/>
  <c r="D380" i="6"/>
  <c r="B380" i="6"/>
  <c r="A380" i="6"/>
  <c r="H379" i="6"/>
  <c r="F379" i="6"/>
  <c r="E379" i="6"/>
  <c r="D379" i="6"/>
  <c r="B379" i="6"/>
  <c r="A379" i="6"/>
  <c r="H378" i="6"/>
  <c r="F378" i="6"/>
  <c r="E378" i="6"/>
  <c r="D378" i="6"/>
  <c r="B378" i="6"/>
  <c r="A378" i="6"/>
  <c r="H377" i="6"/>
  <c r="F377" i="6"/>
  <c r="E377" i="6"/>
  <c r="B377" i="6"/>
  <c r="A377" i="6"/>
  <c r="F376" i="6"/>
  <c r="E376" i="6"/>
  <c r="D376" i="6"/>
  <c r="B376" i="6"/>
  <c r="A376" i="6"/>
  <c r="F375" i="6"/>
  <c r="E375" i="6"/>
  <c r="D375" i="6"/>
  <c r="B375" i="6"/>
  <c r="A375" i="6"/>
  <c r="F374" i="6"/>
  <c r="E374" i="6"/>
  <c r="D374" i="6"/>
  <c r="B374" i="6"/>
  <c r="A374" i="6"/>
  <c r="H373" i="6"/>
  <c r="F373" i="6"/>
  <c r="E373" i="6"/>
  <c r="D373" i="6"/>
  <c r="B373" i="6"/>
  <c r="A373" i="6"/>
  <c r="H372" i="6"/>
  <c r="F372" i="6"/>
  <c r="E372" i="6"/>
  <c r="D372" i="6"/>
  <c r="B372" i="6"/>
  <c r="A372" i="6"/>
  <c r="H371" i="6"/>
  <c r="F371" i="6"/>
  <c r="E371" i="6"/>
  <c r="D371" i="6"/>
  <c r="B371" i="6"/>
  <c r="A371" i="6"/>
  <c r="H370" i="6"/>
  <c r="F370" i="6"/>
  <c r="E370" i="6"/>
  <c r="D370" i="6"/>
  <c r="B370" i="6"/>
  <c r="A370" i="6"/>
  <c r="H369" i="6"/>
  <c r="F369" i="6"/>
  <c r="E369" i="6"/>
  <c r="D369" i="6"/>
  <c r="B369" i="6"/>
  <c r="A369" i="6"/>
  <c r="H368" i="6"/>
  <c r="F368" i="6"/>
  <c r="E368" i="6"/>
  <c r="D368" i="6"/>
  <c r="B368" i="6"/>
  <c r="A368" i="6"/>
  <c r="H367" i="6"/>
  <c r="F367" i="6"/>
  <c r="E367" i="6"/>
  <c r="B367" i="6"/>
  <c r="A367" i="6"/>
  <c r="F366" i="6"/>
  <c r="E366" i="6"/>
  <c r="D366" i="6"/>
  <c r="B366" i="6"/>
  <c r="A366" i="6"/>
  <c r="H365" i="6"/>
  <c r="F365" i="6"/>
  <c r="E365" i="6"/>
  <c r="D365" i="6"/>
  <c r="B365" i="6"/>
  <c r="A365" i="6"/>
  <c r="H364" i="6"/>
  <c r="F364" i="6"/>
  <c r="E364" i="6"/>
  <c r="D364" i="6"/>
  <c r="B364" i="6"/>
  <c r="A364" i="6"/>
  <c r="H363" i="6"/>
  <c r="F363" i="6"/>
  <c r="E363" i="6"/>
  <c r="D363" i="6"/>
  <c r="B363" i="6"/>
  <c r="A363" i="6"/>
  <c r="H362" i="6"/>
  <c r="F362" i="6"/>
  <c r="E362" i="6"/>
  <c r="D362" i="6"/>
  <c r="B362" i="6"/>
  <c r="A362" i="6"/>
  <c r="H361" i="6"/>
  <c r="F361" i="6"/>
  <c r="E361" i="6"/>
  <c r="D361" i="6"/>
  <c r="B361" i="6"/>
  <c r="A361" i="6"/>
  <c r="H360" i="6"/>
  <c r="F360" i="6"/>
  <c r="E360" i="6"/>
  <c r="D360" i="6"/>
  <c r="B360" i="6"/>
  <c r="A360" i="6"/>
  <c r="H359" i="6"/>
  <c r="F359" i="6"/>
  <c r="E359" i="6"/>
  <c r="D359" i="6"/>
  <c r="B359" i="6"/>
  <c r="A359" i="6"/>
  <c r="F358" i="6"/>
  <c r="E358" i="6"/>
  <c r="B358" i="6"/>
  <c r="A358" i="6"/>
  <c r="H357" i="6"/>
  <c r="F357" i="6"/>
  <c r="E357" i="6"/>
  <c r="D357" i="6"/>
  <c r="B357" i="6"/>
  <c r="A357" i="6"/>
  <c r="H356" i="6"/>
  <c r="F356" i="6"/>
  <c r="E356" i="6"/>
  <c r="D356" i="6"/>
  <c r="B356" i="6"/>
  <c r="A356" i="6"/>
  <c r="H355" i="6"/>
  <c r="F355" i="6"/>
  <c r="E355" i="6"/>
  <c r="D355" i="6"/>
  <c r="B355" i="6"/>
  <c r="A355" i="6"/>
  <c r="H354" i="6"/>
  <c r="F354" i="6"/>
  <c r="E354" i="6"/>
  <c r="D354" i="6"/>
  <c r="B354" i="6"/>
  <c r="A354" i="6"/>
  <c r="H353" i="6"/>
  <c r="F353" i="6"/>
  <c r="E353" i="6"/>
  <c r="D353" i="6"/>
  <c r="B353" i="6"/>
  <c r="A353" i="6"/>
  <c r="H352" i="6"/>
  <c r="F352" i="6"/>
  <c r="E352" i="6"/>
  <c r="D352" i="6"/>
  <c r="B352" i="6"/>
  <c r="A352" i="6"/>
  <c r="H351" i="6"/>
  <c r="F351" i="6"/>
  <c r="E351" i="6"/>
  <c r="D351" i="6"/>
  <c r="B351" i="6"/>
  <c r="A351" i="6"/>
  <c r="H350" i="6"/>
  <c r="F350" i="6"/>
  <c r="E350" i="6"/>
  <c r="D350" i="6"/>
  <c r="B350" i="6"/>
  <c r="A350" i="6"/>
  <c r="H349" i="6"/>
  <c r="F349" i="6"/>
  <c r="E349" i="6"/>
  <c r="D349" i="6"/>
  <c r="B349" i="6"/>
  <c r="A349" i="6"/>
  <c r="F348" i="6"/>
  <c r="E348" i="6"/>
  <c r="B348" i="6"/>
  <c r="A348" i="6"/>
  <c r="H347" i="6"/>
  <c r="F347" i="6"/>
  <c r="E347" i="6"/>
  <c r="D347" i="6"/>
  <c r="B347" i="6"/>
  <c r="A347" i="6"/>
  <c r="H346" i="6"/>
  <c r="F346" i="6"/>
  <c r="E346" i="6"/>
  <c r="D346" i="6"/>
  <c r="B346" i="6"/>
  <c r="A346" i="6"/>
  <c r="H345" i="6"/>
  <c r="F345" i="6"/>
  <c r="E345" i="6"/>
  <c r="B345" i="6"/>
  <c r="A345" i="6"/>
  <c r="H344" i="6"/>
  <c r="F344" i="6"/>
  <c r="E344" i="6"/>
  <c r="D344" i="6"/>
  <c r="B344" i="6"/>
  <c r="A344" i="6"/>
  <c r="H343" i="6"/>
  <c r="F343" i="6"/>
  <c r="E343" i="6"/>
  <c r="D343" i="6"/>
  <c r="B343" i="6"/>
  <c r="A343" i="6"/>
  <c r="H342" i="6"/>
  <c r="F342" i="6"/>
  <c r="E342" i="6"/>
  <c r="D342" i="6"/>
  <c r="B342" i="6"/>
  <c r="A342" i="6"/>
  <c r="H341" i="6"/>
  <c r="F341" i="6"/>
  <c r="E341" i="6"/>
  <c r="D341" i="6"/>
  <c r="B341" i="6"/>
  <c r="A341" i="6"/>
  <c r="H340" i="6"/>
  <c r="F340" i="6"/>
  <c r="E340" i="6"/>
  <c r="D340" i="6"/>
  <c r="B340" i="6"/>
  <c r="A340" i="6"/>
  <c r="F339" i="6"/>
  <c r="E339" i="6"/>
  <c r="D339" i="6"/>
  <c r="B339" i="6"/>
  <c r="A339" i="6"/>
  <c r="H338" i="6"/>
  <c r="F338" i="6"/>
  <c r="E338" i="6"/>
  <c r="D338" i="6"/>
  <c r="B338" i="6"/>
  <c r="A338" i="6"/>
  <c r="H337" i="6"/>
  <c r="F337" i="6"/>
  <c r="E337" i="6"/>
  <c r="D337" i="6"/>
  <c r="B337" i="6"/>
  <c r="A337" i="6"/>
  <c r="H336" i="6"/>
  <c r="F336" i="6"/>
  <c r="E336" i="6"/>
  <c r="D336" i="6"/>
  <c r="B336" i="6"/>
  <c r="A336" i="6"/>
  <c r="H335" i="6"/>
  <c r="F335" i="6"/>
  <c r="E335" i="6"/>
  <c r="D335" i="6"/>
  <c r="B335" i="6"/>
  <c r="A335" i="6"/>
  <c r="H334" i="6"/>
  <c r="F334" i="6"/>
  <c r="E334" i="6"/>
  <c r="D334" i="6"/>
  <c r="B334" i="6"/>
  <c r="A334" i="6"/>
  <c r="H333" i="6"/>
  <c r="F333" i="6"/>
  <c r="E333" i="6"/>
  <c r="D333" i="6"/>
  <c r="B333" i="6"/>
  <c r="A333" i="6"/>
  <c r="H332" i="6"/>
  <c r="F332" i="6"/>
  <c r="E332" i="6"/>
  <c r="D332" i="6"/>
  <c r="B332" i="6"/>
  <c r="A332" i="6"/>
  <c r="H331" i="6"/>
  <c r="F331" i="6"/>
  <c r="E331" i="6"/>
  <c r="D331" i="6"/>
  <c r="B331" i="6"/>
  <c r="A331" i="6"/>
  <c r="H330" i="6"/>
  <c r="F330" i="6"/>
  <c r="E330" i="6"/>
  <c r="D330" i="6"/>
  <c r="B330" i="6"/>
  <c r="A330" i="6"/>
  <c r="F329" i="6"/>
  <c r="E329" i="6"/>
  <c r="C329" i="6"/>
  <c r="B329" i="6"/>
  <c r="A329" i="6"/>
  <c r="H328" i="6"/>
  <c r="F328" i="6"/>
  <c r="E328" i="6"/>
  <c r="D328" i="6"/>
  <c r="B328" i="6"/>
  <c r="A328" i="6"/>
  <c r="H327" i="6"/>
  <c r="F327" i="6"/>
  <c r="E327" i="6"/>
  <c r="B327" i="6"/>
  <c r="A327" i="6"/>
  <c r="F326" i="6"/>
  <c r="E326" i="6"/>
  <c r="D326" i="6"/>
  <c r="B326" i="6"/>
  <c r="A326" i="6"/>
  <c r="H325" i="6"/>
  <c r="F325" i="6"/>
  <c r="E325" i="6"/>
  <c r="D325" i="6"/>
  <c r="B325" i="6"/>
  <c r="A325" i="6"/>
  <c r="H324" i="6"/>
  <c r="F324" i="6"/>
  <c r="E324" i="6"/>
  <c r="D324" i="6"/>
  <c r="B324" i="6"/>
  <c r="A324" i="6"/>
  <c r="H323" i="6"/>
  <c r="F323" i="6"/>
  <c r="E323" i="6"/>
  <c r="D323" i="6"/>
  <c r="B323" i="6"/>
  <c r="A323" i="6"/>
  <c r="H322" i="6"/>
  <c r="F322" i="6"/>
  <c r="E322" i="6"/>
  <c r="D322" i="6"/>
  <c r="B322" i="6"/>
  <c r="A322" i="6"/>
  <c r="H321" i="6"/>
  <c r="F321" i="6"/>
  <c r="E321" i="6"/>
  <c r="B321" i="6"/>
  <c r="A321" i="6"/>
  <c r="H320" i="6"/>
  <c r="F320" i="6"/>
  <c r="E320" i="6"/>
  <c r="B320" i="6"/>
  <c r="A320" i="6"/>
  <c r="H319" i="6"/>
  <c r="F319" i="6"/>
  <c r="E319" i="6"/>
  <c r="D319" i="6"/>
  <c r="B319" i="6"/>
  <c r="A319" i="6"/>
  <c r="H318" i="6"/>
  <c r="F318" i="6"/>
  <c r="E318" i="6"/>
  <c r="B318" i="6"/>
  <c r="A318" i="6"/>
  <c r="H317" i="6"/>
  <c r="F317" i="6"/>
  <c r="E317" i="6"/>
  <c r="D317" i="6"/>
  <c r="B317" i="6"/>
  <c r="A317" i="6"/>
  <c r="H316" i="6"/>
  <c r="F316" i="6"/>
  <c r="E316" i="6"/>
  <c r="D316" i="6"/>
  <c r="B316" i="6"/>
  <c r="A316" i="6"/>
  <c r="H315" i="6"/>
  <c r="F315" i="6"/>
  <c r="E315" i="6"/>
  <c r="D315" i="6"/>
  <c r="B315" i="6"/>
  <c r="A315" i="6"/>
  <c r="H314" i="6"/>
  <c r="F314" i="6"/>
  <c r="E314" i="6"/>
  <c r="D314" i="6"/>
  <c r="B314" i="6"/>
  <c r="A314" i="6"/>
  <c r="H313" i="6"/>
  <c r="F313" i="6"/>
  <c r="E313" i="6"/>
  <c r="D313" i="6"/>
  <c r="B313" i="6"/>
  <c r="A313" i="6"/>
  <c r="H312" i="6"/>
  <c r="F312" i="6"/>
  <c r="E312" i="6"/>
  <c r="D312" i="6"/>
  <c r="B312" i="6"/>
  <c r="A312" i="6"/>
  <c r="H311" i="6"/>
  <c r="F311" i="6"/>
  <c r="E311" i="6"/>
  <c r="B311" i="6"/>
  <c r="A311" i="6"/>
  <c r="G310" i="6"/>
  <c r="F310" i="6"/>
  <c r="E310" i="6"/>
  <c r="D310" i="6"/>
  <c r="B310" i="6"/>
  <c r="A310" i="6"/>
  <c r="H309" i="6"/>
  <c r="F309" i="6"/>
  <c r="E309" i="6"/>
  <c r="D309" i="6"/>
  <c r="B309" i="6"/>
  <c r="A309" i="6"/>
  <c r="F308" i="6"/>
  <c r="E308" i="6"/>
  <c r="D308" i="6"/>
  <c r="B308" i="6"/>
  <c r="A308" i="6"/>
  <c r="H307" i="6"/>
  <c r="F307" i="6"/>
  <c r="E307" i="6"/>
  <c r="D307" i="6"/>
  <c r="B307" i="6"/>
  <c r="A307" i="6"/>
  <c r="H306" i="6"/>
  <c r="F306" i="6"/>
  <c r="E306" i="6"/>
  <c r="D306" i="6"/>
  <c r="B306" i="6"/>
  <c r="A306" i="6"/>
  <c r="H305" i="6"/>
  <c r="F305" i="6"/>
  <c r="E305" i="6"/>
  <c r="D305" i="6"/>
  <c r="B305" i="6"/>
  <c r="A305" i="6"/>
  <c r="H304" i="6"/>
  <c r="F304" i="6"/>
  <c r="E304" i="6"/>
  <c r="D304" i="6"/>
  <c r="B304" i="6"/>
  <c r="A304" i="6"/>
  <c r="H303" i="6"/>
  <c r="F303" i="6"/>
  <c r="E303" i="6"/>
  <c r="D303" i="6"/>
  <c r="B303" i="6"/>
  <c r="A303" i="6"/>
  <c r="F302" i="6"/>
  <c r="E302" i="6"/>
  <c r="B302" i="6"/>
  <c r="A302" i="6"/>
  <c r="F301" i="6"/>
  <c r="E301" i="6"/>
  <c r="B301" i="6"/>
  <c r="A301" i="6"/>
  <c r="H300" i="6"/>
  <c r="F300" i="6"/>
  <c r="E300" i="6"/>
  <c r="D300" i="6"/>
  <c r="B300" i="6"/>
  <c r="A300" i="6"/>
  <c r="F299" i="6"/>
  <c r="E299" i="6"/>
  <c r="D299" i="6"/>
  <c r="B299" i="6"/>
  <c r="A299" i="6"/>
  <c r="H298" i="6"/>
  <c r="F298" i="6"/>
  <c r="E298" i="6"/>
  <c r="D298" i="6"/>
  <c r="B298" i="6"/>
  <c r="A298" i="6"/>
  <c r="H297" i="6"/>
  <c r="F297" i="6"/>
  <c r="E297" i="6"/>
  <c r="D297" i="6"/>
  <c r="B297" i="6"/>
  <c r="A297" i="6"/>
  <c r="H296" i="6"/>
  <c r="F296" i="6"/>
  <c r="E296" i="6"/>
  <c r="D296" i="6"/>
  <c r="B296" i="6"/>
  <c r="A296" i="6"/>
  <c r="H295" i="6"/>
  <c r="F295" i="6"/>
  <c r="E295" i="6"/>
  <c r="D295" i="6"/>
  <c r="B295" i="6"/>
  <c r="A295" i="6"/>
  <c r="H294" i="6"/>
  <c r="F294" i="6"/>
  <c r="E294" i="6"/>
  <c r="D294" i="6"/>
  <c r="B294" i="6"/>
  <c r="A294" i="6"/>
  <c r="H293" i="6"/>
  <c r="F293" i="6"/>
  <c r="E293" i="6"/>
  <c r="D293" i="6"/>
  <c r="B293" i="6"/>
  <c r="A293" i="6"/>
  <c r="F292" i="6"/>
  <c r="E292" i="6"/>
  <c r="B292" i="6"/>
  <c r="A292" i="6"/>
  <c r="H291" i="6"/>
  <c r="F291" i="6"/>
  <c r="E291" i="6"/>
  <c r="D291" i="6"/>
  <c r="B291" i="6"/>
  <c r="A291" i="6"/>
  <c r="H290" i="6"/>
  <c r="F290" i="6"/>
  <c r="E290" i="6"/>
  <c r="D290" i="6"/>
  <c r="B290" i="6"/>
  <c r="A290" i="6"/>
  <c r="H289" i="6"/>
  <c r="F289" i="6"/>
  <c r="E289" i="6"/>
  <c r="D289" i="6"/>
  <c r="B289" i="6"/>
  <c r="A289" i="6"/>
  <c r="H288" i="6"/>
  <c r="F288" i="6"/>
  <c r="E288" i="6"/>
  <c r="D288" i="6"/>
  <c r="B288" i="6"/>
  <c r="A288" i="6"/>
  <c r="H287" i="6"/>
  <c r="F287" i="6"/>
  <c r="E287" i="6"/>
  <c r="D287" i="6"/>
  <c r="B287" i="6"/>
  <c r="A287" i="6"/>
  <c r="H286" i="6"/>
  <c r="F286" i="6"/>
  <c r="E286" i="6"/>
  <c r="D286" i="6"/>
  <c r="B286" i="6"/>
  <c r="A286" i="6"/>
  <c r="H285" i="6"/>
  <c r="F285" i="6"/>
  <c r="E285" i="6"/>
  <c r="D285" i="6"/>
  <c r="B285" i="6"/>
  <c r="A285" i="6"/>
  <c r="H284" i="6"/>
  <c r="F284" i="6"/>
  <c r="E284" i="6"/>
  <c r="D284" i="6"/>
  <c r="B284" i="6"/>
  <c r="A284" i="6"/>
  <c r="F283" i="6"/>
  <c r="E283" i="6"/>
  <c r="D283" i="6"/>
  <c r="B283" i="6"/>
  <c r="A283" i="6"/>
  <c r="F282" i="6"/>
  <c r="E282" i="6"/>
  <c r="D282" i="6"/>
  <c r="B282" i="6"/>
  <c r="A282" i="6"/>
  <c r="H281" i="6"/>
  <c r="F281" i="6"/>
  <c r="E281" i="6"/>
  <c r="D281" i="6"/>
  <c r="B281" i="6"/>
  <c r="A281" i="6"/>
  <c r="H280" i="6"/>
  <c r="F280" i="6"/>
  <c r="E280" i="6"/>
  <c r="D280" i="6"/>
  <c r="B280" i="6"/>
  <c r="A280" i="6"/>
  <c r="H279" i="6"/>
  <c r="F279" i="6"/>
  <c r="E279" i="6"/>
  <c r="D279" i="6"/>
  <c r="B279" i="6"/>
  <c r="A279" i="6"/>
  <c r="H278" i="6"/>
  <c r="F278" i="6"/>
  <c r="E278" i="6"/>
  <c r="D278" i="6"/>
  <c r="B278" i="6"/>
  <c r="A278" i="6"/>
  <c r="H277" i="6"/>
  <c r="F277" i="6"/>
  <c r="E277" i="6"/>
  <c r="D277" i="6"/>
  <c r="B277" i="6"/>
  <c r="A277" i="6"/>
  <c r="H276" i="6"/>
  <c r="F276" i="6"/>
  <c r="E276" i="6"/>
  <c r="D276" i="6"/>
  <c r="B276" i="6"/>
  <c r="A276" i="6"/>
  <c r="H275" i="6"/>
  <c r="F275" i="6"/>
  <c r="E275" i="6"/>
  <c r="D275" i="6"/>
  <c r="B275" i="6"/>
  <c r="A275" i="6"/>
  <c r="H274" i="6"/>
  <c r="F274" i="6"/>
  <c r="E274" i="6"/>
  <c r="D274" i="6"/>
  <c r="B274" i="6"/>
  <c r="A274" i="6"/>
  <c r="F273" i="6"/>
  <c r="E273" i="6"/>
  <c r="B273" i="6"/>
  <c r="A273" i="6"/>
  <c r="H272" i="6"/>
  <c r="F272" i="6"/>
  <c r="E272" i="6"/>
  <c r="D272" i="6"/>
  <c r="B272" i="6"/>
  <c r="A272" i="6"/>
  <c r="H271" i="6"/>
  <c r="F271" i="6"/>
  <c r="E271" i="6"/>
  <c r="D271" i="6"/>
  <c r="B271" i="6"/>
  <c r="A271" i="6"/>
  <c r="H270" i="6"/>
  <c r="F270" i="6"/>
  <c r="E270" i="6"/>
  <c r="D270" i="6"/>
  <c r="B270" i="6"/>
  <c r="A270" i="6"/>
  <c r="H269" i="6"/>
  <c r="F269" i="6"/>
  <c r="E269" i="6"/>
  <c r="D269" i="6"/>
  <c r="B269" i="6"/>
  <c r="A269" i="6"/>
  <c r="H268" i="6"/>
  <c r="F268" i="6"/>
  <c r="E268" i="6"/>
  <c r="D268" i="6"/>
  <c r="B268" i="6"/>
  <c r="A268" i="6"/>
  <c r="H267" i="6"/>
  <c r="F267" i="6"/>
  <c r="E267" i="6"/>
  <c r="D267" i="6"/>
  <c r="B267" i="6"/>
  <c r="A267" i="6"/>
  <c r="H266" i="6"/>
  <c r="F266" i="6"/>
  <c r="E266" i="6"/>
  <c r="D266" i="6"/>
  <c r="B266" i="6"/>
  <c r="A266" i="6"/>
  <c r="H265" i="6"/>
  <c r="F265" i="6"/>
  <c r="E265" i="6"/>
  <c r="D265" i="6"/>
  <c r="B265" i="6"/>
  <c r="A265" i="6"/>
  <c r="H264" i="6"/>
  <c r="F264" i="6"/>
  <c r="E264" i="6"/>
  <c r="D264" i="6"/>
  <c r="B264" i="6"/>
  <c r="A264" i="6"/>
  <c r="H263" i="6"/>
  <c r="F263" i="6"/>
  <c r="E263" i="6"/>
  <c r="D263" i="6"/>
  <c r="B263" i="6"/>
  <c r="A263" i="6"/>
  <c r="H262" i="6"/>
  <c r="F262" i="6"/>
  <c r="E262" i="6"/>
  <c r="B262" i="6"/>
  <c r="A262" i="6"/>
  <c r="H261" i="6"/>
  <c r="F261" i="6"/>
  <c r="E261" i="6"/>
  <c r="B261" i="6"/>
  <c r="A261" i="6"/>
  <c r="H260" i="6"/>
  <c r="F260" i="6"/>
  <c r="E260" i="6"/>
  <c r="D260" i="6"/>
  <c r="B260" i="6"/>
  <c r="A260" i="6"/>
  <c r="H259" i="6"/>
  <c r="F259" i="6"/>
  <c r="E259" i="6"/>
  <c r="D259" i="6"/>
  <c r="B259" i="6"/>
  <c r="A259" i="6"/>
  <c r="H258" i="6"/>
  <c r="F258" i="6"/>
  <c r="E258" i="6"/>
  <c r="D258" i="6"/>
  <c r="B258" i="6"/>
  <c r="A258" i="6"/>
  <c r="H257" i="6"/>
  <c r="F257" i="6"/>
  <c r="E257" i="6"/>
  <c r="D257" i="6"/>
  <c r="B257" i="6"/>
  <c r="A257" i="6"/>
  <c r="H256" i="6"/>
  <c r="F256" i="6"/>
  <c r="E256" i="6"/>
  <c r="D256" i="6"/>
  <c r="B256" i="6"/>
  <c r="A256" i="6"/>
  <c r="H255" i="6"/>
  <c r="F255" i="6"/>
  <c r="E255" i="6"/>
  <c r="D255" i="6"/>
  <c r="B255" i="6"/>
  <c r="A255" i="6"/>
  <c r="F254" i="6"/>
  <c r="E254" i="6"/>
  <c r="D254" i="6"/>
  <c r="B254" i="6"/>
  <c r="A254" i="6"/>
  <c r="H253" i="6"/>
  <c r="F253" i="6"/>
  <c r="E253" i="6"/>
  <c r="B253" i="6"/>
  <c r="A253" i="6"/>
  <c r="H252" i="6"/>
  <c r="F252" i="6"/>
  <c r="E252" i="6"/>
  <c r="B252" i="6"/>
  <c r="A252" i="6"/>
  <c r="H251" i="6"/>
  <c r="F251" i="6"/>
  <c r="E251" i="6"/>
  <c r="D251" i="6"/>
  <c r="B251" i="6"/>
  <c r="A251" i="6"/>
  <c r="H250" i="6"/>
  <c r="F250" i="6"/>
  <c r="E250" i="6"/>
  <c r="D250" i="6"/>
  <c r="B250" i="6"/>
  <c r="A250" i="6"/>
  <c r="H249" i="6"/>
  <c r="F249" i="6"/>
  <c r="E249" i="6"/>
  <c r="D249" i="6"/>
  <c r="B249" i="6"/>
  <c r="A249" i="6"/>
  <c r="H248" i="6"/>
  <c r="F248" i="6"/>
  <c r="E248" i="6"/>
  <c r="D248" i="6"/>
  <c r="B248" i="6"/>
  <c r="A248" i="6"/>
  <c r="H247" i="6"/>
  <c r="F247" i="6"/>
  <c r="E247" i="6"/>
  <c r="D247" i="6"/>
  <c r="B247" i="6"/>
  <c r="A247" i="6"/>
  <c r="H246" i="6"/>
  <c r="F246" i="6"/>
  <c r="E246" i="6"/>
  <c r="D246" i="6"/>
  <c r="B246" i="6"/>
  <c r="A246" i="6"/>
  <c r="H245" i="6"/>
  <c r="F245" i="6"/>
  <c r="E245" i="6"/>
  <c r="D245" i="6"/>
  <c r="B245" i="6"/>
  <c r="A245" i="6"/>
  <c r="H244" i="6"/>
  <c r="F244" i="6"/>
  <c r="E244" i="6"/>
  <c r="D244" i="6"/>
  <c r="B244" i="6"/>
  <c r="A244" i="6"/>
  <c r="F243" i="6"/>
  <c r="E243" i="6"/>
  <c r="D243" i="6"/>
  <c r="B243" i="6"/>
  <c r="A243" i="6"/>
  <c r="F242" i="6"/>
  <c r="E242" i="6"/>
  <c r="D242" i="6"/>
  <c r="B242" i="6"/>
  <c r="A242" i="6"/>
  <c r="H241" i="6"/>
  <c r="F241" i="6"/>
  <c r="E241" i="6"/>
  <c r="D241" i="6"/>
  <c r="B241" i="6"/>
  <c r="A241" i="6"/>
  <c r="H240" i="6"/>
  <c r="F240" i="6"/>
  <c r="E240" i="6"/>
  <c r="D240" i="6"/>
  <c r="B240" i="6"/>
  <c r="A240" i="6"/>
  <c r="H239" i="6"/>
  <c r="F239" i="6"/>
  <c r="E239" i="6"/>
  <c r="D239" i="6"/>
  <c r="B239" i="6"/>
  <c r="A239" i="6"/>
  <c r="H238" i="6"/>
  <c r="F238" i="6"/>
  <c r="E238" i="6"/>
  <c r="D238" i="6"/>
  <c r="B238" i="6"/>
  <c r="A238" i="6"/>
  <c r="H237" i="6"/>
  <c r="F237" i="6"/>
  <c r="E237" i="6"/>
  <c r="D237" i="6"/>
  <c r="B237" i="6"/>
  <c r="A237" i="6"/>
  <c r="H236" i="6"/>
  <c r="F236" i="6"/>
  <c r="E236" i="6"/>
  <c r="D236" i="6"/>
  <c r="B236" i="6"/>
  <c r="A236" i="6"/>
  <c r="H235" i="6"/>
  <c r="F235" i="6"/>
  <c r="E235" i="6"/>
  <c r="D235" i="6"/>
  <c r="B235" i="6"/>
  <c r="A235" i="6"/>
  <c r="F234" i="6"/>
  <c r="E234" i="6"/>
  <c r="B234" i="6"/>
  <c r="A234" i="6"/>
  <c r="F233" i="6"/>
  <c r="E233" i="6"/>
  <c r="D233" i="6"/>
  <c r="B233" i="6"/>
  <c r="A233" i="6"/>
  <c r="H232" i="6"/>
  <c r="F232" i="6"/>
  <c r="E232" i="6"/>
  <c r="D232" i="6"/>
  <c r="B232" i="6"/>
  <c r="A232" i="6"/>
  <c r="H231" i="6"/>
  <c r="F231" i="6"/>
  <c r="E231" i="6"/>
  <c r="D231" i="6"/>
  <c r="B231" i="6"/>
  <c r="A231" i="6"/>
  <c r="H230" i="6"/>
  <c r="F230" i="6"/>
  <c r="E230" i="6"/>
  <c r="D230" i="6"/>
  <c r="B230" i="6"/>
  <c r="A230" i="6"/>
  <c r="H229" i="6"/>
  <c r="F229" i="6"/>
  <c r="E229" i="6"/>
  <c r="D229" i="6"/>
  <c r="B229" i="6"/>
  <c r="A229" i="6"/>
  <c r="H228" i="6"/>
  <c r="F228" i="6"/>
  <c r="E228" i="6"/>
  <c r="D228" i="6"/>
  <c r="B228" i="6"/>
  <c r="A228" i="6"/>
  <c r="H227" i="6"/>
  <c r="F227" i="6"/>
  <c r="E227" i="6"/>
  <c r="D227" i="6"/>
  <c r="B227" i="6"/>
  <c r="A227" i="6"/>
  <c r="H226" i="6"/>
  <c r="F226" i="6"/>
  <c r="E226" i="6"/>
  <c r="D226" i="6"/>
  <c r="B226" i="6"/>
  <c r="A226" i="6"/>
  <c r="H225" i="6"/>
  <c r="F225" i="6"/>
  <c r="E225" i="6"/>
  <c r="B225" i="6"/>
  <c r="A225" i="6"/>
  <c r="H224" i="6"/>
  <c r="F224" i="6"/>
  <c r="E224" i="6"/>
  <c r="D224" i="6"/>
  <c r="B224" i="6"/>
  <c r="A224" i="6"/>
  <c r="H223" i="6"/>
  <c r="F223" i="6"/>
  <c r="E223" i="6"/>
  <c r="D223" i="6"/>
  <c r="B223" i="6"/>
  <c r="A223" i="6"/>
  <c r="H222" i="6"/>
  <c r="F222" i="6"/>
  <c r="E222" i="6"/>
  <c r="D222" i="6"/>
  <c r="B222" i="6"/>
  <c r="A222" i="6"/>
  <c r="H221" i="6"/>
  <c r="F221" i="6"/>
  <c r="E221" i="6"/>
  <c r="D221" i="6"/>
  <c r="B221" i="6"/>
  <c r="A221" i="6"/>
  <c r="H220" i="6"/>
  <c r="F220" i="6"/>
  <c r="E220" i="6"/>
  <c r="D220" i="6"/>
  <c r="B220" i="6"/>
  <c r="A220" i="6"/>
  <c r="H219" i="6"/>
  <c r="F219" i="6"/>
  <c r="E219" i="6"/>
  <c r="D219" i="6"/>
  <c r="B219" i="6"/>
  <c r="A219" i="6"/>
  <c r="H218" i="6"/>
  <c r="F218" i="6"/>
  <c r="E218" i="6"/>
  <c r="D218" i="6"/>
  <c r="B218" i="6"/>
  <c r="A218" i="6"/>
  <c r="H217" i="6"/>
  <c r="F217" i="6"/>
  <c r="E217" i="6"/>
  <c r="D217" i="6"/>
  <c r="B217" i="6"/>
  <c r="A217" i="6"/>
  <c r="H216" i="6"/>
  <c r="F216" i="6"/>
  <c r="E216" i="6"/>
  <c r="D216" i="6"/>
  <c r="B216" i="6"/>
  <c r="A216" i="6"/>
  <c r="F215" i="6"/>
  <c r="E215" i="6"/>
  <c r="D215" i="6"/>
  <c r="B215" i="6"/>
  <c r="A215" i="6"/>
  <c r="H214" i="6"/>
  <c r="F214" i="6"/>
  <c r="E214" i="6"/>
  <c r="D214" i="6"/>
  <c r="B214" i="6"/>
  <c r="A214" i="6"/>
  <c r="H213" i="6"/>
  <c r="F213" i="6"/>
  <c r="E213" i="6"/>
  <c r="D213" i="6"/>
  <c r="B213" i="6"/>
  <c r="A213" i="6"/>
  <c r="H212" i="6"/>
  <c r="F212" i="6"/>
  <c r="E212" i="6"/>
  <c r="D212" i="6"/>
  <c r="B212" i="6"/>
  <c r="A212" i="6"/>
  <c r="H211" i="6"/>
  <c r="F211" i="6"/>
  <c r="E211" i="6"/>
  <c r="D211" i="6"/>
  <c r="B211" i="6"/>
  <c r="A211" i="6"/>
  <c r="H210" i="6"/>
  <c r="F210" i="6"/>
  <c r="E210" i="6"/>
  <c r="D210" i="6"/>
  <c r="B210" i="6"/>
  <c r="A210" i="6"/>
  <c r="H209" i="6"/>
  <c r="F209" i="6"/>
  <c r="E209" i="6"/>
  <c r="D209" i="6"/>
  <c r="B209" i="6"/>
  <c r="A209" i="6"/>
  <c r="H208" i="6"/>
  <c r="F208" i="6"/>
  <c r="E208" i="6"/>
  <c r="D208" i="6"/>
  <c r="B208" i="6"/>
  <c r="A208" i="6"/>
  <c r="H207" i="6"/>
  <c r="F207" i="6"/>
  <c r="E207" i="6"/>
  <c r="D207" i="6"/>
  <c r="B207" i="6"/>
  <c r="A207" i="6"/>
  <c r="F206" i="6"/>
  <c r="E206" i="6"/>
  <c r="D206" i="6"/>
  <c r="B206" i="6"/>
  <c r="A206" i="6"/>
  <c r="H205" i="6"/>
  <c r="F205" i="6"/>
  <c r="E205" i="6"/>
  <c r="D205" i="6"/>
  <c r="B205" i="6"/>
  <c r="A205" i="6"/>
  <c r="H204" i="6"/>
  <c r="F204" i="6"/>
  <c r="E204" i="6"/>
  <c r="B204" i="6"/>
  <c r="A204" i="6"/>
  <c r="H203" i="6"/>
  <c r="F203" i="6"/>
  <c r="E203" i="6"/>
  <c r="D203" i="6"/>
  <c r="B203" i="6"/>
  <c r="A203" i="6"/>
  <c r="H202" i="6"/>
  <c r="F202" i="6"/>
  <c r="E202" i="6"/>
  <c r="D202" i="6"/>
  <c r="B202" i="6"/>
  <c r="A202" i="6"/>
  <c r="H201" i="6"/>
  <c r="F201" i="6"/>
  <c r="E201" i="6"/>
  <c r="D201" i="6"/>
  <c r="B201" i="6"/>
  <c r="A201" i="6"/>
  <c r="H200" i="6"/>
  <c r="F200" i="6"/>
  <c r="E200" i="6"/>
  <c r="D200" i="6"/>
  <c r="B200" i="6"/>
  <c r="A200" i="6"/>
  <c r="H199" i="6"/>
  <c r="F199" i="6"/>
  <c r="E199" i="6"/>
  <c r="D199" i="6"/>
  <c r="B199" i="6"/>
  <c r="A199" i="6"/>
  <c r="H198" i="6"/>
  <c r="F198" i="6"/>
  <c r="E198" i="6"/>
  <c r="D198" i="6"/>
  <c r="B198" i="6"/>
  <c r="A198" i="6"/>
  <c r="H197" i="6"/>
  <c r="F197" i="6"/>
  <c r="E197" i="6"/>
  <c r="B197" i="6"/>
  <c r="A197" i="6"/>
  <c r="H196" i="6"/>
  <c r="F196" i="6"/>
  <c r="E196" i="6"/>
  <c r="B196" i="6"/>
  <c r="A196" i="6"/>
  <c r="H195" i="6"/>
  <c r="F195" i="6"/>
  <c r="E195" i="6"/>
  <c r="B195" i="6"/>
  <c r="A195" i="6"/>
  <c r="H194" i="6"/>
  <c r="F194" i="6"/>
  <c r="E194" i="6"/>
  <c r="D194" i="6"/>
  <c r="B194" i="6"/>
  <c r="A194" i="6"/>
  <c r="H193" i="6"/>
  <c r="F193" i="6"/>
  <c r="E193" i="6"/>
  <c r="D193" i="6"/>
  <c r="B193" i="6"/>
  <c r="A193" i="6"/>
  <c r="H192" i="6"/>
  <c r="F192" i="6"/>
  <c r="E192" i="6"/>
  <c r="D192" i="6"/>
  <c r="B192" i="6"/>
  <c r="A192" i="6"/>
  <c r="H191" i="6"/>
  <c r="F191" i="6"/>
  <c r="E191" i="6"/>
  <c r="D191" i="6"/>
  <c r="B191" i="6"/>
  <c r="A191" i="6"/>
  <c r="H190" i="6"/>
  <c r="F190" i="6"/>
  <c r="E190" i="6"/>
  <c r="D190" i="6"/>
  <c r="B190" i="6"/>
  <c r="A190" i="6"/>
  <c r="H189" i="6"/>
  <c r="F189" i="6"/>
  <c r="E189" i="6"/>
  <c r="D189" i="6"/>
  <c r="B189" i="6"/>
  <c r="A189" i="6"/>
  <c r="H188" i="6"/>
  <c r="F188" i="6"/>
  <c r="E188" i="6"/>
  <c r="D188" i="6"/>
  <c r="B188" i="6"/>
  <c r="A188" i="6"/>
  <c r="H187" i="6"/>
  <c r="F187" i="6"/>
  <c r="E187" i="6"/>
  <c r="B187" i="6"/>
  <c r="A187" i="6"/>
  <c r="H186" i="6"/>
  <c r="F186" i="6"/>
  <c r="E186" i="6"/>
  <c r="D186" i="6"/>
  <c r="B186" i="6"/>
  <c r="A186" i="6"/>
  <c r="F185" i="6"/>
  <c r="E185" i="6"/>
  <c r="D185" i="6"/>
  <c r="B185" i="6"/>
  <c r="A185" i="6"/>
  <c r="H184" i="6"/>
  <c r="F184" i="6"/>
  <c r="E184" i="6"/>
  <c r="D184" i="6"/>
  <c r="B184" i="6"/>
  <c r="A184" i="6"/>
  <c r="H183" i="6"/>
  <c r="F183" i="6"/>
  <c r="E183" i="6"/>
  <c r="D183" i="6"/>
  <c r="B183" i="6"/>
  <c r="A183" i="6"/>
  <c r="H182" i="6"/>
  <c r="F182" i="6"/>
  <c r="E182" i="6"/>
  <c r="D182" i="6"/>
  <c r="B182" i="6"/>
  <c r="A182" i="6"/>
  <c r="H181" i="6"/>
  <c r="F181" i="6"/>
  <c r="E181" i="6"/>
  <c r="D181" i="6"/>
  <c r="B181" i="6"/>
  <c r="A181" i="6"/>
  <c r="H180" i="6"/>
  <c r="F180" i="6"/>
  <c r="E180" i="6"/>
  <c r="D180" i="6"/>
  <c r="B180" i="6"/>
  <c r="A180" i="6"/>
  <c r="H179" i="6"/>
  <c r="F179" i="6"/>
  <c r="E179" i="6"/>
  <c r="B179" i="6"/>
  <c r="A179" i="6"/>
  <c r="F178" i="6"/>
  <c r="E178" i="6"/>
  <c r="B178" i="6"/>
  <c r="A178" i="6"/>
  <c r="F177" i="6"/>
  <c r="E177" i="6"/>
  <c r="D177" i="6"/>
  <c r="B177" i="6"/>
  <c r="A177" i="6"/>
  <c r="F176" i="6"/>
  <c r="E176" i="6"/>
  <c r="D176" i="6"/>
  <c r="B176" i="6"/>
  <c r="A176" i="6"/>
  <c r="H175" i="6"/>
  <c r="F175" i="6"/>
  <c r="E175" i="6"/>
  <c r="D175" i="6"/>
  <c r="B175" i="6"/>
  <c r="A175" i="6"/>
  <c r="H174" i="6"/>
  <c r="F174" i="6"/>
  <c r="E174" i="6"/>
  <c r="D174" i="6"/>
  <c r="B174" i="6"/>
  <c r="A174" i="6"/>
  <c r="H173" i="6"/>
  <c r="F173" i="6"/>
  <c r="E173" i="6"/>
  <c r="D173" i="6"/>
  <c r="B173" i="6"/>
  <c r="A173" i="6"/>
  <c r="H172" i="6"/>
  <c r="F172" i="6"/>
  <c r="E172" i="6"/>
  <c r="D172" i="6"/>
  <c r="B172" i="6"/>
  <c r="A172" i="6"/>
  <c r="H171" i="6"/>
  <c r="F171" i="6"/>
  <c r="E171" i="6"/>
  <c r="D171" i="6"/>
  <c r="B171" i="6"/>
  <c r="A171" i="6"/>
  <c r="H170" i="6"/>
  <c r="F170" i="6"/>
  <c r="E170" i="6"/>
  <c r="D170" i="6"/>
  <c r="B170" i="6"/>
  <c r="A170" i="6"/>
  <c r="H169" i="6"/>
  <c r="F169" i="6"/>
  <c r="E169" i="6"/>
  <c r="B169" i="6"/>
  <c r="A169" i="6"/>
  <c r="F168" i="6"/>
  <c r="E168" i="6"/>
  <c r="D168" i="6"/>
  <c r="B168" i="6"/>
  <c r="A168" i="6"/>
  <c r="H167" i="6"/>
  <c r="F167" i="6"/>
  <c r="E167" i="6"/>
  <c r="D167" i="6"/>
  <c r="B167" i="6"/>
  <c r="A167" i="6"/>
  <c r="H166" i="6"/>
  <c r="F166" i="6"/>
  <c r="E166" i="6"/>
  <c r="D166" i="6"/>
  <c r="B166" i="6"/>
  <c r="A166" i="6"/>
  <c r="H165" i="6"/>
  <c r="F165" i="6"/>
  <c r="E165" i="6"/>
  <c r="D165" i="6"/>
  <c r="B165" i="6"/>
  <c r="A165" i="6"/>
  <c r="H164" i="6"/>
  <c r="F164" i="6"/>
  <c r="E164" i="6"/>
  <c r="D164" i="6"/>
  <c r="B164" i="6"/>
  <c r="A164" i="6"/>
  <c r="H163" i="6"/>
  <c r="F163" i="6"/>
  <c r="E163" i="6"/>
  <c r="D163" i="6"/>
  <c r="B163" i="6"/>
  <c r="A163" i="6"/>
  <c r="H162" i="6"/>
  <c r="F162" i="6"/>
  <c r="E162" i="6"/>
  <c r="D162" i="6"/>
  <c r="B162" i="6"/>
  <c r="A162" i="6"/>
  <c r="H161" i="6"/>
  <c r="F161" i="6"/>
  <c r="E161" i="6"/>
  <c r="D161" i="6"/>
  <c r="B161" i="6"/>
  <c r="A161" i="6"/>
  <c r="F160" i="6"/>
  <c r="E160" i="6"/>
  <c r="D160" i="6"/>
  <c r="B160" i="6"/>
  <c r="A160" i="6"/>
  <c r="F159" i="6"/>
  <c r="E159" i="6"/>
  <c r="D159" i="6"/>
  <c r="B159" i="6"/>
  <c r="A159" i="6"/>
  <c r="H158" i="6"/>
  <c r="F158" i="6"/>
  <c r="E158" i="6"/>
  <c r="B158" i="6"/>
  <c r="A158" i="6"/>
  <c r="H157" i="6"/>
  <c r="F157" i="6"/>
  <c r="E157" i="6"/>
  <c r="D157" i="6"/>
  <c r="B157" i="6"/>
  <c r="A157" i="6"/>
  <c r="H156" i="6"/>
  <c r="F156" i="6"/>
  <c r="E156" i="6"/>
  <c r="D156" i="6"/>
  <c r="B156" i="6"/>
  <c r="A156" i="6"/>
  <c r="H155" i="6"/>
  <c r="F155" i="6"/>
  <c r="E155" i="6"/>
  <c r="D155" i="6"/>
  <c r="B155" i="6"/>
  <c r="A155" i="6"/>
  <c r="H154" i="6"/>
  <c r="F154" i="6"/>
  <c r="E154" i="6"/>
  <c r="D154" i="6"/>
  <c r="B154" i="6"/>
  <c r="A154" i="6"/>
  <c r="H153" i="6"/>
  <c r="F153" i="6"/>
  <c r="E153" i="6"/>
  <c r="D153" i="6"/>
  <c r="B153" i="6"/>
  <c r="A153" i="6"/>
  <c r="H152" i="6"/>
  <c r="F152" i="6"/>
  <c r="E152" i="6"/>
  <c r="D152" i="6"/>
  <c r="B152" i="6"/>
  <c r="A152" i="6"/>
  <c r="H151" i="6"/>
  <c r="F151" i="6"/>
  <c r="E151" i="6"/>
  <c r="D151" i="6"/>
  <c r="B151" i="6"/>
  <c r="A151" i="6"/>
  <c r="F150" i="6"/>
  <c r="E150" i="6"/>
  <c r="B150" i="6"/>
  <c r="A150" i="6"/>
  <c r="H149" i="6"/>
  <c r="F149" i="6"/>
  <c r="E149" i="6"/>
  <c r="B149" i="6"/>
  <c r="A149" i="6"/>
  <c r="H148" i="6"/>
  <c r="F148" i="6"/>
  <c r="E148" i="6"/>
  <c r="D148" i="6"/>
  <c r="B148" i="6"/>
  <c r="A148" i="6"/>
  <c r="H147" i="6"/>
  <c r="F147" i="6"/>
  <c r="E147" i="6"/>
  <c r="D147" i="6"/>
  <c r="B147" i="6"/>
  <c r="A147" i="6"/>
  <c r="H146" i="6"/>
  <c r="F146" i="6"/>
  <c r="E146" i="6"/>
  <c r="D146" i="6"/>
  <c r="B146" i="6"/>
  <c r="A146" i="6"/>
  <c r="H145" i="6"/>
  <c r="F145" i="6"/>
  <c r="E145" i="6"/>
  <c r="D145" i="6"/>
  <c r="B145" i="6"/>
  <c r="A145" i="6"/>
  <c r="H144" i="6"/>
  <c r="F144" i="6"/>
  <c r="E144" i="6"/>
  <c r="D144" i="6"/>
  <c r="B144" i="6"/>
  <c r="A144" i="6"/>
  <c r="H143" i="6"/>
  <c r="F143" i="6"/>
  <c r="E143" i="6"/>
  <c r="D143" i="6"/>
  <c r="B143" i="6"/>
  <c r="A143" i="6"/>
  <c r="H142" i="6"/>
  <c r="F142" i="6"/>
  <c r="E142" i="6"/>
  <c r="D142" i="6"/>
  <c r="B142" i="6"/>
  <c r="A142" i="6"/>
  <c r="H141" i="6"/>
  <c r="F141" i="6"/>
  <c r="E141" i="6"/>
  <c r="B141" i="6"/>
  <c r="A141" i="6"/>
  <c r="H140" i="6"/>
  <c r="F140" i="6"/>
  <c r="E140" i="6"/>
  <c r="B140" i="6"/>
  <c r="A140" i="6"/>
  <c r="F139" i="6"/>
  <c r="E139" i="6"/>
  <c r="D139" i="6"/>
  <c r="B139" i="6"/>
  <c r="A139" i="6"/>
  <c r="H138" i="6"/>
  <c r="F138" i="6"/>
  <c r="E138" i="6"/>
  <c r="D138" i="6"/>
  <c r="B138" i="6"/>
  <c r="A138" i="6"/>
  <c r="H137" i="6"/>
  <c r="F137" i="6"/>
  <c r="E137" i="6"/>
  <c r="D137" i="6"/>
  <c r="B137" i="6"/>
  <c r="A137" i="6"/>
  <c r="H136" i="6"/>
  <c r="F136" i="6"/>
  <c r="E136" i="6"/>
  <c r="D136" i="6"/>
  <c r="B136" i="6"/>
  <c r="A136" i="6"/>
  <c r="H135" i="6"/>
  <c r="F135" i="6"/>
  <c r="E135" i="6"/>
  <c r="D135" i="6"/>
  <c r="B135" i="6"/>
  <c r="A135" i="6"/>
  <c r="H134" i="6"/>
  <c r="F134" i="6"/>
  <c r="E134" i="6"/>
  <c r="D134" i="6"/>
  <c r="B134" i="6"/>
  <c r="A134" i="6"/>
  <c r="H133" i="6"/>
  <c r="F133" i="6"/>
  <c r="E133" i="6"/>
  <c r="B133" i="6"/>
  <c r="A133" i="6"/>
  <c r="H132" i="6"/>
  <c r="F132" i="6"/>
  <c r="E132" i="6"/>
  <c r="B132" i="6"/>
  <c r="A132" i="6"/>
  <c r="F131" i="6"/>
  <c r="E131" i="6"/>
  <c r="B131" i="6"/>
  <c r="A131" i="6"/>
  <c r="F130" i="6"/>
  <c r="E130" i="6"/>
  <c r="D130" i="6"/>
  <c r="B130" i="6"/>
  <c r="A130" i="6"/>
  <c r="H129" i="6"/>
  <c r="F129" i="6"/>
  <c r="E129" i="6"/>
  <c r="D129" i="6"/>
  <c r="B129" i="6"/>
  <c r="A129" i="6"/>
  <c r="H128" i="6"/>
  <c r="F128" i="6"/>
  <c r="E128" i="6"/>
  <c r="D128" i="6"/>
  <c r="B128" i="6"/>
  <c r="A128" i="6"/>
  <c r="H127" i="6"/>
  <c r="F127" i="6"/>
  <c r="E127" i="6"/>
  <c r="D127" i="6"/>
  <c r="B127" i="6"/>
  <c r="A127" i="6"/>
  <c r="H126" i="6"/>
  <c r="F126" i="6"/>
  <c r="E126" i="6"/>
  <c r="D126" i="6"/>
  <c r="B126" i="6"/>
  <c r="A126" i="6"/>
  <c r="H125" i="6"/>
  <c r="F125" i="6"/>
  <c r="E125" i="6"/>
  <c r="D125" i="6"/>
  <c r="B125" i="6"/>
  <c r="A125" i="6"/>
  <c r="H124" i="6"/>
  <c r="F124" i="6"/>
  <c r="E124" i="6"/>
  <c r="D124" i="6"/>
  <c r="B124" i="6"/>
  <c r="A124" i="6"/>
  <c r="H123" i="6"/>
  <c r="F123" i="6"/>
  <c r="E123" i="6"/>
  <c r="B123" i="6"/>
  <c r="A123" i="6"/>
  <c r="F122" i="6"/>
  <c r="E122" i="6"/>
  <c r="D122" i="6"/>
  <c r="B122" i="6"/>
  <c r="A122" i="6"/>
  <c r="F121" i="6"/>
  <c r="E121" i="6"/>
  <c r="D121" i="6"/>
  <c r="B121" i="6"/>
  <c r="A121" i="6"/>
  <c r="H120" i="6"/>
  <c r="F120" i="6"/>
  <c r="E120" i="6"/>
  <c r="D120" i="6"/>
  <c r="B120" i="6"/>
  <c r="A120" i="6"/>
  <c r="H119" i="6"/>
  <c r="F119" i="6"/>
  <c r="E119" i="6"/>
  <c r="D119" i="6"/>
  <c r="B119" i="6"/>
  <c r="A119" i="6"/>
  <c r="H118" i="6"/>
  <c r="F118" i="6"/>
  <c r="E118" i="6"/>
  <c r="D118" i="6"/>
  <c r="B118" i="6"/>
  <c r="A118" i="6"/>
  <c r="H117" i="6"/>
  <c r="F117" i="6"/>
  <c r="E117" i="6"/>
  <c r="D117" i="6"/>
  <c r="B117" i="6"/>
  <c r="A117" i="6"/>
  <c r="H116" i="6"/>
  <c r="F116" i="6"/>
  <c r="E116" i="6"/>
  <c r="D116" i="6"/>
  <c r="B116" i="6"/>
  <c r="A116" i="6"/>
  <c r="H115" i="6"/>
  <c r="F115" i="6"/>
  <c r="E115" i="6"/>
  <c r="D115" i="6"/>
  <c r="B115" i="6"/>
  <c r="A115" i="6"/>
  <c r="F114" i="6"/>
  <c r="E114" i="6"/>
  <c r="B114" i="6"/>
  <c r="A114" i="6"/>
  <c r="F113" i="6"/>
  <c r="E113" i="6"/>
  <c r="D113" i="6"/>
  <c r="B113" i="6"/>
  <c r="A113" i="6"/>
  <c r="F112" i="6"/>
  <c r="E112" i="6"/>
  <c r="D112" i="6"/>
  <c r="B112" i="6"/>
  <c r="A112" i="6"/>
  <c r="H111" i="6"/>
  <c r="F111" i="6"/>
  <c r="E111" i="6"/>
  <c r="D111" i="6"/>
  <c r="B111" i="6"/>
  <c r="A111" i="6"/>
  <c r="H110" i="6"/>
  <c r="F110" i="6"/>
  <c r="E110" i="6"/>
  <c r="D110" i="6"/>
  <c r="B110" i="6"/>
  <c r="A110" i="6"/>
  <c r="H109" i="6"/>
  <c r="F109" i="6"/>
  <c r="E109" i="6"/>
  <c r="D109" i="6"/>
  <c r="B109" i="6"/>
  <c r="A109" i="6"/>
  <c r="H108" i="6"/>
  <c r="F108" i="6"/>
  <c r="E108" i="6"/>
  <c r="D108" i="6"/>
  <c r="B108" i="6"/>
  <c r="A108" i="6"/>
  <c r="H107" i="6"/>
  <c r="F107" i="6"/>
  <c r="E107" i="6"/>
  <c r="D107" i="6"/>
  <c r="B107" i="6"/>
  <c r="A107" i="6"/>
  <c r="H106" i="6"/>
  <c r="F106" i="6"/>
  <c r="E106" i="6"/>
  <c r="D106" i="6"/>
  <c r="B106" i="6"/>
  <c r="A106" i="6"/>
  <c r="H105" i="6"/>
  <c r="F105" i="6"/>
  <c r="E105" i="6"/>
  <c r="D105" i="6"/>
  <c r="B105" i="6"/>
  <c r="A105" i="6"/>
  <c r="F104" i="6"/>
  <c r="E104" i="6"/>
  <c r="D104" i="6"/>
  <c r="B104" i="6"/>
  <c r="A104" i="6"/>
  <c r="H103" i="6"/>
  <c r="F103" i="6"/>
  <c r="E103" i="6"/>
  <c r="D103" i="6"/>
  <c r="B103" i="6"/>
  <c r="A103" i="6"/>
  <c r="H102" i="6"/>
  <c r="F102" i="6"/>
  <c r="E102" i="6"/>
  <c r="D102" i="6"/>
  <c r="B102" i="6"/>
  <c r="A102" i="6"/>
  <c r="H101" i="6"/>
  <c r="F101" i="6"/>
  <c r="E101" i="6"/>
  <c r="D101" i="6"/>
  <c r="B101" i="6"/>
  <c r="A101" i="6"/>
  <c r="H100" i="6"/>
  <c r="F100" i="6"/>
  <c r="E100" i="6"/>
  <c r="D100" i="6"/>
  <c r="B100" i="6"/>
  <c r="A100" i="6"/>
  <c r="H99" i="6"/>
  <c r="F99" i="6"/>
  <c r="E99" i="6"/>
  <c r="D99" i="6"/>
  <c r="B99" i="6"/>
  <c r="A99" i="6"/>
  <c r="H98" i="6"/>
  <c r="F98" i="6"/>
  <c r="E98" i="6"/>
  <c r="D98" i="6"/>
  <c r="B98" i="6"/>
  <c r="A98" i="6"/>
  <c r="H97" i="6"/>
  <c r="F97" i="6"/>
  <c r="E97" i="6"/>
  <c r="D97" i="6"/>
  <c r="B97" i="6"/>
  <c r="A97" i="6"/>
  <c r="H96" i="6"/>
  <c r="F96" i="6"/>
  <c r="E96" i="6"/>
  <c r="D96" i="6"/>
  <c r="B96" i="6"/>
  <c r="A96" i="6"/>
  <c r="F95" i="6"/>
  <c r="E95" i="6"/>
  <c r="D95" i="6"/>
  <c r="B95" i="6"/>
  <c r="A95" i="6"/>
  <c r="H94" i="6"/>
  <c r="F94" i="6"/>
  <c r="E94" i="6"/>
  <c r="D94" i="6"/>
  <c r="B94" i="6"/>
  <c r="A94" i="6"/>
  <c r="H93" i="6"/>
  <c r="F93" i="6"/>
  <c r="E93" i="6"/>
  <c r="D93" i="6"/>
  <c r="B93" i="6"/>
  <c r="A93" i="6"/>
  <c r="H92" i="6"/>
  <c r="F92" i="6"/>
  <c r="E92" i="6"/>
  <c r="D92" i="6"/>
  <c r="B92" i="6"/>
  <c r="A92" i="6"/>
  <c r="H91" i="6"/>
  <c r="F91" i="6"/>
  <c r="E91" i="6"/>
  <c r="D91" i="6"/>
  <c r="B91" i="6"/>
  <c r="A91" i="6"/>
  <c r="H90" i="6"/>
  <c r="F90" i="6"/>
  <c r="E90" i="6"/>
  <c r="D90" i="6"/>
  <c r="B90" i="6"/>
  <c r="A90" i="6"/>
  <c r="H89" i="6"/>
  <c r="F89" i="6"/>
  <c r="E89" i="6"/>
  <c r="D89" i="6"/>
  <c r="B89" i="6"/>
  <c r="A89" i="6"/>
  <c r="H88" i="6"/>
  <c r="F88" i="6"/>
  <c r="E88" i="6"/>
  <c r="D88" i="6"/>
  <c r="B88" i="6"/>
  <c r="A88" i="6"/>
  <c r="H87" i="6"/>
  <c r="F87" i="6"/>
  <c r="E87" i="6"/>
  <c r="D87" i="6"/>
  <c r="B87" i="6"/>
  <c r="A87" i="6"/>
  <c r="H86" i="6"/>
  <c r="F86" i="6"/>
  <c r="E86" i="6"/>
  <c r="D86" i="6"/>
  <c r="B86" i="6"/>
  <c r="A86" i="6"/>
  <c r="H85" i="6"/>
  <c r="F85" i="6"/>
  <c r="E85" i="6"/>
  <c r="D85" i="6"/>
  <c r="B85" i="6"/>
  <c r="A85" i="6"/>
  <c r="H84" i="6"/>
  <c r="F84" i="6"/>
  <c r="E84" i="6"/>
  <c r="D84" i="6"/>
  <c r="B84" i="6"/>
  <c r="A84" i="6"/>
  <c r="H83" i="6"/>
  <c r="F83" i="6"/>
  <c r="E83" i="6"/>
  <c r="D83" i="6"/>
  <c r="B83" i="6"/>
  <c r="A83" i="6"/>
  <c r="H82" i="6"/>
  <c r="F82" i="6"/>
  <c r="E82" i="6"/>
  <c r="D82" i="6"/>
  <c r="B82" i="6"/>
  <c r="A82" i="6"/>
  <c r="H81" i="6"/>
  <c r="F81" i="6"/>
  <c r="E81" i="6"/>
  <c r="D81" i="6"/>
  <c r="B81" i="6"/>
  <c r="A81" i="6"/>
  <c r="H80" i="6"/>
  <c r="F80" i="6"/>
  <c r="E80" i="6"/>
  <c r="D80" i="6"/>
  <c r="B80" i="6"/>
  <c r="A80" i="6"/>
  <c r="H79" i="6"/>
  <c r="F79" i="6"/>
  <c r="E79" i="6"/>
  <c r="D79" i="6"/>
  <c r="B79" i="6"/>
  <c r="A79" i="6"/>
  <c r="H78" i="6"/>
  <c r="F78" i="6"/>
  <c r="E78" i="6"/>
  <c r="B78" i="6"/>
  <c r="A78" i="6"/>
  <c r="H77" i="6"/>
  <c r="F77" i="6"/>
  <c r="E77" i="6"/>
  <c r="D77" i="6"/>
  <c r="B77" i="6"/>
  <c r="A77" i="6"/>
  <c r="H76" i="6"/>
  <c r="F76" i="6"/>
  <c r="E76" i="6"/>
  <c r="D76" i="6"/>
  <c r="B76" i="6"/>
  <c r="A76" i="6"/>
  <c r="H75" i="6"/>
  <c r="F75" i="6"/>
  <c r="E75" i="6"/>
  <c r="D75" i="6"/>
  <c r="B75" i="6"/>
  <c r="A75" i="6"/>
  <c r="H74" i="6"/>
  <c r="F74" i="6"/>
  <c r="E74" i="6"/>
  <c r="D74" i="6"/>
  <c r="B74" i="6"/>
  <c r="A74" i="6"/>
  <c r="H73" i="6"/>
  <c r="F73" i="6"/>
  <c r="E73" i="6"/>
  <c r="D73" i="6"/>
  <c r="B73" i="6"/>
  <c r="A73" i="6"/>
  <c r="H72" i="6"/>
  <c r="F72" i="6"/>
  <c r="E72" i="6"/>
  <c r="D72" i="6"/>
  <c r="B72" i="6"/>
  <c r="A72" i="6"/>
  <c r="H71" i="6"/>
  <c r="F71" i="6"/>
  <c r="E71" i="6"/>
  <c r="D71" i="6"/>
  <c r="B71" i="6"/>
  <c r="A71" i="6"/>
  <c r="H70" i="6"/>
  <c r="F70" i="6"/>
  <c r="E70" i="6"/>
  <c r="D70" i="6"/>
  <c r="B70" i="6"/>
  <c r="A70" i="6"/>
  <c r="H69" i="6"/>
  <c r="F69" i="6"/>
  <c r="E69" i="6"/>
  <c r="D69" i="6"/>
  <c r="B69" i="6"/>
  <c r="A69" i="6"/>
  <c r="H68" i="6"/>
  <c r="F68" i="6"/>
  <c r="E68" i="6"/>
  <c r="B68" i="6"/>
  <c r="A68" i="6"/>
  <c r="H67" i="6"/>
  <c r="F67" i="6"/>
  <c r="E67" i="6"/>
  <c r="B67" i="6"/>
  <c r="A67" i="6"/>
  <c r="H66" i="6"/>
  <c r="F66" i="6"/>
  <c r="E66" i="6"/>
  <c r="D66" i="6"/>
  <c r="C66" i="6"/>
  <c r="B66" i="6"/>
  <c r="A66" i="6"/>
  <c r="H65" i="6"/>
  <c r="F65" i="6"/>
  <c r="E65" i="6"/>
  <c r="D65" i="6"/>
  <c r="C65" i="6"/>
  <c r="B65" i="6"/>
  <c r="A65" i="6"/>
  <c r="H64" i="6"/>
  <c r="F64" i="6"/>
  <c r="E64" i="6"/>
  <c r="D64" i="6"/>
  <c r="C64" i="6"/>
  <c r="B64" i="6"/>
  <c r="A64" i="6"/>
  <c r="H63" i="6"/>
  <c r="F63" i="6"/>
  <c r="E63" i="6"/>
  <c r="D63" i="6"/>
  <c r="C63" i="6"/>
  <c r="B63" i="6"/>
  <c r="A63" i="6"/>
  <c r="H62" i="6"/>
  <c r="F62" i="6"/>
  <c r="E62" i="6"/>
  <c r="D62" i="6"/>
  <c r="C62" i="6"/>
  <c r="B62" i="6"/>
  <c r="A62" i="6"/>
  <c r="H61" i="6"/>
  <c r="F61" i="6"/>
  <c r="E61" i="6"/>
  <c r="D61" i="6"/>
  <c r="C61" i="6"/>
  <c r="B61" i="6"/>
  <c r="A61" i="6"/>
  <c r="H60" i="6"/>
  <c r="F60" i="6"/>
  <c r="E60" i="6"/>
  <c r="D60" i="6"/>
  <c r="C60" i="6"/>
  <c r="B60" i="6"/>
  <c r="A60" i="6"/>
  <c r="F59" i="6"/>
  <c r="E59" i="6"/>
  <c r="C59" i="6"/>
  <c r="B59" i="6"/>
  <c r="A59" i="6"/>
  <c r="H58" i="6"/>
  <c r="F58" i="6"/>
  <c r="E58" i="6"/>
  <c r="D58" i="6"/>
  <c r="C58" i="6"/>
  <c r="B58" i="6"/>
  <c r="A58" i="6"/>
  <c r="H57" i="6"/>
  <c r="F57" i="6"/>
  <c r="E57" i="6"/>
  <c r="D57" i="6"/>
  <c r="C57" i="6"/>
  <c r="B57" i="6"/>
  <c r="A57" i="6"/>
  <c r="H56" i="6"/>
  <c r="F56" i="6"/>
  <c r="E56" i="6"/>
  <c r="D56" i="6"/>
  <c r="C56" i="6"/>
  <c r="B56" i="6"/>
  <c r="A56" i="6"/>
  <c r="H55" i="6"/>
  <c r="F55" i="6"/>
  <c r="E55" i="6"/>
  <c r="D55" i="6"/>
  <c r="C55" i="6"/>
  <c r="B55" i="6"/>
  <c r="A55" i="6"/>
  <c r="H54" i="6"/>
  <c r="F54" i="6"/>
  <c r="E54" i="6"/>
  <c r="D54" i="6"/>
  <c r="C54" i="6"/>
  <c r="B54" i="6"/>
  <c r="A54" i="6"/>
  <c r="H53" i="6"/>
  <c r="F53" i="6"/>
  <c r="E53" i="6"/>
  <c r="C53" i="6"/>
  <c r="B53" i="6"/>
  <c r="A53" i="6"/>
  <c r="H52" i="6"/>
  <c r="F52" i="6"/>
  <c r="E52" i="6"/>
  <c r="C52" i="6"/>
  <c r="B52" i="6"/>
  <c r="A52" i="6"/>
  <c r="H51" i="6"/>
  <c r="F51" i="6"/>
  <c r="E51" i="6"/>
  <c r="C51" i="6"/>
  <c r="B51" i="6"/>
  <c r="A51" i="6"/>
  <c r="H50" i="6"/>
  <c r="F50" i="6"/>
  <c r="E50" i="6"/>
  <c r="D50" i="6"/>
  <c r="C50" i="6"/>
  <c r="B50" i="6"/>
  <c r="A50" i="6"/>
  <c r="F49" i="6"/>
  <c r="E49" i="6"/>
  <c r="C49" i="6"/>
  <c r="B49" i="6"/>
  <c r="A49" i="6"/>
  <c r="F48" i="6"/>
  <c r="E48" i="6"/>
  <c r="D48" i="6"/>
  <c r="C48" i="6"/>
  <c r="B48" i="6"/>
  <c r="A48" i="6"/>
  <c r="H47" i="6"/>
  <c r="G47" i="6"/>
  <c r="F47" i="6"/>
  <c r="E47" i="6"/>
  <c r="D47" i="6"/>
  <c r="C47" i="6"/>
  <c r="B47" i="6"/>
  <c r="A47" i="6"/>
  <c r="H46" i="6"/>
  <c r="G46" i="6"/>
  <c r="F46" i="6"/>
  <c r="E46" i="6"/>
  <c r="D46" i="6"/>
  <c r="C46" i="6"/>
  <c r="B46" i="6"/>
  <c r="A46" i="6"/>
  <c r="H45" i="6"/>
  <c r="G45" i="6"/>
  <c r="F45" i="6"/>
  <c r="E45" i="6"/>
  <c r="D45" i="6"/>
  <c r="C45" i="6"/>
  <c r="B45" i="6"/>
  <c r="A45" i="6"/>
  <c r="H44" i="6"/>
  <c r="G44" i="6"/>
  <c r="F44" i="6"/>
  <c r="E44" i="6"/>
  <c r="D44" i="6"/>
  <c r="C44" i="6"/>
  <c r="B44" i="6"/>
  <c r="A44" i="6"/>
  <c r="H43" i="6"/>
  <c r="G43" i="6"/>
  <c r="F43" i="6"/>
  <c r="E43" i="6"/>
  <c r="D43" i="6"/>
  <c r="C43" i="6"/>
  <c r="B43" i="6"/>
  <c r="A43" i="6"/>
  <c r="H42" i="6"/>
  <c r="G42" i="6"/>
  <c r="F42" i="6"/>
  <c r="E42" i="6"/>
  <c r="C42" i="6"/>
  <c r="B42" i="6"/>
  <c r="A42" i="6"/>
  <c r="H41" i="6"/>
  <c r="G41" i="6"/>
  <c r="F41" i="6"/>
  <c r="E41" i="6"/>
  <c r="D41" i="6"/>
  <c r="C41" i="6"/>
  <c r="B41" i="6"/>
  <c r="A41" i="6"/>
  <c r="G40" i="6"/>
  <c r="F40" i="6"/>
  <c r="E40" i="6"/>
  <c r="C40" i="6"/>
  <c r="B40" i="6"/>
  <c r="A40" i="6"/>
  <c r="H39" i="6"/>
  <c r="G39" i="6"/>
  <c r="F39" i="6"/>
  <c r="E39" i="6"/>
  <c r="D39" i="6"/>
  <c r="C39" i="6"/>
  <c r="B39" i="6"/>
  <c r="A39" i="6"/>
  <c r="H38" i="6"/>
  <c r="G38" i="6"/>
  <c r="F38" i="6"/>
  <c r="E38" i="6"/>
  <c r="C38" i="6"/>
  <c r="B38" i="6"/>
  <c r="A38" i="6"/>
  <c r="H37" i="6"/>
  <c r="G37" i="6"/>
  <c r="F37" i="6"/>
  <c r="E37" i="6"/>
  <c r="A37" i="6"/>
  <c r="H36" i="6"/>
  <c r="G36" i="6"/>
  <c r="F36" i="6"/>
  <c r="E36" i="6"/>
  <c r="A36" i="6"/>
  <c r="H35" i="6"/>
  <c r="G35" i="6"/>
  <c r="F35" i="6"/>
  <c r="E35" i="6"/>
  <c r="A35" i="6"/>
  <c r="G34" i="6"/>
  <c r="F34" i="6"/>
  <c r="E34" i="6"/>
  <c r="A34" i="6"/>
  <c r="G33" i="6"/>
  <c r="F33" i="6"/>
  <c r="E33" i="6"/>
  <c r="A33" i="6"/>
  <c r="G32" i="6"/>
  <c r="F32" i="6"/>
  <c r="E32" i="6"/>
  <c r="A32" i="6"/>
  <c r="H31" i="6"/>
  <c r="G31" i="6"/>
  <c r="F31" i="6"/>
  <c r="E31" i="6"/>
  <c r="A31" i="6"/>
  <c r="G30" i="6"/>
  <c r="F30" i="6"/>
  <c r="E30" i="6"/>
  <c r="A30" i="6"/>
  <c r="H29" i="6"/>
  <c r="G29" i="6"/>
  <c r="F29" i="6"/>
  <c r="E29" i="6"/>
  <c r="A29" i="6"/>
  <c r="H28" i="6"/>
  <c r="G28" i="6"/>
  <c r="F28" i="6"/>
  <c r="E28" i="6"/>
  <c r="A28" i="6"/>
  <c r="H27" i="6"/>
  <c r="G27" i="6"/>
  <c r="F27" i="6"/>
  <c r="E27" i="6"/>
  <c r="A27" i="6"/>
  <c r="H26" i="6"/>
  <c r="G26" i="6"/>
  <c r="F26" i="6"/>
  <c r="E26" i="6"/>
  <c r="A26" i="6"/>
  <c r="H25" i="6"/>
  <c r="G25" i="6"/>
  <c r="F25" i="6"/>
  <c r="E25" i="6"/>
  <c r="A25" i="6"/>
  <c r="H24" i="6"/>
  <c r="G24" i="6"/>
  <c r="F24" i="6"/>
  <c r="E24" i="6"/>
  <c r="A24" i="6"/>
  <c r="G23" i="6"/>
  <c r="F23" i="6"/>
  <c r="E23" i="6"/>
  <c r="A23" i="6"/>
  <c r="H22" i="6"/>
  <c r="G22" i="6"/>
  <c r="F22" i="6"/>
  <c r="E22" i="6"/>
  <c r="A22" i="6"/>
  <c r="G21" i="6"/>
  <c r="F21" i="6"/>
  <c r="E21" i="6"/>
  <c r="A21" i="6"/>
  <c r="H20" i="6"/>
  <c r="G20" i="6"/>
  <c r="F20" i="6"/>
  <c r="E20" i="6"/>
  <c r="A20" i="6"/>
  <c r="G19" i="6"/>
  <c r="F19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E2" i="6"/>
  <c r="A2" i="6"/>
  <c r="D1" i="6"/>
  <c r="C1" i="6"/>
  <c r="B1" i="6"/>
  <c r="A1" i="6"/>
  <c r="G1" i="5" a="1"/>
  <c r="G3465" i="5" s="1"/>
  <c r="AD34" i="4"/>
  <c r="AC34" i="4"/>
  <c r="AA34" i="4"/>
  <c r="X34" i="4"/>
  <c r="V34" i="4"/>
  <c r="U34" i="4"/>
  <c r="R34" i="4"/>
  <c r="M34" i="4"/>
  <c r="L34" i="4"/>
  <c r="K34" i="4"/>
  <c r="J34" i="4"/>
  <c r="H34" i="4"/>
  <c r="C34" i="4"/>
  <c r="B34" i="4"/>
  <c r="A34" i="4"/>
  <c r="AH33" i="4"/>
  <c r="AD33" i="4"/>
  <c r="AC33" i="4"/>
  <c r="V33" i="4"/>
  <c r="T33" i="4"/>
  <c r="L33" i="4"/>
  <c r="C33" i="4"/>
  <c r="B33" i="4"/>
  <c r="A33" i="4"/>
  <c r="X32" i="4"/>
  <c r="U32" i="4"/>
  <c r="R32" i="4"/>
  <c r="M32" i="4"/>
  <c r="K32" i="4"/>
  <c r="H32" i="4"/>
  <c r="C32" i="4"/>
  <c r="B32" i="4"/>
  <c r="A32" i="4"/>
  <c r="AH31" i="4"/>
  <c r="AD31" i="4"/>
  <c r="AC31" i="4"/>
  <c r="AA31" i="4"/>
  <c r="Z31" i="4"/>
  <c r="X31" i="4"/>
  <c r="V31" i="4"/>
  <c r="S31" i="4"/>
  <c r="R31" i="4"/>
  <c r="P31" i="4"/>
  <c r="O31" i="4"/>
  <c r="N31" i="4"/>
  <c r="K31" i="4"/>
  <c r="J31" i="4"/>
  <c r="I31" i="4"/>
  <c r="H31" i="4"/>
  <c r="F31" i="4"/>
  <c r="E31" i="4"/>
  <c r="C31" i="4"/>
  <c r="B31" i="4"/>
  <c r="A31" i="4"/>
  <c r="AD30" i="4"/>
  <c r="AC30" i="4"/>
  <c r="Z30" i="4"/>
  <c r="U30" i="4"/>
  <c r="T30" i="4"/>
  <c r="M30" i="4"/>
  <c r="I30" i="4"/>
  <c r="E30" i="4"/>
  <c r="C30" i="4"/>
  <c r="B30" i="4"/>
  <c r="A30" i="4"/>
  <c r="AH29" i="4"/>
  <c r="AA29" i="4"/>
  <c r="V29" i="4"/>
  <c r="R29" i="4"/>
  <c r="L29" i="4"/>
  <c r="K29" i="4"/>
  <c r="J29" i="4"/>
  <c r="H29" i="4"/>
  <c r="C29" i="4"/>
  <c r="B29" i="4"/>
  <c r="A29" i="4"/>
  <c r="AH28" i="4"/>
  <c r="AD28" i="4"/>
  <c r="AC28" i="4"/>
  <c r="AA28" i="4"/>
  <c r="Z28" i="4"/>
  <c r="V28" i="4"/>
  <c r="U28" i="4"/>
  <c r="S28" i="4"/>
  <c r="R28" i="4"/>
  <c r="O28" i="4"/>
  <c r="N28" i="4"/>
  <c r="J28" i="4"/>
  <c r="H28" i="4"/>
  <c r="F28" i="4"/>
  <c r="E28" i="4"/>
  <c r="C28" i="4"/>
  <c r="B28" i="4"/>
  <c r="A28" i="4"/>
  <c r="AH27" i="4"/>
  <c r="AA27" i="4"/>
  <c r="X27" i="4"/>
  <c r="T27" i="4"/>
  <c r="S27" i="4"/>
  <c r="P27" i="4"/>
  <c r="O27" i="4"/>
  <c r="N27" i="4"/>
  <c r="M27" i="4"/>
  <c r="L27" i="4"/>
  <c r="K27" i="4"/>
  <c r="C27" i="4"/>
  <c r="B27" i="4"/>
  <c r="A27" i="4"/>
  <c r="AH26" i="4"/>
  <c r="AD26" i="4"/>
  <c r="AC26" i="4"/>
  <c r="Z26" i="4"/>
  <c r="V26" i="4"/>
  <c r="O26" i="4"/>
  <c r="J26" i="4"/>
  <c r="I26" i="4"/>
  <c r="F26" i="4"/>
  <c r="E26" i="4"/>
  <c r="C26" i="4"/>
  <c r="B26" i="4"/>
  <c r="A26" i="4"/>
  <c r="AH25" i="4"/>
  <c r="AD25" i="4"/>
  <c r="AC25" i="4"/>
  <c r="AA25" i="4"/>
  <c r="X25" i="4"/>
  <c r="V25" i="4"/>
  <c r="U25" i="4"/>
  <c r="S25" i="4"/>
  <c r="P25" i="4"/>
  <c r="O25" i="4"/>
  <c r="N25" i="4"/>
  <c r="L25" i="4"/>
  <c r="K25" i="4"/>
  <c r="I25" i="4"/>
  <c r="H25" i="4"/>
  <c r="F25" i="4"/>
  <c r="C25" i="4"/>
  <c r="B25" i="4"/>
  <c r="A25" i="4"/>
  <c r="AD24" i="4"/>
  <c r="AC24" i="4"/>
  <c r="AA24" i="4"/>
  <c r="T24" i="4"/>
  <c r="S24" i="4"/>
  <c r="M24" i="4"/>
  <c r="J24" i="4"/>
  <c r="F24" i="4"/>
  <c r="C24" i="4"/>
  <c r="B24" i="4"/>
  <c r="A24" i="4"/>
  <c r="AC23" i="4"/>
  <c r="X23" i="4"/>
  <c r="U23" i="4"/>
  <c r="R23" i="4"/>
  <c r="O23" i="4"/>
  <c r="N23" i="4"/>
  <c r="L23" i="4"/>
  <c r="K23" i="4"/>
  <c r="H23" i="4"/>
  <c r="C23" i="4"/>
  <c r="B23" i="4"/>
  <c r="A23" i="4"/>
  <c r="AK22" i="4"/>
  <c r="AH22" i="4"/>
  <c r="AG22" i="4"/>
  <c r="AE22" i="4"/>
  <c r="AD22" i="4"/>
  <c r="AC22" i="4"/>
  <c r="AA22" i="4"/>
  <c r="V22" i="4"/>
  <c r="S22" i="4"/>
  <c r="P22" i="4"/>
  <c r="O22" i="4"/>
  <c r="K22" i="4"/>
  <c r="I22" i="4"/>
  <c r="H22" i="4"/>
  <c r="F22" i="4"/>
  <c r="C22" i="4"/>
  <c r="B22" i="4"/>
  <c r="A22" i="4"/>
  <c r="AK21" i="4"/>
  <c r="AG21" i="4"/>
  <c r="AE21" i="4"/>
  <c r="AD21" i="4"/>
  <c r="AA21" i="4"/>
  <c r="U21" i="4"/>
  <c r="T21" i="4"/>
  <c r="S21" i="4"/>
  <c r="R21" i="4"/>
  <c r="L21" i="4"/>
  <c r="C21" i="4"/>
  <c r="B21" i="4"/>
  <c r="A21" i="4"/>
  <c r="AA20" i="4"/>
  <c r="X20" i="4"/>
  <c r="V20" i="4"/>
  <c r="R20" i="4"/>
  <c r="O20" i="4"/>
  <c r="N20" i="4"/>
  <c r="M20" i="4"/>
  <c r="K20" i="4"/>
  <c r="H20" i="4"/>
  <c r="F20" i="4"/>
  <c r="C20" i="4"/>
  <c r="B20" i="4"/>
  <c r="A20" i="4"/>
  <c r="AK19" i="4"/>
  <c r="AJ19" i="4"/>
  <c r="AH19" i="4"/>
  <c r="AG19" i="4"/>
  <c r="AF19" i="4"/>
  <c r="AE19" i="4"/>
  <c r="AC19" i="4"/>
  <c r="AB19" i="4"/>
  <c r="Y19" i="4"/>
  <c r="X19" i="4"/>
  <c r="S19" i="4"/>
  <c r="R19" i="4"/>
  <c r="Q19" i="4"/>
  <c r="P19" i="4"/>
  <c r="O19" i="4"/>
  <c r="M19" i="4"/>
  <c r="H19" i="4"/>
  <c r="G19" i="4"/>
  <c r="C19" i="4"/>
  <c r="B19" i="4"/>
  <c r="A19" i="4"/>
  <c r="AK18" i="4"/>
  <c r="AF18" i="4"/>
  <c r="Y18" i="4"/>
  <c r="U18" i="4"/>
  <c r="T18" i="4"/>
  <c r="Q18" i="4"/>
  <c r="N18" i="4"/>
  <c r="M18" i="4"/>
  <c r="L18" i="4"/>
  <c r="K18" i="4"/>
  <c r="H18" i="4"/>
  <c r="C18" i="4"/>
  <c r="B18" i="4"/>
  <c r="A18" i="4"/>
  <c r="AH17" i="4"/>
  <c r="AG17" i="4"/>
  <c r="AE17" i="4"/>
  <c r="AC17" i="4"/>
  <c r="AB17" i="4"/>
  <c r="X17" i="4"/>
  <c r="S17" i="4"/>
  <c r="R17" i="4"/>
  <c r="O17" i="4"/>
  <c r="N17" i="4"/>
  <c r="M17" i="4"/>
  <c r="C17" i="4"/>
  <c r="B17" i="4"/>
  <c r="A17" i="4"/>
  <c r="AJ16" i="4"/>
  <c r="AH16" i="4"/>
  <c r="AF16" i="4"/>
  <c r="AC16" i="4"/>
  <c r="AB16" i="4"/>
  <c r="Y16" i="4"/>
  <c r="X16" i="4"/>
  <c r="Q16" i="4"/>
  <c r="P16" i="4"/>
  <c r="O16" i="4"/>
  <c r="N16" i="4"/>
  <c r="K16" i="4"/>
  <c r="H16" i="4"/>
  <c r="G16" i="4"/>
  <c r="D16" i="4"/>
  <c r="C16" i="4"/>
  <c r="B16" i="4"/>
  <c r="A16" i="4"/>
  <c r="AJ15" i="4"/>
  <c r="AG15" i="4"/>
  <c r="AE15" i="4"/>
  <c r="AC15" i="4"/>
  <c r="T15" i="4"/>
  <c r="R15" i="4"/>
  <c r="N15" i="4"/>
  <c r="M15" i="4"/>
  <c r="L15" i="4"/>
  <c r="G15" i="4"/>
  <c r="C15" i="4"/>
  <c r="B15" i="4"/>
  <c r="A15" i="4"/>
  <c r="AG14" i="4"/>
  <c r="AF14" i="4"/>
  <c r="AE14" i="4"/>
  <c r="AC14" i="4"/>
  <c r="AB14" i="4"/>
  <c r="Y14" i="4"/>
  <c r="U14" i="4"/>
  <c r="S14" i="4"/>
  <c r="O14" i="4"/>
  <c r="H14" i="4"/>
  <c r="C14" i="4"/>
  <c r="B14" i="4"/>
  <c r="A14" i="4"/>
  <c r="AJ13" i="4"/>
  <c r="AH13" i="4"/>
  <c r="AF13" i="4"/>
  <c r="AE13" i="4"/>
  <c r="AC13" i="4"/>
  <c r="U13" i="4"/>
  <c r="S13" i="4"/>
  <c r="Q13" i="4"/>
  <c r="P13" i="4"/>
  <c r="L13" i="4"/>
  <c r="K13" i="4"/>
  <c r="J13" i="4"/>
  <c r="I13" i="4"/>
  <c r="H13" i="4"/>
  <c r="G13" i="4"/>
  <c r="F13" i="4"/>
  <c r="C13" i="4"/>
  <c r="B13" i="4"/>
  <c r="A13" i="4"/>
  <c r="AH12" i="4"/>
  <c r="AF12" i="4"/>
  <c r="AE12" i="4"/>
  <c r="X12" i="4"/>
  <c r="T12" i="4"/>
  <c r="S12" i="4"/>
  <c r="M12" i="4"/>
  <c r="I12" i="4"/>
  <c r="C12" i="4"/>
  <c r="B12" i="4"/>
  <c r="A12" i="4"/>
  <c r="AJ11" i="4"/>
  <c r="R11" i="4"/>
  <c r="Q11" i="4"/>
  <c r="K11" i="4"/>
  <c r="J11" i="4"/>
  <c r="H11" i="4"/>
  <c r="G11" i="4"/>
  <c r="F11" i="4"/>
  <c r="C11" i="4"/>
  <c r="B11" i="4"/>
  <c r="A11" i="4"/>
  <c r="AJ10" i="4"/>
  <c r="AI10" i="4"/>
  <c r="AH10" i="4"/>
  <c r="AF10" i="4"/>
  <c r="AE10" i="4"/>
  <c r="AC10" i="4"/>
  <c r="W10" i="4"/>
  <c r="S10" i="4"/>
  <c r="Q10" i="4"/>
  <c r="P10" i="4"/>
  <c r="K10" i="4"/>
  <c r="J10" i="4"/>
  <c r="I10" i="4"/>
  <c r="H10" i="4"/>
  <c r="G10" i="4"/>
  <c r="F10" i="4"/>
  <c r="C10" i="4"/>
  <c r="B10" i="4"/>
  <c r="A10" i="4"/>
  <c r="AJ9" i="4"/>
  <c r="AI9" i="4"/>
  <c r="U9" i="4"/>
  <c r="T9" i="4"/>
  <c r="R9" i="4"/>
  <c r="Q9" i="4"/>
  <c r="M9" i="4"/>
  <c r="L9" i="4"/>
  <c r="K9" i="4"/>
  <c r="C9" i="4"/>
  <c r="B9" i="4"/>
  <c r="A9" i="4"/>
  <c r="AH8" i="4"/>
  <c r="AF8" i="4"/>
  <c r="AE8" i="4"/>
  <c r="AC8" i="4"/>
  <c r="J8" i="4"/>
  <c r="I8" i="4"/>
  <c r="H8" i="4"/>
  <c r="F8" i="4"/>
  <c r="C8" i="4"/>
  <c r="B8" i="4"/>
  <c r="A8" i="4"/>
  <c r="AJ7" i="4"/>
  <c r="AH7" i="4"/>
  <c r="AF7" i="4"/>
  <c r="AC7" i="4"/>
  <c r="U7" i="4"/>
  <c r="R7" i="4"/>
  <c r="Q7" i="4"/>
  <c r="P7" i="4"/>
  <c r="O7" i="4"/>
  <c r="N7" i="4"/>
  <c r="J7" i="4"/>
  <c r="I7" i="4"/>
  <c r="H7" i="4"/>
  <c r="C7" i="4"/>
  <c r="B7" i="4"/>
  <c r="A7" i="4"/>
  <c r="AH6" i="4"/>
  <c r="AF6" i="4"/>
  <c r="AC6" i="4"/>
  <c r="T6" i="4"/>
  <c r="N6" i="4"/>
  <c r="L6" i="4"/>
  <c r="I6" i="4"/>
  <c r="C6" i="4"/>
  <c r="B6" i="4"/>
  <c r="A6" i="4"/>
  <c r="AJ5" i="4"/>
  <c r="O5" i="4"/>
  <c r="M5" i="4"/>
  <c r="L5" i="4"/>
  <c r="K5" i="4"/>
  <c r="J5" i="4"/>
  <c r="H5" i="4"/>
  <c r="F5" i="4"/>
  <c r="C5" i="4"/>
  <c r="B5" i="4"/>
  <c r="A5" i="4"/>
  <c r="AL4" i="4"/>
  <c r="AJ4" i="4"/>
  <c r="AH4" i="4"/>
  <c r="AC4" i="4"/>
  <c r="U4" i="4"/>
  <c r="R4" i="4"/>
  <c r="Q4" i="4"/>
  <c r="P4" i="4"/>
  <c r="O4" i="4"/>
  <c r="N4" i="4"/>
  <c r="L4" i="4"/>
  <c r="K4" i="4"/>
  <c r="J4" i="4"/>
  <c r="H4" i="4"/>
  <c r="C4" i="4"/>
  <c r="B4" i="4"/>
  <c r="A4" i="4"/>
  <c r="AL3" i="4"/>
  <c r="AH3" i="4"/>
  <c r="T3" i="4"/>
  <c r="O3" i="4"/>
  <c r="N3" i="4"/>
  <c r="M3" i="4"/>
  <c r="K3" i="4"/>
  <c r="H3" i="4"/>
  <c r="F3" i="4"/>
  <c r="C3" i="4"/>
  <c r="B3" i="4"/>
  <c r="A3" i="4"/>
  <c r="AJ2" i="4"/>
  <c r="AF2" i="4"/>
  <c r="AC2" i="4"/>
  <c r="Q2" i="4"/>
  <c r="N2" i="4"/>
  <c r="J2" i="4"/>
  <c r="I2" i="4"/>
  <c r="F2" i="4"/>
  <c r="C2" i="4"/>
  <c r="B2" i="4"/>
  <c r="A2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R34" i="3"/>
  <c r="Q34" i="3"/>
  <c r="O34" i="3"/>
  <c r="J34" i="3"/>
  <c r="I34" i="3"/>
  <c r="H34" i="3"/>
  <c r="G34" i="3"/>
  <c r="E34" i="3"/>
  <c r="C34" i="3"/>
  <c r="B34" i="3"/>
  <c r="A34" i="3"/>
  <c r="T33" i="3"/>
  <c r="R33" i="3"/>
  <c r="P33" i="3"/>
  <c r="I33" i="3"/>
  <c r="C33" i="3"/>
  <c r="B33" i="3"/>
  <c r="A33" i="3"/>
  <c r="Q32" i="3"/>
  <c r="O32" i="3"/>
  <c r="J32" i="3"/>
  <c r="H32" i="3"/>
  <c r="E32" i="3"/>
  <c r="C32" i="3"/>
  <c r="B32" i="3"/>
  <c r="A32" i="3"/>
  <c r="T31" i="3"/>
  <c r="R31" i="3"/>
  <c r="O31" i="3"/>
  <c r="M31" i="3"/>
  <c r="L31" i="3"/>
  <c r="K31" i="3"/>
  <c r="H31" i="3"/>
  <c r="G31" i="3"/>
  <c r="F31" i="3"/>
  <c r="E31" i="3"/>
  <c r="D31" i="3"/>
  <c r="C31" i="3"/>
  <c r="B31" i="3"/>
  <c r="A31" i="3"/>
  <c r="R30" i="3"/>
  <c r="Q30" i="3"/>
  <c r="P30" i="3"/>
  <c r="J30" i="3"/>
  <c r="F30" i="3"/>
  <c r="C30" i="3"/>
  <c r="B30" i="3"/>
  <c r="A30" i="3"/>
  <c r="T29" i="3"/>
  <c r="O29" i="3"/>
  <c r="I29" i="3"/>
  <c r="H29" i="3"/>
  <c r="G29" i="3"/>
  <c r="E29" i="3"/>
  <c r="C29" i="3"/>
  <c r="B29" i="3"/>
  <c r="A29" i="3"/>
  <c r="T28" i="3"/>
  <c r="R28" i="3"/>
  <c r="Q28" i="3"/>
  <c r="O28" i="3"/>
  <c r="L28" i="3"/>
  <c r="K28" i="3"/>
  <c r="G28" i="3"/>
  <c r="E28" i="3"/>
  <c r="D28" i="3"/>
  <c r="C28" i="3"/>
  <c r="B28" i="3"/>
  <c r="A28" i="3"/>
  <c r="T27" i="3"/>
  <c r="P27" i="3"/>
  <c r="M27" i="3"/>
  <c r="L27" i="3"/>
  <c r="K27" i="3"/>
  <c r="J27" i="3"/>
  <c r="I27" i="3"/>
  <c r="H27" i="3"/>
  <c r="C27" i="3"/>
  <c r="B27" i="3"/>
  <c r="A27" i="3"/>
  <c r="T26" i="3"/>
  <c r="R26" i="3"/>
  <c r="L26" i="3"/>
  <c r="G26" i="3"/>
  <c r="F26" i="3"/>
  <c r="D26" i="3"/>
  <c r="C26" i="3"/>
  <c r="B26" i="3"/>
  <c r="A26" i="3"/>
  <c r="T25" i="3"/>
  <c r="R25" i="3"/>
  <c r="Q25" i="3"/>
  <c r="M25" i="3"/>
  <c r="L25" i="3"/>
  <c r="K25" i="3"/>
  <c r="I25" i="3"/>
  <c r="H25" i="3"/>
  <c r="F25" i="3"/>
  <c r="E25" i="3"/>
  <c r="D25" i="3"/>
  <c r="C25" i="3"/>
  <c r="B25" i="3"/>
  <c r="A25" i="3"/>
  <c r="R24" i="3"/>
  <c r="P24" i="3"/>
  <c r="J24" i="3"/>
  <c r="G24" i="3"/>
  <c r="D24" i="3"/>
  <c r="C24" i="3"/>
  <c r="B24" i="3"/>
  <c r="A24" i="3"/>
  <c r="R23" i="3"/>
  <c r="Q23" i="3"/>
  <c r="O23" i="3"/>
  <c r="L23" i="3"/>
  <c r="K23" i="3"/>
  <c r="I23" i="3"/>
  <c r="H23" i="3"/>
  <c r="E23" i="3"/>
  <c r="C23" i="3"/>
  <c r="B23" i="3"/>
  <c r="A23" i="3"/>
  <c r="T22" i="3"/>
  <c r="R22" i="3"/>
  <c r="M22" i="3"/>
  <c r="L22" i="3"/>
  <c r="H22" i="3"/>
  <c r="F22" i="3"/>
  <c r="E22" i="3"/>
  <c r="D22" i="3"/>
  <c r="C22" i="3"/>
  <c r="B22" i="3"/>
  <c r="A22" i="3"/>
  <c r="Q21" i="3"/>
  <c r="P21" i="3"/>
  <c r="O21" i="3"/>
  <c r="I21" i="3"/>
  <c r="C21" i="3"/>
  <c r="B21" i="3"/>
  <c r="A21" i="3"/>
  <c r="O20" i="3"/>
  <c r="L20" i="3"/>
  <c r="K20" i="3"/>
  <c r="J20" i="3"/>
  <c r="H20" i="3"/>
  <c r="E20" i="3"/>
  <c r="D20" i="3"/>
  <c r="C20" i="3"/>
  <c r="B20" i="3"/>
  <c r="A20" i="3"/>
  <c r="U19" i="3"/>
  <c r="T19" i="3"/>
  <c r="S19" i="3"/>
  <c r="R19" i="3"/>
  <c r="O19" i="3"/>
  <c r="N19" i="3"/>
  <c r="M19" i="3"/>
  <c r="L19" i="3"/>
  <c r="J19" i="3"/>
  <c r="E19" i="3"/>
  <c r="C19" i="3"/>
  <c r="B19" i="3"/>
  <c r="A19" i="3"/>
  <c r="S18" i="3"/>
  <c r="Q18" i="3"/>
  <c r="P18" i="3"/>
  <c r="N18" i="3"/>
  <c r="K18" i="3"/>
  <c r="J18" i="3"/>
  <c r="I18" i="3"/>
  <c r="H18" i="3"/>
  <c r="E18" i="3"/>
  <c r="C18" i="3"/>
  <c r="B18" i="3"/>
  <c r="A18" i="3"/>
  <c r="T17" i="3"/>
  <c r="R17" i="3"/>
  <c r="O17" i="3"/>
  <c r="L17" i="3"/>
  <c r="K17" i="3"/>
  <c r="J17" i="3"/>
  <c r="C17" i="3"/>
  <c r="B17" i="3"/>
  <c r="A17" i="3"/>
  <c r="U16" i="3"/>
  <c r="T16" i="3"/>
  <c r="S16" i="3"/>
  <c r="R16" i="3"/>
  <c r="N16" i="3"/>
  <c r="M16" i="3"/>
  <c r="L16" i="3"/>
  <c r="K16" i="3"/>
  <c r="H16" i="3"/>
  <c r="E16" i="3"/>
  <c r="C16" i="3"/>
  <c r="B16" i="3"/>
  <c r="A16" i="3"/>
  <c r="U15" i="3"/>
  <c r="R15" i="3"/>
  <c r="P15" i="3"/>
  <c r="O15" i="3"/>
  <c r="K15" i="3"/>
  <c r="J15" i="3"/>
  <c r="I15" i="3"/>
  <c r="C15" i="3"/>
  <c r="B15" i="3"/>
  <c r="A15" i="3"/>
  <c r="S14" i="3"/>
  <c r="R14" i="3"/>
  <c r="Q14" i="3"/>
  <c r="L14" i="3"/>
  <c r="E14" i="3"/>
  <c r="C14" i="3"/>
  <c r="B14" i="3"/>
  <c r="A14" i="3"/>
  <c r="U13" i="3"/>
  <c r="T13" i="3"/>
  <c r="S13" i="3"/>
  <c r="R13" i="3"/>
  <c r="Q13" i="3"/>
  <c r="N13" i="3"/>
  <c r="M13" i="3"/>
  <c r="I13" i="3"/>
  <c r="H13" i="3"/>
  <c r="G13" i="3"/>
  <c r="F13" i="3"/>
  <c r="E13" i="3"/>
  <c r="D13" i="3"/>
  <c r="C13" i="3"/>
  <c r="B13" i="3"/>
  <c r="A13" i="3"/>
  <c r="T12" i="3"/>
  <c r="S12" i="3"/>
  <c r="P12" i="3"/>
  <c r="J12" i="3"/>
  <c r="F12" i="3"/>
  <c r="C12" i="3"/>
  <c r="B12" i="3"/>
  <c r="A12" i="3"/>
  <c r="U11" i="3"/>
  <c r="O11" i="3"/>
  <c r="N11" i="3"/>
  <c r="H11" i="3"/>
  <c r="G11" i="3"/>
  <c r="E11" i="3"/>
  <c r="D11" i="3"/>
  <c r="C11" i="3"/>
  <c r="B11" i="3"/>
  <c r="A11" i="3"/>
  <c r="U10" i="3"/>
  <c r="T10" i="3"/>
  <c r="S10" i="3"/>
  <c r="R10" i="3"/>
  <c r="N10" i="3"/>
  <c r="M10" i="3"/>
  <c r="H10" i="3"/>
  <c r="G10" i="3"/>
  <c r="F10" i="3"/>
  <c r="E10" i="3"/>
  <c r="D10" i="3"/>
  <c r="C10" i="3"/>
  <c r="B10" i="3"/>
  <c r="A10" i="3"/>
  <c r="U9" i="3"/>
  <c r="Q9" i="3"/>
  <c r="P9" i="3"/>
  <c r="O9" i="3"/>
  <c r="N9" i="3"/>
  <c r="J9" i="3"/>
  <c r="I9" i="3"/>
  <c r="H9" i="3"/>
  <c r="C9" i="3"/>
  <c r="B9" i="3"/>
  <c r="A9" i="3"/>
  <c r="T8" i="3"/>
  <c r="S8" i="3"/>
  <c r="R8" i="3"/>
  <c r="G8" i="3"/>
  <c r="F8" i="3"/>
  <c r="E8" i="3"/>
  <c r="D8" i="3"/>
  <c r="C8" i="3"/>
  <c r="B8" i="3"/>
  <c r="A8" i="3"/>
  <c r="U7" i="3"/>
  <c r="T7" i="3"/>
  <c r="S7" i="3"/>
  <c r="R7" i="3"/>
  <c r="Q7" i="3"/>
  <c r="O7" i="3"/>
  <c r="N7" i="3"/>
  <c r="M7" i="3"/>
  <c r="L7" i="3"/>
  <c r="K7" i="3"/>
  <c r="G7" i="3"/>
  <c r="F7" i="3"/>
  <c r="E7" i="3"/>
  <c r="C7" i="3"/>
  <c r="B7" i="3"/>
  <c r="A7" i="3"/>
  <c r="T6" i="3"/>
  <c r="S6" i="3"/>
  <c r="R6" i="3"/>
  <c r="P6" i="3"/>
  <c r="K6" i="3"/>
  <c r="I6" i="3"/>
  <c r="F6" i="3"/>
  <c r="C6" i="3"/>
  <c r="B6" i="3"/>
  <c r="A6" i="3"/>
  <c r="U5" i="3"/>
  <c r="L5" i="3"/>
  <c r="J5" i="3"/>
  <c r="I5" i="3"/>
  <c r="H5" i="3"/>
  <c r="G5" i="3"/>
  <c r="E5" i="3"/>
  <c r="D5" i="3"/>
  <c r="C5" i="3"/>
  <c r="B5" i="3"/>
  <c r="A5" i="3"/>
  <c r="V4" i="3"/>
  <c r="U4" i="3"/>
  <c r="T4" i="3"/>
  <c r="R4" i="3"/>
  <c r="Q4" i="3"/>
  <c r="O4" i="3"/>
  <c r="N4" i="3"/>
  <c r="M4" i="3"/>
  <c r="L4" i="3"/>
  <c r="K4" i="3"/>
  <c r="I4" i="3"/>
  <c r="H4" i="3"/>
  <c r="G4" i="3"/>
  <c r="E4" i="3"/>
  <c r="C4" i="3"/>
  <c r="B4" i="3"/>
  <c r="A4" i="3"/>
  <c r="V3" i="3"/>
  <c r="T3" i="3"/>
  <c r="P3" i="3"/>
  <c r="L3" i="3"/>
  <c r="K3" i="3"/>
  <c r="J3" i="3"/>
  <c r="H3" i="3"/>
  <c r="E3" i="3"/>
  <c r="D3" i="3"/>
  <c r="C3" i="3"/>
  <c r="B3" i="3"/>
  <c r="A3" i="3"/>
  <c r="U2" i="3"/>
  <c r="S2" i="3"/>
  <c r="R2" i="3"/>
  <c r="N2" i="3"/>
  <c r="K2" i="3"/>
  <c r="G2" i="3"/>
  <c r="F2" i="3"/>
  <c r="D2" i="3"/>
  <c r="C2" i="3"/>
  <c r="B2" i="3"/>
  <c r="A2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AC467" i="2"/>
  <c r="Y467" i="2"/>
  <c r="U467" i="2"/>
  <c r="T467" i="2"/>
  <c r="S467" i="2"/>
  <c r="O467" i="2"/>
  <c r="N467" i="2"/>
  <c r="M467" i="2"/>
  <c r="L467" i="2"/>
  <c r="K467" i="2"/>
  <c r="E467" i="2"/>
  <c r="D467" i="2"/>
  <c r="C467" i="2"/>
  <c r="AC466" i="2"/>
  <c r="Y466" i="2"/>
  <c r="U466" i="2"/>
  <c r="T466" i="2"/>
  <c r="S466" i="2"/>
  <c r="O466" i="2"/>
  <c r="N466" i="2"/>
  <c r="M466" i="2"/>
  <c r="L466" i="2"/>
  <c r="K466" i="2"/>
  <c r="E466" i="2"/>
  <c r="D466" i="2"/>
  <c r="C466" i="2"/>
  <c r="AC465" i="2"/>
  <c r="Y465" i="2"/>
  <c r="U465" i="2"/>
  <c r="T465" i="2"/>
  <c r="S465" i="2"/>
  <c r="O465" i="2"/>
  <c r="N465" i="2"/>
  <c r="M465" i="2"/>
  <c r="L465" i="2"/>
  <c r="K465" i="2"/>
  <c r="E465" i="2"/>
  <c r="D465" i="2"/>
  <c r="C465" i="2"/>
  <c r="AC464" i="2"/>
  <c r="Y464" i="2"/>
  <c r="U464" i="2"/>
  <c r="T464" i="2"/>
  <c r="S464" i="2"/>
  <c r="O464" i="2"/>
  <c r="N464" i="2"/>
  <c r="M464" i="2"/>
  <c r="L464" i="2"/>
  <c r="K464" i="2"/>
  <c r="E464" i="2"/>
  <c r="D464" i="2"/>
  <c r="C464" i="2"/>
  <c r="AC463" i="2"/>
  <c r="Y463" i="2"/>
  <c r="W463" i="2"/>
  <c r="U463" i="2"/>
  <c r="T463" i="2"/>
  <c r="S463" i="2"/>
  <c r="O463" i="2"/>
  <c r="N463" i="2"/>
  <c r="M463" i="2"/>
  <c r="L463" i="2"/>
  <c r="K463" i="2"/>
  <c r="E463" i="2"/>
  <c r="D463" i="2"/>
  <c r="C463" i="2"/>
  <c r="AD462" i="2"/>
  <c r="AC462" i="2"/>
  <c r="Y462" i="2"/>
  <c r="W462" i="2"/>
  <c r="U462" i="2"/>
  <c r="T462" i="2"/>
  <c r="S462" i="2"/>
  <c r="O462" i="2"/>
  <c r="N462" i="2"/>
  <c r="M462" i="2"/>
  <c r="L462" i="2"/>
  <c r="K462" i="2"/>
  <c r="E462" i="2"/>
  <c r="D462" i="2"/>
  <c r="C462" i="2"/>
  <c r="AD461" i="2"/>
  <c r="AC461" i="2"/>
  <c r="Y461" i="2"/>
  <c r="W461" i="2"/>
  <c r="U461" i="2"/>
  <c r="T461" i="2"/>
  <c r="S461" i="2"/>
  <c r="R461" i="2"/>
  <c r="O461" i="2"/>
  <c r="N461" i="2"/>
  <c r="M461" i="2"/>
  <c r="L461" i="2"/>
  <c r="K461" i="2"/>
  <c r="E461" i="2"/>
  <c r="D461" i="2"/>
  <c r="C461" i="2"/>
  <c r="AD460" i="2"/>
  <c r="AC460" i="2"/>
  <c r="Z460" i="2"/>
  <c r="Y460" i="2"/>
  <c r="W460" i="2"/>
  <c r="U460" i="2"/>
  <c r="T460" i="2"/>
  <c r="S460" i="2"/>
  <c r="R460" i="2"/>
  <c r="Q460" i="2"/>
  <c r="O460" i="2"/>
  <c r="N460" i="2"/>
  <c r="M460" i="2"/>
  <c r="L460" i="2"/>
  <c r="K460" i="2"/>
  <c r="E460" i="2"/>
  <c r="D460" i="2"/>
  <c r="C460" i="2"/>
  <c r="AD459" i="2"/>
  <c r="AC459" i="2"/>
  <c r="Z459" i="2"/>
  <c r="Y459" i="2"/>
  <c r="W459" i="2"/>
  <c r="V459" i="2"/>
  <c r="U459" i="2"/>
  <c r="T459" i="2"/>
  <c r="S459" i="2"/>
  <c r="R459" i="2"/>
  <c r="Q459" i="2"/>
  <c r="O459" i="2"/>
  <c r="N459" i="2"/>
  <c r="M459" i="2"/>
  <c r="L459" i="2"/>
  <c r="K459" i="2"/>
  <c r="E459" i="2"/>
  <c r="D459" i="2"/>
  <c r="C459" i="2"/>
  <c r="AD458" i="2"/>
  <c r="AC458" i="2"/>
  <c r="Z458" i="2"/>
  <c r="Y458" i="2"/>
  <c r="W458" i="2"/>
  <c r="V458" i="2"/>
  <c r="U458" i="2"/>
  <c r="T458" i="2"/>
  <c r="S458" i="2"/>
  <c r="R458" i="2"/>
  <c r="Q458" i="2"/>
  <c r="O458" i="2"/>
  <c r="N458" i="2"/>
  <c r="M458" i="2"/>
  <c r="L458" i="2"/>
  <c r="K458" i="2"/>
  <c r="E458" i="2"/>
  <c r="D458" i="2"/>
  <c r="C458" i="2"/>
  <c r="AD457" i="2"/>
  <c r="AC457" i="2"/>
  <c r="Z457" i="2"/>
  <c r="Y457" i="2"/>
  <c r="W457" i="2"/>
  <c r="V457" i="2"/>
  <c r="U457" i="2"/>
  <c r="T457" i="2"/>
  <c r="S457" i="2"/>
  <c r="R457" i="2"/>
  <c r="Q457" i="2"/>
  <c r="O457" i="2"/>
  <c r="N457" i="2"/>
  <c r="M457" i="2"/>
  <c r="L457" i="2"/>
  <c r="K457" i="2"/>
  <c r="E457" i="2"/>
  <c r="D457" i="2"/>
  <c r="C457" i="2"/>
  <c r="AD456" i="2"/>
  <c r="AC456" i="2"/>
  <c r="Z456" i="2"/>
  <c r="Y456" i="2"/>
  <c r="W456" i="2"/>
  <c r="V456" i="2"/>
  <c r="U456" i="2"/>
  <c r="T456" i="2"/>
  <c r="S456" i="2"/>
  <c r="R456" i="2"/>
  <c r="Q456" i="2"/>
  <c r="O456" i="2"/>
  <c r="N456" i="2"/>
  <c r="M456" i="2"/>
  <c r="L456" i="2"/>
  <c r="K456" i="2"/>
  <c r="E456" i="2"/>
  <c r="D456" i="2"/>
  <c r="C456" i="2"/>
  <c r="AD455" i="2"/>
  <c r="AC455" i="2"/>
  <c r="Z455" i="2"/>
  <c r="Y455" i="2"/>
  <c r="W455" i="2"/>
  <c r="V455" i="2"/>
  <c r="U455" i="2"/>
  <c r="T455" i="2"/>
  <c r="S455" i="2"/>
  <c r="R455" i="2"/>
  <c r="Q455" i="2"/>
  <c r="O455" i="2"/>
  <c r="N455" i="2"/>
  <c r="M455" i="2"/>
  <c r="L455" i="2"/>
  <c r="K455" i="2"/>
  <c r="E455" i="2"/>
  <c r="D455" i="2"/>
  <c r="C455" i="2"/>
  <c r="AD454" i="2"/>
  <c r="AC454" i="2"/>
  <c r="Z454" i="2"/>
  <c r="Y454" i="2"/>
  <c r="W454" i="2"/>
  <c r="V454" i="2"/>
  <c r="U454" i="2"/>
  <c r="T454" i="2"/>
  <c r="S454" i="2"/>
  <c r="R454" i="2"/>
  <c r="Q454" i="2"/>
  <c r="O454" i="2"/>
  <c r="N454" i="2"/>
  <c r="M454" i="2"/>
  <c r="L454" i="2"/>
  <c r="K454" i="2"/>
  <c r="E454" i="2"/>
  <c r="D454" i="2"/>
  <c r="C454" i="2"/>
  <c r="AD453" i="2"/>
  <c r="AC453" i="2"/>
  <c r="Z453" i="2"/>
  <c r="Y453" i="2"/>
  <c r="W453" i="2"/>
  <c r="V453" i="2"/>
  <c r="U453" i="2"/>
  <c r="T453" i="2"/>
  <c r="S453" i="2"/>
  <c r="R453" i="2"/>
  <c r="Q453" i="2"/>
  <c r="O453" i="2"/>
  <c r="N453" i="2"/>
  <c r="M453" i="2"/>
  <c r="L453" i="2"/>
  <c r="K453" i="2"/>
  <c r="E453" i="2"/>
  <c r="D453" i="2"/>
  <c r="C453" i="2"/>
  <c r="AD452" i="2"/>
  <c r="AC452" i="2"/>
  <c r="Z452" i="2"/>
  <c r="Y452" i="2"/>
  <c r="W452" i="2"/>
  <c r="V452" i="2"/>
  <c r="U452" i="2"/>
  <c r="T452" i="2"/>
  <c r="S452" i="2"/>
  <c r="R452" i="2"/>
  <c r="Q452" i="2"/>
  <c r="O452" i="2"/>
  <c r="N452" i="2"/>
  <c r="M452" i="2"/>
  <c r="L452" i="2"/>
  <c r="K452" i="2"/>
  <c r="E452" i="2"/>
  <c r="D452" i="2"/>
  <c r="C452" i="2"/>
  <c r="AD451" i="2"/>
  <c r="AC451" i="2"/>
  <c r="AB451" i="2"/>
  <c r="Z451" i="2"/>
  <c r="Y451" i="2"/>
  <c r="W451" i="2"/>
  <c r="V451" i="2"/>
  <c r="U451" i="2"/>
  <c r="T451" i="2"/>
  <c r="S451" i="2"/>
  <c r="R451" i="2"/>
  <c r="Q451" i="2"/>
  <c r="O451" i="2"/>
  <c r="N451" i="2"/>
  <c r="M451" i="2"/>
  <c r="L451" i="2"/>
  <c r="K451" i="2"/>
  <c r="E451" i="2"/>
  <c r="D451" i="2"/>
  <c r="C451" i="2"/>
  <c r="AD450" i="2"/>
  <c r="AC450" i="2"/>
  <c r="AB450" i="2"/>
  <c r="Z450" i="2"/>
  <c r="Y450" i="2"/>
  <c r="W450" i="2"/>
  <c r="V450" i="2"/>
  <c r="U450" i="2"/>
  <c r="T450" i="2"/>
  <c r="S450" i="2"/>
  <c r="R450" i="2"/>
  <c r="Q450" i="2"/>
  <c r="O450" i="2"/>
  <c r="N450" i="2"/>
  <c r="M450" i="2"/>
  <c r="L450" i="2"/>
  <c r="K450" i="2"/>
  <c r="E450" i="2"/>
  <c r="D450" i="2"/>
  <c r="C450" i="2"/>
  <c r="AD449" i="2"/>
  <c r="AC449" i="2"/>
  <c r="AB449" i="2"/>
  <c r="AA449" i="2"/>
  <c r="Z449" i="2"/>
  <c r="Y449" i="2"/>
  <c r="W449" i="2"/>
  <c r="V449" i="2"/>
  <c r="U449" i="2"/>
  <c r="T449" i="2"/>
  <c r="S449" i="2"/>
  <c r="R449" i="2"/>
  <c r="Q449" i="2"/>
  <c r="O449" i="2"/>
  <c r="N449" i="2"/>
  <c r="M449" i="2"/>
  <c r="L449" i="2"/>
  <c r="K449" i="2"/>
  <c r="E449" i="2"/>
  <c r="D449" i="2"/>
  <c r="C449" i="2"/>
  <c r="AD448" i="2"/>
  <c r="AC448" i="2"/>
  <c r="AB448" i="2"/>
  <c r="AA448" i="2"/>
  <c r="Z448" i="2"/>
  <c r="Y448" i="2"/>
  <c r="W448" i="2"/>
  <c r="V448" i="2"/>
  <c r="U448" i="2"/>
  <c r="T448" i="2"/>
  <c r="S448" i="2"/>
  <c r="R448" i="2"/>
  <c r="Q448" i="2"/>
  <c r="O448" i="2"/>
  <c r="N448" i="2"/>
  <c r="M448" i="2"/>
  <c r="L448" i="2"/>
  <c r="K448" i="2"/>
  <c r="E448" i="2"/>
  <c r="D448" i="2"/>
  <c r="C448" i="2"/>
  <c r="AD447" i="2"/>
  <c r="AC447" i="2"/>
  <c r="AB447" i="2"/>
  <c r="AA447" i="2"/>
  <c r="Z447" i="2"/>
  <c r="Y447" i="2"/>
  <c r="W447" i="2"/>
  <c r="V447" i="2"/>
  <c r="U447" i="2"/>
  <c r="T447" i="2"/>
  <c r="S447" i="2"/>
  <c r="R447" i="2"/>
  <c r="Q447" i="2"/>
  <c r="O447" i="2"/>
  <c r="N447" i="2"/>
  <c r="M447" i="2"/>
  <c r="L447" i="2"/>
  <c r="K447" i="2"/>
  <c r="E447" i="2"/>
  <c r="D447" i="2"/>
  <c r="C447" i="2"/>
  <c r="AD446" i="2"/>
  <c r="AC446" i="2"/>
  <c r="AB446" i="2"/>
  <c r="AA446" i="2"/>
  <c r="Z446" i="2"/>
  <c r="Y446" i="2"/>
  <c r="W446" i="2"/>
  <c r="V446" i="2"/>
  <c r="U446" i="2"/>
  <c r="T446" i="2"/>
  <c r="S446" i="2"/>
  <c r="R446" i="2"/>
  <c r="Q446" i="2"/>
  <c r="O446" i="2"/>
  <c r="N446" i="2"/>
  <c r="M446" i="2"/>
  <c r="L446" i="2"/>
  <c r="K446" i="2"/>
  <c r="E446" i="2"/>
  <c r="D446" i="2"/>
  <c r="C446" i="2"/>
  <c r="AD445" i="2"/>
  <c r="AC445" i="2"/>
  <c r="AB445" i="2"/>
  <c r="AA445" i="2"/>
  <c r="Z445" i="2"/>
  <c r="Y445" i="2"/>
  <c r="W445" i="2"/>
  <c r="V445" i="2"/>
  <c r="U445" i="2"/>
  <c r="T445" i="2"/>
  <c r="S445" i="2"/>
  <c r="R445" i="2"/>
  <c r="Q445" i="2"/>
  <c r="O445" i="2"/>
  <c r="N445" i="2"/>
  <c r="M445" i="2"/>
  <c r="L445" i="2"/>
  <c r="K445" i="2"/>
  <c r="E445" i="2"/>
  <c r="D445" i="2"/>
  <c r="C445" i="2"/>
  <c r="AD444" i="2"/>
  <c r="AC444" i="2"/>
  <c r="AB444" i="2"/>
  <c r="AA444" i="2"/>
  <c r="Z444" i="2"/>
  <c r="Y444" i="2"/>
  <c r="W444" i="2"/>
  <c r="V444" i="2"/>
  <c r="U444" i="2"/>
  <c r="T444" i="2"/>
  <c r="S444" i="2"/>
  <c r="R444" i="2"/>
  <c r="Q444" i="2"/>
  <c r="O444" i="2"/>
  <c r="N444" i="2"/>
  <c r="M444" i="2"/>
  <c r="L444" i="2"/>
  <c r="K444" i="2"/>
  <c r="E444" i="2"/>
  <c r="D444" i="2"/>
  <c r="C444" i="2"/>
  <c r="AD443" i="2"/>
  <c r="AC443" i="2"/>
  <c r="AB443" i="2"/>
  <c r="AA443" i="2"/>
  <c r="Z443" i="2"/>
  <c r="Y443" i="2"/>
  <c r="W443" i="2"/>
  <c r="V443" i="2"/>
  <c r="U443" i="2"/>
  <c r="T443" i="2"/>
  <c r="S443" i="2"/>
  <c r="R443" i="2"/>
  <c r="Q443" i="2"/>
  <c r="O443" i="2"/>
  <c r="N443" i="2"/>
  <c r="M443" i="2"/>
  <c r="L443" i="2"/>
  <c r="K443" i="2"/>
  <c r="E443" i="2"/>
  <c r="D443" i="2"/>
  <c r="C443" i="2"/>
  <c r="AD442" i="2"/>
  <c r="AC442" i="2"/>
  <c r="AB442" i="2"/>
  <c r="AA442" i="2"/>
  <c r="Z442" i="2"/>
  <c r="Y442" i="2"/>
  <c r="W442" i="2"/>
  <c r="V442" i="2"/>
  <c r="U442" i="2"/>
  <c r="T442" i="2"/>
  <c r="S442" i="2"/>
  <c r="R442" i="2"/>
  <c r="Q442" i="2"/>
  <c r="O442" i="2"/>
  <c r="N442" i="2"/>
  <c r="M442" i="2"/>
  <c r="L442" i="2"/>
  <c r="K442" i="2"/>
  <c r="E442" i="2"/>
  <c r="D442" i="2"/>
  <c r="C442" i="2"/>
  <c r="AD441" i="2"/>
  <c r="AC441" i="2"/>
  <c r="AB441" i="2"/>
  <c r="AA441" i="2"/>
  <c r="Z441" i="2"/>
  <c r="Y441" i="2"/>
  <c r="W441" i="2"/>
  <c r="V441" i="2"/>
  <c r="U441" i="2"/>
  <c r="T441" i="2"/>
  <c r="S441" i="2"/>
  <c r="R441" i="2"/>
  <c r="Q441" i="2"/>
  <c r="O441" i="2"/>
  <c r="N441" i="2"/>
  <c r="M441" i="2"/>
  <c r="L441" i="2"/>
  <c r="K441" i="2"/>
  <c r="E441" i="2"/>
  <c r="D441" i="2"/>
  <c r="C441" i="2"/>
  <c r="AD440" i="2"/>
  <c r="AC440" i="2"/>
  <c r="AB440" i="2"/>
  <c r="AA440" i="2"/>
  <c r="Z440" i="2"/>
  <c r="Y440" i="2"/>
  <c r="W440" i="2"/>
  <c r="V440" i="2"/>
  <c r="U440" i="2"/>
  <c r="T440" i="2"/>
  <c r="S440" i="2"/>
  <c r="R440" i="2"/>
  <c r="Q440" i="2"/>
  <c r="O440" i="2"/>
  <c r="N440" i="2"/>
  <c r="M440" i="2"/>
  <c r="L440" i="2"/>
  <c r="K440" i="2"/>
  <c r="E440" i="2"/>
  <c r="D440" i="2"/>
  <c r="C440" i="2"/>
  <c r="AD439" i="2"/>
  <c r="AC439" i="2"/>
  <c r="AB439" i="2"/>
  <c r="AA439" i="2"/>
  <c r="Z439" i="2"/>
  <c r="Y439" i="2"/>
  <c r="W439" i="2"/>
  <c r="V439" i="2"/>
  <c r="U439" i="2"/>
  <c r="T439" i="2"/>
  <c r="S439" i="2"/>
  <c r="R439" i="2"/>
  <c r="Q439" i="2"/>
  <c r="O439" i="2"/>
  <c r="N439" i="2"/>
  <c r="M439" i="2"/>
  <c r="L439" i="2"/>
  <c r="K439" i="2"/>
  <c r="E439" i="2"/>
  <c r="D439" i="2"/>
  <c r="C439" i="2"/>
  <c r="AD438" i="2"/>
  <c r="AC438" i="2"/>
  <c r="AB438" i="2"/>
  <c r="AA438" i="2"/>
  <c r="Z438" i="2"/>
  <c r="Y438" i="2"/>
  <c r="W438" i="2"/>
  <c r="V438" i="2"/>
  <c r="U438" i="2"/>
  <c r="T438" i="2"/>
  <c r="S438" i="2"/>
  <c r="R438" i="2"/>
  <c r="Q438" i="2"/>
  <c r="O438" i="2"/>
  <c r="N438" i="2"/>
  <c r="M438" i="2"/>
  <c r="L438" i="2"/>
  <c r="K438" i="2"/>
  <c r="E438" i="2"/>
  <c r="D438" i="2"/>
  <c r="C438" i="2"/>
  <c r="AD437" i="2"/>
  <c r="AC437" i="2"/>
  <c r="AB437" i="2"/>
  <c r="AA437" i="2"/>
  <c r="Z437" i="2"/>
  <c r="Y437" i="2"/>
  <c r="W437" i="2"/>
  <c r="V437" i="2"/>
  <c r="U437" i="2"/>
  <c r="T437" i="2"/>
  <c r="S437" i="2"/>
  <c r="R437" i="2"/>
  <c r="Q437" i="2"/>
  <c r="O437" i="2"/>
  <c r="N437" i="2"/>
  <c r="M437" i="2"/>
  <c r="L437" i="2"/>
  <c r="K437" i="2"/>
  <c r="E437" i="2"/>
  <c r="D437" i="2"/>
  <c r="C437" i="2"/>
  <c r="AD436" i="2"/>
  <c r="AC436" i="2"/>
  <c r="AB436" i="2"/>
  <c r="AA436" i="2"/>
  <c r="Z436" i="2"/>
  <c r="Y436" i="2"/>
  <c r="W436" i="2"/>
  <c r="V436" i="2"/>
  <c r="U436" i="2"/>
  <c r="T436" i="2"/>
  <c r="S436" i="2"/>
  <c r="R436" i="2"/>
  <c r="Q436" i="2"/>
  <c r="O436" i="2"/>
  <c r="N436" i="2"/>
  <c r="M436" i="2"/>
  <c r="L436" i="2"/>
  <c r="K436" i="2"/>
  <c r="E436" i="2"/>
  <c r="D436" i="2"/>
  <c r="C436" i="2"/>
  <c r="AD435" i="2"/>
  <c r="AC435" i="2"/>
  <c r="AB435" i="2"/>
  <c r="AA435" i="2"/>
  <c r="Z435" i="2"/>
  <c r="Y435" i="2"/>
  <c r="W435" i="2"/>
  <c r="V435" i="2"/>
  <c r="U435" i="2"/>
  <c r="T435" i="2"/>
  <c r="S435" i="2"/>
  <c r="R435" i="2"/>
  <c r="Q435" i="2"/>
  <c r="O435" i="2"/>
  <c r="N435" i="2"/>
  <c r="M435" i="2"/>
  <c r="L435" i="2"/>
  <c r="K435" i="2"/>
  <c r="E435" i="2"/>
  <c r="D435" i="2"/>
  <c r="C435" i="2"/>
  <c r="AD434" i="2"/>
  <c r="AC434" i="2"/>
  <c r="AB434" i="2"/>
  <c r="AA434" i="2"/>
  <c r="Z434" i="2"/>
  <c r="Y434" i="2"/>
  <c r="W434" i="2"/>
  <c r="V434" i="2"/>
  <c r="U434" i="2"/>
  <c r="T434" i="2"/>
  <c r="S434" i="2"/>
  <c r="R434" i="2"/>
  <c r="Q434" i="2"/>
  <c r="O434" i="2"/>
  <c r="N434" i="2"/>
  <c r="M434" i="2"/>
  <c r="L434" i="2"/>
  <c r="K434" i="2"/>
  <c r="E434" i="2"/>
  <c r="D434" i="2"/>
  <c r="C434" i="2"/>
  <c r="AD433" i="2"/>
  <c r="AC433" i="2"/>
  <c r="AB433" i="2"/>
  <c r="AA433" i="2"/>
  <c r="Z433" i="2"/>
  <c r="Y433" i="2"/>
  <c r="W433" i="2"/>
  <c r="V433" i="2"/>
  <c r="U433" i="2"/>
  <c r="T433" i="2"/>
  <c r="S433" i="2"/>
  <c r="R433" i="2"/>
  <c r="Q433" i="2"/>
  <c r="O433" i="2"/>
  <c r="N433" i="2"/>
  <c r="M433" i="2"/>
  <c r="L433" i="2"/>
  <c r="K433" i="2"/>
  <c r="E433" i="2"/>
  <c r="D433" i="2"/>
  <c r="C433" i="2"/>
  <c r="AD432" i="2"/>
  <c r="AC432" i="2"/>
  <c r="AB432" i="2"/>
  <c r="AA432" i="2"/>
  <c r="Z432" i="2"/>
  <c r="Y432" i="2"/>
  <c r="W432" i="2"/>
  <c r="V432" i="2"/>
  <c r="U432" i="2"/>
  <c r="T432" i="2"/>
  <c r="S432" i="2"/>
  <c r="R432" i="2"/>
  <c r="Q432" i="2"/>
  <c r="O432" i="2"/>
  <c r="N432" i="2"/>
  <c r="M432" i="2"/>
  <c r="L432" i="2"/>
  <c r="K432" i="2"/>
  <c r="E432" i="2"/>
  <c r="D432" i="2"/>
  <c r="C432" i="2"/>
  <c r="AD431" i="2"/>
  <c r="AC431" i="2"/>
  <c r="AB431" i="2"/>
  <c r="AA431" i="2"/>
  <c r="Z431" i="2"/>
  <c r="Y431" i="2"/>
  <c r="W431" i="2"/>
  <c r="V431" i="2"/>
  <c r="U431" i="2"/>
  <c r="T431" i="2"/>
  <c r="S431" i="2"/>
  <c r="R431" i="2"/>
  <c r="Q431" i="2"/>
  <c r="O431" i="2"/>
  <c r="N431" i="2"/>
  <c r="M431" i="2"/>
  <c r="L431" i="2"/>
  <c r="K431" i="2"/>
  <c r="E431" i="2"/>
  <c r="D431" i="2"/>
  <c r="C431" i="2"/>
  <c r="AD430" i="2"/>
  <c r="AC430" i="2"/>
  <c r="AB430" i="2"/>
  <c r="AA430" i="2"/>
  <c r="Z430" i="2"/>
  <c r="Y430" i="2"/>
  <c r="W430" i="2"/>
  <c r="V430" i="2"/>
  <c r="U430" i="2"/>
  <c r="T430" i="2"/>
  <c r="S430" i="2"/>
  <c r="R430" i="2"/>
  <c r="Q430" i="2"/>
  <c r="O430" i="2"/>
  <c r="N430" i="2"/>
  <c r="M430" i="2"/>
  <c r="L430" i="2"/>
  <c r="K430" i="2"/>
  <c r="E430" i="2"/>
  <c r="D430" i="2"/>
  <c r="C430" i="2"/>
  <c r="AD429" i="2"/>
  <c r="AC429" i="2"/>
  <c r="AB429" i="2"/>
  <c r="AA429" i="2"/>
  <c r="Z429" i="2"/>
  <c r="Y429" i="2"/>
  <c r="W429" i="2"/>
  <c r="V429" i="2"/>
  <c r="U429" i="2"/>
  <c r="T429" i="2"/>
  <c r="S429" i="2"/>
  <c r="R429" i="2"/>
  <c r="Q429" i="2"/>
  <c r="O429" i="2"/>
  <c r="N429" i="2"/>
  <c r="M429" i="2"/>
  <c r="L429" i="2"/>
  <c r="K429" i="2"/>
  <c r="E429" i="2"/>
  <c r="D429" i="2"/>
  <c r="C429" i="2"/>
  <c r="AD428" i="2"/>
  <c r="AC428" i="2"/>
  <c r="AB428" i="2"/>
  <c r="AA428" i="2"/>
  <c r="Z428" i="2"/>
  <c r="Y428" i="2"/>
  <c r="W428" i="2"/>
  <c r="V428" i="2"/>
  <c r="U428" i="2"/>
  <c r="T428" i="2"/>
  <c r="S428" i="2"/>
  <c r="R428" i="2"/>
  <c r="Q428" i="2"/>
  <c r="O428" i="2"/>
  <c r="N428" i="2"/>
  <c r="M428" i="2"/>
  <c r="L428" i="2"/>
  <c r="K428" i="2"/>
  <c r="E428" i="2"/>
  <c r="D428" i="2"/>
  <c r="C428" i="2"/>
  <c r="AD427" i="2"/>
  <c r="AA427" i="2"/>
  <c r="Z427" i="2"/>
  <c r="V427" i="2"/>
  <c r="U427" i="2"/>
  <c r="T427" i="2"/>
  <c r="Q427" i="2"/>
  <c r="N427" i="2"/>
  <c r="M427" i="2"/>
  <c r="L427" i="2"/>
  <c r="K427" i="2"/>
  <c r="E427" i="2"/>
  <c r="D427" i="2"/>
  <c r="C427" i="2"/>
  <c r="AD426" i="2"/>
  <c r="AA426" i="2"/>
  <c r="Z426" i="2"/>
  <c r="V426" i="2"/>
  <c r="U426" i="2"/>
  <c r="T426" i="2"/>
  <c r="Q426" i="2"/>
  <c r="N426" i="2"/>
  <c r="M426" i="2"/>
  <c r="L426" i="2"/>
  <c r="K426" i="2"/>
  <c r="E426" i="2"/>
  <c r="D426" i="2"/>
  <c r="C426" i="2"/>
  <c r="AD425" i="2"/>
  <c r="AA425" i="2"/>
  <c r="Z425" i="2"/>
  <c r="V425" i="2"/>
  <c r="U425" i="2"/>
  <c r="T425" i="2"/>
  <c r="Q425" i="2"/>
  <c r="N425" i="2"/>
  <c r="M425" i="2"/>
  <c r="L425" i="2"/>
  <c r="K425" i="2"/>
  <c r="E425" i="2"/>
  <c r="D425" i="2"/>
  <c r="C425" i="2"/>
  <c r="AD424" i="2"/>
  <c r="AA424" i="2"/>
  <c r="Z424" i="2"/>
  <c r="Y424" i="2"/>
  <c r="V424" i="2"/>
  <c r="U424" i="2"/>
  <c r="T424" i="2"/>
  <c r="Q424" i="2"/>
  <c r="N424" i="2"/>
  <c r="M424" i="2"/>
  <c r="L424" i="2"/>
  <c r="K424" i="2"/>
  <c r="E424" i="2"/>
  <c r="D424" i="2"/>
  <c r="C424" i="2"/>
  <c r="AD423" i="2"/>
  <c r="AA423" i="2"/>
  <c r="Z423" i="2"/>
  <c r="Y423" i="2"/>
  <c r="V423" i="2"/>
  <c r="U423" i="2"/>
  <c r="T423" i="2"/>
  <c r="Q423" i="2"/>
  <c r="N423" i="2"/>
  <c r="M423" i="2"/>
  <c r="L423" i="2"/>
  <c r="K423" i="2"/>
  <c r="E423" i="2"/>
  <c r="D423" i="2"/>
  <c r="C423" i="2"/>
  <c r="AD422" i="2"/>
  <c r="AA422" i="2"/>
  <c r="Z422" i="2"/>
  <c r="Y422" i="2"/>
  <c r="V422" i="2"/>
  <c r="U422" i="2"/>
  <c r="T422" i="2"/>
  <c r="Q422" i="2"/>
  <c r="N422" i="2"/>
  <c r="M422" i="2"/>
  <c r="L422" i="2"/>
  <c r="K422" i="2"/>
  <c r="E422" i="2"/>
  <c r="D422" i="2"/>
  <c r="C422" i="2"/>
  <c r="AD421" i="2"/>
  <c r="AA421" i="2"/>
  <c r="Z421" i="2"/>
  <c r="Y421" i="2"/>
  <c r="V421" i="2"/>
  <c r="U421" i="2"/>
  <c r="T421" i="2"/>
  <c r="Q421" i="2"/>
  <c r="N421" i="2"/>
  <c r="M421" i="2"/>
  <c r="L421" i="2"/>
  <c r="K421" i="2"/>
  <c r="E421" i="2"/>
  <c r="D421" i="2"/>
  <c r="C421" i="2"/>
  <c r="AD420" i="2"/>
  <c r="AA420" i="2"/>
  <c r="Z420" i="2"/>
  <c r="Y420" i="2"/>
  <c r="V420" i="2"/>
  <c r="U420" i="2"/>
  <c r="T420" i="2"/>
  <c r="Q420" i="2"/>
  <c r="N420" i="2"/>
  <c r="M420" i="2"/>
  <c r="L420" i="2"/>
  <c r="K420" i="2"/>
  <c r="E420" i="2"/>
  <c r="D420" i="2"/>
  <c r="C420" i="2"/>
  <c r="AD419" i="2"/>
  <c r="AA419" i="2"/>
  <c r="Z419" i="2"/>
  <c r="Y419" i="2"/>
  <c r="V419" i="2"/>
  <c r="U419" i="2"/>
  <c r="T419" i="2"/>
  <c r="Q419" i="2"/>
  <c r="N419" i="2"/>
  <c r="M419" i="2"/>
  <c r="L419" i="2"/>
  <c r="K419" i="2"/>
  <c r="E419" i="2"/>
  <c r="D419" i="2"/>
  <c r="C419" i="2"/>
  <c r="AD418" i="2"/>
  <c r="AA418" i="2"/>
  <c r="Z418" i="2"/>
  <c r="Y418" i="2"/>
  <c r="V418" i="2"/>
  <c r="U418" i="2"/>
  <c r="T418" i="2"/>
  <c r="Q418" i="2"/>
  <c r="N418" i="2"/>
  <c r="M418" i="2"/>
  <c r="L418" i="2"/>
  <c r="K418" i="2"/>
  <c r="E418" i="2"/>
  <c r="D418" i="2"/>
  <c r="C418" i="2"/>
  <c r="AD417" i="2"/>
  <c r="AA417" i="2"/>
  <c r="Z417" i="2"/>
  <c r="Y417" i="2"/>
  <c r="V417" i="2"/>
  <c r="U417" i="2"/>
  <c r="T417" i="2"/>
  <c r="R417" i="2"/>
  <c r="Q417" i="2"/>
  <c r="N417" i="2"/>
  <c r="M417" i="2"/>
  <c r="L417" i="2"/>
  <c r="K417" i="2"/>
  <c r="E417" i="2"/>
  <c r="D417" i="2"/>
  <c r="C417" i="2"/>
  <c r="AD416" i="2"/>
  <c r="AA416" i="2"/>
  <c r="Z416" i="2"/>
  <c r="Y416" i="2"/>
  <c r="V416" i="2"/>
  <c r="U416" i="2"/>
  <c r="T416" i="2"/>
  <c r="R416" i="2"/>
  <c r="Q416" i="2"/>
  <c r="N416" i="2"/>
  <c r="M416" i="2"/>
  <c r="L416" i="2"/>
  <c r="K416" i="2"/>
  <c r="E416" i="2"/>
  <c r="D416" i="2"/>
  <c r="C416" i="2"/>
  <c r="AD415" i="2"/>
  <c r="AA415" i="2"/>
  <c r="Z415" i="2"/>
  <c r="Y415" i="2"/>
  <c r="V415" i="2"/>
  <c r="U415" i="2"/>
  <c r="T415" i="2"/>
  <c r="R415" i="2"/>
  <c r="Q415" i="2"/>
  <c r="N415" i="2"/>
  <c r="M415" i="2"/>
  <c r="L415" i="2"/>
  <c r="K415" i="2"/>
  <c r="E415" i="2"/>
  <c r="D415" i="2"/>
  <c r="C415" i="2"/>
  <c r="AD414" i="2"/>
  <c r="AA414" i="2"/>
  <c r="Z414" i="2"/>
  <c r="Y414" i="2"/>
  <c r="V414" i="2"/>
  <c r="U414" i="2"/>
  <c r="T414" i="2"/>
  <c r="R414" i="2"/>
  <c r="Q414" i="2"/>
  <c r="N414" i="2"/>
  <c r="M414" i="2"/>
  <c r="L414" i="2"/>
  <c r="K414" i="2"/>
  <c r="E414" i="2"/>
  <c r="D414" i="2"/>
  <c r="C414" i="2"/>
  <c r="AD413" i="2"/>
  <c r="AA413" i="2"/>
  <c r="Z413" i="2"/>
  <c r="Y413" i="2"/>
  <c r="V413" i="2"/>
  <c r="U413" i="2"/>
  <c r="T413" i="2"/>
  <c r="R413" i="2"/>
  <c r="Q413" i="2"/>
  <c r="N413" i="2"/>
  <c r="M413" i="2"/>
  <c r="L413" i="2"/>
  <c r="K413" i="2"/>
  <c r="E413" i="2"/>
  <c r="D413" i="2"/>
  <c r="C413" i="2"/>
  <c r="AD412" i="2"/>
  <c r="AA412" i="2"/>
  <c r="Z412" i="2"/>
  <c r="Y412" i="2"/>
  <c r="V412" i="2"/>
  <c r="U412" i="2"/>
  <c r="T412" i="2"/>
  <c r="R412" i="2"/>
  <c r="Q412" i="2"/>
  <c r="O412" i="2"/>
  <c r="N412" i="2"/>
  <c r="M412" i="2"/>
  <c r="L412" i="2"/>
  <c r="K412" i="2"/>
  <c r="E412" i="2"/>
  <c r="D412" i="2"/>
  <c r="C412" i="2"/>
  <c r="AD411" i="2"/>
  <c r="AC411" i="2"/>
  <c r="AA411" i="2"/>
  <c r="Z411" i="2"/>
  <c r="Y411" i="2"/>
  <c r="V411" i="2"/>
  <c r="U411" i="2"/>
  <c r="T411" i="2"/>
  <c r="R411" i="2"/>
  <c r="Q411" i="2"/>
  <c r="O411" i="2"/>
  <c r="N411" i="2"/>
  <c r="M411" i="2"/>
  <c r="L411" i="2"/>
  <c r="K411" i="2"/>
  <c r="E411" i="2"/>
  <c r="D411" i="2"/>
  <c r="C411" i="2"/>
  <c r="AD410" i="2"/>
  <c r="AC410" i="2"/>
  <c r="AA410" i="2"/>
  <c r="Z410" i="2"/>
  <c r="Y410" i="2"/>
  <c r="V410" i="2"/>
  <c r="U410" i="2"/>
  <c r="T410" i="2"/>
  <c r="R410" i="2"/>
  <c r="Q410" i="2"/>
  <c r="O410" i="2"/>
  <c r="N410" i="2"/>
  <c r="M410" i="2"/>
  <c r="L410" i="2"/>
  <c r="K410" i="2"/>
  <c r="E410" i="2"/>
  <c r="D410" i="2"/>
  <c r="C410" i="2"/>
  <c r="AD409" i="2"/>
  <c r="AC409" i="2"/>
  <c r="AA409" i="2"/>
  <c r="Z409" i="2"/>
  <c r="Y409" i="2"/>
  <c r="V409" i="2"/>
  <c r="U409" i="2"/>
  <c r="T409" i="2"/>
  <c r="R409" i="2"/>
  <c r="Q409" i="2"/>
  <c r="O409" i="2"/>
  <c r="N409" i="2"/>
  <c r="M409" i="2"/>
  <c r="L409" i="2"/>
  <c r="K409" i="2"/>
  <c r="E409" i="2"/>
  <c r="D409" i="2"/>
  <c r="C409" i="2"/>
  <c r="AD408" i="2"/>
  <c r="AC408" i="2"/>
  <c r="AA408" i="2"/>
  <c r="Z408" i="2"/>
  <c r="Y408" i="2"/>
  <c r="V408" i="2"/>
  <c r="U408" i="2"/>
  <c r="T408" i="2"/>
  <c r="R408" i="2"/>
  <c r="Q408" i="2"/>
  <c r="O408" i="2"/>
  <c r="N408" i="2"/>
  <c r="M408" i="2"/>
  <c r="L408" i="2"/>
  <c r="K408" i="2"/>
  <c r="E408" i="2"/>
  <c r="D408" i="2"/>
  <c r="C408" i="2"/>
  <c r="AD407" i="2"/>
  <c r="AC407" i="2"/>
  <c r="AA407" i="2"/>
  <c r="Z407" i="2"/>
  <c r="Y407" i="2"/>
  <c r="V407" i="2"/>
  <c r="U407" i="2"/>
  <c r="T407" i="2"/>
  <c r="R407" i="2"/>
  <c r="Q407" i="2"/>
  <c r="O407" i="2"/>
  <c r="N407" i="2"/>
  <c r="M407" i="2"/>
  <c r="L407" i="2"/>
  <c r="K407" i="2"/>
  <c r="E407" i="2"/>
  <c r="D407" i="2"/>
  <c r="C407" i="2"/>
  <c r="AD406" i="2"/>
  <c r="AC406" i="2"/>
  <c r="AA406" i="2"/>
  <c r="Z406" i="2"/>
  <c r="Y406" i="2"/>
  <c r="V406" i="2"/>
  <c r="U406" i="2"/>
  <c r="T406" i="2"/>
  <c r="R406" i="2"/>
  <c r="Q406" i="2"/>
  <c r="O406" i="2"/>
  <c r="N406" i="2"/>
  <c r="M406" i="2"/>
  <c r="L406" i="2"/>
  <c r="K406" i="2"/>
  <c r="E406" i="2"/>
  <c r="D406" i="2"/>
  <c r="C406" i="2"/>
  <c r="AD405" i="2"/>
  <c r="AC405" i="2"/>
  <c r="AA405" i="2"/>
  <c r="Z405" i="2"/>
  <c r="Y405" i="2"/>
  <c r="V405" i="2"/>
  <c r="U405" i="2"/>
  <c r="T405" i="2"/>
  <c r="R405" i="2"/>
  <c r="Q405" i="2"/>
  <c r="O405" i="2"/>
  <c r="N405" i="2"/>
  <c r="M405" i="2"/>
  <c r="L405" i="2"/>
  <c r="K405" i="2"/>
  <c r="E405" i="2"/>
  <c r="D405" i="2"/>
  <c r="C405" i="2"/>
  <c r="AD404" i="2"/>
  <c r="AC404" i="2"/>
  <c r="AA404" i="2"/>
  <c r="Z404" i="2"/>
  <c r="Y404" i="2"/>
  <c r="V404" i="2"/>
  <c r="U404" i="2"/>
  <c r="T404" i="2"/>
  <c r="R404" i="2"/>
  <c r="Q404" i="2"/>
  <c r="O404" i="2"/>
  <c r="N404" i="2"/>
  <c r="M404" i="2"/>
  <c r="L404" i="2"/>
  <c r="K404" i="2"/>
  <c r="E404" i="2"/>
  <c r="D404" i="2"/>
  <c r="C404" i="2"/>
  <c r="AD403" i="2"/>
  <c r="AC403" i="2"/>
  <c r="AA403" i="2"/>
  <c r="Z403" i="2"/>
  <c r="Y403" i="2"/>
  <c r="V403" i="2"/>
  <c r="U403" i="2"/>
  <c r="T403" i="2"/>
  <c r="R403" i="2"/>
  <c r="Q403" i="2"/>
  <c r="O403" i="2"/>
  <c r="N403" i="2"/>
  <c r="M403" i="2"/>
  <c r="L403" i="2"/>
  <c r="K403" i="2"/>
  <c r="E403" i="2"/>
  <c r="D403" i="2"/>
  <c r="C403" i="2"/>
  <c r="AD402" i="2"/>
  <c r="AC402" i="2"/>
  <c r="AA402" i="2"/>
  <c r="Z402" i="2"/>
  <c r="Y402" i="2"/>
  <c r="V402" i="2"/>
  <c r="U402" i="2"/>
  <c r="T402" i="2"/>
  <c r="R402" i="2"/>
  <c r="Q402" i="2"/>
  <c r="O402" i="2"/>
  <c r="N402" i="2"/>
  <c r="M402" i="2"/>
  <c r="L402" i="2"/>
  <c r="K402" i="2"/>
  <c r="E402" i="2"/>
  <c r="D402" i="2"/>
  <c r="C402" i="2"/>
  <c r="AD401" i="2"/>
  <c r="AC401" i="2"/>
  <c r="AA401" i="2"/>
  <c r="Z401" i="2"/>
  <c r="Y401" i="2"/>
  <c r="V401" i="2"/>
  <c r="U401" i="2"/>
  <c r="T401" i="2"/>
  <c r="R401" i="2"/>
  <c r="Q401" i="2"/>
  <c r="O401" i="2"/>
  <c r="N401" i="2"/>
  <c r="M401" i="2"/>
  <c r="L401" i="2"/>
  <c r="K401" i="2"/>
  <c r="E401" i="2"/>
  <c r="D401" i="2"/>
  <c r="C401" i="2"/>
  <c r="AD400" i="2"/>
  <c r="AC400" i="2"/>
  <c r="AA400" i="2"/>
  <c r="Z400" i="2"/>
  <c r="Y400" i="2"/>
  <c r="V400" i="2"/>
  <c r="U400" i="2"/>
  <c r="T400" i="2"/>
  <c r="R400" i="2"/>
  <c r="Q400" i="2"/>
  <c r="O400" i="2"/>
  <c r="N400" i="2"/>
  <c r="M400" i="2"/>
  <c r="L400" i="2"/>
  <c r="K400" i="2"/>
  <c r="E400" i="2"/>
  <c r="D400" i="2"/>
  <c r="C400" i="2"/>
  <c r="AD399" i="2"/>
  <c r="AC399" i="2"/>
  <c r="AA399" i="2"/>
  <c r="Z399" i="2"/>
  <c r="Y399" i="2"/>
  <c r="V399" i="2"/>
  <c r="U399" i="2"/>
  <c r="T399" i="2"/>
  <c r="R399" i="2"/>
  <c r="Q399" i="2"/>
  <c r="O399" i="2"/>
  <c r="N399" i="2"/>
  <c r="M399" i="2"/>
  <c r="L399" i="2"/>
  <c r="K399" i="2"/>
  <c r="E399" i="2"/>
  <c r="D399" i="2"/>
  <c r="C399" i="2"/>
  <c r="AD398" i="2"/>
  <c r="AC398" i="2"/>
  <c r="AA398" i="2"/>
  <c r="Z398" i="2"/>
  <c r="Y398" i="2"/>
  <c r="V398" i="2"/>
  <c r="U398" i="2"/>
  <c r="T398" i="2"/>
  <c r="R398" i="2"/>
  <c r="Q398" i="2"/>
  <c r="O398" i="2"/>
  <c r="N398" i="2"/>
  <c r="M398" i="2"/>
  <c r="L398" i="2"/>
  <c r="K398" i="2"/>
  <c r="E398" i="2"/>
  <c r="D398" i="2"/>
  <c r="C398" i="2"/>
  <c r="AD397" i="2"/>
  <c r="AC397" i="2"/>
  <c r="AA397" i="2"/>
  <c r="Z397" i="2"/>
  <c r="Y397" i="2"/>
  <c r="V397" i="2"/>
  <c r="U397" i="2"/>
  <c r="T397" i="2"/>
  <c r="R397" i="2"/>
  <c r="Q397" i="2"/>
  <c r="O397" i="2"/>
  <c r="N397" i="2"/>
  <c r="M397" i="2"/>
  <c r="L397" i="2"/>
  <c r="K397" i="2"/>
  <c r="E397" i="2"/>
  <c r="D397" i="2"/>
  <c r="C397" i="2"/>
  <c r="AD396" i="2"/>
  <c r="AC396" i="2"/>
  <c r="AA396" i="2"/>
  <c r="Z396" i="2"/>
  <c r="Y396" i="2"/>
  <c r="V396" i="2"/>
  <c r="U396" i="2"/>
  <c r="T396" i="2"/>
  <c r="R396" i="2"/>
  <c r="Q396" i="2"/>
  <c r="O396" i="2"/>
  <c r="N396" i="2"/>
  <c r="M396" i="2"/>
  <c r="L396" i="2"/>
  <c r="K396" i="2"/>
  <c r="E396" i="2"/>
  <c r="D396" i="2"/>
  <c r="C396" i="2"/>
  <c r="AD395" i="2"/>
  <c r="AC395" i="2"/>
  <c r="AA395" i="2"/>
  <c r="Z395" i="2"/>
  <c r="Y395" i="2"/>
  <c r="V395" i="2"/>
  <c r="U395" i="2"/>
  <c r="T395" i="2"/>
  <c r="R395" i="2"/>
  <c r="Q395" i="2"/>
  <c r="O395" i="2"/>
  <c r="N395" i="2"/>
  <c r="M395" i="2"/>
  <c r="L395" i="2"/>
  <c r="K395" i="2"/>
  <c r="E395" i="2"/>
  <c r="D395" i="2"/>
  <c r="C395" i="2"/>
  <c r="AD394" i="2"/>
  <c r="AC394" i="2"/>
  <c r="AA394" i="2"/>
  <c r="Z394" i="2"/>
  <c r="Y394" i="2"/>
  <c r="V394" i="2"/>
  <c r="U394" i="2"/>
  <c r="T394" i="2"/>
  <c r="R394" i="2"/>
  <c r="Q394" i="2"/>
  <c r="O394" i="2"/>
  <c r="N394" i="2"/>
  <c r="M394" i="2"/>
  <c r="L394" i="2"/>
  <c r="K394" i="2"/>
  <c r="E394" i="2"/>
  <c r="D394" i="2"/>
  <c r="C394" i="2"/>
  <c r="AD393" i="2"/>
  <c r="AC393" i="2"/>
  <c r="AA393" i="2"/>
  <c r="Z393" i="2"/>
  <c r="Y393" i="2"/>
  <c r="V393" i="2"/>
  <c r="U393" i="2"/>
  <c r="T393" i="2"/>
  <c r="R393" i="2"/>
  <c r="Q393" i="2"/>
  <c r="O393" i="2"/>
  <c r="N393" i="2"/>
  <c r="M393" i="2"/>
  <c r="L393" i="2"/>
  <c r="K393" i="2"/>
  <c r="E393" i="2"/>
  <c r="D393" i="2"/>
  <c r="C393" i="2"/>
  <c r="AD392" i="2"/>
  <c r="AC392" i="2"/>
  <c r="AA392" i="2"/>
  <c r="Z392" i="2"/>
  <c r="Y392" i="2"/>
  <c r="V392" i="2"/>
  <c r="U392" i="2"/>
  <c r="T392" i="2"/>
  <c r="R392" i="2"/>
  <c r="Q392" i="2"/>
  <c r="O392" i="2"/>
  <c r="N392" i="2"/>
  <c r="M392" i="2"/>
  <c r="L392" i="2"/>
  <c r="K392" i="2"/>
  <c r="E392" i="2"/>
  <c r="D392" i="2"/>
  <c r="C392" i="2"/>
  <c r="AD391" i="2"/>
  <c r="AC391" i="2"/>
  <c r="AA391" i="2"/>
  <c r="Z391" i="2"/>
  <c r="Y391" i="2"/>
  <c r="V391" i="2"/>
  <c r="U391" i="2"/>
  <c r="T391" i="2"/>
  <c r="R391" i="2"/>
  <c r="Q391" i="2"/>
  <c r="O391" i="2"/>
  <c r="N391" i="2"/>
  <c r="M391" i="2"/>
  <c r="L391" i="2"/>
  <c r="K391" i="2"/>
  <c r="E391" i="2"/>
  <c r="D391" i="2"/>
  <c r="C391" i="2"/>
  <c r="AC390" i="2"/>
  <c r="AB390" i="2"/>
  <c r="AA390" i="2"/>
  <c r="Z390" i="2"/>
  <c r="Y390" i="2"/>
  <c r="W390" i="2"/>
  <c r="V390" i="2"/>
  <c r="U390" i="2"/>
  <c r="Q390" i="2"/>
  <c r="O390" i="2"/>
  <c r="N390" i="2"/>
  <c r="M390" i="2"/>
  <c r="L390" i="2"/>
  <c r="K390" i="2"/>
  <c r="E390" i="2"/>
  <c r="D390" i="2"/>
  <c r="C390" i="2"/>
  <c r="AC389" i="2"/>
  <c r="AB389" i="2"/>
  <c r="AA389" i="2"/>
  <c r="Z389" i="2"/>
  <c r="Y389" i="2"/>
  <c r="W389" i="2"/>
  <c r="V389" i="2"/>
  <c r="U389" i="2"/>
  <c r="Q389" i="2"/>
  <c r="O389" i="2"/>
  <c r="N389" i="2"/>
  <c r="M389" i="2"/>
  <c r="L389" i="2"/>
  <c r="K389" i="2"/>
  <c r="E389" i="2"/>
  <c r="D389" i="2"/>
  <c r="C389" i="2"/>
  <c r="AC388" i="2"/>
  <c r="AB388" i="2"/>
  <c r="AA388" i="2"/>
  <c r="Z388" i="2"/>
  <c r="Y388" i="2"/>
  <c r="W388" i="2"/>
  <c r="V388" i="2"/>
  <c r="U388" i="2"/>
  <c r="Q388" i="2"/>
  <c r="O388" i="2"/>
  <c r="N388" i="2"/>
  <c r="M388" i="2"/>
  <c r="L388" i="2"/>
  <c r="K388" i="2"/>
  <c r="E388" i="2"/>
  <c r="D388" i="2"/>
  <c r="C388" i="2"/>
  <c r="AC387" i="2"/>
  <c r="AB387" i="2"/>
  <c r="AA387" i="2"/>
  <c r="Z387" i="2"/>
  <c r="Y387" i="2"/>
  <c r="W387" i="2"/>
  <c r="V387" i="2"/>
  <c r="U387" i="2"/>
  <c r="Q387" i="2"/>
  <c r="O387" i="2"/>
  <c r="N387" i="2"/>
  <c r="M387" i="2"/>
  <c r="L387" i="2"/>
  <c r="K387" i="2"/>
  <c r="E387" i="2"/>
  <c r="D387" i="2"/>
  <c r="C387" i="2"/>
  <c r="AC386" i="2"/>
  <c r="AB386" i="2"/>
  <c r="AA386" i="2"/>
  <c r="Z386" i="2"/>
  <c r="Y386" i="2"/>
  <c r="W386" i="2"/>
  <c r="V386" i="2"/>
  <c r="U386" i="2"/>
  <c r="Q386" i="2"/>
  <c r="O386" i="2"/>
  <c r="N386" i="2"/>
  <c r="M386" i="2"/>
  <c r="L386" i="2"/>
  <c r="K386" i="2"/>
  <c r="E386" i="2"/>
  <c r="D386" i="2"/>
  <c r="C386" i="2"/>
  <c r="AC385" i="2"/>
  <c r="AB385" i="2"/>
  <c r="AA385" i="2"/>
  <c r="Z385" i="2"/>
  <c r="Y385" i="2"/>
  <c r="W385" i="2"/>
  <c r="V385" i="2"/>
  <c r="U385" i="2"/>
  <c r="Q385" i="2"/>
  <c r="O385" i="2"/>
  <c r="N385" i="2"/>
  <c r="M385" i="2"/>
  <c r="L385" i="2"/>
  <c r="K385" i="2"/>
  <c r="E385" i="2"/>
  <c r="D385" i="2"/>
  <c r="C385" i="2"/>
  <c r="AC384" i="2"/>
  <c r="AB384" i="2"/>
  <c r="AA384" i="2"/>
  <c r="Z384" i="2"/>
  <c r="Y384" i="2"/>
  <c r="W384" i="2"/>
  <c r="V384" i="2"/>
  <c r="U384" i="2"/>
  <c r="Q384" i="2"/>
  <c r="O384" i="2"/>
  <c r="N384" i="2"/>
  <c r="M384" i="2"/>
  <c r="L384" i="2"/>
  <c r="K384" i="2"/>
  <c r="E384" i="2"/>
  <c r="D384" i="2"/>
  <c r="C384" i="2"/>
  <c r="AC383" i="2"/>
  <c r="AB383" i="2"/>
  <c r="AA383" i="2"/>
  <c r="Z383" i="2"/>
  <c r="Y383" i="2"/>
  <c r="W383" i="2"/>
  <c r="V383" i="2"/>
  <c r="U383" i="2"/>
  <c r="Q383" i="2"/>
  <c r="O383" i="2"/>
  <c r="N383" i="2"/>
  <c r="M383" i="2"/>
  <c r="L383" i="2"/>
  <c r="K383" i="2"/>
  <c r="E383" i="2"/>
  <c r="D383" i="2"/>
  <c r="C383" i="2"/>
  <c r="AC382" i="2"/>
  <c r="AB382" i="2"/>
  <c r="AA382" i="2"/>
  <c r="Z382" i="2"/>
  <c r="Y382" i="2"/>
  <c r="W382" i="2"/>
  <c r="V382" i="2"/>
  <c r="U382" i="2"/>
  <c r="Q382" i="2"/>
  <c r="O382" i="2"/>
  <c r="N382" i="2"/>
  <c r="M382" i="2"/>
  <c r="L382" i="2"/>
  <c r="K382" i="2"/>
  <c r="E382" i="2"/>
  <c r="D382" i="2"/>
  <c r="C382" i="2"/>
  <c r="AC381" i="2"/>
  <c r="AB381" i="2"/>
  <c r="AA381" i="2"/>
  <c r="Z381" i="2"/>
  <c r="Y381" i="2"/>
  <c r="W381" i="2"/>
  <c r="V381" i="2"/>
  <c r="U381" i="2"/>
  <c r="Q381" i="2"/>
  <c r="O381" i="2"/>
  <c r="N381" i="2"/>
  <c r="M381" i="2"/>
  <c r="L381" i="2"/>
  <c r="K381" i="2"/>
  <c r="E381" i="2"/>
  <c r="D381" i="2"/>
  <c r="C381" i="2"/>
  <c r="AC380" i="2"/>
  <c r="AB380" i="2"/>
  <c r="AA380" i="2"/>
  <c r="Z380" i="2"/>
  <c r="Y380" i="2"/>
  <c r="W380" i="2"/>
  <c r="V380" i="2"/>
  <c r="U380" i="2"/>
  <c r="Q380" i="2"/>
  <c r="O380" i="2"/>
  <c r="N380" i="2"/>
  <c r="M380" i="2"/>
  <c r="L380" i="2"/>
  <c r="K380" i="2"/>
  <c r="E380" i="2"/>
  <c r="D380" i="2"/>
  <c r="C380" i="2"/>
  <c r="AC379" i="2"/>
  <c r="AB379" i="2"/>
  <c r="AA379" i="2"/>
  <c r="Z379" i="2"/>
  <c r="Y379" i="2"/>
  <c r="W379" i="2"/>
  <c r="V379" i="2"/>
  <c r="U379" i="2"/>
  <c r="Q379" i="2"/>
  <c r="O379" i="2"/>
  <c r="N379" i="2"/>
  <c r="M379" i="2"/>
  <c r="L379" i="2"/>
  <c r="K379" i="2"/>
  <c r="E379" i="2"/>
  <c r="D379" i="2"/>
  <c r="C379" i="2"/>
  <c r="AC378" i="2"/>
  <c r="AB378" i="2"/>
  <c r="AA378" i="2"/>
  <c r="Z378" i="2"/>
  <c r="Y378" i="2"/>
  <c r="W378" i="2"/>
  <c r="V378" i="2"/>
  <c r="U378" i="2"/>
  <c r="Q378" i="2"/>
  <c r="O378" i="2"/>
  <c r="N378" i="2"/>
  <c r="M378" i="2"/>
  <c r="L378" i="2"/>
  <c r="K378" i="2"/>
  <c r="E378" i="2"/>
  <c r="D378" i="2"/>
  <c r="C378" i="2"/>
  <c r="AC377" i="2"/>
  <c r="AB377" i="2"/>
  <c r="AA377" i="2"/>
  <c r="Z377" i="2"/>
  <c r="Y377" i="2"/>
  <c r="W377" i="2"/>
  <c r="V377" i="2"/>
  <c r="U377" i="2"/>
  <c r="Q377" i="2"/>
  <c r="O377" i="2"/>
  <c r="N377" i="2"/>
  <c r="M377" i="2"/>
  <c r="L377" i="2"/>
  <c r="K377" i="2"/>
  <c r="E377" i="2"/>
  <c r="D377" i="2"/>
  <c r="C377" i="2"/>
  <c r="AC376" i="2"/>
  <c r="AB376" i="2"/>
  <c r="AA376" i="2"/>
  <c r="Z376" i="2"/>
  <c r="Y376" i="2"/>
  <c r="W376" i="2"/>
  <c r="V376" i="2"/>
  <c r="U376" i="2"/>
  <c r="Q376" i="2"/>
  <c r="O376" i="2"/>
  <c r="N376" i="2"/>
  <c r="M376" i="2"/>
  <c r="L376" i="2"/>
  <c r="K376" i="2"/>
  <c r="E376" i="2"/>
  <c r="D376" i="2"/>
  <c r="C376" i="2"/>
  <c r="AC375" i="2"/>
  <c r="AB375" i="2"/>
  <c r="AA375" i="2"/>
  <c r="Z375" i="2"/>
  <c r="Y375" i="2"/>
  <c r="W375" i="2"/>
  <c r="V375" i="2"/>
  <c r="U375" i="2"/>
  <c r="Q375" i="2"/>
  <c r="O375" i="2"/>
  <c r="N375" i="2"/>
  <c r="M375" i="2"/>
  <c r="L375" i="2"/>
  <c r="K375" i="2"/>
  <c r="E375" i="2"/>
  <c r="D375" i="2"/>
  <c r="C375" i="2"/>
  <c r="AC374" i="2"/>
  <c r="AB374" i="2"/>
  <c r="AA374" i="2"/>
  <c r="Z374" i="2"/>
  <c r="Y374" i="2"/>
  <c r="W374" i="2"/>
  <c r="V374" i="2"/>
  <c r="U374" i="2"/>
  <c r="Q374" i="2"/>
  <c r="O374" i="2"/>
  <c r="N374" i="2"/>
  <c r="M374" i="2"/>
  <c r="L374" i="2"/>
  <c r="K374" i="2"/>
  <c r="E374" i="2"/>
  <c r="D374" i="2"/>
  <c r="C374" i="2"/>
  <c r="AC373" i="2"/>
  <c r="AB373" i="2"/>
  <c r="AA373" i="2"/>
  <c r="Z373" i="2"/>
  <c r="Y373" i="2"/>
  <c r="W373" i="2"/>
  <c r="V373" i="2"/>
  <c r="U373" i="2"/>
  <c r="Q373" i="2"/>
  <c r="O373" i="2"/>
  <c r="N373" i="2"/>
  <c r="M373" i="2"/>
  <c r="L373" i="2"/>
  <c r="K373" i="2"/>
  <c r="E373" i="2"/>
  <c r="D373" i="2"/>
  <c r="C373" i="2"/>
  <c r="AC372" i="2"/>
  <c r="AB372" i="2"/>
  <c r="AA372" i="2"/>
  <c r="Z372" i="2"/>
  <c r="Y372" i="2"/>
  <c r="W372" i="2"/>
  <c r="V372" i="2"/>
  <c r="U372" i="2"/>
  <c r="Q372" i="2"/>
  <c r="O372" i="2"/>
  <c r="N372" i="2"/>
  <c r="M372" i="2"/>
  <c r="L372" i="2"/>
  <c r="K372" i="2"/>
  <c r="E372" i="2"/>
  <c r="D372" i="2"/>
  <c r="C372" i="2"/>
  <c r="AC371" i="2"/>
  <c r="AB371" i="2"/>
  <c r="AA371" i="2"/>
  <c r="Z371" i="2"/>
  <c r="Y371" i="2"/>
  <c r="W371" i="2"/>
  <c r="V371" i="2"/>
  <c r="U371" i="2"/>
  <c r="Q371" i="2"/>
  <c r="O371" i="2"/>
  <c r="N371" i="2"/>
  <c r="M371" i="2"/>
  <c r="L371" i="2"/>
  <c r="K371" i="2"/>
  <c r="E371" i="2"/>
  <c r="D371" i="2"/>
  <c r="C371" i="2"/>
  <c r="AC370" i="2"/>
  <c r="AB370" i="2"/>
  <c r="AA370" i="2"/>
  <c r="Z370" i="2"/>
  <c r="Y370" i="2"/>
  <c r="W370" i="2"/>
  <c r="V370" i="2"/>
  <c r="U370" i="2"/>
  <c r="Q370" i="2"/>
  <c r="O370" i="2"/>
  <c r="N370" i="2"/>
  <c r="M370" i="2"/>
  <c r="L370" i="2"/>
  <c r="K370" i="2"/>
  <c r="E370" i="2"/>
  <c r="D370" i="2"/>
  <c r="C370" i="2"/>
  <c r="AC369" i="2"/>
  <c r="AB369" i="2"/>
  <c r="AA369" i="2"/>
  <c r="Z369" i="2"/>
  <c r="Y369" i="2"/>
  <c r="W369" i="2"/>
  <c r="V369" i="2"/>
  <c r="U369" i="2"/>
  <c r="Q369" i="2"/>
  <c r="O369" i="2"/>
  <c r="N369" i="2"/>
  <c r="M369" i="2"/>
  <c r="L369" i="2"/>
  <c r="K369" i="2"/>
  <c r="E369" i="2"/>
  <c r="D369" i="2"/>
  <c r="C369" i="2"/>
  <c r="AC368" i="2"/>
  <c r="AB368" i="2"/>
  <c r="AA368" i="2"/>
  <c r="Z368" i="2"/>
  <c r="Y368" i="2"/>
  <c r="W368" i="2"/>
  <c r="V368" i="2"/>
  <c r="U368" i="2"/>
  <c r="Q368" i="2"/>
  <c r="O368" i="2"/>
  <c r="N368" i="2"/>
  <c r="M368" i="2"/>
  <c r="L368" i="2"/>
  <c r="K368" i="2"/>
  <c r="E368" i="2"/>
  <c r="D368" i="2"/>
  <c r="C368" i="2"/>
  <c r="AC367" i="2"/>
  <c r="AB367" i="2"/>
  <c r="AA367" i="2"/>
  <c r="Z367" i="2"/>
  <c r="Y367" i="2"/>
  <c r="W367" i="2"/>
  <c r="V367" i="2"/>
  <c r="U367" i="2"/>
  <c r="Q367" i="2"/>
  <c r="O367" i="2"/>
  <c r="N367" i="2"/>
  <c r="M367" i="2"/>
  <c r="L367" i="2"/>
  <c r="K367" i="2"/>
  <c r="E367" i="2"/>
  <c r="D367" i="2"/>
  <c r="C367" i="2"/>
  <c r="AC366" i="2"/>
  <c r="AB366" i="2"/>
  <c r="AA366" i="2"/>
  <c r="Z366" i="2"/>
  <c r="Y366" i="2"/>
  <c r="W366" i="2"/>
  <c r="V366" i="2"/>
  <c r="U366" i="2"/>
  <c r="Q366" i="2"/>
  <c r="O366" i="2"/>
  <c r="N366" i="2"/>
  <c r="M366" i="2"/>
  <c r="L366" i="2"/>
  <c r="K366" i="2"/>
  <c r="E366" i="2"/>
  <c r="D366" i="2"/>
  <c r="C366" i="2"/>
  <c r="AC365" i="2"/>
  <c r="AB365" i="2"/>
  <c r="AA365" i="2"/>
  <c r="Z365" i="2"/>
  <c r="Y365" i="2"/>
  <c r="W365" i="2"/>
  <c r="V365" i="2"/>
  <c r="U365" i="2"/>
  <c r="Q365" i="2"/>
  <c r="O365" i="2"/>
  <c r="N365" i="2"/>
  <c r="M365" i="2"/>
  <c r="L365" i="2"/>
  <c r="K365" i="2"/>
  <c r="E365" i="2"/>
  <c r="D365" i="2"/>
  <c r="C365" i="2"/>
  <c r="AC364" i="2"/>
  <c r="AB364" i="2"/>
  <c r="AA364" i="2"/>
  <c r="Z364" i="2"/>
  <c r="Y364" i="2"/>
  <c r="W364" i="2"/>
  <c r="V364" i="2"/>
  <c r="U364" i="2"/>
  <c r="Q364" i="2"/>
  <c r="O364" i="2"/>
  <c r="N364" i="2"/>
  <c r="M364" i="2"/>
  <c r="L364" i="2"/>
  <c r="K364" i="2"/>
  <c r="E364" i="2"/>
  <c r="D364" i="2"/>
  <c r="C364" i="2"/>
  <c r="AC363" i="2"/>
  <c r="AB363" i="2"/>
  <c r="AA363" i="2"/>
  <c r="Z363" i="2"/>
  <c r="Y363" i="2"/>
  <c r="W363" i="2"/>
  <c r="V363" i="2"/>
  <c r="U363" i="2"/>
  <c r="Q363" i="2"/>
  <c r="O363" i="2"/>
  <c r="N363" i="2"/>
  <c r="M363" i="2"/>
  <c r="L363" i="2"/>
  <c r="K363" i="2"/>
  <c r="E363" i="2"/>
  <c r="D363" i="2"/>
  <c r="C363" i="2"/>
  <c r="AC362" i="2"/>
  <c r="AB362" i="2"/>
  <c r="AA362" i="2"/>
  <c r="Z362" i="2"/>
  <c r="Y362" i="2"/>
  <c r="W362" i="2"/>
  <c r="V362" i="2"/>
  <c r="U362" i="2"/>
  <c r="Q362" i="2"/>
  <c r="O362" i="2"/>
  <c r="N362" i="2"/>
  <c r="M362" i="2"/>
  <c r="L362" i="2"/>
  <c r="K362" i="2"/>
  <c r="E362" i="2"/>
  <c r="D362" i="2"/>
  <c r="C362" i="2"/>
  <c r="AC361" i="2"/>
  <c r="AB361" i="2"/>
  <c r="AA361" i="2"/>
  <c r="Z361" i="2"/>
  <c r="Y361" i="2"/>
  <c r="W361" i="2"/>
  <c r="V361" i="2"/>
  <c r="U361" i="2"/>
  <c r="Q361" i="2"/>
  <c r="O361" i="2"/>
  <c r="N361" i="2"/>
  <c r="M361" i="2"/>
  <c r="L361" i="2"/>
  <c r="K361" i="2"/>
  <c r="E361" i="2"/>
  <c r="D361" i="2"/>
  <c r="C361" i="2"/>
  <c r="AC360" i="2"/>
  <c r="AB360" i="2"/>
  <c r="AA360" i="2"/>
  <c r="Z360" i="2"/>
  <c r="Y360" i="2"/>
  <c r="W360" i="2"/>
  <c r="V360" i="2"/>
  <c r="U360" i="2"/>
  <c r="Q360" i="2"/>
  <c r="O360" i="2"/>
  <c r="N360" i="2"/>
  <c r="M360" i="2"/>
  <c r="L360" i="2"/>
  <c r="K360" i="2"/>
  <c r="E360" i="2"/>
  <c r="D360" i="2"/>
  <c r="C360" i="2"/>
  <c r="AC359" i="2"/>
  <c r="AB359" i="2"/>
  <c r="AA359" i="2"/>
  <c r="Z359" i="2"/>
  <c r="Y359" i="2"/>
  <c r="W359" i="2"/>
  <c r="V359" i="2"/>
  <c r="U359" i="2"/>
  <c r="Q359" i="2"/>
  <c r="O359" i="2"/>
  <c r="N359" i="2"/>
  <c r="M359" i="2"/>
  <c r="L359" i="2"/>
  <c r="K359" i="2"/>
  <c r="E359" i="2"/>
  <c r="D359" i="2"/>
  <c r="C359" i="2"/>
  <c r="AC358" i="2"/>
  <c r="AB358" i="2"/>
  <c r="AA358" i="2"/>
  <c r="Z358" i="2"/>
  <c r="Y358" i="2"/>
  <c r="W358" i="2"/>
  <c r="V358" i="2"/>
  <c r="U358" i="2"/>
  <c r="Q358" i="2"/>
  <c r="O358" i="2"/>
  <c r="N358" i="2"/>
  <c r="M358" i="2"/>
  <c r="L358" i="2"/>
  <c r="K358" i="2"/>
  <c r="E358" i="2"/>
  <c r="D358" i="2"/>
  <c r="C358" i="2"/>
  <c r="AC357" i="2"/>
  <c r="AB357" i="2"/>
  <c r="AA357" i="2"/>
  <c r="Z357" i="2"/>
  <c r="Y357" i="2"/>
  <c r="W357" i="2"/>
  <c r="V357" i="2"/>
  <c r="U357" i="2"/>
  <c r="Q357" i="2"/>
  <c r="O357" i="2"/>
  <c r="N357" i="2"/>
  <c r="M357" i="2"/>
  <c r="L357" i="2"/>
  <c r="K357" i="2"/>
  <c r="E357" i="2"/>
  <c r="D357" i="2"/>
  <c r="C357" i="2"/>
  <c r="AC356" i="2"/>
  <c r="AB356" i="2"/>
  <c r="AA356" i="2"/>
  <c r="Z356" i="2"/>
  <c r="Y356" i="2"/>
  <c r="W356" i="2"/>
  <c r="V356" i="2"/>
  <c r="U356" i="2"/>
  <c r="Q356" i="2"/>
  <c r="O356" i="2"/>
  <c r="N356" i="2"/>
  <c r="M356" i="2"/>
  <c r="L356" i="2"/>
  <c r="K356" i="2"/>
  <c r="E356" i="2"/>
  <c r="D356" i="2"/>
  <c r="C356" i="2"/>
  <c r="AC355" i="2"/>
  <c r="AB355" i="2"/>
  <c r="AA355" i="2"/>
  <c r="Z355" i="2"/>
  <c r="Y355" i="2"/>
  <c r="W355" i="2"/>
  <c r="V355" i="2"/>
  <c r="U355" i="2"/>
  <c r="Q355" i="2"/>
  <c r="O355" i="2"/>
  <c r="N355" i="2"/>
  <c r="M355" i="2"/>
  <c r="L355" i="2"/>
  <c r="K355" i="2"/>
  <c r="E355" i="2"/>
  <c r="D355" i="2"/>
  <c r="C355" i="2"/>
  <c r="AC354" i="2"/>
  <c r="AB354" i="2"/>
  <c r="AA354" i="2"/>
  <c r="Z354" i="2"/>
  <c r="Y354" i="2"/>
  <c r="W354" i="2"/>
  <c r="V354" i="2"/>
  <c r="U354" i="2"/>
  <c r="Q354" i="2"/>
  <c r="O354" i="2"/>
  <c r="N354" i="2"/>
  <c r="M354" i="2"/>
  <c r="L354" i="2"/>
  <c r="K354" i="2"/>
  <c r="E354" i="2"/>
  <c r="D354" i="2"/>
  <c r="C354" i="2"/>
  <c r="AC353" i="2"/>
  <c r="AA353" i="2"/>
  <c r="Z353" i="2"/>
  <c r="Y353" i="2"/>
  <c r="W353" i="2"/>
  <c r="V353" i="2"/>
  <c r="U353" i="2"/>
  <c r="R353" i="2"/>
  <c r="Q353" i="2"/>
  <c r="O353" i="2"/>
  <c r="N353" i="2"/>
  <c r="M353" i="2"/>
  <c r="L353" i="2"/>
  <c r="K353" i="2"/>
  <c r="E353" i="2"/>
  <c r="D353" i="2"/>
  <c r="C353" i="2"/>
  <c r="AC352" i="2"/>
  <c r="AA352" i="2"/>
  <c r="Z352" i="2"/>
  <c r="Y352" i="2"/>
  <c r="W352" i="2"/>
  <c r="V352" i="2"/>
  <c r="U352" i="2"/>
  <c r="R352" i="2"/>
  <c r="Q352" i="2"/>
  <c r="O352" i="2"/>
  <c r="N352" i="2"/>
  <c r="M352" i="2"/>
  <c r="L352" i="2"/>
  <c r="K352" i="2"/>
  <c r="E352" i="2"/>
  <c r="D352" i="2"/>
  <c r="C352" i="2"/>
  <c r="AC351" i="2"/>
  <c r="AA351" i="2"/>
  <c r="Z351" i="2"/>
  <c r="Y351" i="2"/>
  <c r="W351" i="2"/>
  <c r="V351" i="2"/>
  <c r="U351" i="2"/>
  <c r="R351" i="2"/>
  <c r="Q351" i="2"/>
  <c r="O351" i="2"/>
  <c r="N351" i="2"/>
  <c r="M351" i="2"/>
  <c r="L351" i="2"/>
  <c r="K351" i="2"/>
  <c r="E351" i="2"/>
  <c r="D351" i="2"/>
  <c r="C351" i="2"/>
  <c r="AC350" i="2"/>
  <c r="AA350" i="2"/>
  <c r="Z350" i="2"/>
  <c r="Y350" i="2"/>
  <c r="W350" i="2"/>
  <c r="V350" i="2"/>
  <c r="U350" i="2"/>
  <c r="R350" i="2"/>
  <c r="Q350" i="2"/>
  <c r="O350" i="2"/>
  <c r="N350" i="2"/>
  <c r="M350" i="2"/>
  <c r="L350" i="2"/>
  <c r="K350" i="2"/>
  <c r="E350" i="2"/>
  <c r="D350" i="2"/>
  <c r="C350" i="2"/>
  <c r="AC349" i="2"/>
  <c r="AA349" i="2"/>
  <c r="Z349" i="2"/>
  <c r="Y349" i="2"/>
  <c r="W349" i="2"/>
  <c r="V349" i="2"/>
  <c r="U349" i="2"/>
  <c r="R349" i="2"/>
  <c r="Q349" i="2"/>
  <c r="O349" i="2"/>
  <c r="N349" i="2"/>
  <c r="M349" i="2"/>
  <c r="L349" i="2"/>
  <c r="K349" i="2"/>
  <c r="E349" i="2"/>
  <c r="D349" i="2"/>
  <c r="C349" i="2"/>
  <c r="AC348" i="2"/>
  <c r="AA348" i="2"/>
  <c r="Z348" i="2"/>
  <c r="Y348" i="2"/>
  <c r="W348" i="2"/>
  <c r="V348" i="2"/>
  <c r="U348" i="2"/>
  <c r="R348" i="2"/>
  <c r="Q348" i="2"/>
  <c r="O348" i="2"/>
  <c r="N348" i="2"/>
  <c r="M348" i="2"/>
  <c r="L348" i="2"/>
  <c r="K348" i="2"/>
  <c r="E348" i="2"/>
  <c r="D348" i="2"/>
  <c r="C348" i="2"/>
  <c r="AC347" i="2"/>
  <c r="AA347" i="2"/>
  <c r="Z347" i="2"/>
  <c r="Y347" i="2"/>
  <c r="W347" i="2"/>
  <c r="V347" i="2"/>
  <c r="U347" i="2"/>
  <c r="R347" i="2"/>
  <c r="Q347" i="2"/>
  <c r="O347" i="2"/>
  <c r="N347" i="2"/>
  <c r="M347" i="2"/>
  <c r="L347" i="2"/>
  <c r="K347" i="2"/>
  <c r="E347" i="2"/>
  <c r="D347" i="2"/>
  <c r="C347" i="2"/>
  <c r="AC346" i="2"/>
  <c r="AA346" i="2"/>
  <c r="Z346" i="2"/>
  <c r="Y346" i="2"/>
  <c r="W346" i="2"/>
  <c r="V346" i="2"/>
  <c r="U346" i="2"/>
  <c r="R346" i="2"/>
  <c r="Q346" i="2"/>
  <c r="O346" i="2"/>
  <c r="N346" i="2"/>
  <c r="M346" i="2"/>
  <c r="L346" i="2"/>
  <c r="K346" i="2"/>
  <c r="E346" i="2"/>
  <c r="D346" i="2"/>
  <c r="C346" i="2"/>
  <c r="AC345" i="2"/>
  <c r="AA345" i="2"/>
  <c r="Z345" i="2"/>
  <c r="Y345" i="2"/>
  <c r="W345" i="2"/>
  <c r="V345" i="2"/>
  <c r="U345" i="2"/>
  <c r="R345" i="2"/>
  <c r="Q345" i="2"/>
  <c r="O345" i="2"/>
  <c r="N345" i="2"/>
  <c r="M345" i="2"/>
  <c r="L345" i="2"/>
  <c r="K345" i="2"/>
  <c r="E345" i="2"/>
  <c r="D345" i="2"/>
  <c r="C345" i="2"/>
  <c r="AC344" i="2"/>
  <c r="AA344" i="2"/>
  <c r="Z344" i="2"/>
  <c r="Y344" i="2"/>
  <c r="W344" i="2"/>
  <c r="V344" i="2"/>
  <c r="U344" i="2"/>
  <c r="R344" i="2"/>
  <c r="Q344" i="2"/>
  <c r="O344" i="2"/>
  <c r="N344" i="2"/>
  <c r="M344" i="2"/>
  <c r="L344" i="2"/>
  <c r="K344" i="2"/>
  <c r="E344" i="2"/>
  <c r="D344" i="2"/>
  <c r="C344" i="2"/>
  <c r="AC343" i="2"/>
  <c r="AA343" i="2"/>
  <c r="Z343" i="2"/>
  <c r="Y343" i="2"/>
  <c r="W343" i="2"/>
  <c r="V343" i="2"/>
  <c r="U343" i="2"/>
  <c r="R343" i="2"/>
  <c r="Q343" i="2"/>
  <c r="O343" i="2"/>
  <c r="N343" i="2"/>
  <c r="M343" i="2"/>
  <c r="L343" i="2"/>
  <c r="K343" i="2"/>
  <c r="E343" i="2"/>
  <c r="D343" i="2"/>
  <c r="C343" i="2"/>
  <c r="AC342" i="2"/>
  <c r="AA342" i="2"/>
  <c r="Z342" i="2"/>
  <c r="Y342" i="2"/>
  <c r="W342" i="2"/>
  <c r="V342" i="2"/>
  <c r="U342" i="2"/>
  <c r="R342" i="2"/>
  <c r="Q342" i="2"/>
  <c r="O342" i="2"/>
  <c r="N342" i="2"/>
  <c r="M342" i="2"/>
  <c r="L342" i="2"/>
  <c r="K342" i="2"/>
  <c r="E342" i="2"/>
  <c r="D342" i="2"/>
  <c r="C342" i="2"/>
  <c r="AC341" i="2"/>
  <c r="AA341" i="2"/>
  <c r="Z341" i="2"/>
  <c r="Y341" i="2"/>
  <c r="W341" i="2"/>
  <c r="V341" i="2"/>
  <c r="U341" i="2"/>
  <c r="R341" i="2"/>
  <c r="Q341" i="2"/>
  <c r="O341" i="2"/>
  <c r="N341" i="2"/>
  <c r="M341" i="2"/>
  <c r="L341" i="2"/>
  <c r="K341" i="2"/>
  <c r="E341" i="2"/>
  <c r="D341" i="2"/>
  <c r="C341" i="2"/>
  <c r="AC340" i="2"/>
  <c r="AA340" i="2"/>
  <c r="Z340" i="2"/>
  <c r="Y340" i="2"/>
  <c r="W340" i="2"/>
  <c r="V340" i="2"/>
  <c r="U340" i="2"/>
  <c r="R340" i="2"/>
  <c r="Q340" i="2"/>
  <c r="O340" i="2"/>
  <c r="N340" i="2"/>
  <c r="M340" i="2"/>
  <c r="L340" i="2"/>
  <c r="K340" i="2"/>
  <c r="E340" i="2"/>
  <c r="D340" i="2"/>
  <c r="C340" i="2"/>
  <c r="AC339" i="2"/>
  <c r="AA339" i="2"/>
  <c r="Z339" i="2"/>
  <c r="Y339" i="2"/>
  <c r="W339" i="2"/>
  <c r="V339" i="2"/>
  <c r="U339" i="2"/>
  <c r="R339" i="2"/>
  <c r="Q339" i="2"/>
  <c r="O339" i="2"/>
  <c r="N339" i="2"/>
  <c r="M339" i="2"/>
  <c r="L339" i="2"/>
  <c r="K339" i="2"/>
  <c r="E339" i="2"/>
  <c r="D339" i="2"/>
  <c r="C339" i="2"/>
  <c r="AC338" i="2"/>
  <c r="AA338" i="2"/>
  <c r="Z338" i="2"/>
  <c r="Y338" i="2"/>
  <c r="W338" i="2"/>
  <c r="V338" i="2"/>
  <c r="U338" i="2"/>
  <c r="R338" i="2"/>
  <c r="Q338" i="2"/>
  <c r="O338" i="2"/>
  <c r="N338" i="2"/>
  <c r="M338" i="2"/>
  <c r="L338" i="2"/>
  <c r="K338" i="2"/>
  <c r="E338" i="2"/>
  <c r="D338" i="2"/>
  <c r="C338" i="2"/>
  <c r="AC337" i="2"/>
  <c r="AA337" i="2"/>
  <c r="Z337" i="2"/>
  <c r="Y337" i="2"/>
  <c r="W337" i="2"/>
  <c r="V337" i="2"/>
  <c r="U337" i="2"/>
  <c r="R337" i="2"/>
  <c r="Q337" i="2"/>
  <c r="O337" i="2"/>
  <c r="N337" i="2"/>
  <c r="M337" i="2"/>
  <c r="L337" i="2"/>
  <c r="K337" i="2"/>
  <c r="E337" i="2"/>
  <c r="D337" i="2"/>
  <c r="C337" i="2"/>
  <c r="AC336" i="2"/>
  <c r="AA336" i="2"/>
  <c r="Z336" i="2"/>
  <c r="Y336" i="2"/>
  <c r="W336" i="2"/>
  <c r="V336" i="2"/>
  <c r="U336" i="2"/>
  <c r="R336" i="2"/>
  <c r="Q336" i="2"/>
  <c r="O336" i="2"/>
  <c r="N336" i="2"/>
  <c r="M336" i="2"/>
  <c r="L336" i="2"/>
  <c r="K336" i="2"/>
  <c r="E336" i="2"/>
  <c r="D336" i="2"/>
  <c r="C336" i="2"/>
  <c r="AC335" i="2"/>
  <c r="AA335" i="2"/>
  <c r="Z335" i="2"/>
  <c r="Y335" i="2"/>
  <c r="W335" i="2"/>
  <c r="V335" i="2"/>
  <c r="U335" i="2"/>
  <c r="R335" i="2"/>
  <c r="Q335" i="2"/>
  <c r="O335" i="2"/>
  <c r="N335" i="2"/>
  <c r="M335" i="2"/>
  <c r="L335" i="2"/>
  <c r="K335" i="2"/>
  <c r="E335" i="2"/>
  <c r="D335" i="2"/>
  <c r="C335" i="2"/>
  <c r="AC334" i="2"/>
  <c r="AA334" i="2"/>
  <c r="Z334" i="2"/>
  <c r="Y334" i="2"/>
  <c r="W334" i="2"/>
  <c r="V334" i="2"/>
  <c r="U334" i="2"/>
  <c r="R334" i="2"/>
  <c r="Q334" i="2"/>
  <c r="O334" i="2"/>
  <c r="N334" i="2"/>
  <c r="M334" i="2"/>
  <c r="L334" i="2"/>
  <c r="K334" i="2"/>
  <c r="E334" i="2"/>
  <c r="D334" i="2"/>
  <c r="C334" i="2"/>
  <c r="AC333" i="2"/>
  <c r="AA333" i="2"/>
  <c r="Z333" i="2"/>
  <c r="Y333" i="2"/>
  <c r="W333" i="2"/>
  <c r="V333" i="2"/>
  <c r="U333" i="2"/>
  <c r="R333" i="2"/>
  <c r="Q333" i="2"/>
  <c r="O333" i="2"/>
  <c r="N333" i="2"/>
  <c r="M333" i="2"/>
  <c r="L333" i="2"/>
  <c r="K333" i="2"/>
  <c r="E333" i="2"/>
  <c r="D333" i="2"/>
  <c r="C333" i="2"/>
  <c r="AC332" i="2"/>
  <c r="AA332" i="2"/>
  <c r="Z332" i="2"/>
  <c r="Y332" i="2"/>
  <c r="W332" i="2"/>
  <c r="V332" i="2"/>
  <c r="U332" i="2"/>
  <c r="R332" i="2"/>
  <c r="Q332" i="2"/>
  <c r="O332" i="2"/>
  <c r="N332" i="2"/>
  <c r="M332" i="2"/>
  <c r="L332" i="2"/>
  <c r="K332" i="2"/>
  <c r="E332" i="2"/>
  <c r="D332" i="2"/>
  <c r="C332" i="2"/>
  <c r="AC331" i="2"/>
  <c r="AA331" i="2"/>
  <c r="Z331" i="2"/>
  <c r="Y331" i="2"/>
  <c r="W331" i="2"/>
  <c r="V331" i="2"/>
  <c r="U331" i="2"/>
  <c r="R331" i="2"/>
  <c r="Q331" i="2"/>
  <c r="O331" i="2"/>
  <c r="N331" i="2"/>
  <c r="M331" i="2"/>
  <c r="L331" i="2"/>
  <c r="K331" i="2"/>
  <c r="E331" i="2"/>
  <c r="D331" i="2"/>
  <c r="C331" i="2"/>
  <c r="AC330" i="2"/>
  <c r="AA330" i="2"/>
  <c r="Z330" i="2"/>
  <c r="Y330" i="2"/>
  <c r="W330" i="2"/>
  <c r="V330" i="2"/>
  <c r="U330" i="2"/>
  <c r="R330" i="2"/>
  <c r="Q330" i="2"/>
  <c r="O330" i="2"/>
  <c r="N330" i="2"/>
  <c r="M330" i="2"/>
  <c r="L330" i="2"/>
  <c r="K330" i="2"/>
  <c r="E330" i="2"/>
  <c r="D330" i="2"/>
  <c r="C330" i="2"/>
  <c r="AC329" i="2"/>
  <c r="AA329" i="2"/>
  <c r="Z329" i="2"/>
  <c r="Y329" i="2"/>
  <c r="W329" i="2"/>
  <c r="V329" i="2"/>
  <c r="U329" i="2"/>
  <c r="R329" i="2"/>
  <c r="Q329" i="2"/>
  <c r="O329" i="2"/>
  <c r="N329" i="2"/>
  <c r="M329" i="2"/>
  <c r="L329" i="2"/>
  <c r="K329" i="2"/>
  <c r="E329" i="2"/>
  <c r="D329" i="2"/>
  <c r="C329" i="2"/>
  <c r="AC328" i="2"/>
  <c r="AA328" i="2"/>
  <c r="Z328" i="2"/>
  <c r="Y328" i="2"/>
  <c r="W328" i="2"/>
  <c r="V328" i="2"/>
  <c r="U328" i="2"/>
  <c r="R328" i="2"/>
  <c r="Q328" i="2"/>
  <c r="O328" i="2"/>
  <c r="N328" i="2"/>
  <c r="M328" i="2"/>
  <c r="L328" i="2"/>
  <c r="K328" i="2"/>
  <c r="E328" i="2"/>
  <c r="D328" i="2"/>
  <c r="C328" i="2"/>
  <c r="AC327" i="2"/>
  <c r="AA327" i="2"/>
  <c r="Z327" i="2"/>
  <c r="Y327" i="2"/>
  <c r="W327" i="2"/>
  <c r="V327" i="2"/>
  <c r="U327" i="2"/>
  <c r="R327" i="2"/>
  <c r="Q327" i="2"/>
  <c r="O327" i="2"/>
  <c r="N327" i="2"/>
  <c r="M327" i="2"/>
  <c r="L327" i="2"/>
  <c r="K327" i="2"/>
  <c r="E327" i="2"/>
  <c r="D327" i="2"/>
  <c r="C327" i="2"/>
  <c r="AC326" i="2"/>
  <c r="AA326" i="2"/>
  <c r="Z326" i="2"/>
  <c r="Y326" i="2"/>
  <c r="W326" i="2"/>
  <c r="V326" i="2"/>
  <c r="U326" i="2"/>
  <c r="R326" i="2"/>
  <c r="Q326" i="2"/>
  <c r="O326" i="2"/>
  <c r="N326" i="2"/>
  <c r="M326" i="2"/>
  <c r="L326" i="2"/>
  <c r="K326" i="2"/>
  <c r="E326" i="2"/>
  <c r="D326" i="2"/>
  <c r="C326" i="2"/>
  <c r="AC325" i="2"/>
  <c r="AA325" i="2"/>
  <c r="Z325" i="2"/>
  <c r="Y325" i="2"/>
  <c r="W325" i="2"/>
  <c r="V325" i="2"/>
  <c r="U325" i="2"/>
  <c r="R325" i="2"/>
  <c r="Q325" i="2"/>
  <c r="O325" i="2"/>
  <c r="N325" i="2"/>
  <c r="M325" i="2"/>
  <c r="L325" i="2"/>
  <c r="K325" i="2"/>
  <c r="E325" i="2"/>
  <c r="D325" i="2"/>
  <c r="C325" i="2"/>
  <c r="AC324" i="2"/>
  <c r="AA324" i="2"/>
  <c r="Z324" i="2"/>
  <c r="Y324" i="2"/>
  <c r="W324" i="2"/>
  <c r="V324" i="2"/>
  <c r="U324" i="2"/>
  <c r="R324" i="2"/>
  <c r="Q324" i="2"/>
  <c r="O324" i="2"/>
  <c r="N324" i="2"/>
  <c r="M324" i="2"/>
  <c r="L324" i="2"/>
  <c r="K324" i="2"/>
  <c r="E324" i="2"/>
  <c r="D324" i="2"/>
  <c r="C324" i="2"/>
  <c r="AC323" i="2"/>
  <c r="AA323" i="2"/>
  <c r="Z323" i="2"/>
  <c r="Y323" i="2"/>
  <c r="W323" i="2"/>
  <c r="V323" i="2"/>
  <c r="U323" i="2"/>
  <c r="R323" i="2"/>
  <c r="Q323" i="2"/>
  <c r="O323" i="2"/>
  <c r="N323" i="2"/>
  <c r="M323" i="2"/>
  <c r="L323" i="2"/>
  <c r="K323" i="2"/>
  <c r="E323" i="2"/>
  <c r="D323" i="2"/>
  <c r="C323" i="2"/>
  <c r="AC322" i="2"/>
  <c r="AA322" i="2"/>
  <c r="Z322" i="2"/>
  <c r="Y322" i="2"/>
  <c r="W322" i="2"/>
  <c r="V322" i="2"/>
  <c r="U322" i="2"/>
  <c r="R322" i="2"/>
  <c r="Q322" i="2"/>
  <c r="O322" i="2"/>
  <c r="N322" i="2"/>
  <c r="M322" i="2"/>
  <c r="L322" i="2"/>
  <c r="K322" i="2"/>
  <c r="E322" i="2"/>
  <c r="D322" i="2"/>
  <c r="C322" i="2"/>
  <c r="AC321" i="2"/>
  <c r="AA321" i="2"/>
  <c r="Z321" i="2"/>
  <c r="Y321" i="2"/>
  <c r="W321" i="2"/>
  <c r="V321" i="2"/>
  <c r="U321" i="2"/>
  <c r="R321" i="2"/>
  <c r="Q321" i="2"/>
  <c r="O321" i="2"/>
  <c r="N321" i="2"/>
  <c r="M321" i="2"/>
  <c r="L321" i="2"/>
  <c r="K321" i="2"/>
  <c r="E321" i="2"/>
  <c r="D321" i="2"/>
  <c r="C321" i="2"/>
  <c r="AC320" i="2"/>
  <c r="AA320" i="2"/>
  <c r="Z320" i="2"/>
  <c r="Y320" i="2"/>
  <c r="W320" i="2"/>
  <c r="V320" i="2"/>
  <c r="U320" i="2"/>
  <c r="R320" i="2"/>
  <c r="Q320" i="2"/>
  <c r="O320" i="2"/>
  <c r="N320" i="2"/>
  <c r="M320" i="2"/>
  <c r="L320" i="2"/>
  <c r="K320" i="2"/>
  <c r="E320" i="2"/>
  <c r="D320" i="2"/>
  <c r="C320" i="2"/>
  <c r="AC319" i="2"/>
  <c r="AA319" i="2"/>
  <c r="Z319" i="2"/>
  <c r="Y319" i="2"/>
  <c r="W319" i="2"/>
  <c r="V319" i="2"/>
  <c r="U319" i="2"/>
  <c r="R319" i="2"/>
  <c r="Q319" i="2"/>
  <c r="O319" i="2"/>
  <c r="N319" i="2"/>
  <c r="M319" i="2"/>
  <c r="L319" i="2"/>
  <c r="K319" i="2"/>
  <c r="E319" i="2"/>
  <c r="D319" i="2"/>
  <c r="C319" i="2"/>
  <c r="AC318" i="2"/>
  <c r="AA318" i="2"/>
  <c r="Z318" i="2"/>
  <c r="Y318" i="2"/>
  <c r="W318" i="2"/>
  <c r="V318" i="2"/>
  <c r="U318" i="2"/>
  <c r="R318" i="2"/>
  <c r="Q318" i="2"/>
  <c r="O318" i="2"/>
  <c r="N318" i="2"/>
  <c r="M318" i="2"/>
  <c r="L318" i="2"/>
  <c r="K318" i="2"/>
  <c r="E318" i="2"/>
  <c r="D318" i="2"/>
  <c r="C318" i="2"/>
  <c r="AC317" i="2"/>
  <c r="AB317" i="2"/>
  <c r="AA317" i="2"/>
  <c r="Z317" i="2"/>
  <c r="Y317" i="2"/>
  <c r="W317" i="2"/>
  <c r="V317" i="2"/>
  <c r="U317" i="2"/>
  <c r="T317" i="2"/>
  <c r="S317" i="2"/>
  <c r="R317" i="2"/>
  <c r="Q317" i="2"/>
  <c r="N317" i="2"/>
  <c r="M317" i="2"/>
  <c r="K317" i="2"/>
  <c r="E317" i="2"/>
  <c r="D317" i="2"/>
  <c r="C317" i="2"/>
  <c r="AC316" i="2"/>
  <c r="AB316" i="2"/>
  <c r="AA316" i="2"/>
  <c r="Z316" i="2"/>
  <c r="Y316" i="2"/>
  <c r="W316" i="2"/>
  <c r="V316" i="2"/>
  <c r="U316" i="2"/>
  <c r="T316" i="2"/>
  <c r="S316" i="2"/>
  <c r="R316" i="2"/>
  <c r="Q316" i="2"/>
  <c r="N316" i="2"/>
  <c r="M316" i="2"/>
  <c r="K316" i="2"/>
  <c r="E316" i="2"/>
  <c r="D316" i="2"/>
  <c r="C316" i="2"/>
  <c r="AC315" i="2"/>
  <c r="AB315" i="2"/>
  <c r="AA315" i="2"/>
  <c r="Z315" i="2"/>
  <c r="Y315" i="2"/>
  <c r="W315" i="2"/>
  <c r="V315" i="2"/>
  <c r="U315" i="2"/>
  <c r="T315" i="2"/>
  <c r="S315" i="2"/>
  <c r="R315" i="2"/>
  <c r="Q315" i="2"/>
  <c r="N315" i="2"/>
  <c r="M315" i="2"/>
  <c r="K315" i="2"/>
  <c r="E315" i="2"/>
  <c r="D315" i="2"/>
  <c r="C315" i="2"/>
  <c r="AC314" i="2"/>
  <c r="AB314" i="2"/>
  <c r="AA314" i="2"/>
  <c r="Z314" i="2"/>
  <c r="Y314" i="2"/>
  <c r="W314" i="2"/>
  <c r="V314" i="2"/>
  <c r="U314" i="2"/>
  <c r="T314" i="2"/>
  <c r="S314" i="2"/>
  <c r="R314" i="2"/>
  <c r="Q314" i="2"/>
  <c r="N314" i="2"/>
  <c r="M314" i="2"/>
  <c r="K314" i="2"/>
  <c r="E314" i="2"/>
  <c r="D314" i="2"/>
  <c r="C314" i="2"/>
  <c r="AC313" i="2"/>
  <c r="AB313" i="2"/>
  <c r="AA313" i="2"/>
  <c r="Z313" i="2"/>
  <c r="Y313" i="2"/>
  <c r="W313" i="2"/>
  <c r="V313" i="2"/>
  <c r="U313" i="2"/>
  <c r="T313" i="2"/>
  <c r="S313" i="2"/>
  <c r="R313" i="2"/>
  <c r="Q313" i="2"/>
  <c r="N313" i="2"/>
  <c r="M313" i="2"/>
  <c r="K313" i="2"/>
  <c r="E313" i="2"/>
  <c r="D313" i="2"/>
  <c r="C313" i="2"/>
  <c r="AC312" i="2"/>
  <c r="AB312" i="2"/>
  <c r="AA312" i="2"/>
  <c r="Z312" i="2"/>
  <c r="Y312" i="2"/>
  <c r="W312" i="2"/>
  <c r="V312" i="2"/>
  <c r="U312" i="2"/>
  <c r="T312" i="2"/>
  <c r="S312" i="2"/>
  <c r="R312" i="2"/>
  <c r="Q312" i="2"/>
  <c r="N312" i="2"/>
  <c r="M312" i="2"/>
  <c r="K312" i="2"/>
  <c r="E312" i="2"/>
  <c r="D312" i="2"/>
  <c r="C312" i="2"/>
  <c r="AC311" i="2"/>
  <c r="AB311" i="2"/>
  <c r="AA311" i="2"/>
  <c r="Z311" i="2"/>
  <c r="Y311" i="2"/>
  <c r="W311" i="2"/>
  <c r="V311" i="2"/>
  <c r="U311" i="2"/>
  <c r="T311" i="2"/>
  <c r="S311" i="2"/>
  <c r="R311" i="2"/>
  <c r="Q311" i="2"/>
  <c r="N311" i="2"/>
  <c r="M311" i="2"/>
  <c r="K311" i="2"/>
  <c r="E311" i="2"/>
  <c r="D311" i="2"/>
  <c r="C311" i="2"/>
  <c r="AC310" i="2"/>
  <c r="AB310" i="2"/>
  <c r="AA310" i="2"/>
  <c r="Z310" i="2"/>
  <c r="Y310" i="2"/>
  <c r="W310" i="2"/>
  <c r="V310" i="2"/>
  <c r="U310" i="2"/>
  <c r="T310" i="2"/>
  <c r="S310" i="2"/>
  <c r="R310" i="2"/>
  <c r="Q310" i="2"/>
  <c r="N310" i="2"/>
  <c r="M310" i="2"/>
  <c r="K310" i="2"/>
  <c r="E310" i="2"/>
  <c r="D310" i="2"/>
  <c r="C310" i="2"/>
  <c r="AC309" i="2"/>
  <c r="AB309" i="2"/>
  <c r="AA309" i="2"/>
  <c r="Z309" i="2"/>
  <c r="Y309" i="2"/>
  <c r="W309" i="2"/>
  <c r="V309" i="2"/>
  <c r="U309" i="2"/>
  <c r="T309" i="2"/>
  <c r="S309" i="2"/>
  <c r="R309" i="2"/>
  <c r="Q309" i="2"/>
  <c r="N309" i="2"/>
  <c r="M309" i="2"/>
  <c r="K309" i="2"/>
  <c r="E309" i="2"/>
  <c r="D309" i="2"/>
  <c r="C309" i="2"/>
  <c r="W308" i="2"/>
  <c r="M308" i="2"/>
  <c r="K308" i="2"/>
  <c r="E308" i="2"/>
  <c r="D308" i="2"/>
  <c r="C308" i="2"/>
  <c r="AC307" i="2"/>
  <c r="AB307" i="2"/>
  <c r="AA307" i="2"/>
  <c r="Z307" i="2"/>
  <c r="Y307" i="2"/>
  <c r="W307" i="2"/>
  <c r="V307" i="2"/>
  <c r="U307" i="2"/>
  <c r="T307" i="2"/>
  <c r="S307" i="2"/>
  <c r="R307" i="2"/>
  <c r="Q307" i="2"/>
  <c r="N307" i="2"/>
  <c r="M307" i="2"/>
  <c r="K307" i="2"/>
  <c r="E307" i="2"/>
  <c r="D307" i="2"/>
  <c r="C307" i="2"/>
  <c r="AC306" i="2"/>
  <c r="AB306" i="2"/>
  <c r="AA306" i="2"/>
  <c r="Z306" i="2"/>
  <c r="Y306" i="2"/>
  <c r="W306" i="2"/>
  <c r="V306" i="2"/>
  <c r="U306" i="2"/>
  <c r="T306" i="2"/>
  <c r="S306" i="2"/>
  <c r="R306" i="2"/>
  <c r="Q306" i="2"/>
  <c r="N306" i="2"/>
  <c r="M306" i="2"/>
  <c r="K306" i="2"/>
  <c r="E306" i="2"/>
  <c r="D306" i="2"/>
  <c r="C306" i="2"/>
  <c r="AC305" i="2"/>
  <c r="AB305" i="2"/>
  <c r="AA305" i="2"/>
  <c r="Z305" i="2"/>
  <c r="Y305" i="2"/>
  <c r="W305" i="2"/>
  <c r="V305" i="2"/>
  <c r="U305" i="2"/>
  <c r="T305" i="2"/>
  <c r="S305" i="2"/>
  <c r="R305" i="2"/>
  <c r="Q305" i="2"/>
  <c r="N305" i="2"/>
  <c r="M305" i="2"/>
  <c r="K305" i="2"/>
  <c r="E305" i="2"/>
  <c r="D305" i="2"/>
  <c r="C305" i="2"/>
  <c r="AC304" i="2"/>
  <c r="AB304" i="2"/>
  <c r="AA304" i="2"/>
  <c r="Z304" i="2"/>
  <c r="Y304" i="2"/>
  <c r="W304" i="2"/>
  <c r="V304" i="2"/>
  <c r="U304" i="2"/>
  <c r="T304" i="2"/>
  <c r="S304" i="2"/>
  <c r="R304" i="2"/>
  <c r="Q304" i="2"/>
  <c r="N304" i="2"/>
  <c r="M304" i="2"/>
  <c r="K304" i="2"/>
  <c r="E304" i="2"/>
  <c r="D304" i="2"/>
  <c r="C304" i="2"/>
  <c r="AC303" i="2"/>
  <c r="AB303" i="2"/>
  <c r="AA303" i="2"/>
  <c r="Z303" i="2"/>
  <c r="Y303" i="2"/>
  <c r="W303" i="2"/>
  <c r="V303" i="2"/>
  <c r="U303" i="2"/>
  <c r="T303" i="2"/>
  <c r="S303" i="2"/>
  <c r="R303" i="2"/>
  <c r="Q303" i="2"/>
  <c r="N303" i="2"/>
  <c r="M303" i="2"/>
  <c r="K303" i="2"/>
  <c r="E303" i="2"/>
  <c r="D303" i="2"/>
  <c r="C303" i="2"/>
  <c r="AC302" i="2"/>
  <c r="AB302" i="2"/>
  <c r="AA302" i="2"/>
  <c r="Z302" i="2"/>
  <c r="Y302" i="2"/>
  <c r="W302" i="2"/>
  <c r="V302" i="2"/>
  <c r="U302" i="2"/>
  <c r="T302" i="2"/>
  <c r="S302" i="2"/>
  <c r="R302" i="2"/>
  <c r="Q302" i="2"/>
  <c r="N302" i="2"/>
  <c r="M302" i="2"/>
  <c r="K302" i="2"/>
  <c r="E302" i="2"/>
  <c r="D302" i="2"/>
  <c r="C302" i="2"/>
  <c r="AC301" i="2"/>
  <c r="AB301" i="2"/>
  <c r="AA301" i="2"/>
  <c r="Z301" i="2"/>
  <c r="Y301" i="2"/>
  <c r="W301" i="2"/>
  <c r="V301" i="2"/>
  <c r="U301" i="2"/>
  <c r="T301" i="2"/>
  <c r="S301" i="2"/>
  <c r="R301" i="2"/>
  <c r="Q301" i="2"/>
  <c r="N301" i="2"/>
  <c r="M301" i="2"/>
  <c r="K301" i="2"/>
  <c r="E301" i="2"/>
  <c r="D301" i="2"/>
  <c r="C301" i="2"/>
  <c r="AC300" i="2"/>
  <c r="AB300" i="2"/>
  <c r="AA300" i="2"/>
  <c r="Z300" i="2"/>
  <c r="Y300" i="2"/>
  <c r="W300" i="2"/>
  <c r="V300" i="2"/>
  <c r="U300" i="2"/>
  <c r="T300" i="2"/>
  <c r="S300" i="2"/>
  <c r="R300" i="2"/>
  <c r="Q300" i="2"/>
  <c r="N300" i="2"/>
  <c r="M300" i="2"/>
  <c r="K300" i="2"/>
  <c r="E300" i="2"/>
  <c r="D300" i="2"/>
  <c r="C300" i="2"/>
  <c r="AC299" i="2"/>
  <c r="AB299" i="2"/>
  <c r="AA299" i="2"/>
  <c r="Z299" i="2"/>
  <c r="Y299" i="2"/>
  <c r="W299" i="2"/>
  <c r="V299" i="2"/>
  <c r="U299" i="2"/>
  <c r="T299" i="2"/>
  <c r="S299" i="2"/>
  <c r="R299" i="2"/>
  <c r="Q299" i="2"/>
  <c r="N299" i="2"/>
  <c r="M299" i="2"/>
  <c r="K299" i="2"/>
  <c r="E299" i="2"/>
  <c r="D299" i="2"/>
  <c r="C299" i="2"/>
  <c r="AC298" i="2"/>
  <c r="AB298" i="2"/>
  <c r="AA298" i="2"/>
  <c r="Z298" i="2"/>
  <c r="Y298" i="2"/>
  <c r="W298" i="2"/>
  <c r="V298" i="2"/>
  <c r="U298" i="2"/>
  <c r="T298" i="2"/>
  <c r="S298" i="2"/>
  <c r="R298" i="2"/>
  <c r="Q298" i="2"/>
  <c r="N298" i="2"/>
  <c r="M298" i="2"/>
  <c r="K298" i="2"/>
  <c r="E298" i="2"/>
  <c r="D298" i="2"/>
  <c r="C298" i="2"/>
  <c r="AC297" i="2"/>
  <c r="AB297" i="2"/>
  <c r="AA297" i="2"/>
  <c r="Z297" i="2"/>
  <c r="Y297" i="2"/>
  <c r="W297" i="2"/>
  <c r="V297" i="2"/>
  <c r="U297" i="2"/>
  <c r="T297" i="2"/>
  <c r="S297" i="2"/>
  <c r="R297" i="2"/>
  <c r="Q297" i="2"/>
  <c r="N297" i="2"/>
  <c r="M297" i="2"/>
  <c r="K297" i="2"/>
  <c r="E297" i="2"/>
  <c r="D297" i="2"/>
  <c r="C297" i="2"/>
  <c r="AC296" i="2"/>
  <c r="AB296" i="2"/>
  <c r="AA296" i="2"/>
  <c r="Z296" i="2"/>
  <c r="Y296" i="2"/>
  <c r="W296" i="2"/>
  <c r="V296" i="2"/>
  <c r="U296" i="2"/>
  <c r="T296" i="2"/>
  <c r="S296" i="2"/>
  <c r="R296" i="2"/>
  <c r="Q296" i="2"/>
  <c r="N296" i="2"/>
  <c r="M296" i="2"/>
  <c r="K296" i="2"/>
  <c r="E296" i="2"/>
  <c r="D296" i="2"/>
  <c r="C296" i="2"/>
  <c r="AC295" i="2"/>
  <c r="AB295" i="2"/>
  <c r="AA295" i="2"/>
  <c r="Z295" i="2"/>
  <c r="Y295" i="2"/>
  <c r="W295" i="2"/>
  <c r="V295" i="2"/>
  <c r="U295" i="2"/>
  <c r="T295" i="2"/>
  <c r="S295" i="2"/>
  <c r="R295" i="2"/>
  <c r="Q295" i="2"/>
  <c r="N295" i="2"/>
  <c r="M295" i="2"/>
  <c r="K295" i="2"/>
  <c r="E295" i="2"/>
  <c r="D295" i="2"/>
  <c r="C295" i="2"/>
  <c r="AC294" i="2"/>
  <c r="AB294" i="2"/>
  <c r="AA294" i="2"/>
  <c r="Z294" i="2"/>
  <c r="Y294" i="2"/>
  <c r="W294" i="2"/>
  <c r="V294" i="2"/>
  <c r="U294" i="2"/>
  <c r="T294" i="2"/>
  <c r="S294" i="2"/>
  <c r="R294" i="2"/>
  <c r="Q294" i="2"/>
  <c r="N294" i="2"/>
  <c r="M294" i="2"/>
  <c r="K294" i="2"/>
  <c r="E294" i="2"/>
  <c r="D294" i="2"/>
  <c r="C294" i="2"/>
  <c r="AC293" i="2"/>
  <c r="AB293" i="2"/>
  <c r="AA293" i="2"/>
  <c r="Z293" i="2"/>
  <c r="Y293" i="2"/>
  <c r="W293" i="2"/>
  <c r="V293" i="2"/>
  <c r="U293" i="2"/>
  <c r="T293" i="2"/>
  <c r="S293" i="2"/>
  <c r="R293" i="2"/>
  <c r="Q293" i="2"/>
  <c r="N293" i="2"/>
  <c r="M293" i="2"/>
  <c r="K293" i="2"/>
  <c r="E293" i="2"/>
  <c r="D293" i="2"/>
  <c r="C293" i="2"/>
  <c r="AC292" i="2"/>
  <c r="AB292" i="2"/>
  <c r="AA292" i="2"/>
  <c r="Z292" i="2"/>
  <c r="Y292" i="2"/>
  <c r="W292" i="2"/>
  <c r="V292" i="2"/>
  <c r="U292" i="2"/>
  <c r="T292" i="2"/>
  <c r="S292" i="2"/>
  <c r="R292" i="2"/>
  <c r="Q292" i="2"/>
  <c r="N292" i="2"/>
  <c r="M292" i="2"/>
  <c r="K292" i="2"/>
  <c r="E292" i="2"/>
  <c r="D292" i="2"/>
  <c r="C292" i="2"/>
  <c r="AC291" i="2"/>
  <c r="AB291" i="2"/>
  <c r="AA291" i="2"/>
  <c r="Z291" i="2"/>
  <c r="Y291" i="2"/>
  <c r="W291" i="2"/>
  <c r="V291" i="2"/>
  <c r="U291" i="2"/>
  <c r="T291" i="2"/>
  <c r="S291" i="2"/>
  <c r="R291" i="2"/>
  <c r="Q291" i="2"/>
  <c r="N291" i="2"/>
  <c r="M291" i="2"/>
  <c r="K291" i="2"/>
  <c r="E291" i="2"/>
  <c r="D291" i="2"/>
  <c r="C291" i="2"/>
  <c r="AC290" i="2"/>
  <c r="AB290" i="2"/>
  <c r="AA290" i="2"/>
  <c r="Z290" i="2"/>
  <c r="Y290" i="2"/>
  <c r="W290" i="2"/>
  <c r="V290" i="2"/>
  <c r="U290" i="2"/>
  <c r="T290" i="2"/>
  <c r="S290" i="2"/>
  <c r="R290" i="2"/>
  <c r="Q290" i="2"/>
  <c r="N290" i="2"/>
  <c r="M290" i="2"/>
  <c r="K290" i="2"/>
  <c r="E290" i="2"/>
  <c r="D290" i="2"/>
  <c r="C290" i="2"/>
  <c r="AC289" i="2"/>
  <c r="AB289" i="2"/>
  <c r="AA289" i="2"/>
  <c r="Z289" i="2"/>
  <c r="Y289" i="2"/>
  <c r="W289" i="2"/>
  <c r="V289" i="2"/>
  <c r="U289" i="2"/>
  <c r="T289" i="2"/>
  <c r="S289" i="2"/>
  <c r="R289" i="2"/>
  <c r="Q289" i="2"/>
  <c r="N289" i="2"/>
  <c r="M289" i="2"/>
  <c r="K289" i="2"/>
  <c r="E289" i="2"/>
  <c r="D289" i="2"/>
  <c r="C289" i="2"/>
  <c r="AC288" i="2"/>
  <c r="AB288" i="2"/>
  <c r="AA288" i="2"/>
  <c r="Z288" i="2"/>
  <c r="Y288" i="2"/>
  <c r="W288" i="2"/>
  <c r="V288" i="2"/>
  <c r="U288" i="2"/>
  <c r="T288" i="2"/>
  <c r="S288" i="2"/>
  <c r="R288" i="2"/>
  <c r="Q288" i="2"/>
  <c r="N288" i="2"/>
  <c r="M288" i="2"/>
  <c r="K288" i="2"/>
  <c r="E288" i="2"/>
  <c r="D288" i="2"/>
  <c r="C288" i="2"/>
  <c r="AC287" i="2"/>
  <c r="AB287" i="2"/>
  <c r="AA287" i="2"/>
  <c r="Z287" i="2"/>
  <c r="Y287" i="2"/>
  <c r="W287" i="2"/>
  <c r="V287" i="2"/>
  <c r="U287" i="2"/>
  <c r="T287" i="2"/>
  <c r="S287" i="2"/>
  <c r="R287" i="2"/>
  <c r="Q287" i="2"/>
  <c r="N287" i="2"/>
  <c r="M287" i="2"/>
  <c r="K287" i="2"/>
  <c r="E287" i="2"/>
  <c r="D287" i="2"/>
  <c r="C287" i="2"/>
  <c r="AC286" i="2"/>
  <c r="AB286" i="2"/>
  <c r="AA286" i="2"/>
  <c r="Z286" i="2"/>
  <c r="Y286" i="2"/>
  <c r="W286" i="2"/>
  <c r="V286" i="2"/>
  <c r="U286" i="2"/>
  <c r="T286" i="2"/>
  <c r="S286" i="2"/>
  <c r="R286" i="2"/>
  <c r="Q286" i="2"/>
  <c r="N286" i="2"/>
  <c r="M286" i="2"/>
  <c r="K286" i="2"/>
  <c r="E286" i="2"/>
  <c r="D286" i="2"/>
  <c r="C286" i="2"/>
  <c r="AC285" i="2"/>
  <c r="AB285" i="2"/>
  <c r="AA285" i="2"/>
  <c r="Z285" i="2"/>
  <c r="Y285" i="2"/>
  <c r="W285" i="2"/>
  <c r="V285" i="2"/>
  <c r="U285" i="2"/>
  <c r="T285" i="2"/>
  <c r="S285" i="2"/>
  <c r="R285" i="2"/>
  <c r="Q285" i="2"/>
  <c r="N285" i="2"/>
  <c r="M285" i="2"/>
  <c r="K285" i="2"/>
  <c r="E285" i="2"/>
  <c r="D285" i="2"/>
  <c r="C285" i="2"/>
  <c r="AC284" i="2"/>
  <c r="AB284" i="2"/>
  <c r="AA284" i="2"/>
  <c r="Z284" i="2"/>
  <c r="Y284" i="2"/>
  <c r="W284" i="2"/>
  <c r="V284" i="2"/>
  <c r="U284" i="2"/>
  <c r="T284" i="2"/>
  <c r="S284" i="2"/>
  <c r="R284" i="2"/>
  <c r="Q284" i="2"/>
  <c r="N284" i="2"/>
  <c r="M284" i="2"/>
  <c r="K284" i="2"/>
  <c r="E284" i="2"/>
  <c r="D284" i="2"/>
  <c r="C284" i="2"/>
  <c r="AC283" i="2"/>
  <c r="AB283" i="2"/>
  <c r="AA283" i="2"/>
  <c r="Z283" i="2"/>
  <c r="Y283" i="2"/>
  <c r="W283" i="2"/>
  <c r="V283" i="2"/>
  <c r="U283" i="2"/>
  <c r="T283" i="2"/>
  <c r="S283" i="2"/>
  <c r="R283" i="2"/>
  <c r="Q283" i="2"/>
  <c r="N283" i="2"/>
  <c r="M283" i="2"/>
  <c r="K283" i="2"/>
  <c r="E283" i="2"/>
  <c r="D283" i="2"/>
  <c r="C283" i="2"/>
  <c r="AC282" i="2"/>
  <c r="AB282" i="2"/>
  <c r="AA282" i="2"/>
  <c r="Z282" i="2"/>
  <c r="Y282" i="2"/>
  <c r="W282" i="2"/>
  <c r="V282" i="2"/>
  <c r="U282" i="2"/>
  <c r="T282" i="2"/>
  <c r="S282" i="2"/>
  <c r="R282" i="2"/>
  <c r="Q282" i="2"/>
  <c r="N282" i="2"/>
  <c r="M282" i="2"/>
  <c r="K282" i="2"/>
  <c r="E282" i="2"/>
  <c r="D282" i="2"/>
  <c r="C282" i="2"/>
  <c r="AC281" i="2"/>
  <c r="AB281" i="2"/>
  <c r="AA281" i="2"/>
  <c r="Z281" i="2"/>
  <c r="Y281" i="2"/>
  <c r="W281" i="2"/>
  <c r="V281" i="2"/>
  <c r="U281" i="2"/>
  <c r="T281" i="2"/>
  <c r="S281" i="2"/>
  <c r="R281" i="2"/>
  <c r="Q281" i="2"/>
  <c r="N281" i="2"/>
  <c r="M281" i="2"/>
  <c r="K281" i="2"/>
  <c r="E281" i="2"/>
  <c r="D281" i="2"/>
  <c r="C281" i="2"/>
  <c r="W280" i="2"/>
  <c r="M280" i="2"/>
  <c r="K280" i="2"/>
  <c r="E280" i="2"/>
  <c r="D280" i="2"/>
  <c r="C280" i="2"/>
  <c r="AC279" i="2"/>
  <c r="AB279" i="2"/>
  <c r="AA279" i="2"/>
  <c r="Z279" i="2"/>
  <c r="Y279" i="2"/>
  <c r="W279" i="2"/>
  <c r="V279" i="2"/>
  <c r="U279" i="2"/>
  <c r="T279" i="2"/>
  <c r="S279" i="2"/>
  <c r="R279" i="2"/>
  <c r="Q279" i="2"/>
  <c r="N279" i="2"/>
  <c r="M279" i="2"/>
  <c r="K279" i="2"/>
  <c r="E279" i="2"/>
  <c r="D279" i="2"/>
  <c r="C279" i="2"/>
  <c r="AC278" i="2"/>
  <c r="AB278" i="2"/>
  <c r="AA278" i="2"/>
  <c r="Z278" i="2"/>
  <c r="Y278" i="2"/>
  <c r="W278" i="2"/>
  <c r="V278" i="2"/>
  <c r="U278" i="2"/>
  <c r="T278" i="2"/>
  <c r="S278" i="2"/>
  <c r="R278" i="2"/>
  <c r="Q278" i="2"/>
  <c r="N278" i="2"/>
  <c r="M278" i="2"/>
  <c r="K278" i="2"/>
  <c r="E278" i="2"/>
  <c r="D278" i="2"/>
  <c r="C278" i="2"/>
  <c r="AC277" i="2"/>
  <c r="AB277" i="2"/>
  <c r="AA277" i="2"/>
  <c r="Z277" i="2"/>
  <c r="Y277" i="2"/>
  <c r="W277" i="2"/>
  <c r="V277" i="2"/>
  <c r="U277" i="2"/>
  <c r="T277" i="2"/>
  <c r="S277" i="2"/>
  <c r="R277" i="2"/>
  <c r="Q277" i="2"/>
  <c r="N277" i="2"/>
  <c r="M277" i="2"/>
  <c r="K277" i="2"/>
  <c r="E277" i="2"/>
  <c r="D277" i="2"/>
  <c r="C277" i="2"/>
  <c r="AC276" i="2"/>
  <c r="AB276" i="2"/>
  <c r="AA276" i="2"/>
  <c r="Z276" i="2"/>
  <c r="Y276" i="2"/>
  <c r="W276" i="2"/>
  <c r="V276" i="2"/>
  <c r="U276" i="2"/>
  <c r="T276" i="2"/>
  <c r="S276" i="2"/>
  <c r="R276" i="2"/>
  <c r="Q276" i="2"/>
  <c r="N276" i="2"/>
  <c r="M276" i="2"/>
  <c r="K276" i="2"/>
  <c r="E276" i="2"/>
  <c r="D276" i="2"/>
  <c r="C276" i="2"/>
  <c r="AC275" i="2"/>
  <c r="AB275" i="2"/>
  <c r="AA275" i="2"/>
  <c r="Z275" i="2"/>
  <c r="Y275" i="2"/>
  <c r="W275" i="2"/>
  <c r="V275" i="2"/>
  <c r="U275" i="2"/>
  <c r="T275" i="2"/>
  <c r="S275" i="2"/>
  <c r="R275" i="2"/>
  <c r="Q275" i="2"/>
  <c r="N275" i="2"/>
  <c r="M275" i="2"/>
  <c r="K275" i="2"/>
  <c r="E275" i="2"/>
  <c r="D275" i="2"/>
  <c r="C275" i="2"/>
  <c r="AC274" i="2"/>
  <c r="AB274" i="2"/>
  <c r="AA274" i="2"/>
  <c r="Z274" i="2"/>
  <c r="Y274" i="2"/>
  <c r="W274" i="2"/>
  <c r="V274" i="2"/>
  <c r="U274" i="2"/>
  <c r="T274" i="2"/>
  <c r="S274" i="2"/>
  <c r="R274" i="2"/>
  <c r="Q274" i="2"/>
  <c r="N274" i="2"/>
  <c r="M274" i="2"/>
  <c r="K274" i="2"/>
  <c r="E274" i="2"/>
  <c r="D274" i="2"/>
  <c r="C274" i="2"/>
  <c r="AC273" i="2"/>
  <c r="AB273" i="2"/>
  <c r="AA273" i="2"/>
  <c r="Z273" i="2"/>
  <c r="Y273" i="2"/>
  <c r="W273" i="2"/>
  <c r="V273" i="2"/>
  <c r="U273" i="2"/>
  <c r="T273" i="2"/>
  <c r="S273" i="2"/>
  <c r="R273" i="2"/>
  <c r="Q273" i="2"/>
  <c r="N273" i="2"/>
  <c r="M273" i="2"/>
  <c r="K273" i="2"/>
  <c r="E273" i="2"/>
  <c r="D273" i="2"/>
  <c r="C273" i="2"/>
  <c r="AC272" i="2"/>
  <c r="AB272" i="2"/>
  <c r="AA272" i="2"/>
  <c r="Z272" i="2"/>
  <c r="Y272" i="2"/>
  <c r="W272" i="2"/>
  <c r="V272" i="2"/>
  <c r="U272" i="2"/>
  <c r="T272" i="2"/>
  <c r="S272" i="2"/>
  <c r="R272" i="2"/>
  <c r="Q272" i="2"/>
  <c r="N272" i="2"/>
  <c r="M272" i="2"/>
  <c r="K272" i="2"/>
  <c r="E272" i="2"/>
  <c r="D272" i="2"/>
  <c r="C272" i="2"/>
  <c r="AC271" i="2"/>
  <c r="AB271" i="2"/>
  <c r="AA271" i="2"/>
  <c r="Z271" i="2"/>
  <c r="Y271" i="2"/>
  <c r="W271" i="2"/>
  <c r="V271" i="2"/>
  <c r="U271" i="2"/>
  <c r="T271" i="2"/>
  <c r="S271" i="2"/>
  <c r="R271" i="2"/>
  <c r="Q271" i="2"/>
  <c r="N271" i="2"/>
  <c r="M271" i="2"/>
  <c r="K271" i="2"/>
  <c r="E271" i="2"/>
  <c r="D271" i="2"/>
  <c r="C271" i="2"/>
  <c r="AC270" i="2"/>
  <c r="AB270" i="2"/>
  <c r="AA270" i="2"/>
  <c r="Z270" i="2"/>
  <c r="Y270" i="2"/>
  <c r="W270" i="2"/>
  <c r="V270" i="2"/>
  <c r="U270" i="2"/>
  <c r="T270" i="2"/>
  <c r="S270" i="2"/>
  <c r="R270" i="2"/>
  <c r="Q270" i="2"/>
  <c r="N270" i="2"/>
  <c r="M270" i="2"/>
  <c r="K270" i="2"/>
  <c r="E270" i="2"/>
  <c r="D270" i="2"/>
  <c r="C270" i="2"/>
  <c r="AC269" i="2"/>
  <c r="AB269" i="2"/>
  <c r="AA269" i="2"/>
  <c r="Z269" i="2"/>
  <c r="Y269" i="2"/>
  <c r="W269" i="2"/>
  <c r="V269" i="2"/>
  <c r="U269" i="2"/>
  <c r="T269" i="2"/>
  <c r="S269" i="2"/>
  <c r="R269" i="2"/>
  <c r="Q269" i="2"/>
  <c r="N269" i="2"/>
  <c r="M269" i="2"/>
  <c r="K269" i="2"/>
  <c r="E269" i="2"/>
  <c r="D269" i="2"/>
  <c r="C269" i="2"/>
  <c r="AC268" i="2"/>
  <c r="AB268" i="2"/>
  <c r="AA268" i="2"/>
  <c r="Z268" i="2"/>
  <c r="Y268" i="2"/>
  <c r="W268" i="2"/>
  <c r="V268" i="2"/>
  <c r="U268" i="2"/>
  <c r="T268" i="2"/>
  <c r="S268" i="2"/>
  <c r="R268" i="2"/>
  <c r="Q268" i="2"/>
  <c r="N268" i="2"/>
  <c r="M268" i="2"/>
  <c r="K268" i="2"/>
  <c r="E268" i="2"/>
  <c r="D268" i="2"/>
  <c r="C268" i="2"/>
  <c r="AC267" i="2"/>
  <c r="AB267" i="2"/>
  <c r="AA267" i="2"/>
  <c r="Z267" i="2"/>
  <c r="Y267" i="2"/>
  <c r="W267" i="2"/>
  <c r="V267" i="2"/>
  <c r="U267" i="2"/>
  <c r="T267" i="2"/>
  <c r="S267" i="2"/>
  <c r="R267" i="2"/>
  <c r="Q267" i="2"/>
  <c r="N267" i="2"/>
  <c r="M267" i="2"/>
  <c r="K267" i="2"/>
  <c r="E267" i="2"/>
  <c r="D267" i="2"/>
  <c r="C267" i="2"/>
  <c r="AC266" i="2"/>
  <c r="AB266" i="2"/>
  <c r="AA266" i="2"/>
  <c r="Z266" i="2"/>
  <c r="Y266" i="2"/>
  <c r="W266" i="2"/>
  <c r="V266" i="2"/>
  <c r="U266" i="2"/>
  <c r="T266" i="2"/>
  <c r="S266" i="2"/>
  <c r="R266" i="2"/>
  <c r="Q266" i="2"/>
  <c r="N266" i="2"/>
  <c r="M266" i="2"/>
  <c r="K266" i="2"/>
  <c r="E266" i="2"/>
  <c r="D266" i="2"/>
  <c r="C266" i="2"/>
  <c r="AC265" i="2"/>
  <c r="AB265" i="2"/>
  <c r="AA265" i="2"/>
  <c r="Z265" i="2"/>
  <c r="Y265" i="2"/>
  <c r="W265" i="2"/>
  <c r="V265" i="2"/>
  <c r="U265" i="2"/>
  <c r="T265" i="2"/>
  <c r="S265" i="2"/>
  <c r="R265" i="2"/>
  <c r="Q265" i="2"/>
  <c r="N265" i="2"/>
  <c r="M265" i="2"/>
  <c r="K265" i="2"/>
  <c r="E265" i="2"/>
  <c r="D265" i="2"/>
  <c r="C265" i="2"/>
  <c r="AC264" i="2"/>
  <c r="AB264" i="2"/>
  <c r="AA264" i="2"/>
  <c r="Z264" i="2"/>
  <c r="Y264" i="2"/>
  <c r="W264" i="2"/>
  <c r="V264" i="2"/>
  <c r="U264" i="2"/>
  <c r="T264" i="2"/>
  <c r="S264" i="2"/>
  <c r="R264" i="2"/>
  <c r="Q264" i="2"/>
  <c r="N264" i="2"/>
  <c r="M264" i="2"/>
  <c r="K264" i="2"/>
  <c r="E264" i="2"/>
  <c r="D264" i="2"/>
  <c r="C264" i="2"/>
  <c r="AC263" i="2"/>
  <c r="AB263" i="2"/>
  <c r="AA263" i="2"/>
  <c r="Z263" i="2"/>
  <c r="Y263" i="2"/>
  <c r="W263" i="2"/>
  <c r="V263" i="2"/>
  <c r="U263" i="2"/>
  <c r="T263" i="2"/>
  <c r="S263" i="2"/>
  <c r="R263" i="2"/>
  <c r="Q263" i="2"/>
  <c r="N263" i="2"/>
  <c r="M263" i="2"/>
  <c r="K263" i="2"/>
  <c r="E263" i="2"/>
  <c r="D263" i="2"/>
  <c r="C263" i="2"/>
  <c r="AC262" i="2"/>
  <c r="AB262" i="2"/>
  <c r="AA262" i="2"/>
  <c r="Z262" i="2"/>
  <c r="Y262" i="2"/>
  <c r="W262" i="2"/>
  <c r="V262" i="2"/>
  <c r="U262" i="2"/>
  <c r="T262" i="2"/>
  <c r="S262" i="2"/>
  <c r="R262" i="2"/>
  <c r="Q262" i="2"/>
  <c r="N262" i="2"/>
  <c r="M262" i="2"/>
  <c r="K262" i="2"/>
  <c r="E262" i="2"/>
  <c r="D262" i="2"/>
  <c r="C262" i="2"/>
  <c r="AC261" i="2"/>
  <c r="AB261" i="2"/>
  <c r="AA261" i="2"/>
  <c r="Z261" i="2"/>
  <c r="Y261" i="2"/>
  <c r="W261" i="2"/>
  <c r="V261" i="2"/>
  <c r="U261" i="2"/>
  <c r="T261" i="2"/>
  <c r="S261" i="2"/>
  <c r="R261" i="2"/>
  <c r="Q261" i="2"/>
  <c r="N261" i="2"/>
  <c r="M261" i="2"/>
  <c r="K261" i="2"/>
  <c r="E261" i="2"/>
  <c r="D261" i="2"/>
  <c r="C261" i="2"/>
  <c r="AC260" i="2"/>
  <c r="AB260" i="2"/>
  <c r="AA260" i="2"/>
  <c r="Z260" i="2"/>
  <c r="Y260" i="2"/>
  <c r="W260" i="2"/>
  <c r="V260" i="2"/>
  <c r="U260" i="2"/>
  <c r="T260" i="2"/>
  <c r="S260" i="2"/>
  <c r="R260" i="2"/>
  <c r="Q260" i="2"/>
  <c r="N260" i="2"/>
  <c r="M260" i="2"/>
  <c r="K260" i="2"/>
  <c r="E260" i="2"/>
  <c r="D260" i="2"/>
  <c r="C260" i="2"/>
  <c r="AC259" i="2"/>
  <c r="AB259" i="2"/>
  <c r="AA259" i="2"/>
  <c r="Z259" i="2"/>
  <c r="Y259" i="2"/>
  <c r="W259" i="2"/>
  <c r="V259" i="2"/>
  <c r="U259" i="2"/>
  <c r="T259" i="2"/>
  <c r="S259" i="2"/>
  <c r="R259" i="2"/>
  <c r="Q259" i="2"/>
  <c r="N259" i="2"/>
  <c r="M259" i="2"/>
  <c r="K259" i="2"/>
  <c r="E259" i="2"/>
  <c r="D259" i="2"/>
  <c r="C259" i="2"/>
  <c r="AC258" i="2"/>
  <c r="AB258" i="2"/>
  <c r="AA258" i="2"/>
  <c r="Z258" i="2"/>
  <c r="Y258" i="2"/>
  <c r="W258" i="2"/>
  <c r="V258" i="2"/>
  <c r="U258" i="2"/>
  <c r="T258" i="2"/>
  <c r="S258" i="2"/>
  <c r="R258" i="2"/>
  <c r="Q258" i="2"/>
  <c r="N258" i="2"/>
  <c r="M258" i="2"/>
  <c r="K258" i="2"/>
  <c r="E258" i="2"/>
  <c r="D258" i="2"/>
  <c r="C258" i="2"/>
  <c r="AC257" i="2"/>
  <c r="AB257" i="2"/>
  <c r="AA257" i="2"/>
  <c r="Z257" i="2"/>
  <c r="Y257" i="2"/>
  <c r="W257" i="2"/>
  <c r="V257" i="2"/>
  <c r="U257" i="2"/>
  <c r="T257" i="2"/>
  <c r="S257" i="2"/>
  <c r="R257" i="2"/>
  <c r="Q257" i="2"/>
  <c r="N257" i="2"/>
  <c r="M257" i="2"/>
  <c r="K257" i="2"/>
  <c r="E257" i="2"/>
  <c r="D257" i="2"/>
  <c r="C257" i="2"/>
  <c r="AC256" i="2"/>
  <c r="AB256" i="2"/>
  <c r="AA256" i="2"/>
  <c r="Z256" i="2"/>
  <c r="Y256" i="2"/>
  <c r="W256" i="2"/>
  <c r="V256" i="2"/>
  <c r="U256" i="2"/>
  <c r="T256" i="2"/>
  <c r="S256" i="2"/>
  <c r="R256" i="2"/>
  <c r="Q256" i="2"/>
  <c r="N256" i="2"/>
  <c r="M256" i="2"/>
  <c r="K256" i="2"/>
  <c r="E256" i="2"/>
  <c r="D256" i="2"/>
  <c r="C256" i="2"/>
  <c r="AC255" i="2"/>
  <c r="AB255" i="2"/>
  <c r="AA255" i="2"/>
  <c r="Z255" i="2"/>
  <c r="Y255" i="2"/>
  <c r="W255" i="2"/>
  <c r="V255" i="2"/>
  <c r="U255" i="2"/>
  <c r="T255" i="2"/>
  <c r="S255" i="2"/>
  <c r="R255" i="2"/>
  <c r="Q255" i="2"/>
  <c r="N255" i="2"/>
  <c r="M255" i="2"/>
  <c r="K255" i="2"/>
  <c r="E255" i="2"/>
  <c r="D255" i="2"/>
  <c r="C255" i="2"/>
  <c r="AC254" i="2"/>
  <c r="AB254" i="2"/>
  <c r="AA254" i="2"/>
  <c r="Z254" i="2"/>
  <c r="Y254" i="2"/>
  <c r="W254" i="2"/>
  <c r="V254" i="2"/>
  <c r="U254" i="2"/>
  <c r="T254" i="2"/>
  <c r="S254" i="2"/>
  <c r="R254" i="2"/>
  <c r="Q254" i="2"/>
  <c r="N254" i="2"/>
  <c r="M254" i="2"/>
  <c r="K254" i="2"/>
  <c r="E254" i="2"/>
  <c r="D254" i="2"/>
  <c r="C254" i="2"/>
  <c r="AC253" i="2"/>
  <c r="AB253" i="2"/>
  <c r="AA253" i="2"/>
  <c r="Z253" i="2"/>
  <c r="Y253" i="2"/>
  <c r="W253" i="2"/>
  <c r="V253" i="2"/>
  <c r="U253" i="2"/>
  <c r="T253" i="2"/>
  <c r="S253" i="2"/>
  <c r="R253" i="2"/>
  <c r="Q253" i="2"/>
  <c r="N253" i="2"/>
  <c r="M253" i="2"/>
  <c r="K253" i="2"/>
  <c r="E253" i="2"/>
  <c r="D253" i="2"/>
  <c r="C253" i="2"/>
  <c r="AC252" i="2"/>
  <c r="AB252" i="2"/>
  <c r="AA252" i="2"/>
  <c r="Z252" i="2"/>
  <c r="Y252" i="2"/>
  <c r="W252" i="2"/>
  <c r="V252" i="2"/>
  <c r="U252" i="2"/>
  <c r="T252" i="2"/>
  <c r="S252" i="2"/>
  <c r="R252" i="2"/>
  <c r="Q252" i="2"/>
  <c r="N252" i="2"/>
  <c r="M252" i="2"/>
  <c r="K252" i="2"/>
  <c r="E252" i="2"/>
  <c r="D252" i="2"/>
  <c r="C252" i="2"/>
  <c r="AC251" i="2"/>
  <c r="AB251" i="2"/>
  <c r="AA251" i="2"/>
  <c r="Z251" i="2"/>
  <c r="Y251" i="2"/>
  <c r="W251" i="2"/>
  <c r="V251" i="2"/>
  <c r="U251" i="2"/>
  <c r="T251" i="2"/>
  <c r="S251" i="2"/>
  <c r="R251" i="2"/>
  <c r="Q251" i="2"/>
  <c r="N251" i="2"/>
  <c r="M251" i="2"/>
  <c r="K251" i="2"/>
  <c r="E251" i="2"/>
  <c r="D251" i="2"/>
  <c r="C251" i="2"/>
  <c r="AC250" i="2"/>
  <c r="AB250" i="2"/>
  <c r="AA250" i="2"/>
  <c r="Z250" i="2"/>
  <c r="Y250" i="2"/>
  <c r="W250" i="2"/>
  <c r="V250" i="2"/>
  <c r="U250" i="2"/>
  <c r="T250" i="2"/>
  <c r="S250" i="2"/>
  <c r="R250" i="2"/>
  <c r="Q250" i="2"/>
  <c r="N250" i="2"/>
  <c r="M250" i="2"/>
  <c r="K250" i="2"/>
  <c r="E250" i="2"/>
  <c r="D250" i="2"/>
  <c r="C250" i="2"/>
  <c r="AC249" i="2"/>
  <c r="AB249" i="2"/>
  <c r="AA249" i="2"/>
  <c r="Z249" i="2"/>
  <c r="Y249" i="2"/>
  <c r="W249" i="2"/>
  <c r="V249" i="2"/>
  <c r="U249" i="2"/>
  <c r="T249" i="2"/>
  <c r="S249" i="2"/>
  <c r="R249" i="2"/>
  <c r="Q249" i="2"/>
  <c r="N249" i="2"/>
  <c r="M249" i="2"/>
  <c r="K249" i="2"/>
  <c r="E249" i="2"/>
  <c r="D249" i="2"/>
  <c r="C249" i="2"/>
  <c r="AC248" i="2"/>
  <c r="AB248" i="2"/>
  <c r="AA248" i="2"/>
  <c r="Z248" i="2"/>
  <c r="Y248" i="2"/>
  <c r="W248" i="2"/>
  <c r="V248" i="2"/>
  <c r="U248" i="2"/>
  <c r="T248" i="2"/>
  <c r="S248" i="2"/>
  <c r="R248" i="2"/>
  <c r="Q248" i="2"/>
  <c r="N248" i="2"/>
  <c r="M248" i="2"/>
  <c r="K248" i="2"/>
  <c r="E248" i="2"/>
  <c r="D248" i="2"/>
  <c r="C248" i="2"/>
  <c r="AC247" i="2"/>
  <c r="AB247" i="2"/>
  <c r="AA247" i="2"/>
  <c r="Z247" i="2"/>
  <c r="Y247" i="2"/>
  <c r="W247" i="2"/>
  <c r="V247" i="2"/>
  <c r="U247" i="2"/>
  <c r="T247" i="2"/>
  <c r="S247" i="2"/>
  <c r="R247" i="2"/>
  <c r="Q247" i="2"/>
  <c r="N247" i="2"/>
  <c r="M247" i="2"/>
  <c r="K247" i="2"/>
  <c r="E247" i="2"/>
  <c r="D247" i="2"/>
  <c r="C247" i="2"/>
  <c r="AC246" i="2"/>
  <c r="AB246" i="2"/>
  <c r="AA246" i="2"/>
  <c r="Z246" i="2"/>
  <c r="Y246" i="2"/>
  <c r="W246" i="2"/>
  <c r="V246" i="2"/>
  <c r="U246" i="2"/>
  <c r="T246" i="2"/>
  <c r="S246" i="2"/>
  <c r="R246" i="2"/>
  <c r="Q246" i="2"/>
  <c r="N246" i="2"/>
  <c r="M246" i="2"/>
  <c r="K246" i="2"/>
  <c r="E246" i="2"/>
  <c r="D246" i="2"/>
  <c r="C246" i="2"/>
  <c r="AC245" i="2"/>
  <c r="AB245" i="2"/>
  <c r="AA245" i="2"/>
  <c r="Z245" i="2"/>
  <c r="Y245" i="2"/>
  <c r="W245" i="2"/>
  <c r="V245" i="2"/>
  <c r="U245" i="2"/>
  <c r="T245" i="2"/>
  <c r="S245" i="2"/>
  <c r="R245" i="2"/>
  <c r="Q245" i="2"/>
  <c r="N245" i="2"/>
  <c r="M245" i="2"/>
  <c r="K245" i="2"/>
  <c r="E245" i="2"/>
  <c r="D245" i="2"/>
  <c r="C245" i="2"/>
  <c r="AC244" i="2"/>
  <c r="AB244" i="2"/>
  <c r="AA244" i="2"/>
  <c r="Z244" i="2"/>
  <c r="Y244" i="2"/>
  <c r="W244" i="2"/>
  <c r="V244" i="2"/>
  <c r="U244" i="2"/>
  <c r="T244" i="2"/>
  <c r="S244" i="2"/>
  <c r="R244" i="2"/>
  <c r="Q244" i="2"/>
  <c r="N244" i="2"/>
  <c r="M244" i="2"/>
  <c r="K244" i="2"/>
  <c r="E244" i="2"/>
  <c r="D244" i="2"/>
  <c r="C244" i="2"/>
  <c r="AC243" i="2"/>
  <c r="AB243" i="2"/>
  <c r="AA243" i="2"/>
  <c r="Z243" i="2"/>
  <c r="Y243" i="2"/>
  <c r="W243" i="2"/>
  <c r="V243" i="2"/>
  <c r="U243" i="2"/>
  <c r="T243" i="2"/>
  <c r="S243" i="2"/>
  <c r="R243" i="2"/>
  <c r="Q243" i="2"/>
  <c r="N243" i="2"/>
  <c r="M243" i="2"/>
  <c r="K243" i="2"/>
  <c r="E243" i="2"/>
  <c r="D243" i="2"/>
  <c r="C243" i="2"/>
  <c r="AC242" i="2"/>
  <c r="AB242" i="2"/>
  <c r="AA242" i="2"/>
  <c r="Z242" i="2"/>
  <c r="Y242" i="2"/>
  <c r="W242" i="2"/>
  <c r="V242" i="2"/>
  <c r="U242" i="2"/>
  <c r="T242" i="2"/>
  <c r="S242" i="2"/>
  <c r="R242" i="2"/>
  <c r="Q242" i="2"/>
  <c r="N242" i="2"/>
  <c r="M242" i="2"/>
  <c r="K242" i="2"/>
  <c r="E242" i="2"/>
  <c r="D242" i="2"/>
  <c r="C242" i="2"/>
  <c r="AC241" i="2"/>
  <c r="AB241" i="2"/>
  <c r="AA241" i="2"/>
  <c r="Z241" i="2"/>
  <c r="Y241" i="2"/>
  <c r="W241" i="2"/>
  <c r="V241" i="2"/>
  <c r="U241" i="2"/>
  <c r="T241" i="2"/>
  <c r="S241" i="2"/>
  <c r="R241" i="2"/>
  <c r="Q241" i="2"/>
  <c r="N241" i="2"/>
  <c r="M241" i="2"/>
  <c r="K241" i="2"/>
  <c r="E241" i="2"/>
  <c r="D241" i="2"/>
  <c r="C241" i="2"/>
  <c r="AC240" i="2"/>
  <c r="AB240" i="2"/>
  <c r="AA240" i="2"/>
  <c r="Z240" i="2"/>
  <c r="Y240" i="2"/>
  <c r="W240" i="2"/>
  <c r="V240" i="2"/>
  <c r="U240" i="2"/>
  <c r="T240" i="2"/>
  <c r="S240" i="2"/>
  <c r="R240" i="2"/>
  <c r="Q240" i="2"/>
  <c r="N240" i="2"/>
  <c r="M240" i="2"/>
  <c r="K240" i="2"/>
  <c r="E240" i="2"/>
  <c r="D240" i="2"/>
  <c r="C240" i="2"/>
  <c r="AC239" i="2"/>
  <c r="AB239" i="2"/>
  <c r="AA239" i="2"/>
  <c r="Z239" i="2"/>
  <c r="Y239" i="2"/>
  <c r="W239" i="2"/>
  <c r="V239" i="2"/>
  <c r="U239" i="2"/>
  <c r="T239" i="2"/>
  <c r="S239" i="2"/>
  <c r="R239" i="2"/>
  <c r="Q239" i="2"/>
  <c r="N239" i="2"/>
  <c r="M239" i="2"/>
  <c r="K239" i="2"/>
  <c r="E239" i="2"/>
  <c r="D239" i="2"/>
  <c r="C239" i="2"/>
  <c r="AC238" i="2"/>
  <c r="AB238" i="2"/>
  <c r="AA238" i="2"/>
  <c r="Z238" i="2"/>
  <c r="Y238" i="2"/>
  <c r="W238" i="2"/>
  <c r="V238" i="2"/>
  <c r="U238" i="2"/>
  <c r="T238" i="2"/>
  <c r="S238" i="2"/>
  <c r="R238" i="2"/>
  <c r="Q238" i="2"/>
  <c r="N238" i="2"/>
  <c r="M238" i="2"/>
  <c r="K238" i="2"/>
  <c r="E238" i="2"/>
  <c r="D238" i="2"/>
  <c r="C238" i="2"/>
  <c r="AC237" i="2"/>
  <c r="AB237" i="2"/>
  <c r="AA237" i="2"/>
  <c r="Z237" i="2"/>
  <c r="Y237" i="2"/>
  <c r="W237" i="2"/>
  <c r="V237" i="2"/>
  <c r="U237" i="2"/>
  <c r="T237" i="2"/>
  <c r="S237" i="2"/>
  <c r="R237" i="2"/>
  <c r="Q237" i="2"/>
  <c r="N237" i="2"/>
  <c r="M237" i="2"/>
  <c r="K237" i="2"/>
  <c r="E237" i="2"/>
  <c r="D237" i="2"/>
  <c r="C237" i="2"/>
  <c r="AC236" i="2"/>
  <c r="AB236" i="2"/>
  <c r="AA236" i="2"/>
  <c r="Z236" i="2"/>
  <c r="Y236" i="2"/>
  <c r="W236" i="2"/>
  <c r="V236" i="2"/>
  <c r="U236" i="2"/>
  <c r="T236" i="2"/>
  <c r="S236" i="2"/>
  <c r="R236" i="2"/>
  <c r="Q236" i="2"/>
  <c r="N236" i="2"/>
  <c r="M236" i="2"/>
  <c r="K236" i="2"/>
  <c r="E236" i="2"/>
  <c r="D236" i="2"/>
  <c r="C236" i="2"/>
  <c r="AC235" i="2"/>
  <c r="AB235" i="2"/>
  <c r="AA235" i="2"/>
  <c r="Z235" i="2"/>
  <c r="Y235" i="2"/>
  <c r="W235" i="2"/>
  <c r="V235" i="2"/>
  <c r="U235" i="2"/>
  <c r="T235" i="2"/>
  <c r="S235" i="2"/>
  <c r="R235" i="2"/>
  <c r="Q235" i="2"/>
  <c r="N235" i="2"/>
  <c r="M235" i="2"/>
  <c r="K235" i="2"/>
  <c r="E235" i="2"/>
  <c r="D235" i="2"/>
  <c r="C235" i="2"/>
  <c r="AC234" i="2"/>
  <c r="AB234" i="2"/>
  <c r="AA234" i="2"/>
  <c r="Z234" i="2"/>
  <c r="Y234" i="2"/>
  <c r="W234" i="2"/>
  <c r="V234" i="2"/>
  <c r="U234" i="2"/>
  <c r="T234" i="2"/>
  <c r="S234" i="2"/>
  <c r="R234" i="2"/>
  <c r="Q234" i="2"/>
  <c r="N234" i="2"/>
  <c r="M234" i="2"/>
  <c r="K234" i="2"/>
  <c r="E234" i="2"/>
  <c r="D234" i="2"/>
  <c r="C234" i="2"/>
  <c r="AB233" i="2"/>
  <c r="Z233" i="2"/>
  <c r="Y233" i="2"/>
  <c r="X233" i="2"/>
  <c r="W233" i="2"/>
  <c r="U233" i="2"/>
  <c r="T233" i="2"/>
  <c r="S233" i="2"/>
  <c r="R233" i="2"/>
  <c r="Q233" i="2"/>
  <c r="P233" i="2"/>
  <c r="O233" i="2"/>
  <c r="N233" i="2"/>
  <c r="M233" i="2"/>
  <c r="L233" i="2"/>
  <c r="K233" i="2"/>
  <c r="E233" i="2"/>
  <c r="D233" i="2"/>
  <c r="C233" i="2"/>
  <c r="AB232" i="2"/>
  <c r="Z232" i="2"/>
  <c r="Y232" i="2"/>
  <c r="W232" i="2"/>
  <c r="U232" i="2"/>
  <c r="T232" i="2"/>
  <c r="S232" i="2"/>
  <c r="R232" i="2"/>
  <c r="Q232" i="2"/>
  <c r="P232" i="2"/>
  <c r="O232" i="2"/>
  <c r="N232" i="2"/>
  <c r="M232" i="2"/>
  <c r="L232" i="2"/>
  <c r="K232" i="2"/>
  <c r="E232" i="2"/>
  <c r="D232" i="2"/>
  <c r="C232" i="2"/>
  <c r="AB231" i="2"/>
  <c r="Z231" i="2"/>
  <c r="Y231" i="2"/>
  <c r="W231" i="2"/>
  <c r="U231" i="2"/>
  <c r="T231" i="2"/>
  <c r="S231" i="2"/>
  <c r="R231" i="2"/>
  <c r="Q231" i="2"/>
  <c r="P231" i="2"/>
  <c r="O231" i="2"/>
  <c r="N231" i="2"/>
  <c r="M231" i="2"/>
  <c r="L231" i="2"/>
  <c r="K231" i="2"/>
  <c r="E231" i="2"/>
  <c r="D231" i="2"/>
  <c r="C231" i="2"/>
  <c r="AB230" i="2"/>
  <c r="Z230" i="2"/>
  <c r="Y230" i="2"/>
  <c r="W230" i="2"/>
  <c r="U230" i="2"/>
  <c r="T230" i="2"/>
  <c r="S230" i="2"/>
  <c r="R230" i="2"/>
  <c r="Q230" i="2"/>
  <c r="P230" i="2"/>
  <c r="O230" i="2"/>
  <c r="N230" i="2"/>
  <c r="M230" i="2"/>
  <c r="L230" i="2"/>
  <c r="K230" i="2"/>
  <c r="E230" i="2"/>
  <c r="D230" i="2"/>
  <c r="C230" i="2"/>
  <c r="AB229" i="2"/>
  <c r="Z229" i="2"/>
  <c r="Y229" i="2"/>
  <c r="W229" i="2"/>
  <c r="U229" i="2"/>
  <c r="T229" i="2"/>
  <c r="S229" i="2"/>
  <c r="R229" i="2"/>
  <c r="Q229" i="2"/>
  <c r="P229" i="2"/>
  <c r="O229" i="2"/>
  <c r="N229" i="2"/>
  <c r="M229" i="2"/>
  <c r="L229" i="2"/>
  <c r="K229" i="2"/>
  <c r="E229" i="2"/>
  <c r="D229" i="2"/>
  <c r="C229" i="2"/>
  <c r="AB228" i="2"/>
  <c r="Z228" i="2"/>
  <c r="Y228" i="2"/>
  <c r="W228" i="2"/>
  <c r="U228" i="2"/>
  <c r="T228" i="2"/>
  <c r="S228" i="2"/>
  <c r="R228" i="2"/>
  <c r="Q228" i="2"/>
  <c r="P228" i="2"/>
  <c r="O228" i="2"/>
  <c r="N228" i="2"/>
  <c r="M228" i="2"/>
  <c r="L228" i="2"/>
  <c r="K228" i="2"/>
  <c r="E228" i="2"/>
  <c r="D228" i="2"/>
  <c r="C228" i="2"/>
  <c r="AB227" i="2"/>
  <c r="Z227" i="2"/>
  <c r="Y227" i="2"/>
  <c r="W227" i="2"/>
  <c r="U227" i="2"/>
  <c r="T227" i="2"/>
  <c r="S227" i="2"/>
  <c r="R227" i="2"/>
  <c r="Q227" i="2"/>
  <c r="P227" i="2"/>
  <c r="O227" i="2"/>
  <c r="N227" i="2"/>
  <c r="M227" i="2"/>
  <c r="L227" i="2"/>
  <c r="K227" i="2"/>
  <c r="E227" i="2"/>
  <c r="D227" i="2"/>
  <c r="C227" i="2"/>
  <c r="AB226" i="2"/>
  <c r="Z226" i="2"/>
  <c r="Y226" i="2"/>
  <c r="W226" i="2"/>
  <c r="U226" i="2"/>
  <c r="T226" i="2"/>
  <c r="S226" i="2"/>
  <c r="R226" i="2"/>
  <c r="Q226" i="2"/>
  <c r="P226" i="2"/>
  <c r="O226" i="2"/>
  <c r="N226" i="2"/>
  <c r="M226" i="2"/>
  <c r="L226" i="2"/>
  <c r="K226" i="2"/>
  <c r="E226" i="2"/>
  <c r="D226" i="2"/>
  <c r="C226" i="2"/>
  <c r="AB225" i="2"/>
  <c r="Z225" i="2"/>
  <c r="Y225" i="2"/>
  <c r="W225" i="2"/>
  <c r="U225" i="2"/>
  <c r="T225" i="2"/>
  <c r="S225" i="2"/>
  <c r="R225" i="2"/>
  <c r="Q225" i="2"/>
  <c r="P225" i="2"/>
  <c r="O225" i="2"/>
  <c r="N225" i="2"/>
  <c r="M225" i="2"/>
  <c r="L225" i="2"/>
  <c r="K225" i="2"/>
  <c r="E225" i="2"/>
  <c r="D225" i="2"/>
  <c r="C225" i="2"/>
  <c r="AB224" i="2"/>
  <c r="Z224" i="2"/>
  <c r="Y224" i="2"/>
  <c r="W224" i="2"/>
  <c r="U224" i="2"/>
  <c r="T224" i="2"/>
  <c r="S224" i="2"/>
  <c r="R224" i="2"/>
  <c r="Q224" i="2"/>
  <c r="P224" i="2"/>
  <c r="O224" i="2"/>
  <c r="N224" i="2"/>
  <c r="M224" i="2"/>
  <c r="L224" i="2"/>
  <c r="K224" i="2"/>
  <c r="E224" i="2"/>
  <c r="D224" i="2"/>
  <c r="C224" i="2"/>
  <c r="AB223" i="2"/>
  <c r="Z223" i="2"/>
  <c r="Y223" i="2"/>
  <c r="W223" i="2"/>
  <c r="U223" i="2"/>
  <c r="T223" i="2"/>
  <c r="S223" i="2"/>
  <c r="R223" i="2"/>
  <c r="Q223" i="2"/>
  <c r="P223" i="2"/>
  <c r="O223" i="2"/>
  <c r="N223" i="2"/>
  <c r="M223" i="2"/>
  <c r="L223" i="2"/>
  <c r="K223" i="2"/>
  <c r="E223" i="2"/>
  <c r="D223" i="2"/>
  <c r="C223" i="2"/>
  <c r="AB222" i="2"/>
  <c r="Z222" i="2"/>
  <c r="Y222" i="2"/>
  <c r="W222" i="2"/>
  <c r="U222" i="2"/>
  <c r="T222" i="2"/>
  <c r="S222" i="2"/>
  <c r="R222" i="2"/>
  <c r="Q222" i="2"/>
  <c r="P222" i="2"/>
  <c r="O222" i="2"/>
  <c r="N222" i="2"/>
  <c r="M222" i="2"/>
  <c r="L222" i="2"/>
  <c r="K222" i="2"/>
  <c r="E222" i="2"/>
  <c r="D222" i="2"/>
  <c r="C222" i="2"/>
  <c r="AB221" i="2"/>
  <c r="Z221" i="2"/>
  <c r="Y221" i="2"/>
  <c r="W221" i="2"/>
  <c r="U221" i="2"/>
  <c r="T221" i="2"/>
  <c r="S221" i="2"/>
  <c r="R221" i="2"/>
  <c r="Q221" i="2"/>
  <c r="P221" i="2"/>
  <c r="O221" i="2"/>
  <c r="N221" i="2"/>
  <c r="M221" i="2"/>
  <c r="L221" i="2"/>
  <c r="K221" i="2"/>
  <c r="E221" i="2"/>
  <c r="D221" i="2"/>
  <c r="C221" i="2"/>
  <c r="AB220" i="2"/>
  <c r="Z220" i="2"/>
  <c r="Y220" i="2"/>
  <c r="W220" i="2"/>
  <c r="U220" i="2"/>
  <c r="T220" i="2"/>
  <c r="S220" i="2"/>
  <c r="R220" i="2"/>
  <c r="Q220" i="2"/>
  <c r="P220" i="2"/>
  <c r="O220" i="2"/>
  <c r="N220" i="2"/>
  <c r="M220" i="2"/>
  <c r="L220" i="2"/>
  <c r="K220" i="2"/>
  <c r="E220" i="2"/>
  <c r="D220" i="2"/>
  <c r="C220" i="2"/>
  <c r="AB219" i="2"/>
  <c r="Z219" i="2"/>
  <c r="Y219" i="2"/>
  <c r="W219" i="2"/>
  <c r="U219" i="2"/>
  <c r="T219" i="2"/>
  <c r="S219" i="2"/>
  <c r="R219" i="2"/>
  <c r="Q219" i="2"/>
  <c r="P219" i="2"/>
  <c r="O219" i="2"/>
  <c r="N219" i="2"/>
  <c r="M219" i="2"/>
  <c r="L219" i="2"/>
  <c r="K219" i="2"/>
  <c r="E219" i="2"/>
  <c r="D219" i="2"/>
  <c r="C219" i="2"/>
  <c r="AB218" i="2"/>
  <c r="Z218" i="2"/>
  <c r="Y218" i="2"/>
  <c r="W218" i="2"/>
  <c r="U218" i="2"/>
  <c r="T218" i="2"/>
  <c r="S218" i="2"/>
  <c r="R218" i="2"/>
  <c r="Q218" i="2"/>
  <c r="P218" i="2"/>
  <c r="O218" i="2"/>
  <c r="N218" i="2"/>
  <c r="M218" i="2"/>
  <c r="L218" i="2"/>
  <c r="K218" i="2"/>
  <c r="E218" i="2"/>
  <c r="D218" i="2"/>
  <c r="C218" i="2"/>
  <c r="AB217" i="2"/>
  <c r="Z217" i="2"/>
  <c r="Y217" i="2"/>
  <c r="W217" i="2"/>
  <c r="U217" i="2"/>
  <c r="T217" i="2"/>
  <c r="S217" i="2"/>
  <c r="R217" i="2"/>
  <c r="Q217" i="2"/>
  <c r="P217" i="2"/>
  <c r="O217" i="2"/>
  <c r="N217" i="2"/>
  <c r="M217" i="2"/>
  <c r="L217" i="2"/>
  <c r="K217" i="2"/>
  <c r="E217" i="2"/>
  <c r="D217" i="2"/>
  <c r="C217" i="2"/>
  <c r="AB216" i="2"/>
  <c r="Z216" i="2"/>
  <c r="Y216" i="2"/>
  <c r="W216" i="2"/>
  <c r="U216" i="2"/>
  <c r="T216" i="2"/>
  <c r="S216" i="2"/>
  <c r="R216" i="2"/>
  <c r="Q216" i="2"/>
  <c r="P216" i="2"/>
  <c r="O216" i="2"/>
  <c r="N216" i="2"/>
  <c r="M216" i="2"/>
  <c r="L216" i="2"/>
  <c r="K216" i="2"/>
  <c r="E216" i="2"/>
  <c r="D216" i="2"/>
  <c r="C216" i="2"/>
  <c r="AB215" i="2"/>
  <c r="Z215" i="2"/>
  <c r="Y215" i="2"/>
  <c r="W215" i="2"/>
  <c r="U215" i="2"/>
  <c r="T215" i="2"/>
  <c r="S215" i="2"/>
  <c r="R215" i="2"/>
  <c r="Q215" i="2"/>
  <c r="P215" i="2"/>
  <c r="O215" i="2"/>
  <c r="N215" i="2"/>
  <c r="M215" i="2"/>
  <c r="L215" i="2"/>
  <c r="K215" i="2"/>
  <c r="E215" i="2"/>
  <c r="D215" i="2"/>
  <c r="C215" i="2"/>
  <c r="AB214" i="2"/>
  <c r="Z214" i="2"/>
  <c r="Y214" i="2"/>
  <c r="W214" i="2"/>
  <c r="U214" i="2"/>
  <c r="T214" i="2"/>
  <c r="S214" i="2"/>
  <c r="R214" i="2"/>
  <c r="Q214" i="2"/>
  <c r="P214" i="2"/>
  <c r="O214" i="2"/>
  <c r="N214" i="2"/>
  <c r="M214" i="2"/>
  <c r="L214" i="2"/>
  <c r="K214" i="2"/>
  <c r="E214" i="2"/>
  <c r="D214" i="2"/>
  <c r="C214" i="2"/>
  <c r="AB213" i="2"/>
  <c r="Z213" i="2"/>
  <c r="Y213" i="2"/>
  <c r="W213" i="2"/>
  <c r="U213" i="2"/>
  <c r="T213" i="2"/>
  <c r="S213" i="2"/>
  <c r="R213" i="2"/>
  <c r="Q213" i="2"/>
  <c r="P213" i="2"/>
  <c r="O213" i="2"/>
  <c r="N213" i="2"/>
  <c r="M213" i="2"/>
  <c r="L213" i="2"/>
  <c r="K213" i="2"/>
  <c r="E213" i="2"/>
  <c r="D213" i="2"/>
  <c r="C213" i="2"/>
  <c r="AB212" i="2"/>
  <c r="Z212" i="2"/>
  <c r="Y212" i="2"/>
  <c r="W212" i="2"/>
  <c r="U212" i="2"/>
  <c r="T212" i="2"/>
  <c r="S212" i="2"/>
  <c r="R212" i="2"/>
  <c r="Q212" i="2"/>
  <c r="P212" i="2"/>
  <c r="O212" i="2"/>
  <c r="N212" i="2"/>
  <c r="M212" i="2"/>
  <c r="L212" i="2"/>
  <c r="K212" i="2"/>
  <c r="E212" i="2"/>
  <c r="D212" i="2"/>
  <c r="C212" i="2"/>
  <c r="AB211" i="2"/>
  <c r="Z211" i="2"/>
  <c r="Y211" i="2"/>
  <c r="W211" i="2"/>
  <c r="U211" i="2"/>
  <c r="T211" i="2"/>
  <c r="S211" i="2"/>
  <c r="R211" i="2"/>
  <c r="Q211" i="2"/>
  <c r="P211" i="2"/>
  <c r="O211" i="2"/>
  <c r="N211" i="2"/>
  <c r="M211" i="2"/>
  <c r="L211" i="2"/>
  <c r="K211" i="2"/>
  <c r="E211" i="2"/>
  <c r="D211" i="2"/>
  <c r="C211" i="2"/>
  <c r="AB210" i="2"/>
  <c r="Z210" i="2"/>
  <c r="Y210" i="2"/>
  <c r="W210" i="2"/>
  <c r="U210" i="2"/>
  <c r="T210" i="2"/>
  <c r="S210" i="2"/>
  <c r="R210" i="2"/>
  <c r="Q210" i="2"/>
  <c r="P210" i="2"/>
  <c r="O210" i="2"/>
  <c r="N210" i="2"/>
  <c r="M210" i="2"/>
  <c r="L210" i="2"/>
  <c r="K210" i="2"/>
  <c r="E210" i="2"/>
  <c r="D210" i="2"/>
  <c r="C210" i="2"/>
  <c r="AB209" i="2"/>
  <c r="Z209" i="2"/>
  <c r="Y209" i="2"/>
  <c r="W209" i="2"/>
  <c r="U209" i="2"/>
  <c r="T209" i="2"/>
  <c r="S209" i="2"/>
  <c r="R209" i="2"/>
  <c r="Q209" i="2"/>
  <c r="P209" i="2"/>
  <c r="O209" i="2"/>
  <c r="N209" i="2"/>
  <c r="M209" i="2"/>
  <c r="L209" i="2"/>
  <c r="K209" i="2"/>
  <c r="E209" i="2"/>
  <c r="D209" i="2"/>
  <c r="C209" i="2"/>
  <c r="AB208" i="2"/>
  <c r="Z208" i="2"/>
  <c r="Y208" i="2"/>
  <c r="W208" i="2"/>
  <c r="U208" i="2"/>
  <c r="T208" i="2"/>
  <c r="S208" i="2"/>
  <c r="R208" i="2"/>
  <c r="Q208" i="2"/>
  <c r="P208" i="2"/>
  <c r="O208" i="2"/>
  <c r="N208" i="2"/>
  <c r="M208" i="2"/>
  <c r="L208" i="2"/>
  <c r="K208" i="2"/>
  <c r="E208" i="2"/>
  <c r="D208" i="2"/>
  <c r="C208" i="2"/>
  <c r="AB207" i="2"/>
  <c r="Z207" i="2"/>
  <c r="Y207" i="2"/>
  <c r="W207" i="2"/>
  <c r="U207" i="2"/>
  <c r="T207" i="2"/>
  <c r="S207" i="2"/>
  <c r="R207" i="2"/>
  <c r="Q207" i="2"/>
  <c r="P207" i="2"/>
  <c r="O207" i="2"/>
  <c r="N207" i="2"/>
  <c r="M207" i="2"/>
  <c r="L207" i="2"/>
  <c r="K207" i="2"/>
  <c r="E207" i="2"/>
  <c r="D207" i="2"/>
  <c r="C207" i="2"/>
  <c r="AB206" i="2"/>
  <c r="Z206" i="2"/>
  <c r="Y206" i="2"/>
  <c r="W206" i="2"/>
  <c r="U206" i="2"/>
  <c r="T206" i="2"/>
  <c r="S206" i="2"/>
  <c r="R206" i="2"/>
  <c r="Q206" i="2"/>
  <c r="P206" i="2"/>
  <c r="O206" i="2"/>
  <c r="N206" i="2"/>
  <c r="M206" i="2"/>
  <c r="L206" i="2"/>
  <c r="K206" i="2"/>
  <c r="E206" i="2"/>
  <c r="D206" i="2"/>
  <c r="C206" i="2"/>
  <c r="AB205" i="2"/>
  <c r="Z205" i="2"/>
  <c r="Y205" i="2"/>
  <c r="W205" i="2"/>
  <c r="U205" i="2"/>
  <c r="T205" i="2"/>
  <c r="S205" i="2"/>
  <c r="R205" i="2"/>
  <c r="Q205" i="2"/>
  <c r="P205" i="2"/>
  <c r="O205" i="2"/>
  <c r="N205" i="2"/>
  <c r="M205" i="2"/>
  <c r="L205" i="2"/>
  <c r="K205" i="2"/>
  <c r="E205" i="2"/>
  <c r="D205" i="2"/>
  <c r="C205" i="2"/>
  <c r="AB204" i="2"/>
  <c r="Z204" i="2"/>
  <c r="Y204" i="2"/>
  <c r="W204" i="2"/>
  <c r="U204" i="2"/>
  <c r="T204" i="2"/>
  <c r="S204" i="2"/>
  <c r="R204" i="2"/>
  <c r="Q204" i="2"/>
  <c r="P204" i="2"/>
  <c r="O204" i="2"/>
  <c r="N204" i="2"/>
  <c r="M204" i="2"/>
  <c r="L204" i="2"/>
  <c r="K204" i="2"/>
  <c r="E204" i="2"/>
  <c r="D204" i="2"/>
  <c r="C204" i="2"/>
  <c r="AB203" i="2"/>
  <c r="Z203" i="2"/>
  <c r="Y203" i="2"/>
  <c r="W203" i="2"/>
  <c r="U203" i="2"/>
  <c r="T203" i="2"/>
  <c r="S203" i="2"/>
  <c r="R203" i="2"/>
  <c r="Q203" i="2"/>
  <c r="P203" i="2"/>
  <c r="O203" i="2"/>
  <c r="N203" i="2"/>
  <c r="M203" i="2"/>
  <c r="L203" i="2"/>
  <c r="K203" i="2"/>
  <c r="E203" i="2"/>
  <c r="D203" i="2"/>
  <c r="C203" i="2"/>
  <c r="AB202" i="2"/>
  <c r="Z202" i="2"/>
  <c r="Y202" i="2"/>
  <c r="W202" i="2"/>
  <c r="U202" i="2"/>
  <c r="T202" i="2"/>
  <c r="S202" i="2"/>
  <c r="R202" i="2"/>
  <c r="Q202" i="2"/>
  <c r="P202" i="2"/>
  <c r="O202" i="2"/>
  <c r="N202" i="2"/>
  <c r="M202" i="2"/>
  <c r="L202" i="2"/>
  <c r="K202" i="2"/>
  <c r="E202" i="2"/>
  <c r="D202" i="2"/>
  <c r="C202" i="2"/>
  <c r="AB201" i="2"/>
  <c r="Z201" i="2"/>
  <c r="Y201" i="2"/>
  <c r="W201" i="2"/>
  <c r="U201" i="2"/>
  <c r="T201" i="2"/>
  <c r="S201" i="2"/>
  <c r="R201" i="2"/>
  <c r="Q201" i="2"/>
  <c r="P201" i="2"/>
  <c r="O201" i="2"/>
  <c r="N201" i="2"/>
  <c r="M201" i="2"/>
  <c r="L201" i="2"/>
  <c r="K201" i="2"/>
  <c r="E201" i="2"/>
  <c r="D201" i="2"/>
  <c r="C201" i="2"/>
  <c r="AB200" i="2"/>
  <c r="Z200" i="2"/>
  <c r="Y200" i="2"/>
  <c r="W200" i="2"/>
  <c r="U200" i="2"/>
  <c r="T200" i="2"/>
  <c r="S200" i="2"/>
  <c r="R200" i="2"/>
  <c r="Q200" i="2"/>
  <c r="P200" i="2"/>
  <c r="O200" i="2"/>
  <c r="N200" i="2"/>
  <c r="M200" i="2"/>
  <c r="L200" i="2"/>
  <c r="K200" i="2"/>
  <c r="E200" i="2"/>
  <c r="D200" i="2"/>
  <c r="C200" i="2"/>
  <c r="AB199" i="2"/>
  <c r="Z199" i="2"/>
  <c r="Y199" i="2"/>
  <c r="W199" i="2"/>
  <c r="U199" i="2"/>
  <c r="T199" i="2"/>
  <c r="S199" i="2"/>
  <c r="R199" i="2"/>
  <c r="Q199" i="2"/>
  <c r="P199" i="2"/>
  <c r="O199" i="2"/>
  <c r="N199" i="2"/>
  <c r="M199" i="2"/>
  <c r="L199" i="2"/>
  <c r="K199" i="2"/>
  <c r="E199" i="2"/>
  <c r="D199" i="2"/>
  <c r="C199" i="2"/>
  <c r="AB198" i="2"/>
  <c r="Z198" i="2"/>
  <c r="Y198" i="2"/>
  <c r="W198" i="2"/>
  <c r="U198" i="2"/>
  <c r="T198" i="2"/>
  <c r="S198" i="2"/>
  <c r="R198" i="2"/>
  <c r="Q198" i="2"/>
  <c r="P198" i="2"/>
  <c r="O198" i="2"/>
  <c r="N198" i="2"/>
  <c r="M198" i="2"/>
  <c r="L198" i="2"/>
  <c r="K198" i="2"/>
  <c r="E198" i="2"/>
  <c r="D198" i="2"/>
  <c r="C198" i="2"/>
  <c r="AB197" i="2"/>
  <c r="Z197" i="2"/>
  <c r="Y197" i="2"/>
  <c r="W197" i="2"/>
  <c r="U197" i="2"/>
  <c r="T197" i="2"/>
  <c r="S197" i="2"/>
  <c r="R197" i="2"/>
  <c r="Q197" i="2"/>
  <c r="P197" i="2"/>
  <c r="O197" i="2"/>
  <c r="N197" i="2"/>
  <c r="M197" i="2"/>
  <c r="L197" i="2"/>
  <c r="K197" i="2"/>
  <c r="E197" i="2"/>
  <c r="D197" i="2"/>
  <c r="C197" i="2"/>
  <c r="AB196" i="2"/>
  <c r="Z196" i="2"/>
  <c r="Y196" i="2"/>
  <c r="W196" i="2"/>
  <c r="U196" i="2"/>
  <c r="T196" i="2"/>
  <c r="S196" i="2"/>
  <c r="R196" i="2"/>
  <c r="Q196" i="2"/>
  <c r="P196" i="2"/>
  <c r="O196" i="2"/>
  <c r="N196" i="2"/>
  <c r="M196" i="2"/>
  <c r="L196" i="2"/>
  <c r="K196" i="2"/>
  <c r="E196" i="2"/>
  <c r="D196" i="2"/>
  <c r="C196" i="2"/>
  <c r="AB195" i="2"/>
  <c r="Z195" i="2"/>
  <c r="Y195" i="2"/>
  <c r="W195" i="2"/>
  <c r="U195" i="2"/>
  <c r="T195" i="2"/>
  <c r="S195" i="2"/>
  <c r="R195" i="2"/>
  <c r="Q195" i="2"/>
  <c r="P195" i="2"/>
  <c r="O195" i="2"/>
  <c r="N195" i="2"/>
  <c r="M195" i="2"/>
  <c r="L195" i="2"/>
  <c r="K195" i="2"/>
  <c r="E195" i="2"/>
  <c r="D195" i="2"/>
  <c r="C195" i="2"/>
  <c r="AB194" i="2"/>
  <c r="Z194" i="2"/>
  <c r="Y194" i="2"/>
  <c r="W194" i="2"/>
  <c r="U194" i="2"/>
  <c r="T194" i="2"/>
  <c r="S194" i="2"/>
  <c r="R194" i="2"/>
  <c r="Q194" i="2"/>
  <c r="P194" i="2"/>
  <c r="O194" i="2"/>
  <c r="N194" i="2"/>
  <c r="M194" i="2"/>
  <c r="L194" i="2"/>
  <c r="K194" i="2"/>
  <c r="E194" i="2"/>
  <c r="D194" i="2"/>
  <c r="C194" i="2"/>
  <c r="AB193" i="2"/>
  <c r="Z193" i="2"/>
  <c r="Y193" i="2"/>
  <c r="W193" i="2"/>
  <c r="T193" i="2"/>
  <c r="S193" i="2"/>
  <c r="R193" i="2"/>
  <c r="Q193" i="2"/>
  <c r="O193" i="2"/>
  <c r="N193" i="2"/>
  <c r="M193" i="2"/>
  <c r="L193" i="2"/>
  <c r="K193" i="2"/>
  <c r="E193" i="2"/>
  <c r="D193" i="2"/>
  <c r="C193" i="2"/>
  <c r="AB192" i="2"/>
  <c r="Z192" i="2"/>
  <c r="Y192" i="2"/>
  <c r="W192" i="2"/>
  <c r="T192" i="2"/>
  <c r="S192" i="2"/>
  <c r="R192" i="2"/>
  <c r="Q192" i="2"/>
  <c r="O192" i="2"/>
  <c r="N192" i="2"/>
  <c r="M192" i="2"/>
  <c r="L192" i="2"/>
  <c r="K192" i="2"/>
  <c r="E192" i="2"/>
  <c r="D192" i="2"/>
  <c r="C192" i="2"/>
  <c r="AB191" i="2"/>
  <c r="Z191" i="2"/>
  <c r="Y191" i="2"/>
  <c r="W191" i="2"/>
  <c r="T191" i="2"/>
  <c r="S191" i="2"/>
  <c r="R191" i="2"/>
  <c r="Q191" i="2"/>
  <c r="O191" i="2"/>
  <c r="N191" i="2"/>
  <c r="M191" i="2"/>
  <c r="L191" i="2"/>
  <c r="K191" i="2"/>
  <c r="E191" i="2"/>
  <c r="D191" i="2"/>
  <c r="C191" i="2"/>
  <c r="AB190" i="2"/>
  <c r="Z190" i="2"/>
  <c r="Y190" i="2"/>
  <c r="W190" i="2"/>
  <c r="T190" i="2"/>
  <c r="S190" i="2"/>
  <c r="R190" i="2"/>
  <c r="Q190" i="2"/>
  <c r="O190" i="2"/>
  <c r="N190" i="2"/>
  <c r="M190" i="2"/>
  <c r="L190" i="2"/>
  <c r="K190" i="2"/>
  <c r="E190" i="2"/>
  <c r="D190" i="2"/>
  <c r="C190" i="2"/>
  <c r="AB189" i="2"/>
  <c r="Z189" i="2"/>
  <c r="Y189" i="2"/>
  <c r="W189" i="2"/>
  <c r="T189" i="2"/>
  <c r="S189" i="2"/>
  <c r="R189" i="2"/>
  <c r="Q189" i="2"/>
  <c r="O189" i="2"/>
  <c r="N189" i="2"/>
  <c r="M189" i="2"/>
  <c r="L189" i="2"/>
  <c r="K189" i="2"/>
  <c r="E189" i="2"/>
  <c r="D189" i="2"/>
  <c r="C189" i="2"/>
  <c r="AB188" i="2"/>
  <c r="Z188" i="2"/>
  <c r="Y188" i="2"/>
  <c r="W188" i="2"/>
  <c r="T188" i="2"/>
  <c r="S188" i="2"/>
  <c r="R188" i="2"/>
  <c r="Q188" i="2"/>
  <c r="O188" i="2"/>
  <c r="N188" i="2"/>
  <c r="M188" i="2"/>
  <c r="L188" i="2"/>
  <c r="K188" i="2"/>
  <c r="E188" i="2"/>
  <c r="D188" i="2"/>
  <c r="C188" i="2"/>
  <c r="AB187" i="2"/>
  <c r="Z187" i="2"/>
  <c r="Y187" i="2"/>
  <c r="W187" i="2"/>
  <c r="T187" i="2"/>
  <c r="S187" i="2"/>
  <c r="R187" i="2"/>
  <c r="Q187" i="2"/>
  <c r="O187" i="2"/>
  <c r="N187" i="2"/>
  <c r="M187" i="2"/>
  <c r="L187" i="2"/>
  <c r="K187" i="2"/>
  <c r="E187" i="2"/>
  <c r="D187" i="2"/>
  <c r="C187" i="2"/>
  <c r="AB186" i="2"/>
  <c r="Z186" i="2"/>
  <c r="Y186" i="2"/>
  <c r="W186" i="2"/>
  <c r="T186" i="2"/>
  <c r="S186" i="2"/>
  <c r="R186" i="2"/>
  <c r="Q186" i="2"/>
  <c r="O186" i="2"/>
  <c r="N186" i="2"/>
  <c r="M186" i="2"/>
  <c r="L186" i="2"/>
  <c r="K186" i="2"/>
  <c r="E186" i="2"/>
  <c r="D186" i="2"/>
  <c r="C186" i="2"/>
  <c r="AB185" i="2"/>
  <c r="Z185" i="2"/>
  <c r="Y185" i="2"/>
  <c r="W185" i="2"/>
  <c r="T185" i="2"/>
  <c r="S185" i="2"/>
  <c r="R185" i="2"/>
  <c r="Q185" i="2"/>
  <c r="O185" i="2"/>
  <c r="N185" i="2"/>
  <c r="M185" i="2"/>
  <c r="L185" i="2"/>
  <c r="K185" i="2"/>
  <c r="E185" i="2"/>
  <c r="D185" i="2"/>
  <c r="C185" i="2"/>
  <c r="AB184" i="2"/>
  <c r="Z184" i="2"/>
  <c r="Y184" i="2"/>
  <c r="W184" i="2"/>
  <c r="T184" i="2"/>
  <c r="S184" i="2"/>
  <c r="R184" i="2"/>
  <c r="Q184" i="2"/>
  <c r="O184" i="2"/>
  <c r="N184" i="2"/>
  <c r="M184" i="2"/>
  <c r="L184" i="2"/>
  <c r="K184" i="2"/>
  <c r="E184" i="2"/>
  <c r="D184" i="2"/>
  <c r="C184" i="2"/>
  <c r="AB183" i="2"/>
  <c r="Z183" i="2"/>
  <c r="Y183" i="2"/>
  <c r="W183" i="2"/>
  <c r="T183" i="2"/>
  <c r="S183" i="2"/>
  <c r="R183" i="2"/>
  <c r="Q183" i="2"/>
  <c r="O183" i="2"/>
  <c r="N183" i="2"/>
  <c r="M183" i="2"/>
  <c r="L183" i="2"/>
  <c r="K183" i="2"/>
  <c r="E183" i="2"/>
  <c r="D183" i="2"/>
  <c r="C183" i="2"/>
  <c r="AB182" i="2"/>
  <c r="Z182" i="2"/>
  <c r="Y182" i="2"/>
  <c r="W182" i="2"/>
  <c r="T182" i="2"/>
  <c r="S182" i="2"/>
  <c r="R182" i="2"/>
  <c r="Q182" i="2"/>
  <c r="O182" i="2"/>
  <c r="N182" i="2"/>
  <c r="M182" i="2"/>
  <c r="L182" i="2"/>
  <c r="K182" i="2"/>
  <c r="E182" i="2"/>
  <c r="D182" i="2"/>
  <c r="C182" i="2"/>
  <c r="AB181" i="2"/>
  <c r="Z181" i="2"/>
  <c r="Y181" i="2"/>
  <c r="W181" i="2"/>
  <c r="T181" i="2"/>
  <c r="S181" i="2"/>
  <c r="R181" i="2"/>
  <c r="Q181" i="2"/>
  <c r="O181" i="2"/>
  <c r="N181" i="2"/>
  <c r="M181" i="2"/>
  <c r="L181" i="2"/>
  <c r="K181" i="2"/>
  <c r="E181" i="2"/>
  <c r="D181" i="2"/>
  <c r="C181" i="2"/>
  <c r="AB180" i="2"/>
  <c r="Z180" i="2"/>
  <c r="Y180" i="2"/>
  <c r="W180" i="2"/>
  <c r="T180" i="2"/>
  <c r="S180" i="2"/>
  <c r="R180" i="2"/>
  <c r="Q180" i="2"/>
  <c r="O180" i="2"/>
  <c r="N180" i="2"/>
  <c r="M180" i="2"/>
  <c r="L180" i="2"/>
  <c r="K180" i="2"/>
  <c r="E180" i="2"/>
  <c r="D180" i="2"/>
  <c r="C180" i="2"/>
  <c r="AB179" i="2"/>
  <c r="Z179" i="2"/>
  <c r="Y179" i="2"/>
  <c r="W179" i="2"/>
  <c r="T179" i="2"/>
  <c r="S179" i="2"/>
  <c r="R179" i="2"/>
  <c r="Q179" i="2"/>
  <c r="O179" i="2"/>
  <c r="N179" i="2"/>
  <c r="M179" i="2"/>
  <c r="L179" i="2"/>
  <c r="K179" i="2"/>
  <c r="E179" i="2"/>
  <c r="D179" i="2"/>
  <c r="C179" i="2"/>
  <c r="AB178" i="2"/>
  <c r="Z178" i="2"/>
  <c r="Y178" i="2"/>
  <c r="W178" i="2"/>
  <c r="T178" i="2"/>
  <c r="S178" i="2"/>
  <c r="R178" i="2"/>
  <c r="Q178" i="2"/>
  <c r="O178" i="2"/>
  <c r="N178" i="2"/>
  <c r="M178" i="2"/>
  <c r="L178" i="2"/>
  <c r="K178" i="2"/>
  <c r="E178" i="2"/>
  <c r="D178" i="2"/>
  <c r="C178" i="2"/>
  <c r="AB177" i="2"/>
  <c r="Z177" i="2"/>
  <c r="Y177" i="2"/>
  <c r="W177" i="2"/>
  <c r="T177" i="2"/>
  <c r="S177" i="2"/>
  <c r="R177" i="2"/>
  <c r="Q177" i="2"/>
  <c r="O177" i="2"/>
  <c r="N177" i="2"/>
  <c r="M177" i="2"/>
  <c r="L177" i="2"/>
  <c r="K177" i="2"/>
  <c r="E177" i="2"/>
  <c r="D177" i="2"/>
  <c r="C177" i="2"/>
  <c r="AB176" i="2"/>
  <c r="Z176" i="2"/>
  <c r="Y176" i="2"/>
  <c r="W176" i="2"/>
  <c r="T176" i="2"/>
  <c r="S176" i="2"/>
  <c r="R176" i="2"/>
  <c r="Q176" i="2"/>
  <c r="O176" i="2"/>
  <c r="N176" i="2"/>
  <c r="M176" i="2"/>
  <c r="L176" i="2"/>
  <c r="K176" i="2"/>
  <c r="E176" i="2"/>
  <c r="D176" i="2"/>
  <c r="C176" i="2"/>
  <c r="AB175" i="2"/>
  <c r="Z175" i="2"/>
  <c r="Y175" i="2"/>
  <c r="W175" i="2"/>
  <c r="T175" i="2"/>
  <c r="S175" i="2"/>
  <c r="R175" i="2"/>
  <c r="Q175" i="2"/>
  <c r="O175" i="2"/>
  <c r="N175" i="2"/>
  <c r="M175" i="2"/>
  <c r="L175" i="2"/>
  <c r="K175" i="2"/>
  <c r="E175" i="2"/>
  <c r="D175" i="2"/>
  <c r="C175" i="2"/>
  <c r="AB174" i="2"/>
  <c r="Z174" i="2"/>
  <c r="Y174" i="2"/>
  <c r="W174" i="2"/>
  <c r="T174" i="2"/>
  <c r="S174" i="2"/>
  <c r="R174" i="2"/>
  <c r="Q174" i="2"/>
  <c r="O174" i="2"/>
  <c r="N174" i="2"/>
  <c r="M174" i="2"/>
  <c r="L174" i="2"/>
  <c r="K174" i="2"/>
  <c r="E174" i="2"/>
  <c r="D174" i="2"/>
  <c r="C174" i="2"/>
  <c r="AB173" i="2"/>
  <c r="Z173" i="2"/>
  <c r="Y173" i="2"/>
  <c r="W173" i="2"/>
  <c r="T173" i="2"/>
  <c r="S173" i="2"/>
  <c r="R173" i="2"/>
  <c r="Q173" i="2"/>
  <c r="O173" i="2"/>
  <c r="N173" i="2"/>
  <c r="M173" i="2"/>
  <c r="L173" i="2"/>
  <c r="K173" i="2"/>
  <c r="E173" i="2"/>
  <c r="D173" i="2"/>
  <c r="C173" i="2"/>
  <c r="AB172" i="2"/>
  <c r="Z172" i="2"/>
  <c r="Y172" i="2"/>
  <c r="W172" i="2"/>
  <c r="T172" i="2"/>
  <c r="S172" i="2"/>
  <c r="R172" i="2"/>
  <c r="Q172" i="2"/>
  <c r="O172" i="2"/>
  <c r="N172" i="2"/>
  <c r="M172" i="2"/>
  <c r="L172" i="2"/>
  <c r="K172" i="2"/>
  <c r="E172" i="2"/>
  <c r="D172" i="2"/>
  <c r="C172" i="2"/>
  <c r="AB171" i="2"/>
  <c r="Z171" i="2"/>
  <c r="Y171" i="2"/>
  <c r="W171" i="2"/>
  <c r="T171" i="2"/>
  <c r="S171" i="2"/>
  <c r="R171" i="2"/>
  <c r="Q171" i="2"/>
  <c r="O171" i="2"/>
  <c r="N171" i="2"/>
  <c r="M171" i="2"/>
  <c r="L171" i="2"/>
  <c r="K171" i="2"/>
  <c r="E171" i="2"/>
  <c r="D171" i="2"/>
  <c r="C171" i="2"/>
  <c r="AB170" i="2"/>
  <c r="Z170" i="2"/>
  <c r="Y170" i="2"/>
  <c r="W170" i="2"/>
  <c r="T170" i="2"/>
  <c r="S170" i="2"/>
  <c r="R170" i="2"/>
  <c r="Q170" i="2"/>
  <c r="O170" i="2"/>
  <c r="N170" i="2"/>
  <c r="M170" i="2"/>
  <c r="L170" i="2"/>
  <c r="K170" i="2"/>
  <c r="E170" i="2"/>
  <c r="D170" i="2"/>
  <c r="C170" i="2"/>
  <c r="AB169" i="2"/>
  <c r="Z169" i="2"/>
  <c r="Y169" i="2"/>
  <c r="W169" i="2"/>
  <c r="T169" i="2"/>
  <c r="S169" i="2"/>
  <c r="R169" i="2"/>
  <c r="Q169" i="2"/>
  <c r="O169" i="2"/>
  <c r="N169" i="2"/>
  <c r="M169" i="2"/>
  <c r="L169" i="2"/>
  <c r="K169" i="2"/>
  <c r="E169" i="2"/>
  <c r="D169" i="2"/>
  <c r="C169" i="2"/>
  <c r="AB168" i="2"/>
  <c r="Z168" i="2"/>
  <c r="Y168" i="2"/>
  <c r="W168" i="2"/>
  <c r="T168" i="2"/>
  <c r="S168" i="2"/>
  <c r="R168" i="2"/>
  <c r="Q168" i="2"/>
  <c r="O168" i="2"/>
  <c r="N168" i="2"/>
  <c r="M168" i="2"/>
  <c r="L168" i="2"/>
  <c r="K168" i="2"/>
  <c r="E168" i="2"/>
  <c r="D168" i="2"/>
  <c r="C168" i="2"/>
  <c r="AB167" i="2"/>
  <c r="Z167" i="2"/>
  <c r="Y167" i="2"/>
  <c r="W167" i="2"/>
  <c r="T167" i="2"/>
  <c r="S167" i="2"/>
  <c r="R167" i="2"/>
  <c r="Q167" i="2"/>
  <c r="O167" i="2"/>
  <c r="N167" i="2"/>
  <c r="M167" i="2"/>
  <c r="L167" i="2"/>
  <c r="K167" i="2"/>
  <c r="E167" i="2"/>
  <c r="D167" i="2"/>
  <c r="C167" i="2"/>
  <c r="AB166" i="2"/>
  <c r="Z166" i="2"/>
  <c r="Y166" i="2"/>
  <c r="W166" i="2"/>
  <c r="T166" i="2"/>
  <c r="S166" i="2"/>
  <c r="R166" i="2"/>
  <c r="Q166" i="2"/>
  <c r="O166" i="2"/>
  <c r="N166" i="2"/>
  <c r="M166" i="2"/>
  <c r="L166" i="2"/>
  <c r="K166" i="2"/>
  <c r="E166" i="2"/>
  <c r="D166" i="2"/>
  <c r="C166" i="2"/>
  <c r="AB165" i="2"/>
  <c r="Z165" i="2"/>
  <c r="Y165" i="2"/>
  <c r="W165" i="2"/>
  <c r="T165" i="2"/>
  <c r="S165" i="2"/>
  <c r="R165" i="2"/>
  <c r="Q165" i="2"/>
  <c r="O165" i="2"/>
  <c r="N165" i="2"/>
  <c r="M165" i="2"/>
  <c r="L165" i="2"/>
  <c r="K165" i="2"/>
  <c r="E165" i="2"/>
  <c r="D165" i="2"/>
  <c r="C165" i="2"/>
  <c r="AB164" i="2"/>
  <c r="Z164" i="2"/>
  <c r="Y164" i="2"/>
  <c r="W164" i="2"/>
  <c r="T164" i="2"/>
  <c r="S164" i="2"/>
  <c r="R164" i="2"/>
  <c r="Q164" i="2"/>
  <c r="O164" i="2"/>
  <c r="N164" i="2"/>
  <c r="M164" i="2"/>
  <c r="L164" i="2"/>
  <c r="K164" i="2"/>
  <c r="E164" i="2"/>
  <c r="D164" i="2"/>
  <c r="C164" i="2"/>
  <c r="AB163" i="2"/>
  <c r="Z163" i="2"/>
  <c r="Y163" i="2"/>
  <c r="W163" i="2"/>
  <c r="T163" i="2"/>
  <c r="S163" i="2"/>
  <c r="R163" i="2"/>
  <c r="Q163" i="2"/>
  <c r="O163" i="2"/>
  <c r="N163" i="2"/>
  <c r="M163" i="2"/>
  <c r="L163" i="2"/>
  <c r="K163" i="2"/>
  <c r="E163" i="2"/>
  <c r="D163" i="2"/>
  <c r="C163" i="2"/>
  <c r="AB162" i="2"/>
  <c r="Z162" i="2"/>
  <c r="Y162" i="2"/>
  <c r="W162" i="2"/>
  <c r="T162" i="2"/>
  <c r="S162" i="2"/>
  <c r="R162" i="2"/>
  <c r="Q162" i="2"/>
  <c r="O162" i="2"/>
  <c r="N162" i="2"/>
  <c r="M162" i="2"/>
  <c r="L162" i="2"/>
  <c r="K162" i="2"/>
  <c r="E162" i="2"/>
  <c r="D162" i="2"/>
  <c r="C162" i="2"/>
  <c r="AB161" i="2"/>
  <c r="Z161" i="2"/>
  <c r="Y161" i="2"/>
  <c r="W161" i="2"/>
  <c r="T161" i="2"/>
  <c r="S161" i="2"/>
  <c r="R161" i="2"/>
  <c r="Q161" i="2"/>
  <c r="O161" i="2"/>
  <c r="N161" i="2"/>
  <c r="M161" i="2"/>
  <c r="L161" i="2"/>
  <c r="K161" i="2"/>
  <c r="E161" i="2"/>
  <c r="D161" i="2"/>
  <c r="C161" i="2"/>
  <c r="AB160" i="2"/>
  <c r="Z160" i="2"/>
  <c r="Y160" i="2"/>
  <c r="W160" i="2"/>
  <c r="T160" i="2"/>
  <c r="S160" i="2"/>
  <c r="R160" i="2"/>
  <c r="Q160" i="2"/>
  <c r="O160" i="2"/>
  <c r="N160" i="2"/>
  <c r="M160" i="2"/>
  <c r="L160" i="2"/>
  <c r="K160" i="2"/>
  <c r="E160" i="2"/>
  <c r="D160" i="2"/>
  <c r="C160" i="2"/>
  <c r="AB159" i="2"/>
  <c r="Z159" i="2"/>
  <c r="Y159" i="2"/>
  <c r="W159" i="2"/>
  <c r="T159" i="2"/>
  <c r="S159" i="2"/>
  <c r="R159" i="2"/>
  <c r="Q159" i="2"/>
  <c r="O159" i="2"/>
  <c r="N159" i="2"/>
  <c r="M159" i="2"/>
  <c r="L159" i="2"/>
  <c r="K159" i="2"/>
  <c r="E159" i="2"/>
  <c r="D159" i="2"/>
  <c r="C159" i="2"/>
  <c r="AB158" i="2"/>
  <c r="Z158" i="2"/>
  <c r="Y158" i="2"/>
  <c r="W158" i="2"/>
  <c r="T158" i="2"/>
  <c r="S158" i="2"/>
  <c r="R158" i="2"/>
  <c r="Q158" i="2"/>
  <c r="O158" i="2"/>
  <c r="N158" i="2"/>
  <c r="M158" i="2"/>
  <c r="L158" i="2"/>
  <c r="K158" i="2"/>
  <c r="E158" i="2"/>
  <c r="D158" i="2"/>
  <c r="C158" i="2"/>
  <c r="AB157" i="2"/>
  <c r="Z157" i="2"/>
  <c r="Y157" i="2"/>
  <c r="W157" i="2"/>
  <c r="T157" i="2"/>
  <c r="S157" i="2"/>
  <c r="R157" i="2"/>
  <c r="Q157" i="2"/>
  <c r="O157" i="2"/>
  <c r="N157" i="2"/>
  <c r="M157" i="2"/>
  <c r="L157" i="2"/>
  <c r="K157" i="2"/>
  <c r="E157" i="2"/>
  <c r="D157" i="2"/>
  <c r="C157" i="2"/>
  <c r="AB156" i="2"/>
  <c r="Z156" i="2"/>
  <c r="Y156" i="2"/>
  <c r="W156" i="2"/>
  <c r="T156" i="2"/>
  <c r="S156" i="2"/>
  <c r="R156" i="2"/>
  <c r="Q156" i="2"/>
  <c r="O156" i="2"/>
  <c r="N156" i="2"/>
  <c r="M156" i="2"/>
  <c r="L156" i="2"/>
  <c r="K156" i="2"/>
  <c r="E156" i="2"/>
  <c r="D156" i="2"/>
  <c r="C156" i="2"/>
  <c r="AB155" i="2"/>
  <c r="Z155" i="2"/>
  <c r="Y155" i="2"/>
  <c r="W155" i="2"/>
  <c r="T155" i="2"/>
  <c r="S155" i="2"/>
  <c r="R155" i="2"/>
  <c r="Q155" i="2"/>
  <c r="O155" i="2"/>
  <c r="N155" i="2"/>
  <c r="M155" i="2"/>
  <c r="L155" i="2"/>
  <c r="K155" i="2"/>
  <c r="E155" i="2"/>
  <c r="D155" i="2"/>
  <c r="C155" i="2"/>
  <c r="AB154" i="2"/>
  <c r="Z154" i="2"/>
  <c r="Y154" i="2"/>
  <c r="W154" i="2"/>
  <c r="T154" i="2"/>
  <c r="S154" i="2"/>
  <c r="R154" i="2"/>
  <c r="Q154" i="2"/>
  <c r="O154" i="2"/>
  <c r="N154" i="2"/>
  <c r="M154" i="2"/>
  <c r="L154" i="2"/>
  <c r="K154" i="2"/>
  <c r="E154" i="2"/>
  <c r="D154" i="2"/>
  <c r="C154" i="2"/>
  <c r="AB153" i="2"/>
  <c r="Z153" i="2"/>
  <c r="Y153" i="2"/>
  <c r="W153" i="2"/>
  <c r="T153" i="2"/>
  <c r="S153" i="2"/>
  <c r="R153" i="2"/>
  <c r="Q153" i="2"/>
  <c r="O153" i="2"/>
  <c r="N153" i="2"/>
  <c r="M153" i="2"/>
  <c r="L153" i="2"/>
  <c r="K153" i="2"/>
  <c r="E153" i="2"/>
  <c r="D153" i="2"/>
  <c r="C153" i="2"/>
  <c r="AB152" i="2"/>
  <c r="Z152" i="2"/>
  <c r="Y152" i="2"/>
  <c r="W152" i="2"/>
  <c r="T152" i="2"/>
  <c r="S152" i="2"/>
  <c r="R152" i="2"/>
  <c r="Q152" i="2"/>
  <c r="O152" i="2"/>
  <c r="N152" i="2"/>
  <c r="M152" i="2"/>
  <c r="L152" i="2"/>
  <c r="K152" i="2"/>
  <c r="E152" i="2"/>
  <c r="D152" i="2"/>
  <c r="C152" i="2"/>
  <c r="AB151" i="2"/>
  <c r="Z151" i="2"/>
  <c r="Y151" i="2"/>
  <c r="W151" i="2"/>
  <c r="T151" i="2"/>
  <c r="S151" i="2"/>
  <c r="R151" i="2"/>
  <c r="Q151" i="2"/>
  <c r="O151" i="2"/>
  <c r="N151" i="2"/>
  <c r="M151" i="2"/>
  <c r="L151" i="2"/>
  <c r="K151" i="2"/>
  <c r="E151" i="2"/>
  <c r="D151" i="2"/>
  <c r="C151" i="2"/>
  <c r="AB150" i="2"/>
  <c r="Z150" i="2"/>
  <c r="Y150" i="2"/>
  <c r="W150" i="2"/>
  <c r="T150" i="2"/>
  <c r="S150" i="2"/>
  <c r="R150" i="2"/>
  <c r="Q150" i="2"/>
  <c r="O150" i="2"/>
  <c r="N150" i="2"/>
  <c r="M150" i="2"/>
  <c r="L150" i="2"/>
  <c r="K150" i="2"/>
  <c r="E150" i="2"/>
  <c r="D150" i="2"/>
  <c r="C150" i="2"/>
  <c r="AB149" i="2"/>
  <c r="Z149" i="2"/>
  <c r="Y149" i="2"/>
  <c r="W149" i="2"/>
  <c r="T149" i="2"/>
  <c r="S149" i="2"/>
  <c r="R149" i="2"/>
  <c r="Q149" i="2"/>
  <c r="O149" i="2"/>
  <c r="N149" i="2"/>
  <c r="M149" i="2"/>
  <c r="L149" i="2"/>
  <c r="K149" i="2"/>
  <c r="E149" i="2"/>
  <c r="D149" i="2"/>
  <c r="C149" i="2"/>
  <c r="AB148" i="2"/>
  <c r="Z148" i="2"/>
  <c r="Y148" i="2"/>
  <c r="W148" i="2"/>
  <c r="T148" i="2"/>
  <c r="S148" i="2"/>
  <c r="R148" i="2"/>
  <c r="Q148" i="2"/>
  <c r="O148" i="2"/>
  <c r="N148" i="2"/>
  <c r="M148" i="2"/>
  <c r="L148" i="2"/>
  <c r="K148" i="2"/>
  <c r="E148" i="2"/>
  <c r="D148" i="2"/>
  <c r="C148" i="2"/>
  <c r="AB147" i="2"/>
  <c r="Z147" i="2"/>
  <c r="Y147" i="2"/>
  <c r="W147" i="2"/>
  <c r="T147" i="2"/>
  <c r="S147" i="2"/>
  <c r="R147" i="2"/>
  <c r="Q147" i="2"/>
  <c r="O147" i="2"/>
  <c r="N147" i="2"/>
  <c r="M147" i="2"/>
  <c r="L147" i="2"/>
  <c r="K147" i="2"/>
  <c r="E147" i="2"/>
  <c r="D147" i="2"/>
  <c r="C147" i="2"/>
  <c r="AB146" i="2"/>
  <c r="Z146" i="2"/>
  <c r="Y146" i="2"/>
  <c r="W146" i="2"/>
  <c r="T146" i="2"/>
  <c r="S146" i="2"/>
  <c r="R146" i="2"/>
  <c r="Q146" i="2"/>
  <c r="O146" i="2"/>
  <c r="N146" i="2"/>
  <c r="M146" i="2"/>
  <c r="L146" i="2"/>
  <c r="K146" i="2"/>
  <c r="E146" i="2"/>
  <c r="D146" i="2"/>
  <c r="C146" i="2"/>
  <c r="AB145" i="2"/>
  <c r="Z145" i="2"/>
  <c r="Y145" i="2"/>
  <c r="W145" i="2"/>
  <c r="T145" i="2"/>
  <c r="S145" i="2"/>
  <c r="R145" i="2"/>
  <c r="Q145" i="2"/>
  <c r="O145" i="2"/>
  <c r="N145" i="2"/>
  <c r="M145" i="2"/>
  <c r="L145" i="2"/>
  <c r="K145" i="2"/>
  <c r="E145" i="2"/>
  <c r="D145" i="2"/>
  <c r="C145" i="2"/>
  <c r="AB144" i="2"/>
  <c r="Z144" i="2"/>
  <c r="Y144" i="2"/>
  <c r="W144" i="2"/>
  <c r="T144" i="2"/>
  <c r="S144" i="2"/>
  <c r="R144" i="2"/>
  <c r="Q144" i="2"/>
  <c r="O144" i="2"/>
  <c r="N144" i="2"/>
  <c r="M144" i="2"/>
  <c r="L144" i="2"/>
  <c r="K144" i="2"/>
  <c r="E144" i="2"/>
  <c r="D144" i="2"/>
  <c r="C144" i="2"/>
  <c r="AB143" i="2"/>
  <c r="Z143" i="2"/>
  <c r="Y143" i="2"/>
  <c r="W143" i="2"/>
  <c r="T143" i="2"/>
  <c r="S143" i="2"/>
  <c r="R143" i="2"/>
  <c r="Q143" i="2"/>
  <c r="O143" i="2"/>
  <c r="N143" i="2"/>
  <c r="M143" i="2"/>
  <c r="L143" i="2"/>
  <c r="K143" i="2"/>
  <c r="E143" i="2"/>
  <c r="D143" i="2"/>
  <c r="C143" i="2"/>
  <c r="AB142" i="2"/>
  <c r="Z142" i="2"/>
  <c r="Y142" i="2"/>
  <c r="W142" i="2"/>
  <c r="T142" i="2"/>
  <c r="S142" i="2"/>
  <c r="R142" i="2"/>
  <c r="Q142" i="2"/>
  <c r="O142" i="2"/>
  <c r="N142" i="2"/>
  <c r="M142" i="2"/>
  <c r="L142" i="2"/>
  <c r="K142" i="2"/>
  <c r="E142" i="2"/>
  <c r="D142" i="2"/>
  <c r="C142" i="2"/>
  <c r="AB141" i="2"/>
  <c r="Z141" i="2"/>
  <c r="Y141" i="2"/>
  <c r="W141" i="2"/>
  <c r="T141" i="2"/>
  <c r="S141" i="2"/>
  <c r="R141" i="2"/>
  <c r="Q141" i="2"/>
  <c r="O141" i="2"/>
  <c r="N141" i="2"/>
  <c r="M141" i="2"/>
  <c r="L141" i="2"/>
  <c r="K141" i="2"/>
  <c r="E141" i="2"/>
  <c r="D141" i="2"/>
  <c r="C141" i="2"/>
  <c r="AB140" i="2"/>
  <c r="Z140" i="2"/>
  <c r="Y140" i="2"/>
  <c r="W140" i="2"/>
  <c r="T140" i="2"/>
  <c r="S140" i="2"/>
  <c r="R140" i="2"/>
  <c r="Q140" i="2"/>
  <c r="O140" i="2"/>
  <c r="N140" i="2"/>
  <c r="M140" i="2"/>
  <c r="L140" i="2"/>
  <c r="K140" i="2"/>
  <c r="E140" i="2"/>
  <c r="D140" i="2"/>
  <c r="C140" i="2"/>
  <c r="AB139" i="2"/>
  <c r="Z139" i="2"/>
  <c r="Y139" i="2"/>
  <c r="W139" i="2"/>
  <c r="T139" i="2"/>
  <c r="S139" i="2"/>
  <c r="R139" i="2"/>
  <c r="Q139" i="2"/>
  <c r="O139" i="2"/>
  <c r="N139" i="2"/>
  <c r="M139" i="2"/>
  <c r="L139" i="2"/>
  <c r="K139" i="2"/>
  <c r="E139" i="2"/>
  <c r="D139" i="2"/>
  <c r="C139" i="2"/>
  <c r="AB138" i="2"/>
  <c r="Z138" i="2"/>
  <c r="Y138" i="2"/>
  <c r="W138" i="2"/>
  <c r="T138" i="2"/>
  <c r="S138" i="2"/>
  <c r="R138" i="2"/>
  <c r="Q138" i="2"/>
  <c r="O138" i="2"/>
  <c r="N138" i="2"/>
  <c r="M138" i="2"/>
  <c r="L138" i="2"/>
  <c r="K138" i="2"/>
  <c r="E138" i="2"/>
  <c r="D138" i="2"/>
  <c r="C138" i="2"/>
  <c r="AB137" i="2"/>
  <c r="Z137" i="2"/>
  <c r="Y137" i="2"/>
  <c r="W137" i="2"/>
  <c r="T137" i="2"/>
  <c r="S137" i="2"/>
  <c r="R137" i="2"/>
  <c r="Q137" i="2"/>
  <c r="O137" i="2"/>
  <c r="N137" i="2"/>
  <c r="M137" i="2"/>
  <c r="L137" i="2"/>
  <c r="K137" i="2"/>
  <c r="E137" i="2"/>
  <c r="D137" i="2"/>
  <c r="C137" i="2"/>
  <c r="AB136" i="2"/>
  <c r="Z136" i="2"/>
  <c r="W136" i="2"/>
  <c r="T136" i="2"/>
  <c r="S136" i="2"/>
  <c r="R136" i="2"/>
  <c r="Q136" i="2"/>
  <c r="O136" i="2"/>
  <c r="N136" i="2"/>
  <c r="M136" i="2"/>
  <c r="L136" i="2"/>
  <c r="K136" i="2"/>
  <c r="E136" i="2"/>
  <c r="D136" i="2"/>
  <c r="C136" i="2"/>
  <c r="AB135" i="2"/>
  <c r="Z135" i="2"/>
  <c r="W135" i="2"/>
  <c r="T135" i="2"/>
  <c r="S135" i="2"/>
  <c r="R135" i="2"/>
  <c r="Q135" i="2"/>
  <c r="O135" i="2"/>
  <c r="N135" i="2"/>
  <c r="M135" i="2"/>
  <c r="L135" i="2"/>
  <c r="K135" i="2"/>
  <c r="E135" i="2"/>
  <c r="D135" i="2"/>
  <c r="C135" i="2"/>
  <c r="AB134" i="2"/>
  <c r="Z134" i="2"/>
  <c r="Y134" i="2"/>
  <c r="W134" i="2"/>
  <c r="T134" i="2"/>
  <c r="S134" i="2"/>
  <c r="R134" i="2"/>
  <c r="Q134" i="2"/>
  <c r="O134" i="2"/>
  <c r="N134" i="2"/>
  <c r="M134" i="2"/>
  <c r="L134" i="2"/>
  <c r="K134" i="2"/>
  <c r="E134" i="2"/>
  <c r="D134" i="2"/>
  <c r="C134" i="2"/>
  <c r="AB133" i="2"/>
  <c r="Z133" i="2"/>
  <c r="Y133" i="2"/>
  <c r="W133" i="2"/>
  <c r="T133" i="2"/>
  <c r="S133" i="2"/>
  <c r="R133" i="2"/>
  <c r="Q133" i="2"/>
  <c r="O133" i="2"/>
  <c r="N133" i="2"/>
  <c r="M133" i="2"/>
  <c r="L133" i="2"/>
  <c r="K133" i="2"/>
  <c r="E133" i="2"/>
  <c r="D133" i="2"/>
  <c r="C133" i="2"/>
  <c r="AB132" i="2"/>
  <c r="Z132" i="2"/>
  <c r="Y132" i="2"/>
  <c r="W132" i="2"/>
  <c r="T132" i="2"/>
  <c r="S132" i="2"/>
  <c r="R132" i="2"/>
  <c r="Q132" i="2"/>
  <c r="O132" i="2"/>
  <c r="N132" i="2"/>
  <c r="M132" i="2"/>
  <c r="L132" i="2"/>
  <c r="K132" i="2"/>
  <c r="E132" i="2"/>
  <c r="D132" i="2"/>
  <c r="C132" i="2"/>
  <c r="AB131" i="2"/>
  <c r="Z131" i="2"/>
  <c r="Y131" i="2"/>
  <c r="W131" i="2"/>
  <c r="T131" i="2"/>
  <c r="S131" i="2"/>
  <c r="R131" i="2"/>
  <c r="Q131" i="2"/>
  <c r="O131" i="2"/>
  <c r="N131" i="2"/>
  <c r="M131" i="2"/>
  <c r="L131" i="2"/>
  <c r="K131" i="2"/>
  <c r="E131" i="2"/>
  <c r="D131" i="2"/>
  <c r="C131" i="2"/>
  <c r="AB130" i="2"/>
  <c r="Z130" i="2"/>
  <c r="Y130" i="2"/>
  <c r="W130" i="2"/>
  <c r="T130" i="2"/>
  <c r="S130" i="2"/>
  <c r="R130" i="2"/>
  <c r="Q130" i="2"/>
  <c r="O130" i="2"/>
  <c r="N130" i="2"/>
  <c r="M130" i="2"/>
  <c r="L130" i="2"/>
  <c r="K130" i="2"/>
  <c r="E130" i="2"/>
  <c r="D130" i="2"/>
  <c r="C130" i="2"/>
  <c r="AB129" i="2"/>
  <c r="Z129" i="2"/>
  <c r="Y129" i="2"/>
  <c r="W129" i="2"/>
  <c r="T129" i="2"/>
  <c r="S129" i="2"/>
  <c r="R129" i="2"/>
  <c r="Q129" i="2"/>
  <c r="O129" i="2"/>
  <c r="N129" i="2"/>
  <c r="M129" i="2"/>
  <c r="L129" i="2"/>
  <c r="K129" i="2"/>
  <c r="E129" i="2"/>
  <c r="D129" i="2"/>
  <c r="C129" i="2"/>
  <c r="AB128" i="2"/>
  <c r="Z128" i="2"/>
  <c r="Y128" i="2"/>
  <c r="W128" i="2"/>
  <c r="T128" i="2"/>
  <c r="S128" i="2"/>
  <c r="R128" i="2"/>
  <c r="Q128" i="2"/>
  <c r="O128" i="2"/>
  <c r="N128" i="2"/>
  <c r="M128" i="2"/>
  <c r="L128" i="2"/>
  <c r="K128" i="2"/>
  <c r="E128" i="2"/>
  <c r="D128" i="2"/>
  <c r="C128" i="2"/>
  <c r="AB127" i="2"/>
  <c r="Z127" i="2"/>
  <c r="Y127" i="2"/>
  <c r="W127" i="2"/>
  <c r="T127" i="2"/>
  <c r="S127" i="2"/>
  <c r="R127" i="2"/>
  <c r="Q127" i="2"/>
  <c r="O127" i="2"/>
  <c r="N127" i="2"/>
  <c r="M127" i="2"/>
  <c r="L127" i="2"/>
  <c r="K127" i="2"/>
  <c r="E127" i="2"/>
  <c r="D127" i="2"/>
  <c r="C127" i="2"/>
  <c r="AB126" i="2"/>
  <c r="Z126" i="2"/>
  <c r="Y126" i="2"/>
  <c r="W126" i="2"/>
  <c r="T126" i="2"/>
  <c r="S126" i="2"/>
  <c r="R126" i="2"/>
  <c r="Q126" i="2"/>
  <c r="O126" i="2"/>
  <c r="N126" i="2"/>
  <c r="M126" i="2"/>
  <c r="L126" i="2"/>
  <c r="K126" i="2"/>
  <c r="E126" i="2"/>
  <c r="D126" i="2"/>
  <c r="C126" i="2"/>
  <c r="AB125" i="2"/>
  <c r="Z125" i="2"/>
  <c r="Y125" i="2"/>
  <c r="W125" i="2"/>
  <c r="T125" i="2"/>
  <c r="S125" i="2"/>
  <c r="R125" i="2"/>
  <c r="Q125" i="2"/>
  <c r="O125" i="2"/>
  <c r="N125" i="2"/>
  <c r="M125" i="2"/>
  <c r="L125" i="2"/>
  <c r="K125" i="2"/>
  <c r="E125" i="2"/>
  <c r="D125" i="2"/>
  <c r="C125" i="2"/>
  <c r="AB124" i="2"/>
  <c r="Z124" i="2"/>
  <c r="Y124" i="2"/>
  <c r="W124" i="2"/>
  <c r="T124" i="2"/>
  <c r="S124" i="2"/>
  <c r="R124" i="2"/>
  <c r="Q124" i="2"/>
  <c r="O124" i="2"/>
  <c r="N124" i="2"/>
  <c r="M124" i="2"/>
  <c r="L124" i="2"/>
  <c r="K124" i="2"/>
  <c r="E124" i="2"/>
  <c r="D124" i="2"/>
  <c r="C124" i="2"/>
  <c r="AB123" i="2"/>
  <c r="Z123" i="2"/>
  <c r="Y123" i="2"/>
  <c r="W123" i="2"/>
  <c r="T123" i="2"/>
  <c r="S123" i="2"/>
  <c r="R123" i="2"/>
  <c r="Q123" i="2"/>
  <c r="O123" i="2"/>
  <c r="N123" i="2"/>
  <c r="M123" i="2"/>
  <c r="L123" i="2"/>
  <c r="K123" i="2"/>
  <c r="E123" i="2"/>
  <c r="D123" i="2"/>
  <c r="C123" i="2"/>
  <c r="AB122" i="2"/>
  <c r="Z122" i="2"/>
  <c r="Y122" i="2"/>
  <c r="W122" i="2"/>
  <c r="T122" i="2"/>
  <c r="S122" i="2"/>
  <c r="R122" i="2"/>
  <c r="Q122" i="2"/>
  <c r="O122" i="2"/>
  <c r="N122" i="2"/>
  <c r="M122" i="2"/>
  <c r="L122" i="2"/>
  <c r="K122" i="2"/>
  <c r="E122" i="2"/>
  <c r="D122" i="2"/>
  <c r="C122" i="2"/>
  <c r="AB121" i="2"/>
  <c r="Z121" i="2"/>
  <c r="Y121" i="2"/>
  <c r="W121" i="2"/>
  <c r="T121" i="2"/>
  <c r="S121" i="2"/>
  <c r="R121" i="2"/>
  <c r="Q121" i="2"/>
  <c r="O121" i="2"/>
  <c r="N121" i="2"/>
  <c r="M121" i="2"/>
  <c r="L121" i="2"/>
  <c r="K121" i="2"/>
  <c r="E121" i="2"/>
  <c r="D121" i="2"/>
  <c r="C121" i="2"/>
  <c r="AB120" i="2"/>
  <c r="Z120" i="2"/>
  <c r="Y120" i="2"/>
  <c r="W120" i="2"/>
  <c r="T120" i="2"/>
  <c r="S120" i="2"/>
  <c r="R120" i="2"/>
  <c r="Q120" i="2"/>
  <c r="O120" i="2"/>
  <c r="N120" i="2"/>
  <c r="M120" i="2"/>
  <c r="L120" i="2"/>
  <c r="K120" i="2"/>
  <c r="E120" i="2"/>
  <c r="D120" i="2"/>
  <c r="C120" i="2"/>
  <c r="AB119" i="2"/>
  <c r="Z119" i="2"/>
  <c r="Y119" i="2"/>
  <c r="W119" i="2"/>
  <c r="T119" i="2"/>
  <c r="S119" i="2"/>
  <c r="R119" i="2"/>
  <c r="Q119" i="2"/>
  <c r="O119" i="2"/>
  <c r="N119" i="2"/>
  <c r="M119" i="2"/>
  <c r="L119" i="2"/>
  <c r="K119" i="2"/>
  <c r="E119" i="2"/>
  <c r="D119" i="2"/>
  <c r="C119" i="2"/>
  <c r="AB118" i="2"/>
  <c r="Z118" i="2"/>
  <c r="Y118" i="2"/>
  <c r="W118" i="2"/>
  <c r="T118" i="2"/>
  <c r="S118" i="2"/>
  <c r="R118" i="2"/>
  <c r="Q118" i="2"/>
  <c r="O118" i="2"/>
  <c r="N118" i="2"/>
  <c r="M118" i="2"/>
  <c r="L118" i="2"/>
  <c r="K118" i="2"/>
  <c r="E118" i="2"/>
  <c r="D118" i="2"/>
  <c r="C118" i="2"/>
  <c r="AB117" i="2"/>
  <c r="Z117" i="2"/>
  <c r="Y117" i="2"/>
  <c r="W117" i="2"/>
  <c r="T117" i="2"/>
  <c r="S117" i="2"/>
  <c r="R117" i="2"/>
  <c r="Q117" i="2"/>
  <c r="O117" i="2"/>
  <c r="N117" i="2"/>
  <c r="M117" i="2"/>
  <c r="L117" i="2"/>
  <c r="K117" i="2"/>
  <c r="E117" i="2"/>
  <c r="D117" i="2"/>
  <c r="C117" i="2"/>
  <c r="AB116" i="2"/>
  <c r="Z116" i="2"/>
  <c r="Y116" i="2"/>
  <c r="W116" i="2"/>
  <c r="T116" i="2"/>
  <c r="S116" i="2"/>
  <c r="R116" i="2"/>
  <c r="Q116" i="2"/>
  <c r="O116" i="2"/>
  <c r="N116" i="2"/>
  <c r="M116" i="2"/>
  <c r="L116" i="2"/>
  <c r="K116" i="2"/>
  <c r="E116" i="2"/>
  <c r="D116" i="2"/>
  <c r="C116" i="2"/>
  <c r="AB115" i="2"/>
  <c r="Z115" i="2"/>
  <c r="Y115" i="2"/>
  <c r="W115" i="2"/>
  <c r="T115" i="2"/>
  <c r="S115" i="2"/>
  <c r="R115" i="2"/>
  <c r="Q115" i="2"/>
  <c r="O115" i="2"/>
  <c r="N115" i="2"/>
  <c r="M115" i="2"/>
  <c r="L115" i="2"/>
  <c r="K115" i="2"/>
  <c r="E115" i="2"/>
  <c r="D115" i="2"/>
  <c r="C115" i="2"/>
  <c r="AB114" i="2"/>
  <c r="Z114" i="2"/>
  <c r="Y114" i="2"/>
  <c r="W114" i="2"/>
  <c r="T114" i="2"/>
  <c r="S114" i="2"/>
  <c r="R114" i="2"/>
  <c r="Q114" i="2"/>
  <c r="O114" i="2"/>
  <c r="N114" i="2"/>
  <c r="M114" i="2"/>
  <c r="L114" i="2"/>
  <c r="K114" i="2"/>
  <c r="E114" i="2"/>
  <c r="D114" i="2"/>
  <c r="C114" i="2"/>
  <c r="AB113" i="2"/>
  <c r="Z113" i="2"/>
  <c r="Y113" i="2"/>
  <c r="W113" i="2"/>
  <c r="T113" i="2"/>
  <c r="S113" i="2"/>
  <c r="R113" i="2"/>
  <c r="Q113" i="2"/>
  <c r="O113" i="2"/>
  <c r="N113" i="2"/>
  <c r="M113" i="2"/>
  <c r="L113" i="2"/>
  <c r="K113" i="2"/>
  <c r="E113" i="2"/>
  <c r="D113" i="2"/>
  <c r="C113" i="2"/>
  <c r="AB112" i="2"/>
  <c r="Z112" i="2"/>
  <c r="Y112" i="2"/>
  <c r="W112" i="2"/>
  <c r="T112" i="2"/>
  <c r="S112" i="2"/>
  <c r="R112" i="2"/>
  <c r="Q112" i="2"/>
  <c r="O112" i="2"/>
  <c r="N112" i="2"/>
  <c r="M112" i="2"/>
  <c r="L112" i="2"/>
  <c r="K112" i="2"/>
  <c r="E112" i="2"/>
  <c r="D112" i="2"/>
  <c r="C112" i="2"/>
  <c r="AB111" i="2"/>
  <c r="Z111" i="2"/>
  <c r="Y111" i="2"/>
  <c r="W111" i="2"/>
  <c r="T111" i="2"/>
  <c r="S111" i="2"/>
  <c r="R111" i="2"/>
  <c r="O111" i="2"/>
  <c r="N111" i="2"/>
  <c r="M111" i="2"/>
  <c r="L111" i="2"/>
  <c r="K111" i="2"/>
  <c r="E111" i="2"/>
  <c r="D111" i="2"/>
  <c r="C111" i="2"/>
  <c r="AB110" i="2"/>
  <c r="Z110" i="2"/>
  <c r="Y110" i="2"/>
  <c r="W110" i="2"/>
  <c r="T110" i="2"/>
  <c r="S110" i="2"/>
  <c r="R110" i="2"/>
  <c r="O110" i="2"/>
  <c r="N110" i="2"/>
  <c r="M110" i="2"/>
  <c r="L110" i="2"/>
  <c r="K110" i="2"/>
  <c r="E110" i="2"/>
  <c r="D110" i="2"/>
  <c r="C110" i="2"/>
  <c r="AB109" i="2"/>
  <c r="Z109" i="2"/>
  <c r="Y109" i="2"/>
  <c r="W109" i="2"/>
  <c r="T109" i="2"/>
  <c r="S109" i="2"/>
  <c r="R109" i="2"/>
  <c r="O109" i="2"/>
  <c r="N109" i="2"/>
  <c r="M109" i="2"/>
  <c r="L109" i="2"/>
  <c r="K109" i="2"/>
  <c r="E109" i="2"/>
  <c r="D109" i="2"/>
  <c r="C109" i="2"/>
  <c r="AB108" i="2"/>
  <c r="Z108" i="2"/>
  <c r="Y108" i="2"/>
  <c r="W108" i="2"/>
  <c r="T108" i="2"/>
  <c r="S108" i="2"/>
  <c r="R108" i="2"/>
  <c r="O108" i="2"/>
  <c r="N108" i="2"/>
  <c r="M108" i="2"/>
  <c r="L108" i="2"/>
  <c r="K108" i="2"/>
  <c r="E108" i="2"/>
  <c r="D108" i="2"/>
  <c r="C108" i="2"/>
  <c r="AB107" i="2"/>
  <c r="Z107" i="2"/>
  <c r="Y107" i="2"/>
  <c r="W107" i="2"/>
  <c r="T107" i="2"/>
  <c r="S107" i="2"/>
  <c r="R107" i="2"/>
  <c r="O107" i="2"/>
  <c r="N107" i="2"/>
  <c r="M107" i="2"/>
  <c r="L107" i="2"/>
  <c r="K107" i="2"/>
  <c r="E107" i="2"/>
  <c r="D107" i="2"/>
  <c r="C107" i="2"/>
  <c r="AB106" i="2"/>
  <c r="Z106" i="2"/>
  <c r="Y106" i="2"/>
  <c r="W106" i="2"/>
  <c r="T106" i="2"/>
  <c r="S106" i="2"/>
  <c r="R106" i="2"/>
  <c r="O106" i="2"/>
  <c r="N106" i="2"/>
  <c r="M106" i="2"/>
  <c r="L106" i="2"/>
  <c r="K106" i="2"/>
  <c r="E106" i="2"/>
  <c r="D106" i="2"/>
  <c r="C106" i="2"/>
  <c r="AB105" i="2"/>
  <c r="Z105" i="2"/>
  <c r="Y105" i="2"/>
  <c r="W105" i="2"/>
  <c r="T105" i="2"/>
  <c r="S105" i="2"/>
  <c r="R105" i="2"/>
  <c r="O105" i="2"/>
  <c r="N105" i="2"/>
  <c r="M105" i="2"/>
  <c r="L105" i="2"/>
  <c r="K105" i="2"/>
  <c r="E105" i="2"/>
  <c r="D105" i="2"/>
  <c r="C105" i="2"/>
  <c r="AB104" i="2"/>
  <c r="Z104" i="2"/>
  <c r="Y104" i="2"/>
  <c r="W104" i="2"/>
  <c r="T104" i="2"/>
  <c r="S104" i="2"/>
  <c r="R104" i="2"/>
  <c r="O104" i="2"/>
  <c r="N104" i="2"/>
  <c r="M104" i="2"/>
  <c r="L104" i="2"/>
  <c r="K104" i="2"/>
  <c r="E104" i="2"/>
  <c r="D104" i="2"/>
  <c r="C104" i="2"/>
  <c r="AB103" i="2"/>
  <c r="Z103" i="2"/>
  <c r="Y103" i="2"/>
  <c r="W103" i="2"/>
  <c r="T103" i="2"/>
  <c r="S103" i="2"/>
  <c r="R103" i="2"/>
  <c r="O103" i="2"/>
  <c r="N103" i="2"/>
  <c r="M103" i="2"/>
  <c r="L103" i="2"/>
  <c r="K103" i="2"/>
  <c r="E103" i="2"/>
  <c r="D103" i="2"/>
  <c r="C103" i="2"/>
  <c r="AB102" i="2"/>
  <c r="Z102" i="2"/>
  <c r="Y102" i="2"/>
  <c r="W102" i="2"/>
  <c r="T102" i="2"/>
  <c r="S102" i="2"/>
  <c r="R102" i="2"/>
  <c r="O102" i="2"/>
  <c r="N102" i="2"/>
  <c r="M102" i="2"/>
  <c r="L102" i="2"/>
  <c r="K102" i="2"/>
  <c r="E102" i="2"/>
  <c r="D102" i="2"/>
  <c r="C102" i="2"/>
  <c r="AB101" i="2"/>
  <c r="Z101" i="2"/>
  <c r="Y101" i="2"/>
  <c r="W101" i="2"/>
  <c r="T101" i="2"/>
  <c r="S101" i="2"/>
  <c r="R101" i="2"/>
  <c r="O101" i="2"/>
  <c r="N101" i="2"/>
  <c r="M101" i="2"/>
  <c r="L101" i="2"/>
  <c r="K101" i="2"/>
  <c r="E101" i="2"/>
  <c r="D101" i="2"/>
  <c r="C101" i="2"/>
  <c r="AB100" i="2"/>
  <c r="Z100" i="2"/>
  <c r="Y100" i="2"/>
  <c r="W100" i="2"/>
  <c r="T100" i="2"/>
  <c r="S100" i="2"/>
  <c r="R100" i="2"/>
  <c r="O100" i="2"/>
  <c r="N100" i="2"/>
  <c r="M100" i="2"/>
  <c r="L100" i="2"/>
  <c r="K100" i="2"/>
  <c r="E100" i="2"/>
  <c r="D100" i="2"/>
  <c r="C100" i="2"/>
  <c r="AB99" i="2"/>
  <c r="Z99" i="2"/>
  <c r="Y99" i="2"/>
  <c r="W99" i="2"/>
  <c r="T99" i="2"/>
  <c r="S99" i="2"/>
  <c r="R99" i="2"/>
  <c r="O99" i="2"/>
  <c r="N99" i="2"/>
  <c r="M99" i="2"/>
  <c r="L99" i="2"/>
  <c r="K99" i="2"/>
  <c r="E99" i="2"/>
  <c r="D99" i="2"/>
  <c r="C99" i="2"/>
  <c r="AB98" i="2"/>
  <c r="Z98" i="2"/>
  <c r="Y98" i="2"/>
  <c r="W98" i="2"/>
  <c r="T98" i="2"/>
  <c r="S98" i="2"/>
  <c r="R98" i="2"/>
  <c r="O98" i="2"/>
  <c r="N98" i="2"/>
  <c r="M98" i="2"/>
  <c r="L98" i="2"/>
  <c r="K98" i="2"/>
  <c r="E98" i="2"/>
  <c r="D98" i="2"/>
  <c r="C98" i="2"/>
  <c r="AB97" i="2"/>
  <c r="Z97" i="2"/>
  <c r="Y97" i="2"/>
  <c r="W97" i="2"/>
  <c r="T97" i="2"/>
  <c r="S97" i="2"/>
  <c r="R97" i="2"/>
  <c r="O97" i="2"/>
  <c r="N97" i="2"/>
  <c r="M97" i="2"/>
  <c r="L97" i="2"/>
  <c r="K97" i="2"/>
  <c r="E97" i="2"/>
  <c r="D97" i="2"/>
  <c r="C97" i="2"/>
  <c r="AB96" i="2"/>
  <c r="Z96" i="2"/>
  <c r="Y96" i="2"/>
  <c r="W96" i="2"/>
  <c r="T96" i="2"/>
  <c r="S96" i="2"/>
  <c r="R96" i="2"/>
  <c r="O96" i="2"/>
  <c r="N96" i="2"/>
  <c r="M96" i="2"/>
  <c r="L96" i="2"/>
  <c r="K96" i="2"/>
  <c r="E96" i="2"/>
  <c r="D96" i="2"/>
  <c r="C96" i="2"/>
  <c r="AB95" i="2"/>
  <c r="Z95" i="2"/>
  <c r="Y95" i="2"/>
  <c r="W95" i="2"/>
  <c r="T95" i="2"/>
  <c r="S95" i="2"/>
  <c r="R95" i="2"/>
  <c r="O95" i="2"/>
  <c r="N95" i="2"/>
  <c r="M95" i="2"/>
  <c r="L95" i="2"/>
  <c r="K95" i="2"/>
  <c r="E95" i="2"/>
  <c r="D95" i="2"/>
  <c r="C95" i="2"/>
  <c r="AB94" i="2"/>
  <c r="Z94" i="2"/>
  <c r="Y94" i="2"/>
  <c r="W94" i="2"/>
  <c r="T94" i="2"/>
  <c r="S94" i="2"/>
  <c r="R94" i="2"/>
  <c r="O94" i="2"/>
  <c r="N94" i="2"/>
  <c r="M94" i="2"/>
  <c r="L94" i="2"/>
  <c r="K94" i="2"/>
  <c r="E94" i="2"/>
  <c r="D94" i="2"/>
  <c r="C94" i="2"/>
  <c r="AB93" i="2"/>
  <c r="Z93" i="2"/>
  <c r="Y93" i="2"/>
  <c r="W93" i="2"/>
  <c r="T93" i="2"/>
  <c r="S93" i="2"/>
  <c r="R93" i="2"/>
  <c r="O93" i="2"/>
  <c r="N93" i="2"/>
  <c r="M93" i="2"/>
  <c r="L93" i="2"/>
  <c r="K93" i="2"/>
  <c r="E93" i="2"/>
  <c r="D93" i="2"/>
  <c r="C93" i="2"/>
  <c r="AB92" i="2"/>
  <c r="Z92" i="2"/>
  <c r="Y92" i="2"/>
  <c r="W92" i="2"/>
  <c r="T92" i="2"/>
  <c r="S92" i="2"/>
  <c r="R92" i="2"/>
  <c r="O92" i="2"/>
  <c r="N92" i="2"/>
  <c r="M92" i="2"/>
  <c r="L92" i="2"/>
  <c r="K92" i="2"/>
  <c r="E92" i="2"/>
  <c r="D92" i="2"/>
  <c r="C92" i="2"/>
  <c r="AB91" i="2"/>
  <c r="Z91" i="2"/>
  <c r="Y91" i="2"/>
  <c r="W91" i="2"/>
  <c r="T91" i="2"/>
  <c r="S91" i="2"/>
  <c r="R91" i="2"/>
  <c r="O91" i="2"/>
  <c r="N91" i="2"/>
  <c r="M91" i="2"/>
  <c r="L91" i="2"/>
  <c r="K91" i="2"/>
  <c r="E91" i="2"/>
  <c r="D91" i="2"/>
  <c r="C91" i="2"/>
  <c r="AB90" i="2"/>
  <c r="Z90" i="2"/>
  <c r="Y90" i="2"/>
  <c r="W90" i="2"/>
  <c r="T90" i="2"/>
  <c r="S90" i="2"/>
  <c r="R90" i="2"/>
  <c r="O90" i="2"/>
  <c r="N90" i="2"/>
  <c r="M90" i="2"/>
  <c r="L90" i="2"/>
  <c r="K90" i="2"/>
  <c r="E90" i="2"/>
  <c r="D90" i="2"/>
  <c r="C90" i="2"/>
  <c r="AB89" i="2"/>
  <c r="Z89" i="2"/>
  <c r="Y89" i="2"/>
  <c r="W89" i="2"/>
  <c r="T89" i="2"/>
  <c r="S89" i="2"/>
  <c r="R89" i="2"/>
  <c r="O89" i="2"/>
  <c r="N89" i="2"/>
  <c r="M89" i="2"/>
  <c r="L89" i="2"/>
  <c r="K89" i="2"/>
  <c r="E89" i="2"/>
  <c r="D89" i="2"/>
  <c r="C89" i="2"/>
  <c r="AB88" i="2"/>
  <c r="Z88" i="2"/>
  <c r="Y88" i="2"/>
  <c r="W88" i="2"/>
  <c r="T88" i="2"/>
  <c r="S88" i="2"/>
  <c r="R88" i="2"/>
  <c r="O88" i="2"/>
  <c r="N88" i="2"/>
  <c r="M88" i="2"/>
  <c r="L88" i="2"/>
  <c r="K88" i="2"/>
  <c r="E88" i="2"/>
  <c r="D88" i="2"/>
  <c r="C88" i="2"/>
  <c r="AB87" i="2"/>
  <c r="Z87" i="2"/>
  <c r="Y87" i="2"/>
  <c r="W87" i="2"/>
  <c r="T87" i="2"/>
  <c r="S87" i="2"/>
  <c r="R87" i="2"/>
  <c r="O87" i="2"/>
  <c r="N87" i="2"/>
  <c r="M87" i="2"/>
  <c r="L87" i="2"/>
  <c r="K87" i="2"/>
  <c r="E87" i="2"/>
  <c r="D87" i="2"/>
  <c r="C87" i="2"/>
  <c r="AB86" i="2"/>
  <c r="Z86" i="2"/>
  <c r="Y86" i="2"/>
  <c r="W86" i="2"/>
  <c r="T86" i="2"/>
  <c r="S86" i="2"/>
  <c r="R86" i="2"/>
  <c r="O86" i="2"/>
  <c r="N86" i="2"/>
  <c r="M86" i="2"/>
  <c r="L86" i="2"/>
  <c r="K86" i="2"/>
  <c r="E86" i="2"/>
  <c r="D86" i="2"/>
  <c r="C86" i="2"/>
  <c r="AB85" i="2"/>
  <c r="Z85" i="2"/>
  <c r="Y85" i="2"/>
  <c r="W85" i="2"/>
  <c r="T85" i="2"/>
  <c r="S85" i="2"/>
  <c r="R85" i="2"/>
  <c r="O85" i="2"/>
  <c r="N85" i="2"/>
  <c r="M85" i="2"/>
  <c r="L85" i="2"/>
  <c r="K85" i="2"/>
  <c r="E85" i="2"/>
  <c r="D85" i="2"/>
  <c r="C85" i="2"/>
  <c r="AB84" i="2"/>
  <c r="Z84" i="2"/>
  <c r="Y84" i="2"/>
  <c r="W84" i="2"/>
  <c r="T84" i="2"/>
  <c r="S84" i="2"/>
  <c r="R84" i="2"/>
  <c r="O84" i="2"/>
  <c r="N84" i="2"/>
  <c r="M84" i="2"/>
  <c r="L84" i="2"/>
  <c r="K84" i="2"/>
  <c r="E84" i="2"/>
  <c r="D84" i="2"/>
  <c r="C84" i="2"/>
  <c r="AB83" i="2"/>
  <c r="Z83" i="2"/>
  <c r="Y83" i="2"/>
  <c r="W83" i="2"/>
  <c r="T83" i="2"/>
  <c r="S83" i="2"/>
  <c r="R83" i="2"/>
  <c r="O83" i="2"/>
  <c r="N83" i="2"/>
  <c r="M83" i="2"/>
  <c r="L83" i="2"/>
  <c r="K83" i="2"/>
  <c r="E83" i="2"/>
  <c r="D83" i="2"/>
  <c r="C83" i="2"/>
  <c r="AB82" i="2"/>
  <c r="Z82" i="2"/>
  <c r="Y82" i="2"/>
  <c r="W82" i="2"/>
  <c r="T82" i="2"/>
  <c r="S82" i="2"/>
  <c r="R82" i="2"/>
  <c r="O82" i="2"/>
  <c r="N82" i="2"/>
  <c r="M82" i="2"/>
  <c r="L82" i="2"/>
  <c r="K82" i="2"/>
  <c r="E82" i="2"/>
  <c r="D82" i="2"/>
  <c r="C82" i="2"/>
  <c r="AB81" i="2"/>
  <c r="Z81" i="2"/>
  <c r="Y81" i="2"/>
  <c r="W81" i="2"/>
  <c r="T81" i="2"/>
  <c r="S81" i="2"/>
  <c r="R81" i="2"/>
  <c r="O81" i="2"/>
  <c r="N81" i="2"/>
  <c r="M81" i="2"/>
  <c r="L81" i="2"/>
  <c r="K81" i="2"/>
  <c r="E81" i="2"/>
  <c r="D81" i="2"/>
  <c r="C81" i="2"/>
  <c r="AB80" i="2"/>
  <c r="Z80" i="2"/>
  <c r="Y80" i="2"/>
  <c r="W80" i="2"/>
  <c r="T80" i="2"/>
  <c r="S80" i="2"/>
  <c r="R80" i="2"/>
  <c r="O80" i="2"/>
  <c r="N80" i="2"/>
  <c r="M80" i="2"/>
  <c r="L80" i="2"/>
  <c r="K80" i="2"/>
  <c r="E80" i="2"/>
  <c r="D80" i="2"/>
  <c r="C80" i="2"/>
  <c r="AB79" i="2"/>
  <c r="Z79" i="2"/>
  <c r="Y79" i="2"/>
  <c r="W79" i="2"/>
  <c r="T79" i="2"/>
  <c r="S79" i="2"/>
  <c r="R79" i="2"/>
  <c r="O79" i="2"/>
  <c r="N79" i="2"/>
  <c r="M79" i="2"/>
  <c r="L79" i="2"/>
  <c r="K79" i="2"/>
  <c r="E79" i="2"/>
  <c r="D79" i="2"/>
  <c r="C79" i="2"/>
  <c r="AB78" i="2"/>
  <c r="Z78" i="2"/>
  <c r="Y78" i="2"/>
  <c r="W78" i="2"/>
  <c r="T78" i="2"/>
  <c r="S78" i="2"/>
  <c r="R78" i="2"/>
  <c r="O78" i="2"/>
  <c r="N78" i="2"/>
  <c r="M78" i="2"/>
  <c r="L78" i="2"/>
  <c r="K78" i="2"/>
  <c r="E78" i="2"/>
  <c r="D78" i="2"/>
  <c r="C78" i="2"/>
  <c r="AB77" i="2"/>
  <c r="Z77" i="2"/>
  <c r="Y77" i="2"/>
  <c r="W77" i="2"/>
  <c r="T77" i="2"/>
  <c r="S77" i="2"/>
  <c r="R77" i="2"/>
  <c r="O77" i="2"/>
  <c r="N77" i="2"/>
  <c r="M77" i="2"/>
  <c r="L77" i="2"/>
  <c r="K77" i="2"/>
  <c r="E77" i="2"/>
  <c r="D77" i="2"/>
  <c r="C77" i="2"/>
  <c r="AB76" i="2"/>
  <c r="Z76" i="2"/>
  <c r="Y76" i="2"/>
  <c r="W76" i="2"/>
  <c r="T76" i="2"/>
  <c r="S76" i="2"/>
  <c r="R76" i="2"/>
  <c r="O76" i="2"/>
  <c r="N76" i="2"/>
  <c r="M76" i="2"/>
  <c r="L76" i="2"/>
  <c r="K76" i="2"/>
  <c r="E76" i="2"/>
  <c r="D76" i="2"/>
  <c r="C76" i="2"/>
  <c r="AB75" i="2"/>
  <c r="Z75" i="2"/>
  <c r="Y75" i="2"/>
  <c r="W75" i="2"/>
  <c r="T75" i="2"/>
  <c r="S75" i="2"/>
  <c r="R75" i="2"/>
  <c r="O75" i="2"/>
  <c r="N75" i="2"/>
  <c r="M75" i="2"/>
  <c r="L75" i="2"/>
  <c r="K75" i="2"/>
  <c r="E75" i="2"/>
  <c r="D75" i="2"/>
  <c r="C75" i="2"/>
  <c r="AB74" i="2"/>
  <c r="Z74" i="2"/>
  <c r="Y74" i="2"/>
  <c r="W74" i="2"/>
  <c r="T74" i="2"/>
  <c r="S74" i="2"/>
  <c r="R74" i="2"/>
  <c r="O74" i="2"/>
  <c r="N74" i="2"/>
  <c r="M74" i="2"/>
  <c r="L74" i="2"/>
  <c r="K74" i="2"/>
  <c r="E74" i="2"/>
  <c r="D74" i="2"/>
  <c r="C74" i="2"/>
  <c r="AB73" i="2"/>
  <c r="Z73" i="2"/>
  <c r="Y73" i="2"/>
  <c r="W73" i="2"/>
  <c r="T73" i="2"/>
  <c r="R73" i="2"/>
  <c r="Q73" i="2"/>
  <c r="O73" i="2"/>
  <c r="N73" i="2"/>
  <c r="M73" i="2"/>
  <c r="L73" i="2"/>
  <c r="K73" i="2"/>
  <c r="E73" i="2"/>
  <c r="D73" i="2"/>
  <c r="C73" i="2"/>
  <c r="AB72" i="2"/>
  <c r="Z72" i="2"/>
  <c r="Y72" i="2"/>
  <c r="W72" i="2"/>
  <c r="T72" i="2"/>
  <c r="R72" i="2"/>
  <c r="Q72" i="2"/>
  <c r="O72" i="2"/>
  <c r="N72" i="2"/>
  <c r="M72" i="2"/>
  <c r="L72" i="2"/>
  <c r="K72" i="2"/>
  <c r="E72" i="2"/>
  <c r="D72" i="2"/>
  <c r="C72" i="2"/>
  <c r="AB71" i="2"/>
  <c r="Z71" i="2"/>
  <c r="Y71" i="2"/>
  <c r="W71" i="2"/>
  <c r="T71" i="2"/>
  <c r="R71" i="2"/>
  <c r="Q71" i="2"/>
  <c r="O71" i="2"/>
  <c r="N71" i="2"/>
  <c r="M71" i="2"/>
  <c r="L71" i="2"/>
  <c r="K71" i="2"/>
  <c r="E71" i="2"/>
  <c r="D71" i="2"/>
  <c r="C71" i="2"/>
  <c r="AB70" i="2"/>
  <c r="Z70" i="2"/>
  <c r="Y70" i="2"/>
  <c r="W70" i="2"/>
  <c r="T70" i="2"/>
  <c r="R70" i="2"/>
  <c r="Q70" i="2"/>
  <c r="O70" i="2"/>
  <c r="N70" i="2"/>
  <c r="M70" i="2"/>
  <c r="L70" i="2"/>
  <c r="K70" i="2"/>
  <c r="E70" i="2"/>
  <c r="D70" i="2"/>
  <c r="C70" i="2"/>
  <c r="AB69" i="2"/>
  <c r="Z69" i="2"/>
  <c r="Y69" i="2"/>
  <c r="W69" i="2"/>
  <c r="T69" i="2"/>
  <c r="R69" i="2"/>
  <c r="Q69" i="2"/>
  <c r="O69" i="2"/>
  <c r="N69" i="2"/>
  <c r="M69" i="2"/>
  <c r="L69" i="2"/>
  <c r="K69" i="2"/>
  <c r="E69" i="2"/>
  <c r="D69" i="2"/>
  <c r="C69" i="2"/>
  <c r="AB68" i="2"/>
  <c r="Z68" i="2"/>
  <c r="Y68" i="2"/>
  <c r="W68" i="2"/>
  <c r="T68" i="2"/>
  <c r="R68" i="2"/>
  <c r="Q68" i="2"/>
  <c r="O68" i="2"/>
  <c r="N68" i="2"/>
  <c r="M68" i="2"/>
  <c r="L68" i="2"/>
  <c r="K68" i="2"/>
  <c r="E68" i="2"/>
  <c r="D68" i="2"/>
  <c r="C68" i="2"/>
  <c r="AB67" i="2"/>
  <c r="Z67" i="2"/>
  <c r="Y67" i="2"/>
  <c r="W67" i="2"/>
  <c r="T67" i="2"/>
  <c r="R67" i="2"/>
  <c r="Q67" i="2"/>
  <c r="O67" i="2"/>
  <c r="N67" i="2"/>
  <c r="M67" i="2"/>
  <c r="L67" i="2"/>
  <c r="K67" i="2"/>
  <c r="E67" i="2"/>
  <c r="D67" i="2"/>
  <c r="C67" i="2"/>
  <c r="AB66" i="2"/>
  <c r="Z66" i="2"/>
  <c r="Y66" i="2"/>
  <c r="W66" i="2"/>
  <c r="T66" i="2"/>
  <c r="R66" i="2"/>
  <c r="Q66" i="2"/>
  <c r="O66" i="2"/>
  <c r="N66" i="2"/>
  <c r="M66" i="2"/>
  <c r="L66" i="2"/>
  <c r="K66" i="2"/>
  <c r="E66" i="2"/>
  <c r="D66" i="2"/>
  <c r="C66" i="2"/>
  <c r="AB65" i="2"/>
  <c r="Z65" i="2"/>
  <c r="Y65" i="2"/>
  <c r="W65" i="2"/>
  <c r="T65" i="2"/>
  <c r="R65" i="2"/>
  <c r="Q65" i="2"/>
  <c r="O65" i="2"/>
  <c r="N65" i="2"/>
  <c r="M65" i="2"/>
  <c r="L65" i="2"/>
  <c r="K65" i="2"/>
  <c r="E65" i="2"/>
  <c r="D65" i="2"/>
  <c r="C65" i="2"/>
  <c r="AB64" i="2"/>
  <c r="Z64" i="2"/>
  <c r="Y64" i="2"/>
  <c r="W64" i="2"/>
  <c r="T64" i="2"/>
  <c r="R64" i="2"/>
  <c r="Q64" i="2"/>
  <c r="O64" i="2"/>
  <c r="N64" i="2"/>
  <c r="M64" i="2"/>
  <c r="L64" i="2"/>
  <c r="K64" i="2"/>
  <c r="E64" i="2"/>
  <c r="D64" i="2"/>
  <c r="C64" i="2"/>
  <c r="AB63" i="2"/>
  <c r="Z63" i="2"/>
  <c r="Y63" i="2"/>
  <c r="W63" i="2"/>
  <c r="T63" i="2"/>
  <c r="R63" i="2"/>
  <c r="Q63" i="2"/>
  <c r="O63" i="2"/>
  <c r="N63" i="2"/>
  <c r="M63" i="2"/>
  <c r="L63" i="2"/>
  <c r="K63" i="2"/>
  <c r="E63" i="2"/>
  <c r="D63" i="2"/>
  <c r="C63" i="2"/>
  <c r="AB62" i="2"/>
  <c r="Z62" i="2"/>
  <c r="Y62" i="2"/>
  <c r="W62" i="2"/>
  <c r="T62" i="2"/>
  <c r="R62" i="2"/>
  <c r="Q62" i="2"/>
  <c r="O62" i="2"/>
  <c r="N62" i="2"/>
  <c r="M62" i="2"/>
  <c r="L62" i="2"/>
  <c r="K62" i="2"/>
  <c r="E62" i="2"/>
  <c r="D62" i="2"/>
  <c r="C62" i="2"/>
  <c r="AB61" i="2"/>
  <c r="Z61" i="2"/>
  <c r="Y61" i="2"/>
  <c r="W61" i="2"/>
  <c r="T61" i="2"/>
  <c r="R61" i="2"/>
  <c r="Q61" i="2"/>
  <c r="O61" i="2"/>
  <c r="N61" i="2"/>
  <c r="M61" i="2"/>
  <c r="L61" i="2"/>
  <c r="K61" i="2"/>
  <c r="E61" i="2"/>
  <c r="D61" i="2"/>
  <c r="C61" i="2"/>
  <c r="AB60" i="2"/>
  <c r="Z60" i="2"/>
  <c r="Y60" i="2"/>
  <c r="W60" i="2"/>
  <c r="T60" i="2"/>
  <c r="R60" i="2"/>
  <c r="Q60" i="2"/>
  <c r="O60" i="2"/>
  <c r="N60" i="2"/>
  <c r="M60" i="2"/>
  <c r="L60" i="2"/>
  <c r="K60" i="2"/>
  <c r="E60" i="2"/>
  <c r="D60" i="2"/>
  <c r="C60" i="2"/>
  <c r="AB59" i="2"/>
  <c r="Z59" i="2"/>
  <c r="Y59" i="2"/>
  <c r="W59" i="2"/>
  <c r="T59" i="2"/>
  <c r="R59" i="2"/>
  <c r="Q59" i="2"/>
  <c r="O59" i="2"/>
  <c r="N59" i="2"/>
  <c r="M59" i="2"/>
  <c r="L59" i="2"/>
  <c r="K59" i="2"/>
  <c r="E59" i="2"/>
  <c r="D59" i="2"/>
  <c r="C59" i="2"/>
  <c r="AB58" i="2"/>
  <c r="Z58" i="2"/>
  <c r="Y58" i="2"/>
  <c r="W58" i="2"/>
  <c r="T58" i="2"/>
  <c r="R58" i="2"/>
  <c r="Q58" i="2"/>
  <c r="O58" i="2"/>
  <c r="N58" i="2"/>
  <c r="M58" i="2"/>
  <c r="L58" i="2"/>
  <c r="K58" i="2"/>
  <c r="E58" i="2"/>
  <c r="D58" i="2"/>
  <c r="C58" i="2"/>
  <c r="AB57" i="2"/>
  <c r="Z57" i="2"/>
  <c r="Y57" i="2"/>
  <c r="W57" i="2"/>
  <c r="T57" i="2"/>
  <c r="R57" i="2"/>
  <c r="Q57" i="2"/>
  <c r="O57" i="2"/>
  <c r="N57" i="2"/>
  <c r="M57" i="2"/>
  <c r="L57" i="2"/>
  <c r="K57" i="2"/>
  <c r="E57" i="2"/>
  <c r="D57" i="2"/>
  <c r="C57" i="2"/>
  <c r="AB56" i="2"/>
  <c r="Z56" i="2"/>
  <c r="Y56" i="2"/>
  <c r="W56" i="2"/>
  <c r="T56" i="2"/>
  <c r="R56" i="2"/>
  <c r="Q56" i="2"/>
  <c r="O56" i="2"/>
  <c r="N56" i="2"/>
  <c r="M56" i="2"/>
  <c r="L56" i="2"/>
  <c r="K56" i="2"/>
  <c r="E56" i="2"/>
  <c r="D56" i="2"/>
  <c r="C56" i="2"/>
  <c r="AB55" i="2"/>
  <c r="Z55" i="2"/>
  <c r="Y55" i="2"/>
  <c r="W55" i="2"/>
  <c r="T55" i="2"/>
  <c r="R55" i="2"/>
  <c r="Q55" i="2"/>
  <c r="O55" i="2"/>
  <c r="N55" i="2"/>
  <c r="M55" i="2"/>
  <c r="L55" i="2"/>
  <c r="K55" i="2"/>
  <c r="E55" i="2"/>
  <c r="D55" i="2"/>
  <c r="C55" i="2"/>
  <c r="AB54" i="2"/>
  <c r="Z54" i="2"/>
  <c r="Y54" i="2"/>
  <c r="W54" i="2"/>
  <c r="T54" i="2"/>
  <c r="R54" i="2"/>
  <c r="Q54" i="2"/>
  <c r="O54" i="2"/>
  <c r="N54" i="2"/>
  <c r="M54" i="2"/>
  <c r="L54" i="2"/>
  <c r="K54" i="2"/>
  <c r="E54" i="2"/>
  <c r="D54" i="2"/>
  <c r="C54" i="2"/>
  <c r="AB53" i="2"/>
  <c r="Z53" i="2"/>
  <c r="Y53" i="2"/>
  <c r="W53" i="2"/>
  <c r="T53" i="2"/>
  <c r="R53" i="2"/>
  <c r="Q53" i="2"/>
  <c r="O53" i="2"/>
  <c r="N53" i="2"/>
  <c r="M53" i="2"/>
  <c r="L53" i="2"/>
  <c r="K53" i="2"/>
  <c r="E53" i="2"/>
  <c r="D53" i="2"/>
  <c r="C53" i="2"/>
  <c r="AB52" i="2"/>
  <c r="Z52" i="2"/>
  <c r="Y52" i="2"/>
  <c r="W52" i="2"/>
  <c r="T52" i="2"/>
  <c r="R52" i="2"/>
  <c r="Q52" i="2"/>
  <c r="O52" i="2"/>
  <c r="N52" i="2"/>
  <c r="M52" i="2"/>
  <c r="L52" i="2"/>
  <c r="K52" i="2"/>
  <c r="E52" i="2"/>
  <c r="D52" i="2"/>
  <c r="C52" i="2"/>
  <c r="AB51" i="2"/>
  <c r="Z51" i="2"/>
  <c r="Y51" i="2"/>
  <c r="W51" i="2"/>
  <c r="T51" i="2"/>
  <c r="R51" i="2"/>
  <c r="Q51" i="2"/>
  <c r="O51" i="2"/>
  <c r="N51" i="2"/>
  <c r="M51" i="2"/>
  <c r="L51" i="2"/>
  <c r="K51" i="2"/>
  <c r="E51" i="2"/>
  <c r="D51" i="2"/>
  <c r="C51" i="2"/>
  <c r="AB50" i="2"/>
  <c r="Z50" i="2"/>
  <c r="Y50" i="2"/>
  <c r="W50" i="2"/>
  <c r="T50" i="2"/>
  <c r="R50" i="2"/>
  <c r="Q50" i="2"/>
  <c r="O50" i="2"/>
  <c r="N50" i="2"/>
  <c r="M50" i="2"/>
  <c r="L50" i="2"/>
  <c r="K50" i="2"/>
  <c r="E50" i="2"/>
  <c r="D50" i="2"/>
  <c r="C50" i="2"/>
  <c r="AB49" i="2"/>
  <c r="Z49" i="2"/>
  <c r="Y49" i="2"/>
  <c r="W49" i="2"/>
  <c r="T49" i="2"/>
  <c r="R49" i="2"/>
  <c r="Q49" i="2"/>
  <c r="O49" i="2"/>
  <c r="N49" i="2"/>
  <c r="M49" i="2"/>
  <c r="L49" i="2"/>
  <c r="K49" i="2"/>
  <c r="E49" i="2"/>
  <c r="D49" i="2"/>
  <c r="C49" i="2"/>
  <c r="AB48" i="2"/>
  <c r="Z48" i="2"/>
  <c r="Y48" i="2"/>
  <c r="W48" i="2"/>
  <c r="T48" i="2"/>
  <c r="R48" i="2"/>
  <c r="Q48" i="2"/>
  <c r="O48" i="2"/>
  <c r="N48" i="2"/>
  <c r="M48" i="2"/>
  <c r="L48" i="2"/>
  <c r="K48" i="2"/>
  <c r="E48" i="2"/>
  <c r="D48" i="2"/>
  <c r="C48" i="2"/>
  <c r="AB47" i="2"/>
  <c r="Z47" i="2"/>
  <c r="Y47" i="2"/>
  <c r="W47" i="2"/>
  <c r="T47" i="2"/>
  <c r="R47" i="2"/>
  <c r="Q47" i="2"/>
  <c r="O47" i="2"/>
  <c r="N47" i="2"/>
  <c r="M47" i="2"/>
  <c r="L47" i="2"/>
  <c r="K47" i="2"/>
  <c r="E47" i="2"/>
  <c r="D47" i="2"/>
  <c r="C47" i="2"/>
  <c r="AB46" i="2"/>
  <c r="Z46" i="2"/>
  <c r="Y46" i="2"/>
  <c r="W46" i="2"/>
  <c r="T46" i="2"/>
  <c r="R46" i="2"/>
  <c r="Q46" i="2"/>
  <c r="O46" i="2"/>
  <c r="N46" i="2"/>
  <c r="M46" i="2"/>
  <c r="L46" i="2"/>
  <c r="K46" i="2"/>
  <c r="E46" i="2"/>
  <c r="D46" i="2"/>
  <c r="C46" i="2"/>
  <c r="AB45" i="2"/>
  <c r="Z45" i="2"/>
  <c r="Y45" i="2"/>
  <c r="W45" i="2"/>
  <c r="T45" i="2"/>
  <c r="R45" i="2"/>
  <c r="Q45" i="2"/>
  <c r="O45" i="2"/>
  <c r="N45" i="2"/>
  <c r="M45" i="2"/>
  <c r="L45" i="2"/>
  <c r="K45" i="2"/>
  <c r="E45" i="2"/>
  <c r="D45" i="2"/>
  <c r="C45" i="2"/>
  <c r="AB44" i="2"/>
  <c r="Z44" i="2"/>
  <c r="Y44" i="2"/>
  <c r="W44" i="2"/>
  <c r="U44" i="2"/>
  <c r="R44" i="2"/>
  <c r="Q44" i="2"/>
  <c r="M44" i="2"/>
  <c r="K44" i="2"/>
  <c r="E44" i="2"/>
  <c r="D44" i="2"/>
  <c r="C44" i="2"/>
  <c r="AB43" i="2"/>
  <c r="Z43" i="2"/>
  <c r="Y43" i="2"/>
  <c r="W43" i="2"/>
  <c r="U43" i="2"/>
  <c r="R43" i="2"/>
  <c r="Q43" i="2"/>
  <c r="M43" i="2"/>
  <c r="K43" i="2"/>
  <c r="E43" i="2"/>
  <c r="D43" i="2"/>
  <c r="C43" i="2"/>
  <c r="AB42" i="2"/>
  <c r="Z42" i="2"/>
  <c r="Y42" i="2"/>
  <c r="W42" i="2"/>
  <c r="U42" i="2"/>
  <c r="R42" i="2"/>
  <c r="Q42" i="2"/>
  <c r="M42" i="2"/>
  <c r="K42" i="2"/>
  <c r="E42" i="2"/>
  <c r="D42" i="2"/>
  <c r="C42" i="2"/>
  <c r="AB41" i="2"/>
  <c r="Z41" i="2"/>
  <c r="Y41" i="2"/>
  <c r="W41" i="2"/>
  <c r="U41" i="2"/>
  <c r="R41" i="2"/>
  <c r="Q41" i="2"/>
  <c r="M41" i="2"/>
  <c r="K41" i="2"/>
  <c r="E41" i="2"/>
  <c r="D41" i="2"/>
  <c r="C41" i="2"/>
  <c r="AB40" i="2"/>
  <c r="Z40" i="2"/>
  <c r="Y40" i="2"/>
  <c r="W40" i="2"/>
  <c r="U40" i="2"/>
  <c r="R40" i="2"/>
  <c r="Q40" i="2"/>
  <c r="M40" i="2"/>
  <c r="K40" i="2"/>
  <c r="E40" i="2"/>
  <c r="D40" i="2"/>
  <c r="C40" i="2"/>
  <c r="AB39" i="2"/>
  <c r="Z39" i="2"/>
  <c r="Y39" i="2"/>
  <c r="W39" i="2"/>
  <c r="U39" i="2"/>
  <c r="R39" i="2"/>
  <c r="Q39" i="2"/>
  <c r="M39" i="2"/>
  <c r="K39" i="2"/>
  <c r="E39" i="2"/>
  <c r="D39" i="2"/>
  <c r="C39" i="2"/>
  <c r="AB38" i="2"/>
  <c r="Z38" i="2"/>
  <c r="Y38" i="2"/>
  <c r="W38" i="2"/>
  <c r="U38" i="2"/>
  <c r="R38" i="2"/>
  <c r="Q38" i="2"/>
  <c r="M38" i="2"/>
  <c r="K38" i="2"/>
  <c r="E38" i="2"/>
  <c r="D38" i="2"/>
  <c r="C38" i="2"/>
  <c r="AB37" i="2"/>
  <c r="Z37" i="2"/>
  <c r="Y37" i="2"/>
  <c r="W37" i="2"/>
  <c r="U37" i="2"/>
  <c r="R37" i="2"/>
  <c r="Q37" i="2"/>
  <c r="M37" i="2"/>
  <c r="K37" i="2"/>
  <c r="E37" i="2"/>
  <c r="D37" i="2"/>
  <c r="C37" i="2"/>
  <c r="AB36" i="2"/>
  <c r="Z36" i="2"/>
  <c r="Y36" i="2"/>
  <c r="W36" i="2"/>
  <c r="U36" i="2"/>
  <c r="R36" i="2"/>
  <c r="Q36" i="2"/>
  <c r="M36" i="2"/>
  <c r="K36" i="2"/>
  <c r="E36" i="2"/>
  <c r="D36" i="2"/>
  <c r="C36" i="2"/>
  <c r="AB35" i="2"/>
  <c r="Z35" i="2"/>
  <c r="Y35" i="2"/>
  <c r="W35" i="2"/>
  <c r="U35" i="2"/>
  <c r="R35" i="2"/>
  <c r="Q35" i="2"/>
  <c r="M35" i="2"/>
  <c r="K35" i="2"/>
  <c r="E35" i="2"/>
  <c r="D35" i="2"/>
  <c r="C35" i="2"/>
  <c r="AB34" i="2"/>
  <c r="Z34" i="2"/>
  <c r="Y34" i="2"/>
  <c r="W34" i="2"/>
  <c r="U34" i="2"/>
  <c r="R34" i="2"/>
  <c r="Q34" i="2"/>
  <c r="M34" i="2"/>
  <c r="K34" i="2"/>
  <c r="E34" i="2"/>
  <c r="D34" i="2"/>
  <c r="C34" i="2"/>
  <c r="AB33" i="2"/>
  <c r="Z33" i="2"/>
  <c r="Y33" i="2"/>
  <c r="W33" i="2"/>
  <c r="U33" i="2"/>
  <c r="R33" i="2"/>
  <c r="Q33" i="2"/>
  <c r="M33" i="2"/>
  <c r="K33" i="2"/>
  <c r="E33" i="2"/>
  <c r="D33" i="2"/>
  <c r="C33" i="2"/>
  <c r="AB32" i="2"/>
  <c r="Z32" i="2"/>
  <c r="Y32" i="2"/>
  <c r="W32" i="2"/>
  <c r="U32" i="2"/>
  <c r="R32" i="2"/>
  <c r="Q32" i="2"/>
  <c r="M32" i="2"/>
  <c r="K32" i="2"/>
  <c r="E32" i="2"/>
  <c r="D32" i="2"/>
  <c r="C32" i="2"/>
  <c r="AB31" i="2"/>
  <c r="Z31" i="2"/>
  <c r="Y31" i="2"/>
  <c r="W31" i="2"/>
  <c r="U31" i="2"/>
  <c r="R31" i="2"/>
  <c r="Q31" i="2"/>
  <c r="M31" i="2"/>
  <c r="K31" i="2"/>
  <c r="E31" i="2"/>
  <c r="D31" i="2"/>
  <c r="C31" i="2"/>
  <c r="AB30" i="2"/>
  <c r="Z30" i="2"/>
  <c r="Y30" i="2"/>
  <c r="W30" i="2"/>
  <c r="U30" i="2"/>
  <c r="R30" i="2"/>
  <c r="Q30" i="2"/>
  <c r="M30" i="2"/>
  <c r="K30" i="2"/>
  <c r="E30" i="2"/>
  <c r="D30" i="2"/>
  <c r="C30" i="2"/>
  <c r="AB29" i="2"/>
  <c r="Z29" i="2"/>
  <c r="Y29" i="2"/>
  <c r="W29" i="2"/>
  <c r="U29" i="2"/>
  <c r="R29" i="2"/>
  <c r="Q29" i="2"/>
  <c r="M29" i="2"/>
  <c r="K29" i="2"/>
  <c r="E29" i="2"/>
  <c r="D29" i="2"/>
  <c r="C29" i="2"/>
  <c r="AB28" i="2"/>
  <c r="Z28" i="2"/>
  <c r="Y28" i="2"/>
  <c r="W28" i="2"/>
  <c r="U28" i="2"/>
  <c r="R28" i="2"/>
  <c r="Q28" i="2"/>
  <c r="M28" i="2"/>
  <c r="K28" i="2"/>
  <c r="E28" i="2"/>
  <c r="D28" i="2"/>
  <c r="C28" i="2"/>
  <c r="AB27" i="2"/>
  <c r="Z27" i="2"/>
  <c r="Y27" i="2"/>
  <c r="W27" i="2"/>
  <c r="U27" i="2"/>
  <c r="R27" i="2"/>
  <c r="Q27" i="2"/>
  <c r="M27" i="2"/>
  <c r="K27" i="2"/>
  <c r="E27" i="2"/>
  <c r="D27" i="2"/>
  <c r="C27" i="2"/>
  <c r="AB26" i="2"/>
  <c r="Z26" i="2"/>
  <c r="Y26" i="2"/>
  <c r="W26" i="2"/>
  <c r="U26" i="2"/>
  <c r="R26" i="2"/>
  <c r="Q26" i="2"/>
  <c r="M26" i="2"/>
  <c r="K26" i="2"/>
  <c r="E26" i="2"/>
  <c r="D26" i="2"/>
  <c r="C26" i="2"/>
  <c r="AB25" i="2"/>
  <c r="Z25" i="2"/>
  <c r="Y25" i="2"/>
  <c r="W25" i="2"/>
  <c r="U25" i="2"/>
  <c r="R25" i="2"/>
  <c r="Q25" i="2"/>
  <c r="M25" i="2"/>
  <c r="K25" i="2"/>
  <c r="E25" i="2"/>
  <c r="D25" i="2"/>
  <c r="C25" i="2"/>
  <c r="AB24" i="2"/>
  <c r="Z24" i="2"/>
  <c r="Y24" i="2"/>
  <c r="W24" i="2"/>
  <c r="U24" i="2"/>
  <c r="R24" i="2"/>
  <c r="Q24" i="2"/>
  <c r="M24" i="2"/>
  <c r="K24" i="2"/>
  <c r="E24" i="2"/>
  <c r="D24" i="2"/>
  <c r="C24" i="2"/>
  <c r="AB23" i="2"/>
  <c r="Z23" i="2"/>
  <c r="Y23" i="2"/>
  <c r="W23" i="2"/>
  <c r="U23" i="2"/>
  <c r="R23" i="2"/>
  <c r="Q23" i="2"/>
  <c r="M23" i="2"/>
  <c r="K23" i="2"/>
  <c r="E23" i="2"/>
  <c r="D23" i="2"/>
  <c r="C23" i="2"/>
  <c r="AB22" i="2"/>
  <c r="Z22" i="2"/>
  <c r="Y22" i="2"/>
  <c r="W22" i="2"/>
  <c r="U22" i="2"/>
  <c r="R22" i="2"/>
  <c r="Q22" i="2"/>
  <c r="M22" i="2"/>
  <c r="K22" i="2"/>
  <c r="E22" i="2"/>
  <c r="D22" i="2"/>
  <c r="C22" i="2"/>
  <c r="AB21" i="2"/>
  <c r="Z21" i="2"/>
  <c r="Y21" i="2"/>
  <c r="W21" i="2"/>
  <c r="U21" i="2"/>
  <c r="R21" i="2"/>
  <c r="Q21" i="2"/>
  <c r="M21" i="2"/>
  <c r="K21" i="2"/>
  <c r="E21" i="2"/>
  <c r="D21" i="2"/>
  <c r="C21" i="2"/>
  <c r="AB20" i="2"/>
  <c r="Z20" i="2"/>
  <c r="Y20" i="2"/>
  <c r="W20" i="2"/>
  <c r="U20" i="2"/>
  <c r="R20" i="2"/>
  <c r="Q20" i="2"/>
  <c r="M20" i="2"/>
  <c r="K20" i="2"/>
  <c r="E20" i="2"/>
  <c r="D20" i="2"/>
  <c r="C20" i="2"/>
  <c r="AB19" i="2"/>
  <c r="Z19" i="2"/>
  <c r="Y19" i="2"/>
  <c r="W19" i="2"/>
  <c r="U19" i="2"/>
  <c r="R19" i="2"/>
  <c r="Q19" i="2"/>
  <c r="M19" i="2"/>
  <c r="K19" i="2"/>
  <c r="E19" i="2"/>
  <c r="D19" i="2"/>
  <c r="C19" i="2"/>
  <c r="AB18" i="2"/>
  <c r="Z18" i="2"/>
  <c r="Y18" i="2"/>
  <c r="W18" i="2"/>
  <c r="U18" i="2"/>
  <c r="R18" i="2"/>
  <c r="Q18" i="2"/>
  <c r="M18" i="2"/>
  <c r="K18" i="2"/>
  <c r="E18" i="2"/>
  <c r="D18" i="2"/>
  <c r="C18" i="2"/>
  <c r="AB17" i="2"/>
  <c r="Z17" i="2"/>
  <c r="Y17" i="2"/>
  <c r="W17" i="2"/>
  <c r="U17" i="2"/>
  <c r="R17" i="2"/>
  <c r="Q17" i="2"/>
  <c r="M17" i="2"/>
  <c r="K17" i="2"/>
  <c r="E17" i="2"/>
  <c r="D17" i="2"/>
  <c r="C17" i="2"/>
  <c r="AB16" i="2"/>
  <c r="Z16" i="2"/>
  <c r="Y16" i="2"/>
  <c r="W16" i="2"/>
  <c r="U16" i="2"/>
  <c r="R16" i="2"/>
  <c r="Q16" i="2"/>
  <c r="M16" i="2"/>
  <c r="K16" i="2"/>
  <c r="E16" i="2"/>
  <c r="D16" i="2"/>
  <c r="C16" i="2"/>
  <c r="AB15" i="2"/>
  <c r="Z15" i="2"/>
  <c r="Y15" i="2"/>
  <c r="W15" i="2"/>
  <c r="U15" i="2"/>
  <c r="R15" i="2"/>
  <c r="Q15" i="2"/>
  <c r="M15" i="2"/>
  <c r="K15" i="2"/>
  <c r="E15" i="2"/>
  <c r="D15" i="2"/>
  <c r="C15" i="2"/>
  <c r="AB14" i="2"/>
  <c r="Z14" i="2"/>
  <c r="Y14" i="2"/>
  <c r="W14" i="2"/>
  <c r="U14" i="2"/>
  <c r="R14" i="2"/>
  <c r="Q14" i="2"/>
  <c r="M14" i="2"/>
  <c r="K14" i="2"/>
  <c r="E14" i="2"/>
  <c r="D14" i="2"/>
  <c r="C14" i="2"/>
  <c r="AB13" i="2"/>
  <c r="Z13" i="2"/>
  <c r="Y13" i="2"/>
  <c r="W13" i="2"/>
  <c r="U13" i="2"/>
  <c r="R13" i="2"/>
  <c r="Q13" i="2"/>
  <c r="M13" i="2"/>
  <c r="K13" i="2"/>
  <c r="E13" i="2"/>
  <c r="D13" i="2"/>
  <c r="C13" i="2"/>
  <c r="AB12" i="2"/>
  <c r="Z12" i="2"/>
  <c r="Y12" i="2"/>
  <c r="W12" i="2"/>
  <c r="U12" i="2"/>
  <c r="R12" i="2"/>
  <c r="Q12" i="2"/>
  <c r="M12" i="2"/>
  <c r="K12" i="2"/>
  <c r="E12" i="2"/>
  <c r="D12" i="2"/>
  <c r="C12" i="2"/>
  <c r="AB11" i="2"/>
  <c r="Z11" i="2"/>
  <c r="Y11" i="2"/>
  <c r="W11" i="2"/>
  <c r="U11" i="2"/>
  <c r="R11" i="2"/>
  <c r="Q11" i="2"/>
  <c r="M11" i="2"/>
  <c r="K11" i="2"/>
  <c r="E11" i="2"/>
  <c r="D11" i="2"/>
  <c r="C11" i="2"/>
  <c r="AB10" i="2"/>
  <c r="Z10" i="2"/>
  <c r="Y10" i="2"/>
  <c r="W10" i="2"/>
  <c r="U10" i="2"/>
  <c r="R10" i="2"/>
  <c r="Q10" i="2"/>
  <c r="M10" i="2"/>
  <c r="K10" i="2"/>
  <c r="E10" i="2"/>
  <c r="D10" i="2"/>
  <c r="C10" i="2"/>
  <c r="AB9" i="2"/>
  <c r="Z9" i="2"/>
  <c r="Y9" i="2"/>
  <c r="W9" i="2"/>
  <c r="U9" i="2"/>
  <c r="R9" i="2"/>
  <c r="Q9" i="2"/>
  <c r="M9" i="2"/>
  <c r="K9" i="2"/>
  <c r="E9" i="2"/>
  <c r="D9" i="2"/>
  <c r="C9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E8" i="2"/>
  <c r="D8" i="2"/>
  <c r="C8" i="2"/>
  <c r="AC7" i="2"/>
  <c r="AB7" i="2"/>
  <c r="AA7" i="2"/>
  <c r="Z7" i="2"/>
  <c r="Y7" i="2"/>
  <c r="W7" i="2"/>
  <c r="V7" i="2"/>
  <c r="U7" i="2"/>
  <c r="T7" i="2"/>
  <c r="S7" i="2"/>
  <c r="Q7" i="2"/>
  <c r="P7" i="2"/>
  <c r="O7" i="2"/>
  <c r="N7" i="2"/>
  <c r="M7" i="2"/>
  <c r="L7" i="2"/>
  <c r="K7" i="2"/>
  <c r="J7" i="2"/>
  <c r="AD6" i="2"/>
  <c r="AC6" i="2"/>
  <c r="AB6" i="2"/>
  <c r="AA6" i="2"/>
  <c r="Z6" i="2"/>
  <c r="Y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AD5" i="2"/>
  <c r="AC5" i="2"/>
  <c r="AB5" i="2"/>
  <c r="AA5" i="2"/>
  <c r="Z5" i="2"/>
  <c r="Y5" i="2"/>
  <c r="X5" i="2"/>
  <c r="W5" i="2"/>
  <c r="U5" i="2"/>
  <c r="T5" i="2"/>
  <c r="S5" i="2"/>
  <c r="R5" i="2"/>
  <c r="Q5" i="2"/>
  <c r="P5" i="2"/>
  <c r="O5" i="2"/>
  <c r="N5" i="2"/>
  <c r="M5" i="2"/>
  <c r="L5" i="2"/>
  <c r="K5" i="2"/>
  <c r="J5" i="2"/>
  <c r="AC4" i="2"/>
  <c r="AB4" i="2"/>
  <c r="AA4" i="2"/>
  <c r="Z4" i="2"/>
  <c r="V4" i="2"/>
  <c r="T4" i="2"/>
  <c r="N4" i="2"/>
  <c r="M4" i="2"/>
  <c r="L4" i="2"/>
  <c r="K4" i="2"/>
  <c r="J4" i="2"/>
  <c r="AC3" i="2"/>
  <c r="AB3" i="2"/>
  <c r="Z3" i="2"/>
  <c r="Y3" i="2"/>
  <c r="T3" i="2"/>
  <c r="S3" i="2"/>
  <c r="R3" i="2"/>
  <c r="P3" i="2"/>
  <c r="O3" i="2"/>
  <c r="N3" i="2"/>
  <c r="M3" i="2"/>
  <c r="L3" i="2"/>
  <c r="K3" i="2"/>
  <c r="J3" i="2"/>
  <c r="AC2" i="2"/>
  <c r="AB2" i="2"/>
  <c r="AA2" i="2"/>
  <c r="Z2" i="2"/>
  <c r="Y2" i="2"/>
  <c r="W2" i="2"/>
  <c r="V2" i="2"/>
  <c r="T2" i="2"/>
  <c r="S2" i="2"/>
  <c r="R2" i="2"/>
  <c r="Q2" i="2"/>
  <c r="P2" i="2"/>
  <c r="O2" i="2"/>
  <c r="N2" i="2"/>
  <c r="M2" i="2"/>
  <c r="L2" i="2"/>
  <c r="K2" i="2"/>
  <c r="J2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G73" i="5" l="1"/>
  <c r="G191" i="5"/>
  <c r="G335" i="5"/>
  <c r="G465" i="5"/>
  <c r="G708" i="5"/>
  <c r="G1468" i="5"/>
  <c r="G3076" i="5"/>
  <c r="G13" i="5"/>
  <c r="G35" i="5"/>
  <c r="G57" i="5"/>
  <c r="G74" i="5"/>
  <c r="G96" i="5"/>
  <c r="G120" i="5"/>
  <c r="G144" i="5"/>
  <c r="G168" i="5"/>
  <c r="G192" i="5"/>
  <c r="G216" i="5"/>
  <c r="G240" i="5"/>
  <c r="G264" i="5"/>
  <c r="G288" i="5"/>
  <c r="G312" i="5"/>
  <c r="G336" i="5"/>
  <c r="G360" i="5"/>
  <c r="G384" i="5"/>
  <c r="G408" i="5"/>
  <c r="G434" i="5"/>
  <c r="G466" i="5"/>
  <c r="G493" i="5"/>
  <c r="G525" i="5"/>
  <c r="G565" i="5"/>
  <c r="G613" i="5"/>
  <c r="G661" i="5"/>
  <c r="G710" i="5"/>
  <c r="G769" i="5"/>
  <c r="G875" i="5"/>
  <c r="G983" i="5"/>
  <c r="G1150" i="5"/>
  <c r="G1322" i="5"/>
  <c r="G1492" i="5"/>
  <c r="G1669" i="5"/>
  <c r="G1841" i="5"/>
  <c r="G2095" i="5"/>
  <c r="G2545" i="5"/>
  <c r="G3184" i="5"/>
  <c r="G4972" i="5"/>
  <c r="G95" i="5"/>
  <c r="G167" i="5"/>
  <c r="G311" i="5"/>
  <c r="G433" i="5"/>
  <c r="G611" i="5"/>
  <c r="G767" i="5"/>
  <c r="G1298" i="5"/>
  <c r="G2062" i="5"/>
  <c r="G14" i="5"/>
  <c r="G36" i="5"/>
  <c r="G58" i="5"/>
  <c r="G75" i="5"/>
  <c r="G97" i="5"/>
  <c r="G121" i="5"/>
  <c r="G145" i="5"/>
  <c r="G169" i="5"/>
  <c r="G193" i="5"/>
  <c r="G217" i="5"/>
  <c r="G241" i="5"/>
  <c r="G265" i="5"/>
  <c r="G289" i="5"/>
  <c r="G313" i="5"/>
  <c r="G337" i="5"/>
  <c r="G361" i="5"/>
  <c r="G385" i="5"/>
  <c r="G409" i="5"/>
  <c r="G441" i="5"/>
  <c r="G467" i="5"/>
  <c r="G494" i="5"/>
  <c r="G527" i="5"/>
  <c r="G573" i="5"/>
  <c r="G621" i="5"/>
  <c r="G669" i="5"/>
  <c r="G719" i="5"/>
  <c r="G781" i="5"/>
  <c r="G877" i="5"/>
  <c r="G985" i="5"/>
  <c r="G1154" i="5"/>
  <c r="G1324" i="5"/>
  <c r="G1501" i="5"/>
  <c r="G1671" i="5"/>
  <c r="G1852" i="5"/>
  <c r="G2111" i="5"/>
  <c r="G2566" i="5"/>
  <c r="G3214" i="5"/>
  <c r="G5201" i="5"/>
  <c r="G34" i="5"/>
  <c r="G143" i="5"/>
  <c r="G263" i="5"/>
  <c r="G407" i="5"/>
  <c r="G563" i="5"/>
  <c r="G857" i="5"/>
  <c r="G1645" i="5"/>
  <c r="G4404" i="5"/>
  <c r="G15" i="5"/>
  <c r="G37" i="5"/>
  <c r="G59" i="5"/>
  <c r="G81" i="5"/>
  <c r="G98" i="5"/>
  <c r="G122" i="5"/>
  <c r="G146" i="5"/>
  <c r="G170" i="5"/>
  <c r="G194" i="5"/>
  <c r="G218" i="5"/>
  <c r="G242" i="5"/>
  <c r="G266" i="5"/>
  <c r="G290" i="5"/>
  <c r="G314" i="5"/>
  <c r="G338" i="5"/>
  <c r="G362" i="5"/>
  <c r="G386" i="5"/>
  <c r="G410" i="5"/>
  <c r="G442" i="5"/>
  <c r="G469" i="5"/>
  <c r="G501" i="5"/>
  <c r="G529" i="5"/>
  <c r="G575" i="5"/>
  <c r="G623" i="5"/>
  <c r="G671" i="5"/>
  <c r="G721" i="5"/>
  <c r="G783" i="5"/>
  <c r="G891" i="5"/>
  <c r="G1006" i="5"/>
  <c r="G1178" i="5"/>
  <c r="G1348" i="5"/>
  <c r="G1525" i="5"/>
  <c r="G1695" i="5"/>
  <c r="G1880" i="5"/>
  <c r="G2149" i="5"/>
  <c r="G2628" i="5"/>
  <c r="G3319" i="5"/>
  <c r="G6938" i="5"/>
  <c r="G51" i="5"/>
  <c r="G119" i="5"/>
  <c r="G215" i="5"/>
  <c r="G287" i="5"/>
  <c r="G359" i="5"/>
  <c r="G383" i="5"/>
  <c r="G491" i="5"/>
  <c r="G659" i="5"/>
  <c r="G965" i="5"/>
  <c r="G1815" i="5"/>
  <c r="G21" i="5"/>
  <c r="G38" i="5"/>
  <c r="G60" i="5"/>
  <c r="G82" i="5"/>
  <c r="G105" i="5"/>
  <c r="G129" i="5"/>
  <c r="G153" i="5"/>
  <c r="G177" i="5"/>
  <c r="G201" i="5"/>
  <c r="G225" i="5"/>
  <c r="G249" i="5"/>
  <c r="G273" i="5"/>
  <c r="G297" i="5"/>
  <c r="G321" i="5"/>
  <c r="G345" i="5"/>
  <c r="G369" i="5"/>
  <c r="G393" i="5"/>
  <c r="G417" i="5"/>
  <c r="G443" i="5"/>
  <c r="G470" i="5"/>
  <c r="G502" i="5"/>
  <c r="G530" i="5"/>
  <c r="G577" i="5"/>
  <c r="G625" i="5"/>
  <c r="G673" i="5"/>
  <c r="G723" i="5"/>
  <c r="G785" i="5"/>
  <c r="G893" i="5"/>
  <c r="G1010" i="5"/>
  <c r="G1180" i="5"/>
  <c r="G1357" i="5"/>
  <c r="G1527" i="5"/>
  <c r="G1702" i="5"/>
  <c r="G1891" i="5"/>
  <c r="G2164" i="5"/>
  <c r="G2651" i="5"/>
  <c r="G3356" i="5"/>
  <c r="G8704" i="5"/>
  <c r="G12" i="5"/>
  <c r="G239" i="5"/>
  <c r="G518" i="5"/>
  <c r="G1126" i="5"/>
  <c r="G2483" i="5"/>
  <c r="G1" i="5"/>
  <c r="G22" i="5"/>
  <c r="G39" i="5"/>
  <c r="G61" i="5"/>
  <c r="G83" i="5"/>
  <c r="G106" i="5"/>
  <c r="G130" i="5"/>
  <c r="G154" i="5"/>
  <c r="G178" i="5"/>
  <c r="G202" i="5"/>
  <c r="G226" i="5"/>
  <c r="G250" i="5"/>
  <c r="G274" i="5"/>
  <c r="G298" i="5"/>
  <c r="G322" i="5"/>
  <c r="G346" i="5"/>
  <c r="G370" i="5"/>
  <c r="G394" i="5"/>
  <c r="G418" i="5"/>
  <c r="G445" i="5"/>
  <c r="G477" i="5"/>
  <c r="G503" i="5"/>
  <c r="G537" i="5"/>
  <c r="G585" i="5"/>
  <c r="G633" i="5"/>
  <c r="G681" i="5"/>
  <c r="G732" i="5"/>
  <c r="G803" i="5"/>
  <c r="G911" i="5"/>
  <c r="G1034" i="5"/>
  <c r="G1204" i="5"/>
  <c r="G1381" i="5"/>
  <c r="G1551" i="5"/>
  <c r="G1726" i="5"/>
  <c r="G1920" i="5"/>
  <c r="G2221" i="5"/>
  <c r="G2724" i="5"/>
  <c r="G8699" i="5"/>
  <c r="G8687" i="5"/>
  <c r="G8675" i="5"/>
  <c r="G8663" i="5"/>
  <c r="G8651" i="5"/>
  <c r="G8639" i="5"/>
  <c r="G8627" i="5"/>
  <c r="G8615" i="5"/>
  <c r="G8603" i="5"/>
  <c r="G8591" i="5"/>
  <c r="G8579" i="5"/>
  <c r="G8567" i="5"/>
  <c r="G8555" i="5"/>
  <c r="G8543" i="5"/>
  <c r="G8531" i="5"/>
  <c r="G8519" i="5"/>
  <c r="G8507" i="5"/>
  <c r="G8495" i="5"/>
  <c r="G8483" i="5"/>
  <c r="G8471" i="5"/>
  <c r="G8459" i="5"/>
  <c r="G8447" i="5"/>
  <c r="G8435" i="5"/>
  <c r="G8423" i="5"/>
  <c r="G8411" i="5"/>
  <c r="G8399" i="5"/>
  <c r="G8387" i="5"/>
  <c r="G8375" i="5"/>
  <c r="G8363" i="5"/>
  <c r="G8351" i="5"/>
  <c r="G8339" i="5"/>
  <c r="G8327" i="5"/>
  <c r="G8315" i="5"/>
  <c r="G8303" i="5"/>
  <c r="G8291" i="5"/>
  <c r="G8279" i="5"/>
  <c r="G8267" i="5"/>
  <c r="G8255" i="5"/>
  <c r="G8243" i="5"/>
  <c r="G8231" i="5"/>
  <c r="G8219" i="5"/>
  <c r="G8207" i="5"/>
  <c r="G8195" i="5"/>
  <c r="G8183" i="5"/>
  <c r="G8171" i="5"/>
  <c r="G8159" i="5"/>
  <c r="G8147" i="5"/>
  <c r="G8135" i="5"/>
  <c r="G8123" i="5"/>
  <c r="G8111" i="5"/>
  <c r="G8099" i="5"/>
  <c r="G8087" i="5"/>
  <c r="G8075" i="5"/>
  <c r="G8063" i="5"/>
  <c r="G8051" i="5"/>
  <c r="G8039" i="5"/>
  <c r="G8027" i="5"/>
  <c r="G8015" i="5"/>
  <c r="G8003" i="5"/>
  <c r="G7991" i="5"/>
  <c r="G7979" i="5"/>
  <c r="G7967" i="5"/>
  <c r="G7955" i="5"/>
  <c r="G7943" i="5"/>
  <c r="G7931" i="5"/>
  <c r="G7919" i="5"/>
  <c r="G7907" i="5"/>
  <c r="G7895" i="5"/>
  <c r="G7883" i="5"/>
  <c r="G7871" i="5"/>
  <c r="G7859" i="5"/>
  <c r="G7847" i="5"/>
  <c r="G7835" i="5"/>
  <c r="G7823" i="5"/>
  <c r="G7811" i="5"/>
  <c r="G7799" i="5"/>
  <c r="G7787" i="5"/>
  <c r="G7775" i="5"/>
  <c r="G7763" i="5"/>
  <c r="G7751" i="5"/>
  <c r="G7739" i="5"/>
  <c r="G7727" i="5"/>
  <c r="G7715" i="5"/>
  <c r="G7703" i="5"/>
  <c r="G7691" i="5"/>
  <c r="G8698" i="5"/>
  <c r="G8697" i="5"/>
  <c r="G8685" i="5"/>
  <c r="G8673" i="5"/>
  <c r="G8661" i="5"/>
  <c r="G8649" i="5"/>
  <c r="G8637" i="5"/>
  <c r="G8625" i="5"/>
  <c r="G8613" i="5"/>
  <c r="G8601" i="5"/>
  <c r="G8589" i="5"/>
  <c r="G8577" i="5"/>
  <c r="G8565" i="5"/>
  <c r="G8553" i="5"/>
  <c r="G8541" i="5"/>
  <c r="G8529" i="5"/>
  <c r="G8517" i="5"/>
  <c r="G8505" i="5"/>
  <c r="G8493" i="5"/>
  <c r="G8481" i="5"/>
  <c r="G8469" i="5"/>
  <c r="G8457" i="5"/>
  <c r="G8445" i="5"/>
  <c r="G8433" i="5"/>
  <c r="G8421" i="5"/>
  <c r="G8409" i="5"/>
  <c r="G8397" i="5"/>
  <c r="G8385" i="5"/>
  <c r="G8373" i="5"/>
  <c r="G8361" i="5"/>
  <c r="G8349" i="5"/>
  <c r="G8337" i="5"/>
  <c r="G8325" i="5"/>
  <c r="G8313" i="5"/>
  <c r="G8301" i="5"/>
  <c r="G8289" i="5"/>
  <c r="G8277" i="5"/>
  <c r="G8265" i="5"/>
  <c r="G8253" i="5"/>
  <c r="G8241" i="5"/>
  <c r="G8229" i="5"/>
  <c r="G8217" i="5"/>
  <c r="G8205" i="5"/>
  <c r="G8193" i="5"/>
  <c r="G8181" i="5"/>
  <c r="G8169" i="5"/>
  <c r="G8157" i="5"/>
  <c r="G8145" i="5"/>
  <c r="G8133" i="5"/>
  <c r="G8121" i="5"/>
  <c r="G8109" i="5"/>
  <c r="G8097" i="5"/>
  <c r="G8085" i="5"/>
  <c r="G8073" i="5"/>
  <c r="G8061" i="5"/>
  <c r="G8049" i="5"/>
  <c r="G8037" i="5"/>
  <c r="G8025" i="5"/>
  <c r="G8013" i="5"/>
  <c r="G8001" i="5"/>
  <c r="G7989" i="5"/>
  <c r="G7977" i="5"/>
  <c r="G7965" i="5"/>
  <c r="G7953" i="5"/>
  <c r="G7941" i="5"/>
  <c r="G7929" i="5"/>
  <c r="G7917" i="5"/>
  <c r="G7905" i="5"/>
  <c r="G7893" i="5"/>
  <c r="G7881" i="5"/>
  <c r="G7869" i="5"/>
  <c r="G7857" i="5"/>
  <c r="G7845" i="5"/>
  <c r="G7833" i="5"/>
  <c r="G7821" i="5"/>
  <c r="G7809" i="5"/>
  <c r="G7797" i="5"/>
  <c r="G7785" i="5"/>
  <c r="G7773" i="5"/>
  <c r="G7761" i="5"/>
  <c r="G7749" i="5"/>
  <c r="G7737" i="5"/>
  <c r="G7725" i="5"/>
  <c r="G7713" i="5"/>
  <c r="G7701" i="5"/>
  <c r="G7689" i="5"/>
  <c r="G8696" i="5"/>
  <c r="G8684" i="5"/>
  <c r="G8672" i="5"/>
  <c r="G8660" i="5"/>
  <c r="G8648" i="5"/>
  <c r="G8636" i="5"/>
  <c r="G8624" i="5"/>
  <c r="G8612" i="5"/>
  <c r="G8600" i="5"/>
  <c r="G8588" i="5"/>
  <c r="G8576" i="5"/>
  <c r="G8564" i="5"/>
  <c r="G8552" i="5"/>
  <c r="G8540" i="5"/>
  <c r="G8528" i="5"/>
  <c r="G8516" i="5"/>
  <c r="G8504" i="5"/>
  <c r="G8492" i="5"/>
  <c r="G8480" i="5"/>
  <c r="G8468" i="5"/>
  <c r="G8456" i="5"/>
  <c r="G8444" i="5"/>
  <c r="G8432" i="5"/>
  <c r="G8420" i="5"/>
  <c r="G8408" i="5"/>
  <c r="G8396" i="5"/>
  <c r="G8384" i="5"/>
  <c r="G8372" i="5"/>
  <c r="G8360" i="5"/>
  <c r="G8348" i="5"/>
  <c r="G8336" i="5"/>
  <c r="G8324" i="5"/>
  <c r="G8312" i="5"/>
  <c r="G8300" i="5"/>
  <c r="G8288" i="5"/>
  <c r="G8276" i="5"/>
  <c r="G8264" i="5"/>
  <c r="G8252" i="5"/>
  <c r="G8240" i="5"/>
  <c r="G8228" i="5"/>
  <c r="G8216" i="5"/>
  <c r="G8204" i="5"/>
  <c r="G8192" i="5"/>
  <c r="G8180" i="5"/>
  <c r="G8168" i="5"/>
  <c r="G8156" i="5"/>
  <c r="G8144" i="5"/>
  <c r="G8132" i="5"/>
  <c r="G8120" i="5"/>
  <c r="G8108" i="5"/>
  <c r="G8096" i="5"/>
  <c r="G8084" i="5"/>
  <c r="G8072" i="5"/>
  <c r="G8060" i="5"/>
  <c r="G8048" i="5"/>
  <c r="G8036" i="5"/>
  <c r="G8024" i="5"/>
  <c r="G8012" i="5"/>
  <c r="G8000" i="5"/>
  <c r="G7988" i="5"/>
  <c r="G7976" i="5"/>
  <c r="G7964" i="5"/>
  <c r="G7952" i="5"/>
  <c r="G7940" i="5"/>
  <c r="G7928" i="5"/>
  <c r="G7916" i="5"/>
  <c r="G7904" i="5"/>
  <c r="G7892" i="5"/>
  <c r="G7880" i="5"/>
  <c r="G7868" i="5"/>
  <c r="G7856" i="5"/>
  <c r="G7844" i="5"/>
  <c r="G7832" i="5"/>
  <c r="G7820" i="5"/>
  <c r="G7808" i="5"/>
  <c r="G7796" i="5"/>
  <c r="G7784" i="5"/>
  <c r="G7772" i="5"/>
  <c r="G7760" i="5"/>
  <c r="G7748" i="5"/>
  <c r="G7736" i="5"/>
  <c r="G7724" i="5"/>
  <c r="G7712" i="5"/>
  <c r="G7700" i="5"/>
  <c r="G7688" i="5"/>
  <c r="G8695" i="5"/>
  <c r="G8683" i="5"/>
  <c r="G8671" i="5"/>
  <c r="G8659" i="5"/>
  <c r="G8647" i="5"/>
  <c r="G8635" i="5"/>
  <c r="G8623" i="5"/>
  <c r="G8611" i="5"/>
  <c r="G8599" i="5"/>
  <c r="G8587" i="5"/>
  <c r="G8575" i="5"/>
  <c r="G8563" i="5"/>
  <c r="G8551" i="5"/>
  <c r="G8539" i="5"/>
  <c r="G8527" i="5"/>
  <c r="G8515" i="5"/>
  <c r="G8503" i="5"/>
  <c r="G8491" i="5"/>
  <c r="G8479" i="5"/>
  <c r="G8467" i="5"/>
  <c r="G8455" i="5"/>
  <c r="G8443" i="5"/>
  <c r="G8431" i="5"/>
  <c r="G8419" i="5"/>
  <c r="G8407" i="5"/>
  <c r="G8395" i="5"/>
  <c r="G8383" i="5"/>
  <c r="G8371" i="5"/>
  <c r="G8359" i="5"/>
  <c r="G8347" i="5"/>
  <c r="G8335" i="5"/>
  <c r="G8323" i="5"/>
  <c r="G8311" i="5"/>
  <c r="G8299" i="5"/>
  <c r="G8287" i="5"/>
  <c r="G8275" i="5"/>
  <c r="G8263" i="5"/>
  <c r="G8251" i="5"/>
  <c r="G8239" i="5"/>
  <c r="G8227" i="5"/>
  <c r="G8215" i="5"/>
  <c r="G8203" i="5"/>
  <c r="G8191" i="5"/>
  <c r="G8179" i="5"/>
  <c r="G8167" i="5"/>
  <c r="G8155" i="5"/>
  <c r="G8143" i="5"/>
  <c r="G8131" i="5"/>
  <c r="G8119" i="5"/>
  <c r="G8107" i="5"/>
  <c r="G8095" i="5"/>
  <c r="G8083" i="5"/>
  <c r="G8071" i="5"/>
  <c r="G8059" i="5"/>
  <c r="G8047" i="5"/>
  <c r="G8035" i="5"/>
  <c r="G8023" i="5"/>
  <c r="G8011" i="5"/>
  <c r="G7999" i="5"/>
  <c r="G7987" i="5"/>
  <c r="G7975" i="5"/>
  <c r="G7963" i="5"/>
  <c r="G7951" i="5"/>
  <c r="G7939" i="5"/>
  <c r="G7927" i="5"/>
  <c r="G7915" i="5"/>
  <c r="G7903" i="5"/>
  <c r="G7891" i="5"/>
  <c r="G7879" i="5"/>
  <c r="G7867" i="5"/>
  <c r="G7855" i="5"/>
  <c r="G7843" i="5"/>
  <c r="G7831" i="5"/>
  <c r="G7819" i="5"/>
  <c r="G7807" i="5"/>
  <c r="G7795" i="5"/>
  <c r="G7783" i="5"/>
  <c r="G7771" i="5"/>
  <c r="G7759" i="5"/>
  <c r="G7747" i="5"/>
  <c r="G7735" i="5"/>
  <c r="G7723" i="5"/>
  <c r="G7711" i="5"/>
  <c r="G7699" i="5"/>
  <c r="G7687" i="5"/>
  <c r="G8694" i="5"/>
  <c r="G8682" i="5"/>
  <c r="G8670" i="5"/>
  <c r="G8658" i="5"/>
  <c r="G8646" i="5"/>
  <c r="G8634" i="5"/>
  <c r="G8622" i="5"/>
  <c r="G8610" i="5"/>
  <c r="G8598" i="5"/>
  <c r="G8586" i="5"/>
  <c r="G8574" i="5"/>
  <c r="G8562" i="5"/>
  <c r="G8550" i="5"/>
  <c r="G8538" i="5"/>
  <c r="G8526" i="5"/>
  <c r="G8514" i="5"/>
  <c r="G8502" i="5"/>
  <c r="G8490" i="5"/>
  <c r="G8478" i="5"/>
  <c r="G8466" i="5"/>
  <c r="G8454" i="5"/>
  <c r="G8442" i="5"/>
  <c r="G8430" i="5"/>
  <c r="G8418" i="5"/>
  <c r="G8406" i="5"/>
  <c r="G8394" i="5"/>
  <c r="G8382" i="5"/>
  <c r="G8370" i="5"/>
  <c r="G8358" i="5"/>
  <c r="G8346" i="5"/>
  <c r="G8334" i="5"/>
  <c r="G8322" i="5"/>
  <c r="G8310" i="5"/>
  <c r="G8298" i="5"/>
  <c r="G8286" i="5"/>
  <c r="G8274" i="5"/>
  <c r="G8262" i="5"/>
  <c r="G8250" i="5"/>
  <c r="G8238" i="5"/>
  <c r="G8226" i="5"/>
  <c r="G8214" i="5"/>
  <c r="G8202" i="5"/>
  <c r="G8190" i="5"/>
  <c r="G8178" i="5"/>
  <c r="G8166" i="5"/>
  <c r="G8154" i="5"/>
  <c r="G8142" i="5"/>
  <c r="G8130" i="5"/>
  <c r="G8118" i="5"/>
  <c r="G8106" i="5"/>
  <c r="G8094" i="5"/>
  <c r="G8082" i="5"/>
  <c r="G8070" i="5"/>
  <c r="G8058" i="5"/>
  <c r="G8046" i="5"/>
  <c r="G8034" i="5"/>
  <c r="G8022" i="5"/>
  <c r="G8010" i="5"/>
  <c r="G7998" i="5"/>
  <c r="G7986" i="5"/>
  <c r="G7974" i="5"/>
  <c r="G7962" i="5"/>
  <c r="G7950" i="5"/>
  <c r="G7938" i="5"/>
  <c r="G7926" i="5"/>
  <c r="G7914" i="5"/>
  <c r="G7902" i="5"/>
  <c r="G7890" i="5"/>
  <c r="G7878" i="5"/>
  <c r="G7866" i="5"/>
  <c r="G7854" i="5"/>
  <c r="G7842" i="5"/>
  <c r="G7830" i="5"/>
  <c r="G7818" i="5"/>
  <c r="G7806" i="5"/>
  <c r="G7794" i="5"/>
  <c r="G7782" i="5"/>
  <c r="G7770" i="5"/>
  <c r="G7758" i="5"/>
  <c r="G7746" i="5"/>
  <c r="G7734" i="5"/>
  <c r="G7722" i="5"/>
  <c r="G7710" i="5"/>
  <c r="G7698" i="5"/>
  <c r="G7686" i="5"/>
  <c r="G8703" i="5"/>
  <c r="G8691" i="5"/>
  <c r="G8679" i="5"/>
  <c r="G8667" i="5"/>
  <c r="G8655" i="5"/>
  <c r="G8643" i="5"/>
  <c r="G8631" i="5"/>
  <c r="G8619" i="5"/>
  <c r="G8607" i="5"/>
  <c r="G8595" i="5"/>
  <c r="G8583" i="5"/>
  <c r="G8571" i="5"/>
  <c r="G8559" i="5"/>
  <c r="G8547" i="5"/>
  <c r="G8535" i="5"/>
  <c r="G8523" i="5"/>
  <c r="G8511" i="5"/>
  <c r="G8499" i="5"/>
  <c r="G8487" i="5"/>
  <c r="G8475" i="5"/>
  <c r="G8463" i="5"/>
  <c r="G8451" i="5"/>
  <c r="G8439" i="5"/>
  <c r="G8427" i="5"/>
  <c r="G8415" i="5"/>
  <c r="G8403" i="5"/>
  <c r="G8391" i="5"/>
  <c r="G8379" i="5"/>
  <c r="G8367" i="5"/>
  <c r="G8355" i="5"/>
  <c r="G8343" i="5"/>
  <c r="G8331" i="5"/>
  <c r="G8319" i="5"/>
  <c r="G8307" i="5"/>
  <c r="G8295" i="5"/>
  <c r="G8283" i="5"/>
  <c r="G8271" i="5"/>
  <c r="G8259" i="5"/>
  <c r="G8247" i="5"/>
  <c r="G8235" i="5"/>
  <c r="G8223" i="5"/>
  <c r="G8211" i="5"/>
  <c r="G8199" i="5"/>
  <c r="G8187" i="5"/>
  <c r="G8175" i="5"/>
  <c r="G8163" i="5"/>
  <c r="G8151" i="5"/>
  <c r="G8139" i="5"/>
  <c r="G8127" i="5"/>
  <c r="G8115" i="5"/>
  <c r="G8103" i="5"/>
  <c r="G8091" i="5"/>
  <c r="G8079" i="5"/>
  <c r="G8067" i="5"/>
  <c r="G8055" i="5"/>
  <c r="G8043" i="5"/>
  <c r="G8031" i="5"/>
  <c r="G8019" i="5"/>
  <c r="G8007" i="5"/>
  <c r="G7995" i="5"/>
  <c r="G7983" i="5"/>
  <c r="G7971" i="5"/>
  <c r="G7959" i="5"/>
  <c r="G7947" i="5"/>
  <c r="G7935" i="5"/>
  <c r="G7923" i="5"/>
  <c r="G7911" i="5"/>
  <c r="G7899" i="5"/>
  <c r="G7887" i="5"/>
  <c r="G7875" i="5"/>
  <c r="G7863" i="5"/>
  <c r="G7851" i="5"/>
  <c r="G7839" i="5"/>
  <c r="G7827" i="5"/>
  <c r="G7815" i="5"/>
  <c r="G7803" i="5"/>
  <c r="G7791" i="5"/>
  <c r="G7779" i="5"/>
  <c r="G7767" i="5"/>
  <c r="G7755" i="5"/>
  <c r="G7743" i="5"/>
  <c r="G7731" i="5"/>
  <c r="G7719" i="5"/>
  <c r="G7707" i="5"/>
  <c r="G7695" i="5"/>
  <c r="G8701" i="5"/>
  <c r="G8689" i="5"/>
  <c r="G8677" i="5"/>
  <c r="G8665" i="5"/>
  <c r="G8653" i="5"/>
  <c r="G8641" i="5"/>
  <c r="G8629" i="5"/>
  <c r="G8617" i="5"/>
  <c r="G8605" i="5"/>
  <c r="G8593" i="5"/>
  <c r="G8581" i="5"/>
  <c r="G8569" i="5"/>
  <c r="G8557" i="5"/>
  <c r="G8545" i="5"/>
  <c r="G8533" i="5"/>
  <c r="G8521" i="5"/>
  <c r="G8509" i="5"/>
  <c r="G8497" i="5"/>
  <c r="G8485" i="5"/>
  <c r="G8473" i="5"/>
  <c r="G8461" i="5"/>
  <c r="G8449" i="5"/>
  <c r="G8437" i="5"/>
  <c r="G8425" i="5"/>
  <c r="G8413" i="5"/>
  <c r="G8401" i="5"/>
  <c r="G8389" i="5"/>
  <c r="G8377" i="5"/>
  <c r="G8365" i="5"/>
  <c r="G8353" i="5"/>
  <c r="G8341" i="5"/>
  <c r="G8329" i="5"/>
  <c r="G8317" i="5"/>
  <c r="G8305" i="5"/>
  <c r="G8293" i="5"/>
  <c r="G8281" i="5"/>
  <c r="G8269" i="5"/>
  <c r="G8257" i="5"/>
  <c r="G8245" i="5"/>
  <c r="G8233" i="5"/>
  <c r="G8221" i="5"/>
  <c r="G8209" i="5"/>
  <c r="G8197" i="5"/>
  <c r="G8185" i="5"/>
  <c r="G8173" i="5"/>
  <c r="G8161" i="5"/>
  <c r="G8149" i="5"/>
  <c r="G8137" i="5"/>
  <c r="G8125" i="5"/>
  <c r="G8113" i="5"/>
  <c r="G8101" i="5"/>
  <c r="G8089" i="5"/>
  <c r="G8077" i="5"/>
  <c r="G8065" i="5"/>
  <c r="G8053" i="5"/>
  <c r="G8041" i="5"/>
  <c r="G8029" i="5"/>
  <c r="G8017" i="5"/>
  <c r="G8005" i="5"/>
  <c r="G7993" i="5"/>
  <c r="G7981" i="5"/>
  <c r="G7969" i="5"/>
  <c r="G7957" i="5"/>
  <c r="G7945" i="5"/>
  <c r="G7933" i="5"/>
  <c r="G7921" i="5"/>
  <c r="G7909" i="5"/>
  <c r="G7897" i="5"/>
  <c r="G7885" i="5"/>
  <c r="G7873" i="5"/>
  <c r="G7861" i="5"/>
  <c r="G7849" i="5"/>
  <c r="G7837" i="5"/>
  <c r="G7825" i="5"/>
  <c r="G7813" i="5"/>
  <c r="G7801" i="5"/>
  <c r="G7789" i="5"/>
  <c r="G7777" i="5"/>
  <c r="G7765" i="5"/>
  <c r="G7753" i="5"/>
  <c r="G7741" i="5"/>
  <c r="G7729" i="5"/>
  <c r="G7717" i="5"/>
  <c r="G7705" i="5"/>
  <c r="G7693" i="5"/>
  <c r="G8700" i="5"/>
  <c r="G8688" i="5"/>
  <c r="G8676" i="5"/>
  <c r="G8664" i="5"/>
  <c r="G8652" i="5"/>
  <c r="G8640" i="5"/>
  <c r="G8628" i="5"/>
  <c r="G8616" i="5"/>
  <c r="G8604" i="5"/>
  <c r="G8592" i="5"/>
  <c r="G8580" i="5"/>
  <c r="G8568" i="5"/>
  <c r="G8556" i="5"/>
  <c r="G8544" i="5"/>
  <c r="G8532" i="5"/>
  <c r="G8520" i="5"/>
  <c r="G8508" i="5"/>
  <c r="G8496" i="5"/>
  <c r="G8484" i="5"/>
  <c r="G8472" i="5"/>
  <c r="G8460" i="5"/>
  <c r="G8448" i="5"/>
  <c r="G8436" i="5"/>
  <c r="G8424" i="5"/>
  <c r="G8412" i="5"/>
  <c r="G8400" i="5"/>
  <c r="G8388" i="5"/>
  <c r="G8376" i="5"/>
  <c r="G8364" i="5"/>
  <c r="G8352" i="5"/>
  <c r="G8340" i="5"/>
  <c r="G8328" i="5"/>
  <c r="G8316" i="5"/>
  <c r="G8304" i="5"/>
  <c r="G8292" i="5"/>
  <c r="G8280" i="5"/>
  <c r="G8268" i="5"/>
  <c r="G8256" i="5"/>
  <c r="G8244" i="5"/>
  <c r="G8232" i="5"/>
  <c r="G8220" i="5"/>
  <c r="G8208" i="5"/>
  <c r="G8196" i="5"/>
  <c r="G8184" i="5"/>
  <c r="G8172" i="5"/>
  <c r="G8160" i="5"/>
  <c r="G8148" i="5"/>
  <c r="G8136" i="5"/>
  <c r="G8124" i="5"/>
  <c r="G8112" i="5"/>
  <c r="G8100" i="5"/>
  <c r="G8088" i="5"/>
  <c r="G8076" i="5"/>
  <c r="G8064" i="5"/>
  <c r="G8052" i="5"/>
  <c r="G8040" i="5"/>
  <c r="G8028" i="5"/>
  <c r="G8016" i="5"/>
  <c r="G8004" i="5"/>
  <c r="G7992" i="5"/>
  <c r="G7980" i="5"/>
  <c r="G7968" i="5"/>
  <c r="G7956" i="5"/>
  <c r="G7944" i="5"/>
  <c r="G7932" i="5"/>
  <c r="G7920" i="5"/>
  <c r="G7908" i="5"/>
  <c r="G7896" i="5"/>
  <c r="G7884" i="5"/>
  <c r="G7872" i="5"/>
  <c r="G7860" i="5"/>
  <c r="G7848" i="5"/>
  <c r="G7836" i="5"/>
  <c r="G7824" i="5"/>
  <c r="G7812" i="5"/>
  <c r="G7800" i="5"/>
  <c r="G7788" i="5"/>
  <c r="G7776" i="5"/>
  <c r="G7764" i="5"/>
  <c r="G7752" i="5"/>
  <c r="G7740" i="5"/>
  <c r="G7728" i="5"/>
  <c r="G7716" i="5"/>
  <c r="G7704" i="5"/>
  <c r="G7692" i="5"/>
  <c r="G8686" i="5"/>
  <c r="G8650" i="5"/>
  <c r="G8614" i="5"/>
  <c r="G8578" i="5"/>
  <c r="G8542" i="5"/>
  <c r="G8506" i="5"/>
  <c r="G8470" i="5"/>
  <c r="G8434" i="5"/>
  <c r="G8398" i="5"/>
  <c r="G8362" i="5"/>
  <c r="G8326" i="5"/>
  <c r="G8290" i="5"/>
  <c r="G8254" i="5"/>
  <c r="G8218" i="5"/>
  <c r="G8182" i="5"/>
  <c r="G8146" i="5"/>
  <c r="G8110" i="5"/>
  <c r="G8074" i="5"/>
  <c r="G8038" i="5"/>
  <c r="G8002" i="5"/>
  <c r="G7966" i="5"/>
  <c r="G7930" i="5"/>
  <c r="G7894" i="5"/>
  <c r="G7858" i="5"/>
  <c r="G7822" i="5"/>
  <c r="G7786" i="5"/>
  <c r="G7750" i="5"/>
  <c r="G7714" i="5"/>
  <c r="G7682" i="5"/>
  <c r="G7670" i="5"/>
  <c r="G7658" i="5"/>
  <c r="G7646" i="5"/>
  <c r="G7634" i="5"/>
  <c r="G7622" i="5"/>
  <c r="G7610" i="5"/>
  <c r="G7598" i="5"/>
  <c r="G7586" i="5"/>
  <c r="G7574" i="5"/>
  <c r="G7562" i="5"/>
  <c r="G7550" i="5"/>
  <c r="G7538" i="5"/>
  <c r="G7526" i="5"/>
  <c r="G7514" i="5"/>
  <c r="G7502" i="5"/>
  <c r="G7490" i="5"/>
  <c r="G7478" i="5"/>
  <c r="G7466" i="5"/>
  <c r="G7454" i="5"/>
  <c r="G7442" i="5"/>
  <c r="G7430" i="5"/>
  <c r="G7418" i="5"/>
  <c r="G7406" i="5"/>
  <c r="G7394" i="5"/>
  <c r="G7382" i="5"/>
  <c r="G7370" i="5"/>
  <c r="G7358" i="5"/>
  <c r="G7346" i="5"/>
  <c r="G7334" i="5"/>
  <c r="G7322" i="5"/>
  <c r="G7310" i="5"/>
  <c r="G7298" i="5"/>
  <c r="G7286" i="5"/>
  <c r="G7274" i="5"/>
  <c r="G7262" i="5"/>
  <c r="G7250" i="5"/>
  <c r="G7238" i="5"/>
  <c r="G7226" i="5"/>
  <c r="G7214" i="5"/>
  <c r="G7202" i="5"/>
  <c r="G7190" i="5"/>
  <c r="G7178" i="5"/>
  <c r="G7166" i="5"/>
  <c r="G7154" i="5"/>
  <c r="G7142" i="5"/>
  <c r="G7130" i="5"/>
  <c r="G7118" i="5"/>
  <c r="G7106" i="5"/>
  <c r="G7094" i="5"/>
  <c r="G7082" i="5"/>
  <c r="G7070" i="5"/>
  <c r="G7058" i="5"/>
  <c r="G7046" i="5"/>
  <c r="G7034" i="5"/>
  <c r="G7022" i="5"/>
  <c r="G7010" i="5"/>
  <c r="G6998" i="5"/>
  <c r="G6986" i="5"/>
  <c r="G6974" i="5"/>
  <c r="G8681" i="5"/>
  <c r="G8645" i="5"/>
  <c r="G8609" i="5"/>
  <c r="G8573" i="5"/>
  <c r="G8537" i="5"/>
  <c r="G8501" i="5"/>
  <c r="G8465" i="5"/>
  <c r="G8429" i="5"/>
  <c r="G8393" i="5"/>
  <c r="G8357" i="5"/>
  <c r="G8321" i="5"/>
  <c r="G8285" i="5"/>
  <c r="G8249" i="5"/>
  <c r="G8213" i="5"/>
  <c r="G8177" i="5"/>
  <c r="G8141" i="5"/>
  <c r="G8105" i="5"/>
  <c r="G8069" i="5"/>
  <c r="G8033" i="5"/>
  <c r="G7997" i="5"/>
  <c r="G7961" i="5"/>
  <c r="G7925" i="5"/>
  <c r="G7889" i="5"/>
  <c r="G7853" i="5"/>
  <c r="G7817" i="5"/>
  <c r="G7781" i="5"/>
  <c r="G7745" i="5"/>
  <c r="G7709" i="5"/>
  <c r="G7681" i="5"/>
  <c r="G7669" i="5"/>
  <c r="G7657" i="5"/>
  <c r="G7645" i="5"/>
  <c r="G7633" i="5"/>
  <c r="G7621" i="5"/>
  <c r="G7609" i="5"/>
  <c r="G7597" i="5"/>
  <c r="G7585" i="5"/>
  <c r="G7573" i="5"/>
  <c r="G7561" i="5"/>
  <c r="G7549" i="5"/>
  <c r="G7537" i="5"/>
  <c r="G7525" i="5"/>
  <c r="G7513" i="5"/>
  <c r="G7501" i="5"/>
  <c r="G7489" i="5"/>
  <c r="G7477" i="5"/>
  <c r="G7465" i="5"/>
  <c r="G7453" i="5"/>
  <c r="G7441" i="5"/>
  <c r="G7429" i="5"/>
  <c r="G7417" i="5"/>
  <c r="G7405" i="5"/>
  <c r="G7393" i="5"/>
  <c r="G7381" i="5"/>
  <c r="G7369" i="5"/>
  <c r="G7357" i="5"/>
  <c r="G7345" i="5"/>
  <c r="G7333" i="5"/>
  <c r="G7321" i="5"/>
  <c r="G7309" i="5"/>
  <c r="G7297" i="5"/>
  <c r="G7285" i="5"/>
  <c r="G7273" i="5"/>
  <c r="G7261" i="5"/>
  <c r="G7249" i="5"/>
  <c r="G7237" i="5"/>
  <c r="G7225" i="5"/>
  <c r="G7213" i="5"/>
  <c r="G7201" i="5"/>
  <c r="G7189" i="5"/>
  <c r="G7177" i="5"/>
  <c r="G7165" i="5"/>
  <c r="G7153" i="5"/>
  <c r="G7141" i="5"/>
  <c r="G7129" i="5"/>
  <c r="G7117" i="5"/>
  <c r="G7105" i="5"/>
  <c r="G7093" i="5"/>
  <c r="G7081" i="5"/>
  <c r="G7069" i="5"/>
  <c r="G7057" i="5"/>
  <c r="G7045" i="5"/>
  <c r="G7033" i="5"/>
  <c r="G7021" i="5"/>
  <c r="G7009" i="5"/>
  <c r="G8680" i="5"/>
  <c r="G8644" i="5"/>
  <c r="G8608" i="5"/>
  <c r="G8572" i="5"/>
  <c r="G8536" i="5"/>
  <c r="G8500" i="5"/>
  <c r="G8464" i="5"/>
  <c r="G8428" i="5"/>
  <c r="G8392" i="5"/>
  <c r="G8356" i="5"/>
  <c r="G8320" i="5"/>
  <c r="G8284" i="5"/>
  <c r="G8248" i="5"/>
  <c r="G8212" i="5"/>
  <c r="G8176" i="5"/>
  <c r="G8140" i="5"/>
  <c r="G8104" i="5"/>
  <c r="G8068" i="5"/>
  <c r="G8032" i="5"/>
  <c r="G7996" i="5"/>
  <c r="G7960" i="5"/>
  <c r="G7924" i="5"/>
  <c r="G7888" i="5"/>
  <c r="G7852" i="5"/>
  <c r="G7816" i="5"/>
  <c r="G7780" i="5"/>
  <c r="G7744" i="5"/>
  <c r="G7708" i="5"/>
  <c r="G7680" i="5"/>
  <c r="G7668" i="5"/>
  <c r="G7656" i="5"/>
  <c r="G7644" i="5"/>
  <c r="G7632" i="5"/>
  <c r="G7620" i="5"/>
  <c r="G7608" i="5"/>
  <c r="G7596" i="5"/>
  <c r="G7584" i="5"/>
  <c r="G7572" i="5"/>
  <c r="G7560" i="5"/>
  <c r="G7548" i="5"/>
  <c r="G7536" i="5"/>
  <c r="G7524" i="5"/>
  <c r="G7512" i="5"/>
  <c r="G7500" i="5"/>
  <c r="G7488" i="5"/>
  <c r="G7476" i="5"/>
  <c r="G7464" i="5"/>
  <c r="G7452" i="5"/>
  <c r="G7440" i="5"/>
  <c r="G7428" i="5"/>
  <c r="G7416" i="5"/>
  <c r="G7404" i="5"/>
  <c r="G7392" i="5"/>
  <c r="G7380" i="5"/>
  <c r="G7368" i="5"/>
  <c r="G7356" i="5"/>
  <c r="G7344" i="5"/>
  <c r="G7332" i="5"/>
  <c r="G7320" i="5"/>
  <c r="G7308" i="5"/>
  <c r="G7296" i="5"/>
  <c r="G7284" i="5"/>
  <c r="G7272" i="5"/>
  <c r="G7260" i="5"/>
  <c r="G7248" i="5"/>
  <c r="G7236" i="5"/>
  <c r="G7224" i="5"/>
  <c r="G7212" i="5"/>
  <c r="G7200" i="5"/>
  <c r="G7188" i="5"/>
  <c r="G7176" i="5"/>
  <c r="G7164" i="5"/>
  <c r="G7152" i="5"/>
  <c r="G7140" i="5"/>
  <c r="G7128" i="5"/>
  <c r="G7116" i="5"/>
  <c r="G7104" i="5"/>
  <c r="G7092" i="5"/>
  <c r="G7080" i="5"/>
  <c r="G7068" i="5"/>
  <c r="G7056" i="5"/>
  <c r="G7044" i="5"/>
  <c r="G7032" i="5"/>
  <c r="G7020" i="5"/>
  <c r="G7008" i="5"/>
  <c r="G6996" i="5"/>
  <c r="G6984" i="5"/>
  <c r="G8674" i="5"/>
  <c r="G8638" i="5"/>
  <c r="G8602" i="5"/>
  <c r="G8566" i="5"/>
  <c r="G8530" i="5"/>
  <c r="G8494" i="5"/>
  <c r="G8458" i="5"/>
  <c r="G8422" i="5"/>
  <c r="G8386" i="5"/>
  <c r="G8350" i="5"/>
  <c r="G8314" i="5"/>
  <c r="G8278" i="5"/>
  <c r="G8242" i="5"/>
  <c r="G8206" i="5"/>
  <c r="G8170" i="5"/>
  <c r="G8134" i="5"/>
  <c r="G8098" i="5"/>
  <c r="G8062" i="5"/>
  <c r="G8026" i="5"/>
  <c r="G7990" i="5"/>
  <c r="G7954" i="5"/>
  <c r="G7918" i="5"/>
  <c r="G7882" i="5"/>
  <c r="G7846" i="5"/>
  <c r="G7810" i="5"/>
  <c r="G7774" i="5"/>
  <c r="G7738" i="5"/>
  <c r="G7702" i="5"/>
  <c r="G7678" i="5"/>
  <c r="G7666" i="5"/>
  <c r="G7654" i="5"/>
  <c r="G7642" i="5"/>
  <c r="G7630" i="5"/>
  <c r="G7618" i="5"/>
  <c r="G7606" i="5"/>
  <c r="G7594" i="5"/>
  <c r="G7582" i="5"/>
  <c r="G7570" i="5"/>
  <c r="G7558" i="5"/>
  <c r="G7546" i="5"/>
  <c r="G7534" i="5"/>
  <c r="G7522" i="5"/>
  <c r="G7510" i="5"/>
  <c r="G7498" i="5"/>
  <c r="G7486" i="5"/>
  <c r="G7474" i="5"/>
  <c r="G7462" i="5"/>
  <c r="G7450" i="5"/>
  <c r="G7438" i="5"/>
  <c r="G7426" i="5"/>
  <c r="G7414" i="5"/>
  <c r="G7402" i="5"/>
  <c r="G7390" i="5"/>
  <c r="G7378" i="5"/>
  <c r="G7366" i="5"/>
  <c r="G7354" i="5"/>
  <c r="G7342" i="5"/>
  <c r="G7330" i="5"/>
  <c r="G7318" i="5"/>
  <c r="G7306" i="5"/>
  <c r="G7294" i="5"/>
  <c r="G7282" i="5"/>
  <c r="G7270" i="5"/>
  <c r="G7258" i="5"/>
  <c r="G7246" i="5"/>
  <c r="G7234" i="5"/>
  <c r="G7222" i="5"/>
  <c r="G7210" i="5"/>
  <c r="G7198" i="5"/>
  <c r="G7186" i="5"/>
  <c r="G7174" i="5"/>
  <c r="G7162" i="5"/>
  <c r="G7150" i="5"/>
  <c r="G7138" i="5"/>
  <c r="G7126" i="5"/>
  <c r="G7114" i="5"/>
  <c r="G7102" i="5"/>
  <c r="G7090" i="5"/>
  <c r="G7078" i="5"/>
  <c r="G7066" i="5"/>
  <c r="G7054" i="5"/>
  <c r="G7042" i="5"/>
  <c r="G7030" i="5"/>
  <c r="G7018" i="5"/>
  <c r="G7006" i="5"/>
  <c r="G6994" i="5"/>
  <c r="G6982" i="5"/>
  <c r="G8669" i="5"/>
  <c r="G8633" i="5"/>
  <c r="G8597" i="5"/>
  <c r="G8561" i="5"/>
  <c r="G8525" i="5"/>
  <c r="G8489" i="5"/>
  <c r="G8453" i="5"/>
  <c r="G8417" i="5"/>
  <c r="G8381" i="5"/>
  <c r="G8345" i="5"/>
  <c r="G8309" i="5"/>
  <c r="G8273" i="5"/>
  <c r="G8237" i="5"/>
  <c r="G8201" i="5"/>
  <c r="G8165" i="5"/>
  <c r="G8129" i="5"/>
  <c r="G8093" i="5"/>
  <c r="G8057" i="5"/>
  <c r="G8021" i="5"/>
  <c r="G7985" i="5"/>
  <c r="G7949" i="5"/>
  <c r="G7913" i="5"/>
  <c r="G7877" i="5"/>
  <c r="G7841" i="5"/>
  <c r="G7805" i="5"/>
  <c r="G7769" i="5"/>
  <c r="G7733" i="5"/>
  <c r="G7697" i="5"/>
  <c r="G7677" i="5"/>
  <c r="G7665" i="5"/>
  <c r="G7653" i="5"/>
  <c r="G7641" i="5"/>
  <c r="G7629" i="5"/>
  <c r="G7617" i="5"/>
  <c r="G7605" i="5"/>
  <c r="G7593" i="5"/>
  <c r="G7581" i="5"/>
  <c r="G7569" i="5"/>
  <c r="G7557" i="5"/>
  <c r="G7545" i="5"/>
  <c r="G7533" i="5"/>
  <c r="G7521" i="5"/>
  <c r="G7509" i="5"/>
  <c r="G7497" i="5"/>
  <c r="G7485" i="5"/>
  <c r="G7473" i="5"/>
  <c r="G7461" i="5"/>
  <c r="G7449" i="5"/>
  <c r="G7437" i="5"/>
  <c r="G7425" i="5"/>
  <c r="G7413" i="5"/>
  <c r="G7401" i="5"/>
  <c r="G7389" i="5"/>
  <c r="G7377" i="5"/>
  <c r="G7365" i="5"/>
  <c r="G7353" i="5"/>
  <c r="G7341" i="5"/>
  <c r="G7329" i="5"/>
  <c r="G7317" i="5"/>
  <c r="G7305" i="5"/>
  <c r="G7293" i="5"/>
  <c r="G7281" i="5"/>
  <c r="G7269" i="5"/>
  <c r="G7257" i="5"/>
  <c r="G7245" i="5"/>
  <c r="G7233" i="5"/>
  <c r="G7221" i="5"/>
  <c r="G7209" i="5"/>
  <c r="G7197" i="5"/>
  <c r="G7185" i="5"/>
  <c r="G7173" i="5"/>
  <c r="G7161" i="5"/>
  <c r="G7149" i="5"/>
  <c r="G7137" i="5"/>
  <c r="G7125" i="5"/>
  <c r="G7113" i="5"/>
  <c r="G7101" i="5"/>
  <c r="G7089" i="5"/>
  <c r="G7077" i="5"/>
  <c r="G7065" i="5"/>
  <c r="G7053" i="5"/>
  <c r="G7041" i="5"/>
  <c r="G7029" i="5"/>
  <c r="G7017" i="5"/>
  <c r="G7005" i="5"/>
  <c r="G6993" i="5"/>
  <c r="G6981" i="5"/>
  <c r="G8702" i="5"/>
  <c r="G8662" i="5"/>
  <c r="G8626" i="5"/>
  <c r="G8590" i="5"/>
  <c r="G8554" i="5"/>
  <c r="G8518" i="5"/>
  <c r="G8482" i="5"/>
  <c r="G8446" i="5"/>
  <c r="G8410" i="5"/>
  <c r="G8374" i="5"/>
  <c r="G8338" i="5"/>
  <c r="G8302" i="5"/>
  <c r="G8266" i="5"/>
  <c r="G8230" i="5"/>
  <c r="G8194" i="5"/>
  <c r="G8158" i="5"/>
  <c r="G8122" i="5"/>
  <c r="G8086" i="5"/>
  <c r="G8050" i="5"/>
  <c r="G8014" i="5"/>
  <c r="G7978" i="5"/>
  <c r="G7942" i="5"/>
  <c r="G7906" i="5"/>
  <c r="G7870" i="5"/>
  <c r="G7834" i="5"/>
  <c r="G7798" i="5"/>
  <c r="G7762" i="5"/>
  <c r="G7726" i="5"/>
  <c r="G7690" i="5"/>
  <c r="G7674" i="5"/>
  <c r="G7662" i="5"/>
  <c r="G7650" i="5"/>
  <c r="G7638" i="5"/>
  <c r="G7626" i="5"/>
  <c r="G7614" i="5"/>
  <c r="G7602" i="5"/>
  <c r="G7590" i="5"/>
  <c r="G7578" i="5"/>
  <c r="G7566" i="5"/>
  <c r="G7554" i="5"/>
  <c r="G7542" i="5"/>
  <c r="G7530" i="5"/>
  <c r="G7518" i="5"/>
  <c r="G7506" i="5"/>
  <c r="G7494" i="5"/>
  <c r="G7482" i="5"/>
  <c r="G7470" i="5"/>
  <c r="G7458" i="5"/>
  <c r="G7446" i="5"/>
  <c r="G7434" i="5"/>
  <c r="G8668" i="5"/>
  <c r="G8596" i="5"/>
  <c r="G8524" i="5"/>
  <c r="G8452" i="5"/>
  <c r="G8380" i="5"/>
  <c r="G8308" i="5"/>
  <c r="G8236" i="5"/>
  <c r="G8164" i="5"/>
  <c r="G8092" i="5"/>
  <c r="G8020" i="5"/>
  <c r="G7948" i="5"/>
  <c r="G7876" i="5"/>
  <c r="G7804" i="5"/>
  <c r="G7732" i="5"/>
  <c r="G7676" i="5"/>
  <c r="G7652" i="5"/>
  <c r="G7628" i="5"/>
  <c r="G7604" i="5"/>
  <c r="G7580" i="5"/>
  <c r="G7556" i="5"/>
  <c r="G7532" i="5"/>
  <c r="G7508" i="5"/>
  <c r="G7484" i="5"/>
  <c r="G7460" i="5"/>
  <c r="G7436" i="5"/>
  <c r="G7415" i="5"/>
  <c r="G7396" i="5"/>
  <c r="G7374" i="5"/>
  <c r="G7352" i="5"/>
  <c r="G7335" i="5"/>
  <c r="G7313" i="5"/>
  <c r="G7291" i="5"/>
  <c r="G7271" i="5"/>
  <c r="G7252" i="5"/>
  <c r="G7230" i="5"/>
  <c r="G7208" i="5"/>
  <c r="G7191" i="5"/>
  <c r="G7169" i="5"/>
  <c r="G7147" i="5"/>
  <c r="G7127" i="5"/>
  <c r="G7108" i="5"/>
  <c r="G7086" i="5"/>
  <c r="G7064" i="5"/>
  <c r="G7047" i="5"/>
  <c r="G7025" i="5"/>
  <c r="G7003" i="5"/>
  <c r="G6987" i="5"/>
  <c r="G6970" i="5"/>
  <c r="G6958" i="5"/>
  <c r="G6946" i="5"/>
  <c r="G6934" i="5"/>
  <c r="G6922" i="5"/>
  <c r="G6910" i="5"/>
  <c r="G6898" i="5"/>
  <c r="G6886" i="5"/>
  <c r="G6874" i="5"/>
  <c r="G6862" i="5"/>
  <c r="G6850" i="5"/>
  <c r="G6838" i="5"/>
  <c r="G6826" i="5"/>
  <c r="G6814" i="5"/>
  <c r="G6802" i="5"/>
  <c r="G6790" i="5"/>
  <c r="G6778" i="5"/>
  <c r="G6766" i="5"/>
  <c r="G6754" i="5"/>
  <c r="G6742" i="5"/>
  <c r="G6730" i="5"/>
  <c r="G6718" i="5"/>
  <c r="G6706" i="5"/>
  <c r="G6694" i="5"/>
  <c r="G6682" i="5"/>
  <c r="G6670" i="5"/>
  <c r="G6658" i="5"/>
  <c r="G6646" i="5"/>
  <c r="G6634" i="5"/>
  <c r="G6622" i="5"/>
  <c r="G6610" i="5"/>
  <c r="G6598" i="5"/>
  <c r="G6586" i="5"/>
  <c r="G6574" i="5"/>
  <c r="G6562" i="5"/>
  <c r="G6550" i="5"/>
  <c r="G6538" i="5"/>
  <c r="G6526" i="5"/>
  <c r="G6514" i="5"/>
  <c r="G6502" i="5"/>
  <c r="G6490" i="5"/>
  <c r="G6478" i="5"/>
  <c r="G6466" i="5"/>
  <c r="G6454" i="5"/>
  <c r="G6442" i="5"/>
  <c r="G6430" i="5"/>
  <c r="G6418" i="5"/>
  <c r="G6406" i="5"/>
  <c r="G6394" i="5"/>
  <c r="G6382" i="5"/>
  <c r="G6370" i="5"/>
  <c r="G6358" i="5"/>
  <c r="G6346" i="5"/>
  <c r="G6334" i="5"/>
  <c r="G6322" i="5"/>
  <c r="G6310" i="5"/>
  <c r="G6298" i="5"/>
  <c r="G6286" i="5"/>
  <c r="G6274" i="5"/>
  <c r="G6262" i="5"/>
  <c r="G6250" i="5"/>
  <c r="G6238" i="5"/>
  <c r="G6226" i="5"/>
  <c r="G6214" i="5"/>
  <c r="G6202" i="5"/>
  <c r="G6190" i="5"/>
  <c r="G6178" i="5"/>
  <c r="G6166" i="5"/>
  <c r="G6154" i="5"/>
  <c r="G6142" i="5"/>
  <c r="G6130" i="5"/>
  <c r="G6118" i="5"/>
  <c r="G6106" i="5"/>
  <c r="G6094" i="5"/>
  <c r="G6082" i="5"/>
  <c r="G6070" i="5"/>
  <c r="G6058" i="5"/>
  <c r="G6046" i="5"/>
  <c r="G6034" i="5"/>
  <c r="G6022" i="5"/>
  <c r="G6010" i="5"/>
  <c r="G5998" i="5"/>
  <c r="G5986" i="5"/>
  <c r="G5974" i="5"/>
  <c r="G5962" i="5"/>
  <c r="G5950" i="5"/>
  <c r="G8666" i="5"/>
  <c r="G8594" i="5"/>
  <c r="G8522" i="5"/>
  <c r="G8450" i="5"/>
  <c r="G8378" i="5"/>
  <c r="G8306" i="5"/>
  <c r="G8234" i="5"/>
  <c r="G8162" i="5"/>
  <c r="G8090" i="5"/>
  <c r="G8018" i="5"/>
  <c r="G7946" i="5"/>
  <c r="G7874" i="5"/>
  <c r="G7802" i="5"/>
  <c r="G7730" i="5"/>
  <c r="G7675" i="5"/>
  <c r="G7651" i="5"/>
  <c r="G7627" i="5"/>
  <c r="G7603" i="5"/>
  <c r="G7579" i="5"/>
  <c r="G7555" i="5"/>
  <c r="G7531" i="5"/>
  <c r="G7507" i="5"/>
  <c r="G7483" i="5"/>
  <c r="G7459" i="5"/>
  <c r="G7435" i="5"/>
  <c r="G7412" i="5"/>
  <c r="G7395" i="5"/>
  <c r="G7373" i="5"/>
  <c r="G7351" i="5"/>
  <c r="G7331" i="5"/>
  <c r="G7312" i="5"/>
  <c r="G7290" i="5"/>
  <c r="G7268" i="5"/>
  <c r="G7251" i="5"/>
  <c r="G7229" i="5"/>
  <c r="G7207" i="5"/>
  <c r="G7187" i="5"/>
  <c r="G7168" i="5"/>
  <c r="G7146" i="5"/>
  <c r="G7124" i="5"/>
  <c r="G7107" i="5"/>
  <c r="G7085" i="5"/>
  <c r="G7063" i="5"/>
  <c r="G7043" i="5"/>
  <c r="G7024" i="5"/>
  <c r="G7002" i="5"/>
  <c r="G6985" i="5"/>
  <c r="G6969" i="5"/>
  <c r="G6957" i="5"/>
  <c r="G6945" i="5"/>
  <c r="G6933" i="5"/>
  <c r="G6921" i="5"/>
  <c r="G6909" i="5"/>
  <c r="G6897" i="5"/>
  <c r="G6885" i="5"/>
  <c r="G6873" i="5"/>
  <c r="G6861" i="5"/>
  <c r="G6849" i="5"/>
  <c r="G6837" i="5"/>
  <c r="G6825" i="5"/>
  <c r="G6813" i="5"/>
  <c r="G6801" i="5"/>
  <c r="G6789" i="5"/>
  <c r="G6777" i="5"/>
  <c r="G6765" i="5"/>
  <c r="G6753" i="5"/>
  <c r="G6741" i="5"/>
  <c r="G6729" i="5"/>
  <c r="G6717" i="5"/>
  <c r="G6705" i="5"/>
  <c r="G6693" i="5"/>
  <c r="G6681" i="5"/>
  <c r="G6669" i="5"/>
  <c r="G6657" i="5"/>
  <c r="G6645" i="5"/>
  <c r="G6633" i="5"/>
  <c r="G6621" i="5"/>
  <c r="G6609" i="5"/>
  <c r="G6597" i="5"/>
  <c r="G6585" i="5"/>
  <c r="G6573" i="5"/>
  <c r="G6561" i="5"/>
  <c r="G6549" i="5"/>
  <c r="G6537" i="5"/>
  <c r="G6525" i="5"/>
  <c r="G6513" i="5"/>
  <c r="G6501" i="5"/>
  <c r="G6489" i="5"/>
  <c r="G6477" i="5"/>
  <c r="G6465" i="5"/>
  <c r="G6453" i="5"/>
  <c r="G6441" i="5"/>
  <c r="G6429" i="5"/>
  <c r="G6417" i="5"/>
  <c r="G6405" i="5"/>
  <c r="G6393" i="5"/>
  <c r="G6381" i="5"/>
  <c r="G6369" i="5"/>
  <c r="G6357" i="5"/>
  <c r="G6345" i="5"/>
  <c r="G6333" i="5"/>
  <c r="G6321" i="5"/>
  <c r="G6309" i="5"/>
  <c r="G6297" i="5"/>
  <c r="G6285" i="5"/>
  <c r="G6273" i="5"/>
  <c r="G6261" i="5"/>
  <c r="G6249" i="5"/>
  <c r="G6237" i="5"/>
  <c r="G6225" i="5"/>
  <c r="G6213" i="5"/>
  <c r="G6201" i="5"/>
  <c r="G6189" i="5"/>
  <c r="G6177" i="5"/>
  <c r="G6165" i="5"/>
  <c r="G6153" i="5"/>
  <c r="G6141" i="5"/>
  <c r="G6129" i="5"/>
  <c r="G6117" i="5"/>
  <c r="G6105" i="5"/>
  <c r="G6093" i="5"/>
  <c r="G6081" i="5"/>
  <c r="G6069" i="5"/>
  <c r="G6057" i="5"/>
  <c r="G6045" i="5"/>
  <c r="G6033" i="5"/>
  <c r="G6021" i="5"/>
  <c r="G6009" i="5"/>
  <c r="G5997" i="5"/>
  <c r="G5985" i="5"/>
  <c r="G5973" i="5"/>
  <c r="G5961" i="5"/>
  <c r="G5949" i="5"/>
  <c r="G5937" i="5"/>
  <c r="G5925" i="5"/>
  <c r="G5913" i="5"/>
  <c r="G5901" i="5"/>
  <c r="G5889" i="5"/>
  <c r="G5877" i="5"/>
  <c r="G5865" i="5"/>
  <c r="G5853" i="5"/>
  <c r="G5841" i="5"/>
  <c r="G5829" i="5"/>
  <c r="G5817" i="5"/>
  <c r="G5805" i="5"/>
  <c r="G5793" i="5"/>
  <c r="G5781" i="5"/>
  <c r="G5769" i="5"/>
  <c r="G5757" i="5"/>
  <c r="G5745" i="5"/>
  <c r="G5733" i="5"/>
  <c r="G5721" i="5"/>
  <c r="G5709" i="5"/>
  <c r="G5697" i="5"/>
  <c r="G5685" i="5"/>
  <c r="G5673" i="5"/>
  <c r="G5661" i="5"/>
  <c r="G5649" i="5"/>
  <c r="G5637" i="5"/>
  <c r="G5625" i="5"/>
  <c r="G5613" i="5"/>
  <c r="G5601" i="5"/>
  <c r="G5589" i="5"/>
  <c r="G5577" i="5"/>
  <c r="G5565" i="5"/>
  <c r="G5553" i="5"/>
  <c r="G5541" i="5"/>
  <c r="G5529" i="5"/>
  <c r="G5517" i="5"/>
  <c r="G5505" i="5"/>
  <c r="G8657" i="5"/>
  <c r="G8585" i="5"/>
  <c r="G8513" i="5"/>
  <c r="G8441" i="5"/>
  <c r="G8369" i="5"/>
  <c r="G8297" i="5"/>
  <c r="G8225" i="5"/>
  <c r="G8153" i="5"/>
  <c r="G8081" i="5"/>
  <c r="G8009" i="5"/>
  <c r="G7937" i="5"/>
  <c r="G7865" i="5"/>
  <c r="G7793" i="5"/>
  <c r="G7721" i="5"/>
  <c r="G7673" i="5"/>
  <c r="G7649" i="5"/>
  <c r="G7625" i="5"/>
  <c r="G7601" i="5"/>
  <c r="G7577" i="5"/>
  <c r="G7553" i="5"/>
  <c r="G7529" i="5"/>
  <c r="G7505" i="5"/>
  <c r="G7481" i="5"/>
  <c r="G7457" i="5"/>
  <c r="G7433" i="5"/>
  <c r="G7411" i="5"/>
  <c r="G7391" i="5"/>
  <c r="G7372" i="5"/>
  <c r="G7350" i="5"/>
  <c r="G7328" i="5"/>
  <c r="G7311" i="5"/>
  <c r="G7289" i="5"/>
  <c r="G7267" i="5"/>
  <c r="G7247" i="5"/>
  <c r="G7228" i="5"/>
  <c r="G7206" i="5"/>
  <c r="G7184" i="5"/>
  <c r="G7167" i="5"/>
  <c r="G7145" i="5"/>
  <c r="G7123" i="5"/>
  <c r="G7103" i="5"/>
  <c r="G7084" i="5"/>
  <c r="G7062" i="5"/>
  <c r="G7040" i="5"/>
  <c r="G7023" i="5"/>
  <c r="G7001" i="5"/>
  <c r="G6983" i="5"/>
  <c r="G6968" i="5"/>
  <c r="G6956" i="5"/>
  <c r="G6944" i="5"/>
  <c r="G6932" i="5"/>
  <c r="G6920" i="5"/>
  <c r="G6908" i="5"/>
  <c r="G6896" i="5"/>
  <c r="G6884" i="5"/>
  <c r="G6872" i="5"/>
  <c r="G6860" i="5"/>
  <c r="G6848" i="5"/>
  <c r="G6836" i="5"/>
  <c r="G6824" i="5"/>
  <c r="G6812" i="5"/>
  <c r="G6800" i="5"/>
  <c r="G6788" i="5"/>
  <c r="G6776" i="5"/>
  <c r="G6764" i="5"/>
  <c r="G6752" i="5"/>
  <c r="G6740" i="5"/>
  <c r="G6728" i="5"/>
  <c r="G6716" i="5"/>
  <c r="G6704" i="5"/>
  <c r="G6692" i="5"/>
  <c r="G6680" i="5"/>
  <c r="G6668" i="5"/>
  <c r="G6656" i="5"/>
  <c r="G6644" i="5"/>
  <c r="G6632" i="5"/>
  <c r="G6620" i="5"/>
  <c r="G6608" i="5"/>
  <c r="G6596" i="5"/>
  <c r="G6584" i="5"/>
  <c r="G6572" i="5"/>
  <c r="G6560" i="5"/>
  <c r="G6548" i="5"/>
  <c r="G6536" i="5"/>
  <c r="G6524" i="5"/>
  <c r="G6512" i="5"/>
  <c r="G6500" i="5"/>
  <c r="G6488" i="5"/>
  <c r="G6476" i="5"/>
  <c r="G6464" i="5"/>
  <c r="G6452" i="5"/>
  <c r="G6440" i="5"/>
  <c r="G6428" i="5"/>
  <c r="G6416" i="5"/>
  <c r="G6404" i="5"/>
  <c r="G6392" i="5"/>
  <c r="G6380" i="5"/>
  <c r="G6368" i="5"/>
  <c r="G6356" i="5"/>
  <c r="G6344" i="5"/>
  <c r="G6332" i="5"/>
  <c r="G6320" i="5"/>
  <c r="G6308" i="5"/>
  <c r="G6296" i="5"/>
  <c r="G6284" i="5"/>
  <c r="G6272" i="5"/>
  <c r="G6260" i="5"/>
  <c r="G6248" i="5"/>
  <c r="G6236" i="5"/>
  <c r="G6224" i="5"/>
  <c r="G6212" i="5"/>
  <c r="G6200" i="5"/>
  <c r="G6188" i="5"/>
  <c r="G6176" i="5"/>
  <c r="G6164" i="5"/>
  <c r="G6152" i="5"/>
  <c r="G6140" i="5"/>
  <c r="G6128" i="5"/>
  <c r="G6116" i="5"/>
  <c r="G6104" i="5"/>
  <c r="G6092" i="5"/>
  <c r="G6080" i="5"/>
  <c r="G6068" i="5"/>
  <c r="G6056" i="5"/>
  <c r="G6044" i="5"/>
  <c r="G6032" i="5"/>
  <c r="G6020" i="5"/>
  <c r="G6008" i="5"/>
  <c r="G5996" i="5"/>
  <c r="G5984" i="5"/>
  <c r="G5972" i="5"/>
  <c r="G5960" i="5"/>
  <c r="G5948" i="5"/>
  <c r="G5936" i="5"/>
  <c r="G5924" i="5"/>
  <c r="G5912" i="5"/>
  <c r="G5900" i="5"/>
  <c r="G5888" i="5"/>
  <c r="G8656" i="5"/>
  <c r="G8584" i="5"/>
  <c r="G8512" i="5"/>
  <c r="G8440" i="5"/>
  <c r="G8368" i="5"/>
  <c r="G8296" i="5"/>
  <c r="G8224" i="5"/>
  <c r="G8152" i="5"/>
  <c r="G8080" i="5"/>
  <c r="G8008" i="5"/>
  <c r="G7936" i="5"/>
  <c r="G7864" i="5"/>
  <c r="G7792" i="5"/>
  <c r="G7720" i="5"/>
  <c r="G7672" i="5"/>
  <c r="G7648" i="5"/>
  <c r="G7624" i="5"/>
  <c r="G7600" i="5"/>
  <c r="G7576" i="5"/>
  <c r="G7552" i="5"/>
  <c r="G7528" i="5"/>
  <c r="G7504" i="5"/>
  <c r="G7480" i="5"/>
  <c r="G7456" i="5"/>
  <c r="G7432" i="5"/>
  <c r="G7410" i="5"/>
  <c r="G7388" i="5"/>
  <c r="G7371" i="5"/>
  <c r="G7349" i="5"/>
  <c r="G7327" i="5"/>
  <c r="G7307" i="5"/>
  <c r="G7288" i="5"/>
  <c r="G7266" i="5"/>
  <c r="G7244" i="5"/>
  <c r="G7227" i="5"/>
  <c r="G7205" i="5"/>
  <c r="G7183" i="5"/>
  <c r="G7163" i="5"/>
  <c r="G7144" i="5"/>
  <c r="G7122" i="5"/>
  <c r="G7100" i="5"/>
  <c r="G7083" i="5"/>
  <c r="G7061" i="5"/>
  <c r="G7039" i="5"/>
  <c r="G7019" i="5"/>
  <c r="G7000" i="5"/>
  <c r="G6980" i="5"/>
  <c r="G6967" i="5"/>
  <c r="G6955" i="5"/>
  <c r="G6943" i="5"/>
  <c r="G6931" i="5"/>
  <c r="G6919" i="5"/>
  <c r="G6907" i="5"/>
  <c r="G6895" i="5"/>
  <c r="G6883" i="5"/>
  <c r="G6871" i="5"/>
  <c r="G6859" i="5"/>
  <c r="G6847" i="5"/>
  <c r="G6835" i="5"/>
  <c r="G6823" i="5"/>
  <c r="G6811" i="5"/>
  <c r="G6799" i="5"/>
  <c r="G6787" i="5"/>
  <c r="G6775" i="5"/>
  <c r="G6763" i="5"/>
  <c r="G6751" i="5"/>
  <c r="G6739" i="5"/>
  <c r="G6727" i="5"/>
  <c r="G6715" i="5"/>
  <c r="G6703" i="5"/>
  <c r="G6691" i="5"/>
  <c r="G6679" i="5"/>
  <c r="G6667" i="5"/>
  <c r="G6655" i="5"/>
  <c r="G6643" i="5"/>
  <c r="G6631" i="5"/>
  <c r="G6619" i="5"/>
  <c r="G6607" i="5"/>
  <c r="G6595" i="5"/>
  <c r="G6583" i="5"/>
  <c r="G6571" i="5"/>
  <c r="G6559" i="5"/>
  <c r="G6547" i="5"/>
  <c r="G6535" i="5"/>
  <c r="G6523" i="5"/>
  <c r="G6511" i="5"/>
  <c r="G6499" i="5"/>
  <c r="G6487" i="5"/>
  <c r="G6475" i="5"/>
  <c r="G6463" i="5"/>
  <c r="G6451" i="5"/>
  <c r="G6439" i="5"/>
  <c r="G6427" i="5"/>
  <c r="G6415" i="5"/>
  <c r="G6403" i="5"/>
  <c r="G6391" i="5"/>
  <c r="G6379" i="5"/>
  <c r="G6367" i="5"/>
  <c r="G6355" i="5"/>
  <c r="G6343" i="5"/>
  <c r="G6331" i="5"/>
  <c r="G6319" i="5"/>
  <c r="G6307" i="5"/>
  <c r="G6295" i="5"/>
  <c r="G6283" i="5"/>
  <c r="G6271" i="5"/>
  <c r="G6259" i="5"/>
  <c r="G6247" i="5"/>
  <c r="G6235" i="5"/>
  <c r="G6223" i="5"/>
  <c r="G6211" i="5"/>
  <c r="G6199" i="5"/>
  <c r="G6187" i="5"/>
  <c r="G6175" i="5"/>
  <c r="G6163" i="5"/>
  <c r="G6151" i="5"/>
  <c r="G6139" i="5"/>
  <c r="G6127" i="5"/>
  <c r="G6115" i="5"/>
  <c r="G6103" i="5"/>
  <c r="G6091" i="5"/>
  <c r="G6079" i="5"/>
  <c r="G6067" i="5"/>
  <c r="G6055" i="5"/>
  <c r="G6043" i="5"/>
  <c r="G6031" i="5"/>
  <c r="G6019" i="5"/>
  <c r="G6007" i="5"/>
  <c r="G5995" i="5"/>
  <c r="G5983" i="5"/>
  <c r="G8654" i="5"/>
  <c r="G8582" i="5"/>
  <c r="G8510" i="5"/>
  <c r="G8438" i="5"/>
  <c r="G8366" i="5"/>
  <c r="G8294" i="5"/>
  <c r="G8222" i="5"/>
  <c r="G8150" i="5"/>
  <c r="G8078" i="5"/>
  <c r="G8006" i="5"/>
  <c r="G7934" i="5"/>
  <c r="G7862" i="5"/>
  <c r="G7790" i="5"/>
  <c r="G7718" i="5"/>
  <c r="G7671" i="5"/>
  <c r="G7647" i="5"/>
  <c r="G7623" i="5"/>
  <c r="G7599" i="5"/>
  <c r="G7575" i="5"/>
  <c r="G7551" i="5"/>
  <c r="G7527" i="5"/>
  <c r="G7503" i="5"/>
  <c r="G7479" i="5"/>
  <c r="G7455" i="5"/>
  <c r="G7431" i="5"/>
  <c r="G7409" i="5"/>
  <c r="G7387" i="5"/>
  <c r="G7367" i="5"/>
  <c r="G7348" i="5"/>
  <c r="G7326" i="5"/>
  <c r="G7304" i="5"/>
  <c r="G7287" i="5"/>
  <c r="G7265" i="5"/>
  <c r="G7243" i="5"/>
  <c r="G7223" i="5"/>
  <c r="G7204" i="5"/>
  <c r="G7182" i="5"/>
  <c r="G7160" i="5"/>
  <c r="G7143" i="5"/>
  <c r="G7121" i="5"/>
  <c r="G7099" i="5"/>
  <c r="G7079" i="5"/>
  <c r="G7060" i="5"/>
  <c r="G7038" i="5"/>
  <c r="G7016" i="5"/>
  <c r="G6999" i="5"/>
  <c r="G6979" i="5"/>
  <c r="G6966" i="5"/>
  <c r="G6954" i="5"/>
  <c r="G6942" i="5"/>
  <c r="G6930" i="5"/>
  <c r="G6918" i="5"/>
  <c r="G6906" i="5"/>
  <c r="G6894" i="5"/>
  <c r="G6882" i="5"/>
  <c r="G6870" i="5"/>
  <c r="G6858" i="5"/>
  <c r="G6846" i="5"/>
  <c r="G6834" i="5"/>
  <c r="G6822" i="5"/>
  <c r="G6810" i="5"/>
  <c r="G6798" i="5"/>
  <c r="G6786" i="5"/>
  <c r="G6774" i="5"/>
  <c r="G6762" i="5"/>
  <c r="G6750" i="5"/>
  <c r="G6738" i="5"/>
  <c r="G6726" i="5"/>
  <c r="G6714" i="5"/>
  <c r="G6702" i="5"/>
  <c r="G6690" i="5"/>
  <c r="G6678" i="5"/>
  <c r="G6666" i="5"/>
  <c r="G6654" i="5"/>
  <c r="G6642" i="5"/>
  <c r="G6630" i="5"/>
  <c r="G6618" i="5"/>
  <c r="G6606" i="5"/>
  <c r="G6594" i="5"/>
  <c r="G6582" i="5"/>
  <c r="G6570" i="5"/>
  <c r="G6558" i="5"/>
  <c r="G6546" i="5"/>
  <c r="G6534" i="5"/>
  <c r="G6522" i="5"/>
  <c r="G6510" i="5"/>
  <c r="G6498" i="5"/>
  <c r="G6486" i="5"/>
  <c r="G6474" i="5"/>
  <c r="G6462" i="5"/>
  <c r="G6450" i="5"/>
  <c r="G6438" i="5"/>
  <c r="G6426" i="5"/>
  <c r="G6414" i="5"/>
  <c r="G6402" i="5"/>
  <c r="G6390" i="5"/>
  <c r="G6378" i="5"/>
  <c r="G6366" i="5"/>
  <c r="G6354" i="5"/>
  <c r="G6342" i="5"/>
  <c r="G6330" i="5"/>
  <c r="G6318" i="5"/>
  <c r="G6306" i="5"/>
  <c r="G6294" i="5"/>
  <c r="G6282" i="5"/>
  <c r="G6270" i="5"/>
  <c r="G6258" i="5"/>
  <c r="G6246" i="5"/>
  <c r="G6234" i="5"/>
  <c r="G6222" i="5"/>
  <c r="G6210" i="5"/>
  <c r="G6198" i="5"/>
  <c r="G6186" i="5"/>
  <c r="G6174" i="5"/>
  <c r="G6162" i="5"/>
  <c r="G6150" i="5"/>
  <c r="G6138" i="5"/>
  <c r="G6126" i="5"/>
  <c r="G6114" i="5"/>
  <c r="G6102" i="5"/>
  <c r="G6090" i="5"/>
  <c r="G6078" i="5"/>
  <c r="G6066" i="5"/>
  <c r="G6054" i="5"/>
  <c r="G6042" i="5"/>
  <c r="G6030" i="5"/>
  <c r="G6018" i="5"/>
  <c r="G6006" i="5"/>
  <c r="G5994" i="5"/>
  <c r="G5982" i="5"/>
  <c r="G5970" i="5"/>
  <c r="G5958" i="5"/>
  <c r="G5946" i="5"/>
  <c r="G5934" i="5"/>
  <c r="G5922" i="5"/>
  <c r="G5910" i="5"/>
  <c r="G5898" i="5"/>
  <c r="G5886" i="5"/>
  <c r="G5874" i="5"/>
  <c r="G5862" i="5"/>
  <c r="G5850" i="5"/>
  <c r="G5838" i="5"/>
  <c r="G5826" i="5"/>
  <c r="G5814" i="5"/>
  <c r="G5802" i="5"/>
  <c r="G5790" i="5"/>
  <c r="G5778" i="5"/>
  <c r="G8642" i="5"/>
  <c r="G8570" i="5"/>
  <c r="G8498" i="5"/>
  <c r="G8426" i="5"/>
  <c r="G8354" i="5"/>
  <c r="G8282" i="5"/>
  <c r="G8210" i="5"/>
  <c r="G8138" i="5"/>
  <c r="G8066" i="5"/>
  <c r="G7994" i="5"/>
  <c r="G7922" i="5"/>
  <c r="G7850" i="5"/>
  <c r="G7778" i="5"/>
  <c r="G7706" i="5"/>
  <c r="G7667" i="5"/>
  <c r="G7643" i="5"/>
  <c r="G7619" i="5"/>
  <c r="G7595" i="5"/>
  <c r="G7571" i="5"/>
  <c r="G7547" i="5"/>
  <c r="G7523" i="5"/>
  <c r="G7499" i="5"/>
  <c r="G7475" i="5"/>
  <c r="G7451" i="5"/>
  <c r="G7427" i="5"/>
  <c r="G7408" i="5"/>
  <c r="G7386" i="5"/>
  <c r="G7364" i="5"/>
  <c r="G7347" i="5"/>
  <c r="G7325" i="5"/>
  <c r="G7303" i="5"/>
  <c r="G7283" i="5"/>
  <c r="G7264" i="5"/>
  <c r="G7242" i="5"/>
  <c r="G7220" i="5"/>
  <c r="G7203" i="5"/>
  <c r="G7181" i="5"/>
  <c r="G7159" i="5"/>
  <c r="G7139" i="5"/>
  <c r="G7120" i="5"/>
  <c r="G7098" i="5"/>
  <c r="G7076" i="5"/>
  <c r="G7059" i="5"/>
  <c r="G7037" i="5"/>
  <c r="G7015" i="5"/>
  <c r="G6997" i="5"/>
  <c r="G6978" i="5"/>
  <c r="G6965" i="5"/>
  <c r="G6953" i="5"/>
  <c r="G6941" i="5"/>
  <c r="G6929" i="5"/>
  <c r="G6917" i="5"/>
  <c r="G6905" i="5"/>
  <c r="G6893" i="5"/>
  <c r="G6881" i="5"/>
  <c r="G6869" i="5"/>
  <c r="G6857" i="5"/>
  <c r="G6845" i="5"/>
  <c r="G6833" i="5"/>
  <c r="G6821" i="5"/>
  <c r="G6809" i="5"/>
  <c r="G6797" i="5"/>
  <c r="G6785" i="5"/>
  <c r="G6773" i="5"/>
  <c r="G6761" i="5"/>
  <c r="G6749" i="5"/>
  <c r="G6737" i="5"/>
  <c r="G6725" i="5"/>
  <c r="G6713" i="5"/>
  <c r="G6701" i="5"/>
  <c r="G6689" i="5"/>
  <c r="G6677" i="5"/>
  <c r="G6665" i="5"/>
  <c r="G6653" i="5"/>
  <c r="G6641" i="5"/>
  <c r="G6629" i="5"/>
  <c r="G6617" i="5"/>
  <c r="G6605" i="5"/>
  <c r="G6593" i="5"/>
  <c r="G6581" i="5"/>
  <c r="G6569" i="5"/>
  <c r="G6557" i="5"/>
  <c r="G6545" i="5"/>
  <c r="G6533" i="5"/>
  <c r="G6521" i="5"/>
  <c r="G6509" i="5"/>
  <c r="G6497" i="5"/>
  <c r="G6485" i="5"/>
  <c r="G6473" i="5"/>
  <c r="G6461" i="5"/>
  <c r="G6449" i="5"/>
  <c r="G6437" i="5"/>
  <c r="G6425" i="5"/>
  <c r="G6413" i="5"/>
  <c r="G6401" i="5"/>
  <c r="G6389" i="5"/>
  <c r="G6377" i="5"/>
  <c r="G6365" i="5"/>
  <c r="G6353" i="5"/>
  <c r="G8690" i="5"/>
  <c r="G8618" i="5"/>
  <c r="G8546" i="5"/>
  <c r="G8474" i="5"/>
  <c r="G8402" i="5"/>
  <c r="G8330" i="5"/>
  <c r="G8258" i="5"/>
  <c r="G8186" i="5"/>
  <c r="G8114" i="5"/>
  <c r="G8042" i="5"/>
  <c r="G7970" i="5"/>
  <c r="G7898" i="5"/>
  <c r="G7826" i="5"/>
  <c r="G7754" i="5"/>
  <c r="G7683" i="5"/>
  <c r="G7659" i="5"/>
  <c r="G7635" i="5"/>
  <c r="G7611" i="5"/>
  <c r="G7587" i="5"/>
  <c r="G7563" i="5"/>
  <c r="G7539" i="5"/>
  <c r="G7515" i="5"/>
  <c r="G7491" i="5"/>
  <c r="G7467" i="5"/>
  <c r="G7443" i="5"/>
  <c r="G7420" i="5"/>
  <c r="G7398" i="5"/>
  <c r="G7376" i="5"/>
  <c r="G7359" i="5"/>
  <c r="G7337" i="5"/>
  <c r="G7315" i="5"/>
  <c r="G7295" i="5"/>
  <c r="G7276" i="5"/>
  <c r="G7254" i="5"/>
  <c r="G7232" i="5"/>
  <c r="G7215" i="5"/>
  <c r="G7193" i="5"/>
  <c r="G7171" i="5"/>
  <c r="G7151" i="5"/>
  <c r="G7132" i="5"/>
  <c r="G7110" i="5"/>
  <c r="G7088" i="5"/>
  <c r="G7071" i="5"/>
  <c r="G7049" i="5"/>
  <c r="G7027" i="5"/>
  <c r="G7007" i="5"/>
  <c r="G6989" i="5"/>
  <c r="G6972" i="5"/>
  <c r="G6960" i="5"/>
  <c r="G6948" i="5"/>
  <c r="G6936" i="5"/>
  <c r="G6924" i="5"/>
  <c r="G6912" i="5"/>
  <c r="G6900" i="5"/>
  <c r="G6888" i="5"/>
  <c r="G6876" i="5"/>
  <c r="G6864" i="5"/>
  <c r="G6852" i="5"/>
  <c r="G6840" i="5"/>
  <c r="G6828" i="5"/>
  <c r="G6816" i="5"/>
  <c r="G6804" i="5"/>
  <c r="G6792" i="5"/>
  <c r="G6780" i="5"/>
  <c r="G6768" i="5"/>
  <c r="G6756" i="5"/>
  <c r="G6744" i="5"/>
  <c r="G6732" i="5"/>
  <c r="G6720" i="5"/>
  <c r="G6708" i="5"/>
  <c r="G6696" i="5"/>
  <c r="G6684" i="5"/>
  <c r="G6672" i="5"/>
  <c r="G6660" i="5"/>
  <c r="G6648" i="5"/>
  <c r="G6636" i="5"/>
  <c r="G6624" i="5"/>
  <c r="G6612" i="5"/>
  <c r="G6600" i="5"/>
  <c r="G6588" i="5"/>
  <c r="G6576" i="5"/>
  <c r="G6564" i="5"/>
  <c r="G6552" i="5"/>
  <c r="G6540" i="5"/>
  <c r="G6528" i="5"/>
  <c r="G6516" i="5"/>
  <c r="G6504" i="5"/>
  <c r="G6492" i="5"/>
  <c r="G6480" i="5"/>
  <c r="G6468" i="5"/>
  <c r="G6456" i="5"/>
  <c r="G6444" i="5"/>
  <c r="G6432" i="5"/>
  <c r="G6420" i="5"/>
  <c r="G6408" i="5"/>
  <c r="G6396" i="5"/>
  <c r="G6384" i="5"/>
  <c r="G6372" i="5"/>
  <c r="G6360" i="5"/>
  <c r="G6348" i="5"/>
  <c r="G6336" i="5"/>
  <c r="G8621" i="5"/>
  <c r="G8462" i="5"/>
  <c r="G8270" i="5"/>
  <c r="G8116" i="5"/>
  <c r="G7912" i="5"/>
  <c r="G7757" i="5"/>
  <c r="G7655" i="5"/>
  <c r="G7591" i="5"/>
  <c r="G7540" i="5"/>
  <c r="G7472" i="5"/>
  <c r="G7422" i="5"/>
  <c r="G7375" i="5"/>
  <c r="G7323" i="5"/>
  <c r="G7277" i="5"/>
  <c r="G7219" i="5"/>
  <c r="G7175" i="5"/>
  <c r="G7131" i="5"/>
  <c r="G7074" i="5"/>
  <c r="G7028" i="5"/>
  <c r="G6977" i="5"/>
  <c r="G6950" i="5"/>
  <c r="G6923" i="5"/>
  <c r="G6891" i="5"/>
  <c r="G6865" i="5"/>
  <c r="G6832" i="5"/>
  <c r="G6806" i="5"/>
  <c r="G6779" i="5"/>
  <c r="G6747" i="5"/>
  <c r="G6721" i="5"/>
  <c r="G6688" i="5"/>
  <c r="G6662" i="5"/>
  <c r="G6635" i="5"/>
  <c r="G6603" i="5"/>
  <c r="G6577" i="5"/>
  <c r="G6544" i="5"/>
  <c r="G6518" i="5"/>
  <c r="G6491" i="5"/>
  <c r="G6459" i="5"/>
  <c r="G6433" i="5"/>
  <c r="G6400" i="5"/>
  <c r="G6374" i="5"/>
  <c r="G6347" i="5"/>
  <c r="G6324" i="5"/>
  <c r="G6302" i="5"/>
  <c r="G6280" i="5"/>
  <c r="G6263" i="5"/>
  <c r="G6241" i="5"/>
  <c r="G6219" i="5"/>
  <c r="G6197" i="5"/>
  <c r="G6180" i="5"/>
  <c r="G6158" i="5"/>
  <c r="G6136" i="5"/>
  <c r="G6119" i="5"/>
  <c r="G6097" i="5"/>
  <c r="G6075" i="5"/>
  <c r="G6053" i="5"/>
  <c r="G6036" i="5"/>
  <c r="G6014" i="5"/>
  <c r="G5992" i="5"/>
  <c r="G5975" i="5"/>
  <c r="G5955" i="5"/>
  <c r="G5939" i="5"/>
  <c r="G5921" i="5"/>
  <c r="G5906" i="5"/>
  <c r="G5891" i="5"/>
  <c r="G5875" i="5"/>
  <c r="G5860" i="5"/>
  <c r="G5846" i="5"/>
  <c r="G5832" i="5"/>
  <c r="G5818" i="5"/>
  <c r="G5803" i="5"/>
  <c r="G5788" i="5"/>
  <c r="G5774" i="5"/>
  <c r="G5761" i="5"/>
  <c r="G5748" i="5"/>
  <c r="G5735" i="5"/>
  <c r="G5722" i="5"/>
  <c r="G5708" i="5"/>
  <c r="G5695" i="5"/>
  <c r="G5682" i="5"/>
  <c r="G5669" i="5"/>
  <c r="G5656" i="5"/>
  <c r="G5643" i="5"/>
  <c r="G5630" i="5"/>
  <c r="G5617" i="5"/>
  <c r="G5604" i="5"/>
  <c r="G5591" i="5"/>
  <c r="G5578" i="5"/>
  <c r="G5564" i="5"/>
  <c r="G5551" i="5"/>
  <c r="G5538" i="5"/>
  <c r="G5525" i="5"/>
  <c r="G5512" i="5"/>
  <c r="G5499" i="5"/>
  <c r="G5487" i="5"/>
  <c r="G5475" i="5"/>
  <c r="G5463" i="5"/>
  <c r="G5451" i="5"/>
  <c r="G5439" i="5"/>
  <c r="G5427" i="5"/>
  <c r="G5415" i="5"/>
  <c r="G5403" i="5"/>
  <c r="G5391" i="5"/>
  <c r="G5379" i="5"/>
  <c r="G5367" i="5"/>
  <c r="G5355" i="5"/>
  <c r="G5343" i="5"/>
  <c r="G5331" i="5"/>
  <c r="G5319" i="5"/>
  <c r="G5307" i="5"/>
  <c r="G5295" i="5"/>
  <c r="G5283" i="5"/>
  <c r="G5271" i="5"/>
  <c r="G5259" i="5"/>
  <c r="G5247" i="5"/>
  <c r="G5235" i="5"/>
  <c r="G5223" i="5"/>
  <c r="G5211" i="5"/>
  <c r="G5199" i="5"/>
  <c r="G5187" i="5"/>
  <c r="G5175" i="5"/>
  <c r="G5163" i="5"/>
  <c r="G5151" i="5"/>
  <c r="G5139" i="5"/>
  <c r="G5127" i="5"/>
  <c r="G5115" i="5"/>
  <c r="G5103" i="5"/>
  <c r="G5091" i="5"/>
  <c r="G5079" i="5"/>
  <c r="G5067" i="5"/>
  <c r="G5055" i="5"/>
  <c r="G5043" i="5"/>
  <c r="G5031" i="5"/>
  <c r="G5019" i="5"/>
  <c r="G5007" i="5"/>
  <c r="G4995" i="5"/>
  <c r="G4983" i="5"/>
  <c r="G4971" i="5"/>
  <c r="G4959" i="5"/>
  <c r="G4947" i="5"/>
  <c r="G4935" i="5"/>
  <c r="G4923" i="5"/>
  <c r="G4911" i="5"/>
  <c r="G4899" i="5"/>
  <c r="G4887" i="5"/>
  <c r="G4875" i="5"/>
  <c r="G4863" i="5"/>
  <c r="G4851" i="5"/>
  <c r="G4839" i="5"/>
  <c r="G4827" i="5"/>
  <c r="G4815" i="5"/>
  <c r="G4803" i="5"/>
  <c r="G4791" i="5"/>
  <c r="G4779" i="5"/>
  <c r="G4767" i="5"/>
  <c r="G8620" i="5"/>
  <c r="G8416" i="5"/>
  <c r="G8261" i="5"/>
  <c r="G8102" i="5"/>
  <c r="G7910" i="5"/>
  <c r="G7756" i="5"/>
  <c r="G7640" i="5"/>
  <c r="G7589" i="5"/>
  <c r="G7535" i="5"/>
  <c r="G7471" i="5"/>
  <c r="G7421" i="5"/>
  <c r="G7363" i="5"/>
  <c r="G7319" i="5"/>
  <c r="G7275" i="5"/>
  <c r="G7218" i="5"/>
  <c r="G7172" i="5"/>
  <c r="G7119" i="5"/>
  <c r="G7073" i="5"/>
  <c r="G7026" i="5"/>
  <c r="G6976" i="5"/>
  <c r="G6949" i="5"/>
  <c r="G6916" i="5"/>
  <c r="G6890" i="5"/>
  <c r="G6863" i="5"/>
  <c r="G6831" i="5"/>
  <c r="G6805" i="5"/>
  <c r="G6772" i="5"/>
  <c r="G6746" i="5"/>
  <c r="G6719" i="5"/>
  <c r="G6687" i="5"/>
  <c r="G6661" i="5"/>
  <c r="G6628" i="5"/>
  <c r="G6602" i="5"/>
  <c r="G6575" i="5"/>
  <c r="G6543" i="5"/>
  <c r="G6517" i="5"/>
  <c r="G6484" i="5"/>
  <c r="G6458" i="5"/>
  <c r="G6431" i="5"/>
  <c r="G6399" i="5"/>
  <c r="G6373" i="5"/>
  <c r="G6341" i="5"/>
  <c r="G6323" i="5"/>
  <c r="G6301" i="5"/>
  <c r="G6279" i="5"/>
  <c r="G6257" i="5"/>
  <c r="G6240" i="5"/>
  <c r="G6218" i="5"/>
  <c r="G6196" i="5"/>
  <c r="G6179" i="5"/>
  <c r="G6157" i="5"/>
  <c r="G6135" i="5"/>
  <c r="G6113" i="5"/>
  <c r="G6096" i="5"/>
  <c r="G6074" i="5"/>
  <c r="G6052" i="5"/>
  <c r="G6035" i="5"/>
  <c r="G6013" i="5"/>
  <c r="G5991" i="5"/>
  <c r="G5971" i="5"/>
  <c r="G5954" i="5"/>
  <c r="G5938" i="5"/>
  <c r="G5920" i="5"/>
  <c r="G5905" i="5"/>
  <c r="G5890" i="5"/>
  <c r="G5873" i="5"/>
  <c r="G5859" i="5"/>
  <c r="G5845" i="5"/>
  <c r="G5831" i="5"/>
  <c r="G5816" i="5"/>
  <c r="G5801" i="5"/>
  <c r="G5787" i="5"/>
  <c r="G5773" i="5"/>
  <c r="G5760" i="5"/>
  <c r="G5747" i="5"/>
  <c r="G5734" i="5"/>
  <c r="G5720" i="5"/>
  <c r="G5707" i="5"/>
  <c r="G5694" i="5"/>
  <c r="G5681" i="5"/>
  <c r="G5668" i="5"/>
  <c r="G5655" i="5"/>
  <c r="G5642" i="5"/>
  <c r="G5629" i="5"/>
  <c r="G5616" i="5"/>
  <c r="G5603" i="5"/>
  <c r="G5590" i="5"/>
  <c r="G5576" i="5"/>
  <c r="G5563" i="5"/>
  <c r="G5550" i="5"/>
  <c r="G5537" i="5"/>
  <c r="G5524" i="5"/>
  <c r="G5511" i="5"/>
  <c r="G5498" i="5"/>
  <c r="G5486" i="5"/>
  <c r="G5474" i="5"/>
  <c r="G5462" i="5"/>
  <c r="G5450" i="5"/>
  <c r="G5438" i="5"/>
  <c r="G5426" i="5"/>
  <c r="G5414" i="5"/>
  <c r="G5402" i="5"/>
  <c r="G5390" i="5"/>
  <c r="G5378" i="5"/>
  <c r="G5366" i="5"/>
  <c r="G5354" i="5"/>
  <c r="G5342" i="5"/>
  <c r="G5330" i="5"/>
  <c r="G5318" i="5"/>
  <c r="G5306" i="5"/>
  <c r="G5294" i="5"/>
  <c r="G5282" i="5"/>
  <c r="G5270" i="5"/>
  <c r="G5258" i="5"/>
  <c r="G5246" i="5"/>
  <c r="G5234" i="5"/>
  <c r="G5222" i="5"/>
  <c r="G5210" i="5"/>
  <c r="G5198" i="5"/>
  <c r="G5186" i="5"/>
  <c r="G5174" i="5"/>
  <c r="G5162" i="5"/>
  <c r="G5150" i="5"/>
  <c r="G5138" i="5"/>
  <c r="G5126" i="5"/>
  <c r="G5114" i="5"/>
  <c r="G5102" i="5"/>
  <c r="G5090" i="5"/>
  <c r="G5078" i="5"/>
  <c r="G5066" i="5"/>
  <c r="G5054" i="5"/>
  <c r="G5042" i="5"/>
  <c r="G5030" i="5"/>
  <c r="G5018" i="5"/>
  <c r="G5006" i="5"/>
  <c r="G4994" i="5"/>
  <c r="G4982" i="5"/>
  <c r="G4970" i="5"/>
  <c r="G4958" i="5"/>
  <c r="G4946" i="5"/>
  <c r="G4934" i="5"/>
  <c r="G4922" i="5"/>
  <c r="G4910" i="5"/>
  <c r="G4898" i="5"/>
  <c r="G4886" i="5"/>
  <c r="G4874" i="5"/>
  <c r="G4862" i="5"/>
  <c r="G4850" i="5"/>
  <c r="G4838" i="5"/>
  <c r="G4826" i="5"/>
  <c r="G4814" i="5"/>
  <c r="G4802" i="5"/>
  <c r="G4790" i="5"/>
  <c r="G4778" i="5"/>
  <c r="G4766" i="5"/>
  <c r="G4754" i="5"/>
  <c r="G4742" i="5"/>
  <c r="G4730" i="5"/>
  <c r="G4718" i="5"/>
  <c r="G4706" i="5"/>
  <c r="G4694" i="5"/>
  <c r="G4682" i="5"/>
  <c r="G4670" i="5"/>
  <c r="G4658" i="5"/>
  <c r="G4646" i="5"/>
  <c r="G4634" i="5"/>
  <c r="G4622" i="5"/>
  <c r="G4610" i="5"/>
  <c r="G8606" i="5"/>
  <c r="G8414" i="5"/>
  <c r="G8260" i="5"/>
  <c r="G8056" i="5"/>
  <c r="G7901" i="5"/>
  <c r="G7742" i="5"/>
  <c r="G7639" i="5"/>
  <c r="G7588" i="5"/>
  <c r="G7520" i="5"/>
  <c r="G7469" i="5"/>
  <c r="G7419" i="5"/>
  <c r="G7362" i="5"/>
  <c r="G7316" i="5"/>
  <c r="G7263" i="5"/>
  <c r="G7217" i="5"/>
  <c r="G7170" i="5"/>
  <c r="G7115" i="5"/>
  <c r="G7072" i="5"/>
  <c r="G7014" i="5"/>
  <c r="G6975" i="5"/>
  <c r="G6947" i="5"/>
  <c r="G6915" i="5"/>
  <c r="G6889" i="5"/>
  <c r="G6856" i="5"/>
  <c r="G6830" i="5"/>
  <c r="G6803" i="5"/>
  <c r="G6771" i="5"/>
  <c r="G6745" i="5"/>
  <c r="G6712" i="5"/>
  <c r="G6686" i="5"/>
  <c r="G6659" i="5"/>
  <c r="G6627" i="5"/>
  <c r="G6601" i="5"/>
  <c r="G6568" i="5"/>
  <c r="G6542" i="5"/>
  <c r="G6515" i="5"/>
  <c r="G6483" i="5"/>
  <c r="G6457" i="5"/>
  <c r="G6424" i="5"/>
  <c r="G6398" i="5"/>
  <c r="G6371" i="5"/>
  <c r="G6340" i="5"/>
  <c r="G6317" i="5"/>
  <c r="G6300" i="5"/>
  <c r="G6278" i="5"/>
  <c r="G6256" i="5"/>
  <c r="G6239" i="5"/>
  <c r="G6217" i="5"/>
  <c r="G6195" i="5"/>
  <c r="G6173" i="5"/>
  <c r="G6156" i="5"/>
  <c r="G6134" i="5"/>
  <c r="G6112" i="5"/>
  <c r="G6095" i="5"/>
  <c r="G6073" i="5"/>
  <c r="G6051" i="5"/>
  <c r="G6029" i="5"/>
  <c r="G6012" i="5"/>
  <c r="G5990" i="5"/>
  <c r="G5969" i="5"/>
  <c r="G5953" i="5"/>
  <c r="G5935" i="5"/>
  <c r="G5919" i="5"/>
  <c r="G5904" i="5"/>
  <c r="G5887" i="5"/>
  <c r="G5872" i="5"/>
  <c r="G5858" i="5"/>
  <c r="G5844" i="5"/>
  <c r="G5830" i="5"/>
  <c r="G5815" i="5"/>
  <c r="G5800" i="5"/>
  <c r="G5786" i="5"/>
  <c r="G5772" i="5"/>
  <c r="G5759" i="5"/>
  <c r="G5746" i="5"/>
  <c r="G5732" i="5"/>
  <c r="G5719" i="5"/>
  <c r="G5706" i="5"/>
  <c r="G5693" i="5"/>
  <c r="G5680" i="5"/>
  <c r="G5667" i="5"/>
  <c r="G5654" i="5"/>
  <c r="G5641" i="5"/>
  <c r="G5628" i="5"/>
  <c r="G5615" i="5"/>
  <c r="G5602" i="5"/>
  <c r="G5588" i="5"/>
  <c r="G5575" i="5"/>
  <c r="G5562" i="5"/>
  <c r="G5549" i="5"/>
  <c r="G5536" i="5"/>
  <c r="G5523" i="5"/>
  <c r="G5510" i="5"/>
  <c r="G5497" i="5"/>
  <c r="G5485" i="5"/>
  <c r="G5473" i="5"/>
  <c r="G5461" i="5"/>
  <c r="G5449" i="5"/>
  <c r="G5437" i="5"/>
  <c r="G5425" i="5"/>
  <c r="G5413" i="5"/>
  <c r="G5401" i="5"/>
  <c r="G5389" i="5"/>
  <c r="G5377" i="5"/>
  <c r="G5365" i="5"/>
  <c r="G5353" i="5"/>
  <c r="G5341" i="5"/>
  <c r="G5329" i="5"/>
  <c r="G5317" i="5"/>
  <c r="G5305" i="5"/>
  <c r="G5293" i="5"/>
  <c r="G5281" i="5"/>
  <c r="G5269" i="5"/>
  <c r="G5257" i="5"/>
  <c r="G5245" i="5"/>
  <c r="G5233" i="5"/>
  <c r="G5221" i="5"/>
  <c r="G5209" i="5"/>
  <c r="G5197" i="5"/>
  <c r="G5185" i="5"/>
  <c r="G5173" i="5"/>
  <c r="G5161" i="5"/>
  <c r="G5149" i="5"/>
  <c r="G5137" i="5"/>
  <c r="G5125" i="5"/>
  <c r="G5113" i="5"/>
  <c r="G5101" i="5"/>
  <c r="G5089" i="5"/>
  <c r="G5077" i="5"/>
  <c r="G5065" i="5"/>
  <c r="G5053" i="5"/>
  <c r="G5041" i="5"/>
  <c r="G5029" i="5"/>
  <c r="G5017" i="5"/>
  <c r="G5005" i="5"/>
  <c r="G4993" i="5"/>
  <c r="G4981" i="5"/>
  <c r="G4969" i="5"/>
  <c r="G4957" i="5"/>
  <c r="G4945" i="5"/>
  <c r="G4933" i="5"/>
  <c r="G4921" i="5"/>
  <c r="G4909" i="5"/>
  <c r="G4897" i="5"/>
  <c r="G4885" i="5"/>
  <c r="G4873" i="5"/>
  <c r="G4861" i="5"/>
  <c r="G4849" i="5"/>
  <c r="G4837" i="5"/>
  <c r="G4825" i="5"/>
  <c r="G4813" i="5"/>
  <c r="G4801" i="5"/>
  <c r="G4789" i="5"/>
  <c r="G4777" i="5"/>
  <c r="G4765" i="5"/>
  <c r="G4753" i="5"/>
  <c r="G4741" i="5"/>
  <c r="G4729" i="5"/>
  <c r="G4717" i="5"/>
  <c r="G4705" i="5"/>
  <c r="G4693" i="5"/>
  <c r="G4681" i="5"/>
  <c r="G4669" i="5"/>
  <c r="G4657" i="5"/>
  <c r="G4645" i="5"/>
  <c r="G4633" i="5"/>
  <c r="G4621" i="5"/>
  <c r="G4609" i="5"/>
  <c r="G4597" i="5"/>
  <c r="G4585" i="5"/>
  <c r="G8560" i="5"/>
  <c r="G8405" i="5"/>
  <c r="G8246" i="5"/>
  <c r="G8054" i="5"/>
  <c r="G7900" i="5"/>
  <c r="G7696" i="5"/>
  <c r="G7637" i="5"/>
  <c r="G7583" i="5"/>
  <c r="G7519" i="5"/>
  <c r="G7468" i="5"/>
  <c r="G7407" i="5"/>
  <c r="G7361" i="5"/>
  <c r="G7314" i="5"/>
  <c r="G7259" i="5"/>
  <c r="G7216" i="5"/>
  <c r="G7158" i="5"/>
  <c r="G7112" i="5"/>
  <c r="G7067" i="5"/>
  <c r="G7013" i="5"/>
  <c r="G6973" i="5"/>
  <c r="G6940" i="5"/>
  <c r="G6914" i="5"/>
  <c r="G6887" i="5"/>
  <c r="G6855" i="5"/>
  <c r="G6829" i="5"/>
  <c r="G6796" i="5"/>
  <c r="G6770" i="5"/>
  <c r="G6743" i="5"/>
  <c r="G6711" i="5"/>
  <c r="G6685" i="5"/>
  <c r="G6652" i="5"/>
  <c r="G6626" i="5"/>
  <c r="G6599" i="5"/>
  <c r="G6567" i="5"/>
  <c r="G6541" i="5"/>
  <c r="G6508" i="5"/>
  <c r="G6482" i="5"/>
  <c r="G6455" i="5"/>
  <c r="G6423" i="5"/>
  <c r="G6397" i="5"/>
  <c r="G6364" i="5"/>
  <c r="G6339" i="5"/>
  <c r="G6316" i="5"/>
  <c r="G6299" i="5"/>
  <c r="G6277" i="5"/>
  <c r="G6255" i="5"/>
  <c r="G6233" i="5"/>
  <c r="G6216" i="5"/>
  <c r="G6194" i="5"/>
  <c r="G6172" i="5"/>
  <c r="G6155" i="5"/>
  <c r="G6133" i="5"/>
  <c r="G6111" i="5"/>
  <c r="G6089" i="5"/>
  <c r="G6072" i="5"/>
  <c r="G6050" i="5"/>
  <c r="G6028" i="5"/>
  <c r="G6011" i="5"/>
  <c r="G5989" i="5"/>
  <c r="G5968" i="5"/>
  <c r="G5952" i="5"/>
  <c r="G5933" i="5"/>
  <c r="G5918" i="5"/>
  <c r="G5903" i="5"/>
  <c r="G5885" i="5"/>
  <c r="G5871" i="5"/>
  <c r="G5857" i="5"/>
  <c r="G5843" i="5"/>
  <c r="G5828" i="5"/>
  <c r="G5813" i="5"/>
  <c r="G5799" i="5"/>
  <c r="G5785" i="5"/>
  <c r="G5771" i="5"/>
  <c r="G5758" i="5"/>
  <c r="G5744" i="5"/>
  <c r="G5731" i="5"/>
  <c r="G5718" i="5"/>
  <c r="G5705" i="5"/>
  <c r="G5692" i="5"/>
  <c r="G5679" i="5"/>
  <c r="G5666" i="5"/>
  <c r="G5653" i="5"/>
  <c r="G5640" i="5"/>
  <c r="G5627" i="5"/>
  <c r="G5614" i="5"/>
  <c r="G5600" i="5"/>
  <c r="G5587" i="5"/>
  <c r="G5574" i="5"/>
  <c r="G5561" i="5"/>
  <c r="G5548" i="5"/>
  <c r="G5535" i="5"/>
  <c r="G5522" i="5"/>
  <c r="G5509" i="5"/>
  <c r="G5496" i="5"/>
  <c r="G5484" i="5"/>
  <c r="G5472" i="5"/>
  <c r="G5460" i="5"/>
  <c r="G5448" i="5"/>
  <c r="G5436" i="5"/>
  <c r="G5424" i="5"/>
  <c r="G5412" i="5"/>
  <c r="G5400" i="5"/>
  <c r="G5388" i="5"/>
  <c r="G5376" i="5"/>
  <c r="G5364" i="5"/>
  <c r="G5352" i="5"/>
  <c r="G5340" i="5"/>
  <c r="G5328" i="5"/>
  <c r="G5316" i="5"/>
  <c r="G5304" i="5"/>
  <c r="G5292" i="5"/>
  <c r="G5280" i="5"/>
  <c r="G5268" i="5"/>
  <c r="G5256" i="5"/>
  <c r="G5244" i="5"/>
  <c r="G5232" i="5"/>
  <c r="G5220" i="5"/>
  <c r="G5208" i="5"/>
  <c r="G5196" i="5"/>
  <c r="G5184" i="5"/>
  <c r="G5172" i="5"/>
  <c r="G5160" i="5"/>
  <c r="G5148" i="5"/>
  <c r="G5136" i="5"/>
  <c r="G5124" i="5"/>
  <c r="G5112" i="5"/>
  <c r="G5100" i="5"/>
  <c r="G5088" i="5"/>
  <c r="G5076" i="5"/>
  <c r="G5064" i="5"/>
  <c r="G5052" i="5"/>
  <c r="G5040" i="5"/>
  <c r="G5028" i="5"/>
  <c r="G5016" i="5"/>
  <c r="G5004" i="5"/>
  <c r="G4992" i="5"/>
  <c r="G4980" i="5"/>
  <c r="G4968" i="5"/>
  <c r="G4956" i="5"/>
  <c r="G4944" i="5"/>
  <c r="G4932" i="5"/>
  <c r="G4920" i="5"/>
  <c r="G4908" i="5"/>
  <c r="G4896" i="5"/>
  <c r="G4884" i="5"/>
  <c r="G4872" i="5"/>
  <c r="G4860" i="5"/>
  <c r="G4848" i="5"/>
  <c r="G4836" i="5"/>
  <c r="G4824" i="5"/>
  <c r="G4812" i="5"/>
  <c r="G4800" i="5"/>
  <c r="G4788" i="5"/>
  <c r="G4776" i="5"/>
  <c r="G4764" i="5"/>
  <c r="G4752" i="5"/>
  <c r="G4740" i="5"/>
  <c r="G4728" i="5"/>
  <c r="G4716" i="5"/>
  <c r="G4704" i="5"/>
  <c r="G4692" i="5"/>
  <c r="G4680" i="5"/>
  <c r="G4668" i="5"/>
  <c r="G4656" i="5"/>
  <c r="G4644" i="5"/>
  <c r="G4632" i="5"/>
  <c r="G4620" i="5"/>
  <c r="G4608" i="5"/>
  <c r="G4596" i="5"/>
  <c r="G4584" i="5"/>
  <c r="G8558" i="5"/>
  <c r="G8404" i="5"/>
  <c r="G8200" i="5"/>
  <c r="G8045" i="5"/>
  <c r="G7886" i="5"/>
  <c r="G7694" i="5"/>
  <c r="G7636" i="5"/>
  <c r="G7568" i="5"/>
  <c r="G7517" i="5"/>
  <c r="G7463" i="5"/>
  <c r="G7403" i="5"/>
  <c r="G7360" i="5"/>
  <c r="G7302" i="5"/>
  <c r="G7256" i="5"/>
  <c r="G7211" i="5"/>
  <c r="G7157" i="5"/>
  <c r="G7111" i="5"/>
  <c r="G7055" i="5"/>
  <c r="G7012" i="5"/>
  <c r="G6971" i="5"/>
  <c r="G6939" i="5"/>
  <c r="G6913" i="5"/>
  <c r="G6880" i="5"/>
  <c r="G6854" i="5"/>
  <c r="G6827" i="5"/>
  <c r="G6795" i="5"/>
  <c r="G6769" i="5"/>
  <c r="G6736" i="5"/>
  <c r="G6710" i="5"/>
  <c r="G6683" i="5"/>
  <c r="G6651" i="5"/>
  <c r="G6625" i="5"/>
  <c r="G6592" i="5"/>
  <c r="G6566" i="5"/>
  <c r="G6539" i="5"/>
  <c r="G6507" i="5"/>
  <c r="G6481" i="5"/>
  <c r="G6448" i="5"/>
  <c r="G6422" i="5"/>
  <c r="G6395" i="5"/>
  <c r="G6363" i="5"/>
  <c r="G6338" i="5"/>
  <c r="G6315" i="5"/>
  <c r="G6293" i="5"/>
  <c r="G6276" i="5"/>
  <c r="G6254" i="5"/>
  <c r="G6232" i="5"/>
  <c r="G6215" i="5"/>
  <c r="G6193" i="5"/>
  <c r="G6171" i="5"/>
  <c r="G6149" i="5"/>
  <c r="G6132" i="5"/>
  <c r="G6110" i="5"/>
  <c r="G6088" i="5"/>
  <c r="G6071" i="5"/>
  <c r="G6049" i="5"/>
  <c r="G6027" i="5"/>
  <c r="G6005" i="5"/>
  <c r="G5988" i="5"/>
  <c r="G5967" i="5"/>
  <c r="G5951" i="5"/>
  <c r="G5932" i="5"/>
  <c r="G5917" i="5"/>
  <c r="G5902" i="5"/>
  <c r="G5884" i="5"/>
  <c r="G5870" i="5"/>
  <c r="G5856" i="5"/>
  <c r="G5842" i="5"/>
  <c r="G5827" i="5"/>
  <c r="G5812" i="5"/>
  <c r="G5798" i="5"/>
  <c r="G5784" i="5"/>
  <c r="G5770" i="5"/>
  <c r="G5756" i="5"/>
  <c r="G5743" i="5"/>
  <c r="G5730" i="5"/>
  <c r="G5717" i="5"/>
  <c r="G5704" i="5"/>
  <c r="G5691" i="5"/>
  <c r="G5678" i="5"/>
  <c r="G5665" i="5"/>
  <c r="G5652" i="5"/>
  <c r="G5639" i="5"/>
  <c r="G5626" i="5"/>
  <c r="G5612" i="5"/>
  <c r="G5599" i="5"/>
  <c r="G5586" i="5"/>
  <c r="G5573" i="5"/>
  <c r="G5560" i="5"/>
  <c r="G5547" i="5"/>
  <c r="G5534" i="5"/>
  <c r="G5521" i="5"/>
  <c r="G5508" i="5"/>
  <c r="G5495" i="5"/>
  <c r="G5483" i="5"/>
  <c r="G5471" i="5"/>
  <c r="G5459" i="5"/>
  <c r="G5447" i="5"/>
  <c r="G5435" i="5"/>
  <c r="G5423" i="5"/>
  <c r="G5411" i="5"/>
  <c r="G5399" i="5"/>
  <c r="G5387" i="5"/>
  <c r="G5375" i="5"/>
  <c r="G5363" i="5"/>
  <c r="G5351" i="5"/>
  <c r="G5339" i="5"/>
  <c r="G5327" i="5"/>
  <c r="G5315" i="5"/>
  <c r="G5303" i="5"/>
  <c r="G5291" i="5"/>
  <c r="G5279" i="5"/>
  <c r="G5267" i="5"/>
  <c r="G5255" i="5"/>
  <c r="G5243" i="5"/>
  <c r="G5231" i="5"/>
  <c r="G5219" i="5"/>
  <c r="G5207" i="5"/>
  <c r="G5195" i="5"/>
  <c r="G5183" i="5"/>
  <c r="G5171" i="5"/>
  <c r="G5159" i="5"/>
  <c r="G5147" i="5"/>
  <c r="G5135" i="5"/>
  <c r="G5123" i="5"/>
  <c r="G5111" i="5"/>
  <c r="G5099" i="5"/>
  <c r="G5087" i="5"/>
  <c r="G5075" i="5"/>
  <c r="G5063" i="5"/>
  <c r="G5051" i="5"/>
  <c r="G5039" i="5"/>
  <c r="G5027" i="5"/>
  <c r="G5015" i="5"/>
  <c r="G5003" i="5"/>
  <c r="G4991" i="5"/>
  <c r="G4979" i="5"/>
  <c r="G4967" i="5"/>
  <c r="G4955" i="5"/>
  <c r="G8693" i="5"/>
  <c r="G8534" i="5"/>
  <c r="G8342" i="5"/>
  <c r="G8188" i="5"/>
  <c r="G7984" i="5"/>
  <c r="G7829" i="5"/>
  <c r="G7679" i="5"/>
  <c r="G7615" i="5"/>
  <c r="G7564" i="5"/>
  <c r="G7496" i="5"/>
  <c r="G7445" i="5"/>
  <c r="G7397" i="5"/>
  <c r="G7340" i="5"/>
  <c r="G7299" i="5"/>
  <c r="G7241" i="5"/>
  <c r="G7195" i="5"/>
  <c r="G7148" i="5"/>
  <c r="G7096" i="5"/>
  <c r="G7050" i="5"/>
  <c r="G6995" i="5"/>
  <c r="G6962" i="5"/>
  <c r="G6935" i="5"/>
  <c r="G6903" i="5"/>
  <c r="G6877" i="5"/>
  <c r="G6844" i="5"/>
  <c r="G6818" i="5"/>
  <c r="G6791" i="5"/>
  <c r="G6759" i="5"/>
  <c r="G6733" i="5"/>
  <c r="G6700" i="5"/>
  <c r="G6674" i="5"/>
  <c r="G6647" i="5"/>
  <c r="G6615" i="5"/>
  <c r="G6589" i="5"/>
  <c r="G6556" i="5"/>
  <c r="G6530" i="5"/>
  <c r="G6503" i="5"/>
  <c r="G6471" i="5"/>
  <c r="G6445" i="5"/>
  <c r="G6412" i="5"/>
  <c r="G6386" i="5"/>
  <c r="G6359" i="5"/>
  <c r="G6329" i="5"/>
  <c r="G6312" i="5"/>
  <c r="G6290" i="5"/>
  <c r="G6268" i="5"/>
  <c r="G6251" i="5"/>
  <c r="G6229" i="5"/>
  <c r="G6207" i="5"/>
  <c r="G6185" i="5"/>
  <c r="G6168" i="5"/>
  <c r="G6146" i="5"/>
  <c r="G6124" i="5"/>
  <c r="G6107" i="5"/>
  <c r="G6085" i="5"/>
  <c r="G6063" i="5"/>
  <c r="G6041" i="5"/>
  <c r="G6024" i="5"/>
  <c r="G6002" i="5"/>
  <c r="G5980" i="5"/>
  <c r="G5964" i="5"/>
  <c r="G5944" i="5"/>
  <c r="G5929" i="5"/>
  <c r="G5914" i="5"/>
  <c r="G5896" i="5"/>
  <c r="G5881" i="5"/>
  <c r="G5867" i="5"/>
  <c r="G5852" i="5"/>
  <c r="G5837" i="5"/>
  <c r="G5823" i="5"/>
  <c r="G5809" i="5"/>
  <c r="G5795" i="5"/>
  <c r="G5780" i="5"/>
  <c r="G5766" i="5"/>
  <c r="G5753" i="5"/>
  <c r="G5740" i="5"/>
  <c r="G5727" i="5"/>
  <c r="G5714" i="5"/>
  <c r="G5701" i="5"/>
  <c r="G5688" i="5"/>
  <c r="G5675" i="5"/>
  <c r="G5662" i="5"/>
  <c r="G5648" i="5"/>
  <c r="G5635" i="5"/>
  <c r="G5622" i="5"/>
  <c r="G5609" i="5"/>
  <c r="G5596" i="5"/>
  <c r="G5583" i="5"/>
  <c r="G5570" i="5"/>
  <c r="G5557" i="5"/>
  <c r="G5544" i="5"/>
  <c r="G5531" i="5"/>
  <c r="G5518" i="5"/>
  <c r="G5504" i="5"/>
  <c r="G5492" i="5"/>
  <c r="G5480" i="5"/>
  <c r="G5468" i="5"/>
  <c r="G5456" i="5"/>
  <c r="G5444" i="5"/>
  <c r="G5432" i="5"/>
  <c r="G5420" i="5"/>
  <c r="G5408" i="5"/>
  <c r="G5396" i="5"/>
  <c r="G5384" i="5"/>
  <c r="G5372" i="5"/>
  <c r="G5360" i="5"/>
  <c r="G5348" i="5"/>
  <c r="G5336" i="5"/>
  <c r="G5324" i="5"/>
  <c r="G5312" i="5"/>
  <c r="G5300" i="5"/>
  <c r="G5288" i="5"/>
  <c r="G5276" i="5"/>
  <c r="G5264" i="5"/>
  <c r="G5252" i="5"/>
  <c r="G5240" i="5"/>
  <c r="G5228" i="5"/>
  <c r="G5216" i="5"/>
  <c r="G5204" i="5"/>
  <c r="G5192" i="5"/>
  <c r="G5180" i="5"/>
  <c r="G5168" i="5"/>
  <c r="G5156" i="5"/>
  <c r="G5144" i="5"/>
  <c r="G5132" i="5"/>
  <c r="G5120" i="5"/>
  <c r="G5108" i="5"/>
  <c r="G5096" i="5"/>
  <c r="G5084" i="5"/>
  <c r="G5072" i="5"/>
  <c r="G5060" i="5"/>
  <c r="G5048" i="5"/>
  <c r="G5036" i="5"/>
  <c r="G5024" i="5"/>
  <c r="G5012" i="5"/>
  <c r="G5000" i="5"/>
  <c r="G4988" i="5"/>
  <c r="G4976" i="5"/>
  <c r="G4964" i="5"/>
  <c r="G4952" i="5"/>
  <c r="G4940" i="5"/>
  <c r="G4928" i="5"/>
  <c r="G4916" i="5"/>
  <c r="G4904" i="5"/>
  <c r="G4892" i="5"/>
  <c r="G4880" i="5"/>
  <c r="G4868" i="5"/>
  <c r="G4856" i="5"/>
  <c r="G4844" i="5"/>
  <c r="G4832" i="5"/>
  <c r="G4820" i="5"/>
  <c r="G4808" i="5"/>
  <c r="G4796" i="5"/>
  <c r="G4784" i="5"/>
  <c r="G4772" i="5"/>
  <c r="G4760" i="5"/>
  <c r="G8678" i="5"/>
  <c r="G8486" i="5"/>
  <c r="G8332" i="5"/>
  <c r="G8128" i="5"/>
  <c r="G7973" i="5"/>
  <c r="G7814" i="5"/>
  <c r="G7663" i="5"/>
  <c r="G7612" i="5"/>
  <c r="G7544" i="5"/>
  <c r="G7493" i="5"/>
  <c r="G7439" i="5"/>
  <c r="G7384" i="5"/>
  <c r="G7338" i="5"/>
  <c r="G7280" i="5"/>
  <c r="G7239" i="5"/>
  <c r="G7192" i="5"/>
  <c r="G7135" i="5"/>
  <c r="G7091" i="5"/>
  <c r="G7036" i="5"/>
  <c r="G6991" i="5"/>
  <c r="G6959" i="5"/>
  <c r="G6927" i="5"/>
  <c r="G6901" i="5"/>
  <c r="G6868" i="5"/>
  <c r="G6842" i="5"/>
  <c r="G6815" i="5"/>
  <c r="G6783" i="5"/>
  <c r="G6757" i="5"/>
  <c r="G6724" i="5"/>
  <c r="G6698" i="5"/>
  <c r="G6671" i="5"/>
  <c r="G6639" i="5"/>
  <c r="G6613" i="5"/>
  <c r="G6580" i="5"/>
  <c r="G6554" i="5"/>
  <c r="G6527" i="5"/>
  <c r="G6495" i="5"/>
  <c r="G6469" i="5"/>
  <c r="G6436" i="5"/>
  <c r="G6410" i="5"/>
  <c r="G6383" i="5"/>
  <c r="G6351" i="5"/>
  <c r="G6327" i="5"/>
  <c r="G6305" i="5"/>
  <c r="G6288" i="5"/>
  <c r="G6266" i="5"/>
  <c r="G6244" i="5"/>
  <c r="G6227" i="5"/>
  <c r="G6205" i="5"/>
  <c r="G6183" i="5"/>
  <c r="G6161" i="5"/>
  <c r="G6144" i="5"/>
  <c r="G6122" i="5"/>
  <c r="G6100" i="5"/>
  <c r="G6083" i="5"/>
  <c r="G6061" i="5"/>
  <c r="G6039" i="5"/>
  <c r="G6017" i="5"/>
  <c r="G6000" i="5"/>
  <c r="G5978" i="5"/>
  <c r="G5959" i="5"/>
  <c r="G5942" i="5"/>
  <c r="G5927" i="5"/>
  <c r="G5909" i="5"/>
  <c r="G5894" i="5"/>
  <c r="G5879" i="5"/>
  <c r="G5864" i="5"/>
  <c r="G5849" i="5"/>
  <c r="G5835" i="5"/>
  <c r="G5821" i="5"/>
  <c r="G5807" i="5"/>
  <c r="G5792" i="5"/>
  <c r="G5777" i="5"/>
  <c r="G5764" i="5"/>
  <c r="G5751" i="5"/>
  <c r="G5738" i="5"/>
  <c r="G5725" i="5"/>
  <c r="G5712" i="5"/>
  <c r="G5699" i="5"/>
  <c r="G5686" i="5"/>
  <c r="G5672" i="5"/>
  <c r="G5659" i="5"/>
  <c r="G5646" i="5"/>
  <c r="G5633" i="5"/>
  <c r="G5620" i="5"/>
  <c r="G5607" i="5"/>
  <c r="G5594" i="5"/>
  <c r="G5581" i="5"/>
  <c r="G5568" i="5"/>
  <c r="G5555" i="5"/>
  <c r="G5542" i="5"/>
  <c r="G5528" i="5"/>
  <c r="G5515" i="5"/>
  <c r="G5502" i="5"/>
  <c r="G5490" i="5"/>
  <c r="G5478" i="5"/>
  <c r="G5466" i="5"/>
  <c r="G5454" i="5"/>
  <c r="G5442" i="5"/>
  <c r="G5430" i="5"/>
  <c r="G5418" i="5"/>
  <c r="G5406" i="5"/>
  <c r="G5394" i="5"/>
  <c r="G5382" i="5"/>
  <c r="G5370" i="5"/>
  <c r="G5358" i="5"/>
  <c r="G5346" i="5"/>
  <c r="G5334" i="5"/>
  <c r="G5322" i="5"/>
  <c r="G5310" i="5"/>
  <c r="G5298" i="5"/>
  <c r="G5286" i="5"/>
  <c r="G5274" i="5"/>
  <c r="G5262" i="5"/>
  <c r="G5250" i="5"/>
  <c r="G5238" i="5"/>
  <c r="G5226" i="5"/>
  <c r="G5214" i="5"/>
  <c r="G5202" i="5"/>
  <c r="G5190" i="5"/>
  <c r="G5178" i="5"/>
  <c r="G5166" i="5"/>
  <c r="G5154" i="5"/>
  <c r="G5142" i="5"/>
  <c r="G5130" i="5"/>
  <c r="G5118" i="5"/>
  <c r="G5106" i="5"/>
  <c r="G5094" i="5"/>
  <c r="G5082" i="5"/>
  <c r="G5070" i="5"/>
  <c r="G5058" i="5"/>
  <c r="G5046" i="5"/>
  <c r="G5034" i="5"/>
  <c r="G5022" i="5"/>
  <c r="G5010" i="5"/>
  <c r="G4998" i="5"/>
  <c r="G4986" i="5"/>
  <c r="G4974" i="5"/>
  <c r="G4962" i="5"/>
  <c r="G8632" i="5"/>
  <c r="G8477" i="5"/>
  <c r="G8318" i="5"/>
  <c r="G8126" i="5"/>
  <c r="G7972" i="5"/>
  <c r="G7768" i="5"/>
  <c r="G7661" i="5"/>
  <c r="G7607" i="5"/>
  <c r="G7543" i="5"/>
  <c r="G7492" i="5"/>
  <c r="G7424" i="5"/>
  <c r="G7383" i="5"/>
  <c r="G7336" i="5"/>
  <c r="G7279" i="5"/>
  <c r="G7235" i="5"/>
  <c r="G7180" i="5"/>
  <c r="G7134" i="5"/>
  <c r="G7087" i="5"/>
  <c r="G7035" i="5"/>
  <c r="G6990" i="5"/>
  <c r="G6952" i="5"/>
  <c r="G6926" i="5"/>
  <c r="G6899" i="5"/>
  <c r="G6867" i="5"/>
  <c r="G6841" i="5"/>
  <c r="G6808" i="5"/>
  <c r="G6782" i="5"/>
  <c r="G6755" i="5"/>
  <c r="G6723" i="5"/>
  <c r="G6697" i="5"/>
  <c r="G6664" i="5"/>
  <c r="G6638" i="5"/>
  <c r="G6611" i="5"/>
  <c r="G6579" i="5"/>
  <c r="G6553" i="5"/>
  <c r="G6520" i="5"/>
  <c r="G6494" i="5"/>
  <c r="G6467" i="5"/>
  <c r="G6435" i="5"/>
  <c r="G6409" i="5"/>
  <c r="G6376" i="5"/>
  <c r="G6350" i="5"/>
  <c r="G6326" i="5"/>
  <c r="G6304" i="5"/>
  <c r="G6287" i="5"/>
  <c r="G6265" i="5"/>
  <c r="G6243" i="5"/>
  <c r="G6221" i="5"/>
  <c r="G6204" i="5"/>
  <c r="G6182" i="5"/>
  <c r="G6160" i="5"/>
  <c r="G6143" i="5"/>
  <c r="G6121" i="5"/>
  <c r="G6099" i="5"/>
  <c r="G6077" i="5"/>
  <c r="G6060" i="5"/>
  <c r="G6038" i="5"/>
  <c r="G6016" i="5"/>
  <c r="G5999" i="5"/>
  <c r="G5977" i="5"/>
  <c r="G5957" i="5"/>
  <c r="G5941" i="5"/>
  <c r="G5926" i="5"/>
  <c r="G5908" i="5"/>
  <c r="G5893" i="5"/>
  <c r="G5878" i="5"/>
  <c r="G5863" i="5"/>
  <c r="G5848" i="5"/>
  <c r="G5834" i="5"/>
  <c r="G5820" i="5"/>
  <c r="G5806" i="5"/>
  <c r="G5791" i="5"/>
  <c r="G5776" i="5"/>
  <c r="G5763" i="5"/>
  <c r="G5750" i="5"/>
  <c r="G5737" i="5"/>
  <c r="G5724" i="5"/>
  <c r="G8488" i="5"/>
  <c r="G7982" i="5"/>
  <c r="G7613" i="5"/>
  <c r="G7444" i="5"/>
  <c r="G7292" i="5"/>
  <c r="G7136" i="5"/>
  <c r="G6992" i="5"/>
  <c r="G6902" i="5"/>
  <c r="G6817" i="5"/>
  <c r="G6731" i="5"/>
  <c r="G6640" i="5"/>
  <c r="G6555" i="5"/>
  <c r="G6470" i="5"/>
  <c r="G6385" i="5"/>
  <c r="G6311" i="5"/>
  <c r="G6245" i="5"/>
  <c r="G6184" i="5"/>
  <c r="G6123" i="5"/>
  <c r="G6062" i="5"/>
  <c r="G6001" i="5"/>
  <c r="G5943" i="5"/>
  <c r="G5895" i="5"/>
  <c r="G5851" i="5"/>
  <c r="G5808" i="5"/>
  <c r="G5765" i="5"/>
  <c r="G5726" i="5"/>
  <c r="G5690" i="5"/>
  <c r="G5660" i="5"/>
  <c r="G5631" i="5"/>
  <c r="G5597" i="5"/>
  <c r="G5567" i="5"/>
  <c r="G5533" i="5"/>
  <c r="G5503" i="5"/>
  <c r="G5476" i="5"/>
  <c r="G5445" i="5"/>
  <c r="G5417" i="5"/>
  <c r="G5386" i="5"/>
  <c r="G5359" i="5"/>
  <c r="G5332" i="5"/>
  <c r="G5301" i="5"/>
  <c r="G5273" i="5"/>
  <c r="G5242" i="5"/>
  <c r="G5215" i="5"/>
  <c r="G5188" i="5"/>
  <c r="G5157" i="5"/>
  <c r="G5129" i="5"/>
  <c r="G5098" i="5"/>
  <c r="G5071" i="5"/>
  <c r="G5044" i="5"/>
  <c r="G5013" i="5"/>
  <c r="G4985" i="5"/>
  <c r="G4954" i="5"/>
  <c r="G4936" i="5"/>
  <c r="G4914" i="5"/>
  <c r="G4893" i="5"/>
  <c r="G4871" i="5"/>
  <c r="G4853" i="5"/>
  <c r="G4831" i="5"/>
  <c r="G4810" i="5"/>
  <c r="G4792" i="5"/>
  <c r="G4770" i="5"/>
  <c r="G4750" i="5"/>
  <c r="G4735" i="5"/>
  <c r="G4720" i="5"/>
  <c r="G4702" i="5"/>
  <c r="G4687" i="5"/>
  <c r="G4672" i="5"/>
  <c r="G4654" i="5"/>
  <c r="G4639" i="5"/>
  <c r="G4624" i="5"/>
  <c r="G4606" i="5"/>
  <c r="G4592" i="5"/>
  <c r="G4578" i="5"/>
  <c r="G4566" i="5"/>
  <c r="G4554" i="5"/>
  <c r="G4542" i="5"/>
  <c r="G4530" i="5"/>
  <c r="G4518" i="5"/>
  <c r="G4506" i="5"/>
  <c r="G4494" i="5"/>
  <c r="G4482" i="5"/>
  <c r="G4470" i="5"/>
  <c r="G4458" i="5"/>
  <c r="G4446" i="5"/>
  <c r="G4434" i="5"/>
  <c r="G4422" i="5"/>
  <c r="G4410" i="5"/>
  <c r="G4398" i="5"/>
  <c r="G4386" i="5"/>
  <c r="G4374" i="5"/>
  <c r="G4362" i="5"/>
  <c r="G4350" i="5"/>
  <c r="G4338" i="5"/>
  <c r="G4326" i="5"/>
  <c r="G4314" i="5"/>
  <c r="G4302" i="5"/>
  <c r="G4290" i="5"/>
  <c r="G4278" i="5"/>
  <c r="G4266" i="5"/>
  <c r="G4254" i="5"/>
  <c r="G4242" i="5"/>
  <c r="G4230" i="5"/>
  <c r="G4218" i="5"/>
  <c r="G4206" i="5"/>
  <c r="G4194" i="5"/>
  <c r="G4182" i="5"/>
  <c r="G4170" i="5"/>
  <c r="G4158" i="5"/>
  <c r="G4146" i="5"/>
  <c r="G4134" i="5"/>
  <c r="G4122" i="5"/>
  <c r="G4110" i="5"/>
  <c r="G4098" i="5"/>
  <c r="G4086" i="5"/>
  <c r="G4074" i="5"/>
  <c r="G4062" i="5"/>
  <c r="G4050" i="5"/>
  <c r="G4038" i="5"/>
  <c r="G4026" i="5"/>
  <c r="G4014" i="5"/>
  <c r="G4002" i="5"/>
  <c r="G3990" i="5"/>
  <c r="G3978" i="5"/>
  <c r="G3966" i="5"/>
  <c r="G3954" i="5"/>
  <c r="G3942" i="5"/>
  <c r="G3930" i="5"/>
  <c r="G3918" i="5"/>
  <c r="G3906" i="5"/>
  <c r="G3894" i="5"/>
  <c r="G3882" i="5"/>
  <c r="G3870" i="5"/>
  <c r="G3858" i="5"/>
  <c r="G3846" i="5"/>
  <c r="G3834" i="5"/>
  <c r="G3822" i="5"/>
  <c r="G3810" i="5"/>
  <c r="G3798" i="5"/>
  <c r="G3786" i="5"/>
  <c r="G3774" i="5"/>
  <c r="G3762" i="5"/>
  <c r="G3750" i="5"/>
  <c r="G3738" i="5"/>
  <c r="G3726" i="5"/>
  <c r="G3714" i="5"/>
  <c r="G3702" i="5"/>
  <c r="G3690" i="5"/>
  <c r="G3678" i="5"/>
  <c r="G3666" i="5"/>
  <c r="G3654" i="5"/>
  <c r="G3642" i="5"/>
  <c r="G3630" i="5"/>
  <c r="G3618" i="5"/>
  <c r="G3606" i="5"/>
  <c r="G3594" i="5"/>
  <c r="G3582" i="5"/>
  <c r="G8476" i="5"/>
  <c r="G7958" i="5"/>
  <c r="G7592" i="5"/>
  <c r="G7423" i="5"/>
  <c r="G7278" i="5"/>
  <c r="G7133" i="5"/>
  <c r="G6988" i="5"/>
  <c r="G6892" i="5"/>
  <c r="G6807" i="5"/>
  <c r="G6722" i="5"/>
  <c r="G6637" i="5"/>
  <c r="G6551" i="5"/>
  <c r="G6460" i="5"/>
  <c r="G6375" i="5"/>
  <c r="G6303" i="5"/>
  <c r="G6242" i="5"/>
  <c r="G6181" i="5"/>
  <c r="G6120" i="5"/>
  <c r="G6059" i="5"/>
  <c r="G5993" i="5"/>
  <c r="G5940" i="5"/>
  <c r="G5892" i="5"/>
  <c r="G5847" i="5"/>
  <c r="G5804" i="5"/>
  <c r="G5762" i="5"/>
  <c r="G5723" i="5"/>
  <c r="G5689" i="5"/>
  <c r="G5658" i="5"/>
  <c r="G5624" i="5"/>
  <c r="G5595" i="5"/>
  <c r="G5566" i="5"/>
  <c r="G5532" i="5"/>
  <c r="G5501" i="5"/>
  <c r="G5470" i="5"/>
  <c r="G5443" i="5"/>
  <c r="G5416" i="5"/>
  <c r="G5385" i="5"/>
  <c r="G5357" i="5"/>
  <c r="G5326" i="5"/>
  <c r="G5299" i="5"/>
  <c r="G5272" i="5"/>
  <c r="G5241" i="5"/>
  <c r="G5213" i="5"/>
  <c r="G5182" i="5"/>
  <c r="G5155" i="5"/>
  <c r="G5128" i="5"/>
  <c r="G5097" i="5"/>
  <c r="G5069" i="5"/>
  <c r="G5038" i="5"/>
  <c r="G5011" i="5"/>
  <c r="G4984" i="5"/>
  <c r="G4953" i="5"/>
  <c r="G4931" i="5"/>
  <c r="G4913" i="5"/>
  <c r="G4891" i="5"/>
  <c r="G4870" i="5"/>
  <c r="G4852" i="5"/>
  <c r="G4830" i="5"/>
  <c r="G4809" i="5"/>
  <c r="G4787" i="5"/>
  <c r="G4769" i="5"/>
  <c r="G4749" i="5"/>
  <c r="G4734" i="5"/>
  <c r="G4719" i="5"/>
  <c r="G4701" i="5"/>
  <c r="G4686" i="5"/>
  <c r="G4671" i="5"/>
  <c r="G4653" i="5"/>
  <c r="G4638" i="5"/>
  <c r="G4623" i="5"/>
  <c r="G4605" i="5"/>
  <c r="G4591" i="5"/>
  <c r="G4577" i="5"/>
  <c r="G4565" i="5"/>
  <c r="G4553" i="5"/>
  <c r="G4541" i="5"/>
  <c r="G4529" i="5"/>
  <c r="G4517" i="5"/>
  <c r="G4505" i="5"/>
  <c r="G4493" i="5"/>
  <c r="G4481" i="5"/>
  <c r="G4469" i="5"/>
  <c r="G4457" i="5"/>
  <c r="G4445" i="5"/>
  <c r="G4433" i="5"/>
  <c r="G4421" i="5"/>
  <c r="G4409" i="5"/>
  <c r="G4397" i="5"/>
  <c r="G4385" i="5"/>
  <c r="G4373" i="5"/>
  <c r="G4361" i="5"/>
  <c r="G4349" i="5"/>
  <c r="G4337" i="5"/>
  <c r="G4325" i="5"/>
  <c r="G4313" i="5"/>
  <c r="G4301" i="5"/>
  <c r="G4289" i="5"/>
  <c r="G4277" i="5"/>
  <c r="G4265" i="5"/>
  <c r="G4253" i="5"/>
  <c r="G4241" i="5"/>
  <c r="G4229" i="5"/>
  <c r="G4217" i="5"/>
  <c r="G4205" i="5"/>
  <c r="G4193" i="5"/>
  <c r="G4181" i="5"/>
  <c r="G4169" i="5"/>
  <c r="G4157" i="5"/>
  <c r="G4145" i="5"/>
  <c r="G4133" i="5"/>
  <c r="G4121" i="5"/>
  <c r="G4109" i="5"/>
  <c r="G4097" i="5"/>
  <c r="G4085" i="5"/>
  <c r="G4073" i="5"/>
  <c r="G4061" i="5"/>
  <c r="G4049" i="5"/>
  <c r="G4037" i="5"/>
  <c r="G4025" i="5"/>
  <c r="G4013" i="5"/>
  <c r="G4001" i="5"/>
  <c r="G3989" i="5"/>
  <c r="G3977" i="5"/>
  <c r="G3965" i="5"/>
  <c r="G3953" i="5"/>
  <c r="G3941" i="5"/>
  <c r="G3929" i="5"/>
  <c r="G3917" i="5"/>
  <c r="G3905" i="5"/>
  <c r="G3893" i="5"/>
  <c r="G3881" i="5"/>
  <c r="G3869" i="5"/>
  <c r="G3857" i="5"/>
  <c r="G3845" i="5"/>
  <c r="G3833" i="5"/>
  <c r="G3821" i="5"/>
  <c r="G3809" i="5"/>
  <c r="G3797" i="5"/>
  <c r="G3785" i="5"/>
  <c r="G3773" i="5"/>
  <c r="G3761" i="5"/>
  <c r="G3749" i="5"/>
  <c r="G3737" i="5"/>
  <c r="G3725" i="5"/>
  <c r="G3713" i="5"/>
  <c r="G3701" i="5"/>
  <c r="G3689" i="5"/>
  <c r="G3677" i="5"/>
  <c r="G3665" i="5"/>
  <c r="G3653" i="5"/>
  <c r="G3641" i="5"/>
  <c r="G3629" i="5"/>
  <c r="G3617" i="5"/>
  <c r="G3605" i="5"/>
  <c r="G3593" i="5"/>
  <c r="G3581" i="5"/>
  <c r="G3569" i="5"/>
  <c r="G3557" i="5"/>
  <c r="G3545" i="5"/>
  <c r="G3533" i="5"/>
  <c r="G3521" i="5"/>
  <c r="G3509" i="5"/>
  <c r="G3497" i="5"/>
  <c r="G3485" i="5"/>
  <c r="G3473" i="5"/>
  <c r="G3461" i="5"/>
  <c r="G3449" i="5"/>
  <c r="G3437" i="5"/>
  <c r="G3425" i="5"/>
  <c r="G3413" i="5"/>
  <c r="G3401" i="5"/>
  <c r="G3389" i="5"/>
  <c r="G3377" i="5"/>
  <c r="G3365" i="5"/>
  <c r="G3353" i="5"/>
  <c r="G3341" i="5"/>
  <c r="G3329" i="5"/>
  <c r="G3317" i="5"/>
  <c r="G3305" i="5"/>
  <c r="G3293" i="5"/>
  <c r="G3281" i="5"/>
  <c r="G3269" i="5"/>
  <c r="G3257" i="5"/>
  <c r="G3245" i="5"/>
  <c r="G3233" i="5"/>
  <c r="G3221" i="5"/>
  <c r="G3209" i="5"/>
  <c r="G3197" i="5"/>
  <c r="G3185" i="5"/>
  <c r="G3173" i="5"/>
  <c r="G3161" i="5"/>
  <c r="G3149" i="5"/>
  <c r="G3137" i="5"/>
  <c r="G3125" i="5"/>
  <c r="G3113" i="5"/>
  <c r="G3101" i="5"/>
  <c r="G3089" i="5"/>
  <c r="G8390" i="5"/>
  <c r="G7840" i="5"/>
  <c r="G7567" i="5"/>
  <c r="G7400" i="5"/>
  <c r="G7255" i="5"/>
  <c r="G7109" i="5"/>
  <c r="G6964" i="5"/>
  <c r="G6879" i="5"/>
  <c r="G6794" i="5"/>
  <c r="G6709" i="5"/>
  <c r="G6623" i="5"/>
  <c r="G6532" i="5"/>
  <c r="G6447" i="5"/>
  <c r="G6362" i="5"/>
  <c r="G6292" i="5"/>
  <c r="G6231" i="5"/>
  <c r="G6170" i="5"/>
  <c r="G6109" i="5"/>
  <c r="G6048" i="5"/>
  <c r="G5987" i="5"/>
  <c r="G5931" i="5"/>
  <c r="G5883" i="5"/>
  <c r="G5840" i="5"/>
  <c r="G5797" i="5"/>
  <c r="G5755" i="5"/>
  <c r="G5716" i="5"/>
  <c r="G5687" i="5"/>
  <c r="G5657" i="5"/>
  <c r="G5623" i="5"/>
  <c r="G5593" i="5"/>
  <c r="G5559" i="5"/>
  <c r="G5530" i="5"/>
  <c r="G5500" i="5"/>
  <c r="G5469" i="5"/>
  <c r="G5441" i="5"/>
  <c r="G5410" i="5"/>
  <c r="G5383" i="5"/>
  <c r="G5356" i="5"/>
  <c r="G5325" i="5"/>
  <c r="G5297" i="5"/>
  <c r="G5266" i="5"/>
  <c r="G5239" i="5"/>
  <c r="G5212" i="5"/>
  <c r="G5181" i="5"/>
  <c r="G5153" i="5"/>
  <c r="G5122" i="5"/>
  <c r="G5095" i="5"/>
  <c r="G5068" i="5"/>
  <c r="G5037" i="5"/>
  <c r="G5009" i="5"/>
  <c r="G4978" i="5"/>
  <c r="G4951" i="5"/>
  <c r="G4930" i="5"/>
  <c r="G4912" i="5"/>
  <c r="G4890" i="5"/>
  <c r="G4869" i="5"/>
  <c r="G4847" i="5"/>
  <c r="G4829" i="5"/>
  <c r="G4807" i="5"/>
  <c r="G4786" i="5"/>
  <c r="G4768" i="5"/>
  <c r="G4748" i="5"/>
  <c r="G4733" i="5"/>
  <c r="G4715" i="5"/>
  <c r="G4700" i="5"/>
  <c r="G4685" i="5"/>
  <c r="G4667" i="5"/>
  <c r="G4652" i="5"/>
  <c r="G4637" i="5"/>
  <c r="G4619" i="5"/>
  <c r="G4604" i="5"/>
  <c r="G4590" i="5"/>
  <c r="G4576" i="5"/>
  <c r="G4564" i="5"/>
  <c r="G4552" i="5"/>
  <c r="G4540" i="5"/>
  <c r="G4528" i="5"/>
  <c r="G4516" i="5"/>
  <c r="G4504" i="5"/>
  <c r="G4492" i="5"/>
  <c r="G4480" i="5"/>
  <c r="G4468" i="5"/>
  <c r="G4456" i="5"/>
  <c r="G4444" i="5"/>
  <c r="G4432" i="5"/>
  <c r="G4420" i="5"/>
  <c r="G4408" i="5"/>
  <c r="G4396" i="5"/>
  <c r="G4384" i="5"/>
  <c r="G4372" i="5"/>
  <c r="G4360" i="5"/>
  <c r="G4348" i="5"/>
  <c r="G4336" i="5"/>
  <c r="G4324" i="5"/>
  <c r="G4312" i="5"/>
  <c r="G4300" i="5"/>
  <c r="G4288" i="5"/>
  <c r="G4276" i="5"/>
  <c r="G4264" i="5"/>
  <c r="G4252" i="5"/>
  <c r="G4240" i="5"/>
  <c r="G4228" i="5"/>
  <c r="G4216" i="5"/>
  <c r="G4204" i="5"/>
  <c r="G4192" i="5"/>
  <c r="G4180" i="5"/>
  <c r="G4168" i="5"/>
  <c r="G4156" i="5"/>
  <c r="G4144" i="5"/>
  <c r="G4132" i="5"/>
  <c r="G4120" i="5"/>
  <c r="G4108" i="5"/>
  <c r="G4096" i="5"/>
  <c r="G4084" i="5"/>
  <c r="G4072" i="5"/>
  <c r="G4060" i="5"/>
  <c r="G4048" i="5"/>
  <c r="G4036" i="5"/>
  <c r="G4024" i="5"/>
  <c r="G4012" i="5"/>
  <c r="G4000" i="5"/>
  <c r="G3988" i="5"/>
  <c r="G3976" i="5"/>
  <c r="G3964" i="5"/>
  <c r="G3952" i="5"/>
  <c r="G3940" i="5"/>
  <c r="G3928" i="5"/>
  <c r="G3916" i="5"/>
  <c r="G3904" i="5"/>
  <c r="G3892" i="5"/>
  <c r="G3880" i="5"/>
  <c r="G3868" i="5"/>
  <c r="G3856" i="5"/>
  <c r="G3844" i="5"/>
  <c r="G3832" i="5"/>
  <c r="G3820" i="5"/>
  <c r="G3808" i="5"/>
  <c r="G3796" i="5"/>
  <c r="G3784" i="5"/>
  <c r="G3772" i="5"/>
  <c r="G3760" i="5"/>
  <c r="G3748" i="5"/>
  <c r="G3736" i="5"/>
  <c r="G3724" i="5"/>
  <c r="G3712" i="5"/>
  <c r="G3700" i="5"/>
  <c r="G3688" i="5"/>
  <c r="G3676" i="5"/>
  <c r="G3664" i="5"/>
  <c r="G3652" i="5"/>
  <c r="G3640" i="5"/>
  <c r="G3628" i="5"/>
  <c r="G3616" i="5"/>
  <c r="G3604" i="5"/>
  <c r="G3592" i="5"/>
  <c r="G3580" i="5"/>
  <c r="G3568" i="5"/>
  <c r="G3556" i="5"/>
  <c r="G3544" i="5"/>
  <c r="G3532" i="5"/>
  <c r="G3520" i="5"/>
  <c r="G3508" i="5"/>
  <c r="G3496" i="5"/>
  <c r="G3484" i="5"/>
  <c r="G3472" i="5"/>
  <c r="G3460" i="5"/>
  <c r="G3448" i="5"/>
  <c r="G3436" i="5"/>
  <c r="G3424" i="5"/>
  <c r="G3412" i="5"/>
  <c r="G8344" i="5"/>
  <c r="G7838" i="5"/>
  <c r="G7565" i="5"/>
  <c r="G7399" i="5"/>
  <c r="G7253" i="5"/>
  <c r="G7097" i="5"/>
  <c r="G6963" i="5"/>
  <c r="G6878" i="5"/>
  <c r="G6793" i="5"/>
  <c r="G6707" i="5"/>
  <c r="G6616" i="5"/>
  <c r="G6531" i="5"/>
  <c r="G6446" i="5"/>
  <c r="G6361" i="5"/>
  <c r="G6291" i="5"/>
  <c r="G6230" i="5"/>
  <c r="G6169" i="5"/>
  <c r="G6108" i="5"/>
  <c r="G6047" i="5"/>
  <c r="G5981" i="5"/>
  <c r="G5930" i="5"/>
  <c r="G5882" i="5"/>
  <c r="G5839" i="5"/>
  <c r="G5796" i="5"/>
  <c r="G5754" i="5"/>
  <c r="G5715" i="5"/>
  <c r="G5684" i="5"/>
  <c r="G5651" i="5"/>
  <c r="G5621" i="5"/>
  <c r="G5592" i="5"/>
  <c r="G5558" i="5"/>
  <c r="G5527" i="5"/>
  <c r="G5494" i="5"/>
  <c r="G5467" i="5"/>
  <c r="G5440" i="5"/>
  <c r="G5409" i="5"/>
  <c r="G5381" i="5"/>
  <c r="G5350" i="5"/>
  <c r="G5323" i="5"/>
  <c r="G5296" i="5"/>
  <c r="G5265" i="5"/>
  <c r="G5237" i="5"/>
  <c r="G5206" i="5"/>
  <c r="G5179" i="5"/>
  <c r="G5152" i="5"/>
  <c r="G5121" i="5"/>
  <c r="G5093" i="5"/>
  <c r="G5062" i="5"/>
  <c r="G5035" i="5"/>
  <c r="G5008" i="5"/>
  <c r="G4977" i="5"/>
  <c r="G4950" i="5"/>
  <c r="G4929" i="5"/>
  <c r="G4907" i="5"/>
  <c r="G4889" i="5"/>
  <c r="G4867" i="5"/>
  <c r="G4846" i="5"/>
  <c r="G4828" i="5"/>
  <c r="G4806" i="5"/>
  <c r="G4785" i="5"/>
  <c r="G4763" i="5"/>
  <c r="G4747" i="5"/>
  <c r="G4732" i="5"/>
  <c r="G4714" i="5"/>
  <c r="G4699" i="5"/>
  <c r="G4684" i="5"/>
  <c r="G4666" i="5"/>
  <c r="G4651" i="5"/>
  <c r="G4636" i="5"/>
  <c r="G4618" i="5"/>
  <c r="G4603" i="5"/>
  <c r="G4589" i="5"/>
  <c r="G4575" i="5"/>
  <c r="G4563" i="5"/>
  <c r="G4551" i="5"/>
  <c r="G4539" i="5"/>
  <c r="G4527" i="5"/>
  <c r="G4515" i="5"/>
  <c r="G4503" i="5"/>
  <c r="G4491" i="5"/>
  <c r="G4479" i="5"/>
  <c r="G4467" i="5"/>
  <c r="G4455" i="5"/>
  <c r="G4443" i="5"/>
  <c r="G4431" i="5"/>
  <c r="G4419" i="5"/>
  <c r="G4407" i="5"/>
  <c r="G4395" i="5"/>
  <c r="G4383" i="5"/>
  <c r="G4371" i="5"/>
  <c r="G4359" i="5"/>
  <c r="G4347" i="5"/>
  <c r="G4335" i="5"/>
  <c r="G4323" i="5"/>
  <c r="G4311" i="5"/>
  <c r="G4299" i="5"/>
  <c r="G4287" i="5"/>
  <c r="G4275" i="5"/>
  <c r="G4263" i="5"/>
  <c r="G4251" i="5"/>
  <c r="G4239" i="5"/>
  <c r="G4227" i="5"/>
  <c r="G4215" i="5"/>
  <c r="G4203" i="5"/>
  <c r="G4191" i="5"/>
  <c r="G4179" i="5"/>
  <c r="G4167" i="5"/>
  <c r="G4155" i="5"/>
  <c r="G4143" i="5"/>
  <c r="G4131" i="5"/>
  <c r="G4119" i="5"/>
  <c r="G4107" i="5"/>
  <c r="G4095" i="5"/>
  <c r="G4083" i="5"/>
  <c r="G4071" i="5"/>
  <c r="G4059" i="5"/>
  <c r="G4047" i="5"/>
  <c r="G4035" i="5"/>
  <c r="G4023" i="5"/>
  <c r="G4011" i="5"/>
  <c r="G3999" i="5"/>
  <c r="G3987" i="5"/>
  <c r="G3975" i="5"/>
  <c r="G3963" i="5"/>
  <c r="G3951" i="5"/>
  <c r="G3939" i="5"/>
  <c r="G3927" i="5"/>
  <c r="G3915" i="5"/>
  <c r="G3903" i="5"/>
  <c r="G3891" i="5"/>
  <c r="G3879" i="5"/>
  <c r="G3867" i="5"/>
  <c r="G3855" i="5"/>
  <c r="G3843" i="5"/>
  <c r="G3831" i="5"/>
  <c r="G3819" i="5"/>
  <c r="G3807" i="5"/>
  <c r="G3795" i="5"/>
  <c r="G3783" i="5"/>
  <c r="G3771" i="5"/>
  <c r="G3759" i="5"/>
  <c r="G3747" i="5"/>
  <c r="G3735" i="5"/>
  <c r="G3723" i="5"/>
  <c r="G3711" i="5"/>
  <c r="G3699" i="5"/>
  <c r="G3687" i="5"/>
  <c r="G3675" i="5"/>
  <c r="G3663" i="5"/>
  <c r="G3651" i="5"/>
  <c r="G3639" i="5"/>
  <c r="G3627" i="5"/>
  <c r="G3615" i="5"/>
  <c r="G3603" i="5"/>
  <c r="G3591" i="5"/>
  <c r="G3579" i="5"/>
  <c r="G3567" i="5"/>
  <c r="G3555" i="5"/>
  <c r="G3543" i="5"/>
  <c r="G3531" i="5"/>
  <c r="G3519" i="5"/>
  <c r="G3507" i="5"/>
  <c r="G3495" i="5"/>
  <c r="G3483" i="5"/>
  <c r="G8333" i="5"/>
  <c r="G7828" i="5"/>
  <c r="G7559" i="5"/>
  <c r="G7385" i="5"/>
  <c r="G7240" i="5"/>
  <c r="G7095" i="5"/>
  <c r="G6961" i="5"/>
  <c r="G6875" i="5"/>
  <c r="G6784" i="5"/>
  <c r="G6699" i="5"/>
  <c r="G6614" i="5"/>
  <c r="G6529" i="5"/>
  <c r="G6443" i="5"/>
  <c r="G6352" i="5"/>
  <c r="G6289" i="5"/>
  <c r="G6228" i="5"/>
  <c r="G6167" i="5"/>
  <c r="G6101" i="5"/>
  <c r="G6040" i="5"/>
  <c r="G5979" i="5"/>
  <c r="G5928" i="5"/>
  <c r="G5880" i="5"/>
  <c r="G5836" i="5"/>
  <c r="G5794" i="5"/>
  <c r="G5752" i="5"/>
  <c r="G5713" i="5"/>
  <c r="G5683" i="5"/>
  <c r="G5650" i="5"/>
  <c r="G5619" i="5"/>
  <c r="G5585" i="5"/>
  <c r="G5556" i="5"/>
  <c r="G5526" i="5"/>
  <c r="G5493" i="5"/>
  <c r="G5465" i="5"/>
  <c r="G5434" i="5"/>
  <c r="G5407" i="5"/>
  <c r="G5380" i="5"/>
  <c r="G5349" i="5"/>
  <c r="G5321" i="5"/>
  <c r="G5290" i="5"/>
  <c r="G5263" i="5"/>
  <c r="G5236" i="5"/>
  <c r="G5205" i="5"/>
  <c r="G5177" i="5"/>
  <c r="G5146" i="5"/>
  <c r="G5119" i="5"/>
  <c r="G5092" i="5"/>
  <c r="G5061" i="5"/>
  <c r="G5033" i="5"/>
  <c r="G5002" i="5"/>
  <c r="G4975" i="5"/>
  <c r="G4949" i="5"/>
  <c r="G4927" i="5"/>
  <c r="G4906" i="5"/>
  <c r="G4888" i="5"/>
  <c r="G4866" i="5"/>
  <c r="G4845" i="5"/>
  <c r="G4823" i="5"/>
  <c r="G4805" i="5"/>
  <c r="G4783" i="5"/>
  <c r="G4762" i="5"/>
  <c r="G4746" i="5"/>
  <c r="G4731" i="5"/>
  <c r="G4713" i="5"/>
  <c r="G4698" i="5"/>
  <c r="G4683" i="5"/>
  <c r="G4665" i="5"/>
  <c r="G4650" i="5"/>
  <c r="G4635" i="5"/>
  <c r="G4617" i="5"/>
  <c r="G4602" i="5"/>
  <c r="G4588" i="5"/>
  <c r="G4574" i="5"/>
  <c r="G4562" i="5"/>
  <c r="G4550" i="5"/>
  <c r="G4538" i="5"/>
  <c r="G4526" i="5"/>
  <c r="G4514" i="5"/>
  <c r="G4502" i="5"/>
  <c r="G4490" i="5"/>
  <c r="G4478" i="5"/>
  <c r="G4466" i="5"/>
  <c r="G4454" i="5"/>
  <c r="G4442" i="5"/>
  <c r="G4430" i="5"/>
  <c r="G4418" i="5"/>
  <c r="G4406" i="5"/>
  <c r="G4394" i="5"/>
  <c r="G4382" i="5"/>
  <c r="G4370" i="5"/>
  <c r="G4358" i="5"/>
  <c r="G4346" i="5"/>
  <c r="G4334" i="5"/>
  <c r="G4322" i="5"/>
  <c r="G4310" i="5"/>
  <c r="G4298" i="5"/>
  <c r="G4286" i="5"/>
  <c r="G4274" i="5"/>
  <c r="G4262" i="5"/>
  <c r="G4250" i="5"/>
  <c r="G4238" i="5"/>
  <c r="G4226" i="5"/>
  <c r="G4214" i="5"/>
  <c r="G4202" i="5"/>
  <c r="G4190" i="5"/>
  <c r="G4178" i="5"/>
  <c r="G4166" i="5"/>
  <c r="G4154" i="5"/>
  <c r="G4142" i="5"/>
  <c r="G4130" i="5"/>
  <c r="G4118" i="5"/>
  <c r="G4106" i="5"/>
  <c r="G4094" i="5"/>
  <c r="G4082" i="5"/>
  <c r="G4070" i="5"/>
  <c r="G4058" i="5"/>
  <c r="G4046" i="5"/>
  <c r="G4034" i="5"/>
  <c r="G4022" i="5"/>
  <c r="G4010" i="5"/>
  <c r="G3998" i="5"/>
  <c r="G3986" i="5"/>
  <c r="G3974" i="5"/>
  <c r="G3962" i="5"/>
  <c r="G3950" i="5"/>
  <c r="G3938" i="5"/>
  <c r="G3926" i="5"/>
  <c r="G3914" i="5"/>
  <c r="G3902" i="5"/>
  <c r="G3890" i="5"/>
  <c r="G3878" i="5"/>
  <c r="G3866" i="5"/>
  <c r="G3854" i="5"/>
  <c r="G3842" i="5"/>
  <c r="G3830" i="5"/>
  <c r="G3818" i="5"/>
  <c r="G3806" i="5"/>
  <c r="G3794" i="5"/>
  <c r="G3782" i="5"/>
  <c r="G3770" i="5"/>
  <c r="G3758" i="5"/>
  <c r="G3746" i="5"/>
  <c r="G3734" i="5"/>
  <c r="G3722" i="5"/>
  <c r="G3710" i="5"/>
  <c r="G3698" i="5"/>
  <c r="G3686" i="5"/>
  <c r="G3674" i="5"/>
  <c r="G3662" i="5"/>
  <c r="G3650" i="5"/>
  <c r="G3638" i="5"/>
  <c r="G3626" i="5"/>
  <c r="G3614" i="5"/>
  <c r="G3602" i="5"/>
  <c r="G3590" i="5"/>
  <c r="G3578" i="5"/>
  <c r="G3566" i="5"/>
  <c r="G3554" i="5"/>
  <c r="G3542" i="5"/>
  <c r="G3530" i="5"/>
  <c r="G3518" i="5"/>
  <c r="G3506" i="5"/>
  <c r="G3494" i="5"/>
  <c r="G3482" i="5"/>
  <c r="G3470" i="5"/>
  <c r="G3458" i="5"/>
  <c r="G3446" i="5"/>
  <c r="G3434" i="5"/>
  <c r="G3422" i="5"/>
  <c r="G3410" i="5"/>
  <c r="G3398" i="5"/>
  <c r="G3386" i="5"/>
  <c r="G3374" i="5"/>
  <c r="G3362" i="5"/>
  <c r="G3350" i="5"/>
  <c r="G3338" i="5"/>
  <c r="G3326" i="5"/>
  <c r="G3314" i="5"/>
  <c r="G3302" i="5"/>
  <c r="G3290" i="5"/>
  <c r="G3278" i="5"/>
  <c r="G3266" i="5"/>
  <c r="G3254" i="5"/>
  <c r="G3242" i="5"/>
  <c r="G3230" i="5"/>
  <c r="G3218" i="5"/>
  <c r="G3206" i="5"/>
  <c r="G3194" i="5"/>
  <c r="G3182" i="5"/>
  <c r="G3170" i="5"/>
  <c r="G3158" i="5"/>
  <c r="G3146" i="5"/>
  <c r="G3134" i="5"/>
  <c r="G3122" i="5"/>
  <c r="G3110" i="5"/>
  <c r="G3098" i="5"/>
  <c r="G8272" i="5"/>
  <c r="G7766" i="5"/>
  <c r="G7541" i="5"/>
  <c r="G7379" i="5"/>
  <c r="G7231" i="5"/>
  <c r="G7075" i="5"/>
  <c r="G6951" i="5"/>
  <c r="G6866" i="5"/>
  <c r="G6781" i="5"/>
  <c r="G6695" i="5"/>
  <c r="G6604" i="5"/>
  <c r="G6519" i="5"/>
  <c r="G6434" i="5"/>
  <c r="G6349" i="5"/>
  <c r="G6281" i="5"/>
  <c r="G6220" i="5"/>
  <c r="G6159" i="5"/>
  <c r="G6098" i="5"/>
  <c r="G6037" i="5"/>
  <c r="G5976" i="5"/>
  <c r="G5923" i="5"/>
  <c r="G5876" i="5"/>
  <c r="G5833" i="5"/>
  <c r="G5789" i="5"/>
  <c r="G5749" i="5"/>
  <c r="G5711" i="5"/>
  <c r="G5677" i="5"/>
  <c r="G5647" i="5"/>
  <c r="G5618" i="5"/>
  <c r="G5584" i="5"/>
  <c r="G5554" i="5"/>
  <c r="G5520" i="5"/>
  <c r="G5491" i="5"/>
  <c r="G5464" i="5"/>
  <c r="G5433" i="5"/>
  <c r="G5405" i="5"/>
  <c r="G5374" i="5"/>
  <c r="G5347" i="5"/>
  <c r="G5320" i="5"/>
  <c r="G5289" i="5"/>
  <c r="G5261" i="5"/>
  <c r="G5230" i="5"/>
  <c r="G5203" i="5"/>
  <c r="G5176" i="5"/>
  <c r="G5145" i="5"/>
  <c r="G5117" i="5"/>
  <c r="G5086" i="5"/>
  <c r="G5059" i="5"/>
  <c r="G5032" i="5"/>
  <c r="G5001" i="5"/>
  <c r="G4973" i="5"/>
  <c r="G4948" i="5"/>
  <c r="G4926" i="5"/>
  <c r="G4905" i="5"/>
  <c r="G4883" i="5"/>
  <c r="G4865" i="5"/>
  <c r="G4843" i="5"/>
  <c r="G4822" i="5"/>
  <c r="G4804" i="5"/>
  <c r="G4782" i="5"/>
  <c r="G4761" i="5"/>
  <c r="G4745" i="5"/>
  <c r="G4727" i="5"/>
  <c r="G4712" i="5"/>
  <c r="G4697" i="5"/>
  <c r="G4679" i="5"/>
  <c r="G4664" i="5"/>
  <c r="G4649" i="5"/>
  <c r="G4631" i="5"/>
  <c r="G4616" i="5"/>
  <c r="G4601" i="5"/>
  <c r="G4587" i="5"/>
  <c r="G4573" i="5"/>
  <c r="G4561" i="5"/>
  <c r="G4549" i="5"/>
  <c r="G4537" i="5"/>
  <c r="G4525" i="5"/>
  <c r="G4513" i="5"/>
  <c r="G4501" i="5"/>
  <c r="G4489" i="5"/>
  <c r="G4477" i="5"/>
  <c r="G4465" i="5"/>
  <c r="G4453" i="5"/>
  <c r="G4441" i="5"/>
  <c r="G4429" i="5"/>
  <c r="G4417" i="5"/>
  <c r="G4405" i="5"/>
  <c r="G4393" i="5"/>
  <c r="G4381" i="5"/>
  <c r="G4369" i="5"/>
  <c r="G4357" i="5"/>
  <c r="G4345" i="5"/>
  <c r="G4333" i="5"/>
  <c r="G4321" i="5"/>
  <c r="G4309" i="5"/>
  <c r="G4297" i="5"/>
  <c r="G4285" i="5"/>
  <c r="G4273" i="5"/>
  <c r="G4261" i="5"/>
  <c r="G4249" i="5"/>
  <c r="G4237" i="5"/>
  <c r="G4225" i="5"/>
  <c r="G4213" i="5"/>
  <c r="G4201" i="5"/>
  <c r="G4189" i="5"/>
  <c r="G4177" i="5"/>
  <c r="G4165" i="5"/>
  <c r="G4153" i="5"/>
  <c r="G4141" i="5"/>
  <c r="G4129" i="5"/>
  <c r="G4117" i="5"/>
  <c r="G4105" i="5"/>
  <c r="G4093" i="5"/>
  <c r="G4081" i="5"/>
  <c r="G4069" i="5"/>
  <c r="G4057" i="5"/>
  <c r="G4045" i="5"/>
  <c r="G4033" i="5"/>
  <c r="G4021" i="5"/>
  <c r="G4009" i="5"/>
  <c r="G3997" i="5"/>
  <c r="G3985" i="5"/>
  <c r="G3973" i="5"/>
  <c r="G3961" i="5"/>
  <c r="G3949" i="5"/>
  <c r="G3937" i="5"/>
  <c r="G3925" i="5"/>
  <c r="G3913" i="5"/>
  <c r="G3901" i="5"/>
  <c r="G3889" i="5"/>
  <c r="G3877" i="5"/>
  <c r="G3865" i="5"/>
  <c r="G3853" i="5"/>
  <c r="G3841" i="5"/>
  <c r="G3829" i="5"/>
  <c r="G3817" i="5"/>
  <c r="G3805" i="5"/>
  <c r="G3793" i="5"/>
  <c r="G3781" i="5"/>
  <c r="G3769" i="5"/>
  <c r="G3757" i="5"/>
  <c r="G3745" i="5"/>
  <c r="G3733" i="5"/>
  <c r="G3721" i="5"/>
  <c r="G3709" i="5"/>
  <c r="G3697" i="5"/>
  <c r="G3685" i="5"/>
  <c r="G3673" i="5"/>
  <c r="G3661" i="5"/>
  <c r="G3649" i="5"/>
  <c r="G3637" i="5"/>
  <c r="G3625" i="5"/>
  <c r="G3613" i="5"/>
  <c r="G3601" i="5"/>
  <c r="G3589" i="5"/>
  <c r="G8692" i="5"/>
  <c r="G8174" i="5"/>
  <c r="G7664" i="5"/>
  <c r="G7495" i="5"/>
  <c r="G7339" i="5"/>
  <c r="G7194" i="5"/>
  <c r="G7048" i="5"/>
  <c r="G6928" i="5"/>
  <c r="G6843" i="5"/>
  <c r="G6758" i="5"/>
  <c r="G6673" i="5"/>
  <c r="G6587" i="5"/>
  <c r="G6496" i="5"/>
  <c r="G6411" i="5"/>
  <c r="G6328" i="5"/>
  <c r="G6267" i="5"/>
  <c r="G6206" i="5"/>
  <c r="G6145" i="5"/>
  <c r="G6084" i="5"/>
  <c r="G6023" i="5"/>
  <c r="G5963" i="5"/>
  <c r="G5911" i="5"/>
  <c r="G5866" i="5"/>
  <c r="G5822" i="5"/>
  <c r="G5779" i="5"/>
  <c r="G5739" i="5"/>
  <c r="G5702" i="5"/>
  <c r="G5671" i="5"/>
  <c r="G5638" i="5"/>
  <c r="G5608" i="5"/>
  <c r="G5579" i="5"/>
  <c r="G5545" i="5"/>
  <c r="G5514" i="5"/>
  <c r="G5482" i="5"/>
  <c r="G5455" i="5"/>
  <c r="G5428" i="5"/>
  <c r="G5397" i="5"/>
  <c r="G5369" i="5"/>
  <c r="G5338" i="5"/>
  <c r="G5311" i="5"/>
  <c r="G5284" i="5"/>
  <c r="G5253" i="5"/>
  <c r="G5225" i="5"/>
  <c r="G5194" i="5"/>
  <c r="G5167" i="5"/>
  <c r="G5140" i="5"/>
  <c r="G5109" i="5"/>
  <c r="G5081" i="5"/>
  <c r="G5050" i="5"/>
  <c r="G5023" i="5"/>
  <c r="G4996" i="5"/>
  <c r="G4965" i="5"/>
  <c r="G4941" i="5"/>
  <c r="G4919" i="5"/>
  <c r="G4901" i="5"/>
  <c r="G4879" i="5"/>
  <c r="G4858" i="5"/>
  <c r="G4840" i="5"/>
  <c r="G4818" i="5"/>
  <c r="G4797" i="5"/>
  <c r="G4775" i="5"/>
  <c r="G4757" i="5"/>
  <c r="G4739" i="5"/>
  <c r="G4724" i="5"/>
  <c r="G4709" i="5"/>
  <c r="G4691" i="5"/>
  <c r="G4676" i="5"/>
  <c r="G4661" i="5"/>
  <c r="G4643" i="5"/>
  <c r="G4628" i="5"/>
  <c r="G4613" i="5"/>
  <c r="G4598" i="5"/>
  <c r="G4582" i="5"/>
  <c r="G4570" i="5"/>
  <c r="G4558" i="5"/>
  <c r="G4546" i="5"/>
  <c r="G4534" i="5"/>
  <c r="G4522" i="5"/>
  <c r="G4510" i="5"/>
  <c r="G4498" i="5"/>
  <c r="G4486" i="5"/>
  <c r="G4474" i="5"/>
  <c r="G4462" i="5"/>
  <c r="G4450" i="5"/>
  <c r="G4438" i="5"/>
  <c r="G4426" i="5"/>
  <c r="G4414" i="5"/>
  <c r="G4402" i="5"/>
  <c r="G4390" i="5"/>
  <c r="G4378" i="5"/>
  <c r="G4366" i="5"/>
  <c r="G4354" i="5"/>
  <c r="G4342" i="5"/>
  <c r="G4330" i="5"/>
  <c r="G4318" i="5"/>
  <c r="G4306" i="5"/>
  <c r="G4294" i="5"/>
  <c r="G4282" i="5"/>
  <c r="G4270" i="5"/>
  <c r="G4258" i="5"/>
  <c r="G4246" i="5"/>
  <c r="G4234" i="5"/>
  <c r="G4222" i="5"/>
  <c r="G4210" i="5"/>
  <c r="G4198" i="5"/>
  <c r="G4186" i="5"/>
  <c r="G4174" i="5"/>
  <c r="G4162" i="5"/>
  <c r="G4150" i="5"/>
  <c r="G4138" i="5"/>
  <c r="G4126" i="5"/>
  <c r="G4114" i="5"/>
  <c r="G4102" i="5"/>
  <c r="G4090" i="5"/>
  <c r="G4078" i="5"/>
  <c r="G4066" i="5"/>
  <c r="G4054" i="5"/>
  <c r="G4042" i="5"/>
  <c r="G4030" i="5"/>
  <c r="G4018" i="5"/>
  <c r="G4006" i="5"/>
  <c r="G3994" i="5"/>
  <c r="G3982" i="5"/>
  <c r="G3970" i="5"/>
  <c r="G3958" i="5"/>
  <c r="G3946" i="5"/>
  <c r="G3934" i="5"/>
  <c r="G3922" i="5"/>
  <c r="G3910" i="5"/>
  <c r="G3898" i="5"/>
  <c r="G3886" i="5"/>
  <c r="G3874" i="5"/>
  <c r="G3862" i="5"/>
  <c r="G3850" i="5"/>
  <c r="G3838" i="5"/>
  <c r="G3826" i="5"/>
  <c r="G3814" i="5"/>
  <c r="G3802" i="5"/>
  <c r="G3790" i="5"/>
  <c r="G3778" i="5"/>
  <c r="G3766" i="5"/>
  <c r="G3754" i="5"/>
  <c r="G3742" i="5"/>
  <c r="G3730" i="5"/>
  <c r="G3718" i="5"/>
  <c r="G3706" i="5"/>
  <c r="G3694" i="5"/>
  <c r="G3682" i="5"/>
  <c r="G3670" i="5"/>
  <c r="G3658" i="5"/>
  <c r="G3646" i="5"/>
  <c r="G8549" i="5"/>
  <c r="G8044" i="5"/>
  <c r="G7631" i="5"/>
  <c r="G7448" i="5"/>
  <c r="G7301" i="5"/>
  <c r="G7156" i="5"/>
  <c r="G7011" i="5"/>
  <c r="G6911" i="5"/>
  <c r="G6820" i="5"/>
  <c r="G6735" i="5"/>
  <c r="G6650" i="5"/>
  <c r="G6565" i="5"/>
  <c r="G6479" i="5"/>
  <c r="G6388" i="5"/>
  <c r="G6314" i="5"/>
  <c r="G6253" i="5"/>
  <c r="G6192" i="5"/>
  <c r="G6131" i="5"/>
  <c r="G6065" i="5"/>
  <c r="G6004" i="5"/>
  <c r="G5947" i="5"/>
  <c r="G5899" i="5"/>
  <c r="G5855" i="5"/>
  <c r="G5811" i="5"/>
  <c r="G5768" i="5"/>
  <c r="G5729" i="5"/>
  <c r="G5698" i="5"/>
  <c r="G5664" i="5"/>
  <c r="G5634" i="5"/>
  <c r="G5605" i="5"/>
  <c r="G5571" i="5"/>
  <c r="G5540" i="5"/>
  <c r="G5507" i="5"/>
  <c r="G5479" i="5"/>
  <c r="G5452" i="5"/>
  <c r="G5421" i="5"/>
  <c r="G5393" i="5"/>
  <c r="G5362" i="5"/>
  <c r="G5335" i="5"/>
  <c r="G5308" i="5"/>
  <c r="G5277" i="5"/>
  <c r="G5249" i="5"/>
  <c r="G5218" i="5"/>
  <c r="G5191" i="5"/>
  <c r="G5164" i="5"/>
  <c r="G5133" i="5"/>
  <c r="G5105" i="5"/>
  <c r="G5074" i="5"/>
  <c r="G5047" i="5"/>
  <c r="G5020" i="5"/>
  <c r="G4989" i="5"/>
  <c r="G4961" i="5"/>
  <c r="G4938" i="5"/>
  <c r="G4917" i="5"/>
  <c r="G4895" i="5"/>
  <c r="G4877" i="5"/>
  <c r="G4855" i="5"/>
  <c r="G4834" i="5"/>
  <c r="G4816" i="5"/>
  <c r="G4794" i="5"/>
  <c r="G4773" i="5"/>
  <c r="G4755" i="5"/>
  <c r="G4737" i="5"/>
  <c r="G4722" i="5"/>
  <c r="G4707" i="5"/>
  <c r="G4689" i="5"/>
  <c r="G4674" i="5"/>
  <c r="G4659" i="5"/>
  <c r="G4641" i="5"/>
  <c r="G4626" i="5"/>
  <c r="G4611" i="5"/>
  <c r="G4594" i="5"/>
  <c r="G4580" i="5"/>
  <c r="G4568" i="5"/>
  <c r="G4556" i="5"/>
  <c r="G4544" i="5"/>
  <c r="G4532" i="5"/>
  <c r="G4520" i="5"/>
  <c r="G4508" i="5"/>
  <c r="G4496" i="5"/>
  <c r="G4484" i="5"/>
  <c r="G4472" i="5"/>
  <c r="G4460" i="5"/>
  <c r="G4448" i="5"/>
  <c r="G4436" i="5"/>
  <c r="G4424" i="5"/>
  <c r="G4412" i="5"/>
  <c r="G4400" i="5"/>
  <c r="G4388" i="5"/>
  <c r="G4376" i="5"/>
  <c r="G4364" i="5"/>
  <c r="G4352" i="5"/>
  <c r="G4340" i="5"/>
  <c r="G4328" i="5"/>
  <c r="G4316" i="5"/>
  <c r="G4304" i="5"/>
  <c r="G4292" i="5"/>
  <c r="G4280" i="5"/>
  <c r="G4268" i="5"/>
  <c r="G4256" i="5"/>
  <c r="G4244" i="5"/>
  <c r="G4232" i="5"/>
  <c r="G4220" i="5"/>
  <c r="G4208" i="5"/>
  <c r="G4196" i="5"/>
  <c r="G4184" i="5"/>
  <c r="G4172" i="5"/>
  <c r="G4160" i="5"/>
  <c r="G4148" i="5"/>
  <c r="G4136" i="5"/>
  <c r="G4124" i="5"/>
  <c r="G4112" i="5"/>
  <c r="G4100" i="5"/>
  <c r="G4088" i="5"/>
  <c r="G4076" i="5"/>
  <c r="G8117" i="5"/>
  <c r="G7324" i="5"/>
  <c r="G6925" i="5"/>
  <c r="G6663" i="5"/>
  <c r="G6407" i="5"/>
  <c r="G6203" i="5"/>
  <c r="G6015" i="5"/>
  <c r="G5861" i="5"/>
  <c r="G5736" i="5"/>
  <c r="G5636" i="5"/>
  <c r="G5543" i="5"/>
  <c r="G5453" i="5"/>
  <c r="G5368" i="5"/>
  <c r="G5278" i="5"/>
  <c r="G5193" i="5"/>
  <c r="G5107" i="5"/>
  <c r="G5021" i="5"/>
  <c r="G4939" i="5"/>
  <c r="G4878" i="5"/>
  <c r="G4817" i="5"/>
  <c r="G4756" i="5"/>
  <c r="G4708" i="5"/>
  <c r="G4660" i="5"/>
  <c r="G4612" i="5"/>
  <c r="G4569" i="5"/>
  <c r="G4533" i="5"/>
  <c r="G4497" i="5"/>
  <c r="G4461" i="5"/>
  <c r="G4425" i="5"/>
  <c r="G4389" i="5"/>
  <c r="G4353" i="5"/>
  <c r="G4317" i="5"/>
  <c r="G4281" i="5"/>
  <c r="G4245" i="5"/>
  <c r="G4209" i="5"/>
  <c r="G4173" i="5"/>
  <c r="G4137" i="5"/>
  <c r="G4101" i="5"/>
  <c r="G4065" i="5"/>
  <c r="G4039" i="5"/>
  <c r="G4007" i="5"/>
  <c r="G3980" i="5"/>
  <c r="G3948" i="5"/>
  <c r="G3921" i="5"/>
  <c r="G3895" i="5"/>
  <c r="G3863" i="5"/>
  <c r="G3836" i="5"/>
  <c r="G3804" i="5"/>
  <c r="G3777" i="5"/>
  <c r="G3751" i="5"/>
  <c r="G3719" i="5"/>
  <c r="G3692" i="5"/>
  <c r="G3660" i="5"/>
  <c r="G3634" i="5"/>
  <c r="G3610" i="5"/>
  <c r="G3586" i="5"/>
  <c r="G3565" i="5"/>
  <c r="G3549" i="5"/>
  <c r="G3529" i="5"/>
  <c r="G3513" i="5"/>
  <c r="G3493" i="5"/>
  <c r="G3477" i="5"/>
  <c r="G3462" i="5"/>
  <c r="G3444" i="5"/>
  <c r="G3429" i="5"/>
  <c r="G3414" i="5"/>
  <c r="G3397" i="5"/>
  <c r="G3383" i="5"/>
  <c r="G3369" i="5"/>
  <c r="G3355" i="5"/>
  <c r="G3340" i="5"/>
  <c r="G3325" i="5"/>
  <c r="G3311" i="5"/>
  <c r="G3297" i="5"/>
  <c r="G3283" i="5"/>
  <c r="G3268" i="5"/>
  <c r="G3253" i="5"/>
  <c r="G3239" i="5"/>
  <c r="G3225" i="5"/>
  <c r="G3211" i="5"/>
  <c r="G3196" i="5"/>
  <c r="G3181" i="5"/>
  <c r="G3167" i="5"/>
  <c r="G3153" i="5"/>
  <c r="G3139" i="5"/>
  <c r="G3124" i="5"/>
  <c r="G3109" i="5"/>
  <c r="G3095" i="5"/>
  <c r="G3082" i="5"/>
  <c r="G3070" i="5"/>
  <c r="G3058" i="5"/>
  <c r="G3046" i="5"/>
  <c r="G3034" i="5"/>
  <c r="G3022" i="5"/>
  <c r="G3010" i="5"/>
  <c r="G2998" i="5"/>
  <c r="G2986" i="5"/>
  <c r="G2974" i="5"/>
  <c r="G2962" i="5"/>
  <c r="G2950" i="5"/>
  <c r="G2938" i="5"/>
  <c r="G2926" i="5"/>
  <c r="G2914" i="5"/>
  <c r="G2902" i="5"/>
  <c r="G2890" i="5"/>
  <c r="G2878" i="5"/>
  <c r="G2866" i="5"/>
  <c r="G2854" i="5"/>
  <c r="G2842" i="5"/>
  <c r="G2830" i="5"/>
  <c r="G2818" i="5"/>
  <c r="G8030" i="5"/>
  <c r="G7300" i="5"/>
  <c r="G6904" i="5"/>
  <c r="G6649" i="5"/>
  <c r="G6387" i="5"/>
  <c r="G6191" i="5"/>
  <c r="G6003" i="5"/>
  <c r="G5854" i="5"/>
  <c r="G5728" i="5"/>
  <c r="G5632" i="5"/>
  <c r="G5539" i="5"/>
  <c r="G5446" i="5"/>
  <c r="G5361" i="5"/>
  <c r="G5275" i="5"/>
  <c r="G5189" i="5"/>
  <c r="G5104" i="5"/>
  <c r="G5014" i="5"/>
  <c r="G4937" i="5"/>
  <c r="G4876" i="5"/>
  <c r="G4811" i="5"/>
  <c r="G4751" i="5"/>
  <c r="G4703" i="5"/>
  <c r="G4655" i="5"/>
  <c r="G4607" i="5"/>
  <c r="G4567" i="5"/>
  <c r="G4531" i="5"/>
  <c r="G4495" i="5"/>
  <c r="G4459" i="5"/>
  <c r="G4423" i="5"/>
  <c r="G4387" i="5"/>
  <c r="G4351" i="5"/>
  <c r="G4315" i="5"/>
  <c r="G4279" i="5"/>
  <c r="G4243" i="5"/>
  <c r="G4207" i="5"/>
  <c r="G4171" i="5"/>
  <c r="G4135" i="5"/>
  <c r="G4099" i="5"/>
  <c r="G4064" i="5"/>
  <c r="G4032" i="5"/>
  <c r="G4005" i="5"/>
  <c r="G3979" i="5"/>
  <c r="G3947" i="5"/>
  <c r="G3920" i="5"/>
  <c r="G3888" i="5"/>
  <c r="G3861" i="5"/>
  <c r="G3835" i="5"/>
  <c r="G3803" i="5"/>
  <c r="G3776" i="5"/>
  <c r="G3744" i="5"/>
  <c r="G3717" i="5"/>
  <c r="G3691" i="5"/>
  <c r="G3659" i="5"/>
  <c r="G3633" i="5"/>
  <c r="G3609" i="5"/>
  <c r="G3585" i="5"/>
  <c r="G3564" i="5"/>
  <c r="G3548" i="5"/>
  <c r="G3528" i="5"/>
  <c r="G3512" i="5"/>
  <c r="G3492" i="5"/>
  <c r="G3476" i="5"/>
  <c r="G3459" i="5"/>
  <c r="G3443" i="5"/>
  <c r="G3428" i="5"/>
  <c r="G3411" i="5"/>
  <c r="G3396" i="5"/>
  <c r="G3382" i="5"/>
  <c r="G3368" i="5"/>
  <c r="G3354" i="5"/>
  <c r="G3339" i="5"/>
  <c r="G3324" i="5"/>
  <c r="G3310" i="5"/>
  <c r="G3296" i="5"/>
  <c r="G3282" i="5"/>
  <c r="G3267" i="5"/>
  <c r="G3252" i="5"/>
  <c r="G3238" i="5"/>
  <c r="G3224" i="5"/>
  <c r="G3210" i="5"/>
  <c r="G3195" i="5"/>
  <c r="G3180" i="5"/>
  <c r="G3166" i="5"/>
  <c r="G3152" i="5"/>
  <c r="G3138" i="5"/>
  <c r="G3123" i="5"/>
  <c r="G3108" i="5"/>
  <c r="G3094" i="5"/>
  <c r="G3081" i="5"/>
  <c r="G3069" i="5"/>
  <c r="G3057" i="5"/>
  <c r="G3045" i="5"/>
  <c r="G3033" i="5"/>
  <c r="G3021" i="5"/>
  <c r="G3009" i="5"/>
  <c r="G2997" i="5"/>
  <c r="G2985" i="5"/>
  <c r="G2973" i="5"/>
  <c r="G2961" i="5"/>
  <c r="G2949" i="5"/>
  <c r="G2937" i="5"/>
  <c r="G2925" i="5"/>
  <c r="G2913" i="5"/>
  <c r="G2901" i="5"/>
  <c r="G2889" i="5"/>
  <c r="G2877" i="5"/>
  <c r="G2865" i="5"/>
  <c r="G2853" i="5"/>
  <c r="G2841" i="5"/>
  <c r="G2829" i="5"/>
  <c r="G2817" i="5"/>
  <c r="G2805" i="5"/>
  <c r="G2793" i="5"/>
  <c r="G2781" i="5"/>
  <c r="G2769" i="5"/>
  <c r="G2757" i="5"/>
  <c r="G2745" i="5"/>
  <c r="G2733" i="5"/>
  <c r="G2721" i="5"/>
  <c r="G2709" i="5"/>
  <c r="G2697" i="5"/>
  <c r="G2685" i="5"/>
  <c r="G2673" i="5"/>
  <c r="G2661" i="5"/>
  <c r="G2649" i="5"/>
  <c r="G2637" i="5"/>
  <c r="G2625" i="5"/>
  <c r="G2613" i="5"/>
  <c r="G2601" i="5"/>
  <c r="G2589" i="5"/>
  <c r="G2577" i="5"/>
  <c r="G2565" i="5"/>
  <c r="G2553" i="5"/>
  <c r="G2541" i="5"/>
  <c r="G2529" i="5"/>
  <c r="G2517" i="5"/>
  <c r="G2505" i="5"/>
  <c r="G2493" i="5"/>
  <c r="G2481" i="5"/>
  <c r="G2469" i="5"/>
  <c r="G2457" i="5"/>
  <c r="G2445" i="5"/>
  <c r="G2433" i="5"/>
  <c r="G2421" i="5"/>
  <c r="G2409" i="5"/>
  <c r="G2397" i="5"/>
  <c r="G2385" i="5"/>
  <c r="G2373" i="5"/>
  <c r="G2361" i="5"/>
  <c r="G2349" i="5"/>
  <c r="G2337" i="5"/>
  <c r="G2325" i="5"/>
  <c r="G2313" i="5"/>
  <c r="G2301" i="5"/>
  <c r="G2289" i="5"/>
  <c r="G2277" i="5"/>
  <c r="G2265" i="5"/>
  <c r="G2253" i="5"/>
  <c r="G2241" i="5"/>
  <c r="G2229" i="5"/>
  <c r="G2217" i="5"/>
  <c r="G2205" i="5"/>
  <c r="G2193" i="5"/>
  <c r="G2181" i="5"/>
  <c r="G2169" i="5"/>
  <c r="G2157" i="5"/>
  <c r="G2145" i="5"/>
  <c r="G2133" i="5"/>
  <c r="G2121" i="5"/>
  <c r="G2109" i="5"/>
  <c r="G2097" i="5"/>
  <c r="G2085" i="5"/>
  <c r="G2073" i="5"/>
  <c r="G2061" i="5"/>
  <c r="G2049" i="5"/>
  <c r="G2037" i="5"/>
  <c r="G2025" i="5"/>
  <c r="G2013" i="5"/>
  <c r="G2001" i="5"/>
  <c r="G1989" i="5"/>
  <c r="G1977" i="5"/>
  <c r="G1965" i="5"/>
  <c r="G1953" i="5"/>
  <c r="G1941" i="5"/>
  <c r="G1929" i="5"/>
  <c r="G1917" i="5"/>
  <c r="G1905" i="5"/>
  <c r="G1893" i="5"/>
  <c r="G1881" i="5"/>
  <c r="G1869" i="5"/>
  <c r="G1857" i="5"/>
  <c r="G1845" i="5"/>
  <c r="G1833" i="5"/>
  <c r="G7685" i="5"/>
  <c r="G7199" i="5"/>
  <c r="G6853" i="5"/>
  <c r="G6591" i="5"/>
  <c r="G6337" i="5"/>
  <c r="G6148" i="5"/>
  <c r="G5966" i="5"/>
  <c r="G5825" i="5"/>
  <c r="G5710" i="5"/>
  <c r="G5611" i="5"/>
  <c r="G5519" i="5"/>
  <c r="G5431" i="5"/>
  <c r="G5345" i="5"/>
  <c r="G5260" i="5"/>
  <c r="G5170" i="5"/>
  <c r="G5085" i="5"/>
  <c r="G4999" i="5"/>
  <c r="G4925" i="5"/>
  <c r="G4864" i="5"/>
  <c r="G4799" i="5"/>
  <c r="G4744" i="5"/>
  <c r="G4696" i="5"/>
  <c r="G4648" i="5"/>
  <c r="G4600" i="5"/>
  <c r="G4560" i="5"/>
  <c r="G4524" i="5"/>
  <c r="G4488" i="5"/>
  <c r="G4452" i="5"/>
  <c r="G4416" i="5"/>
  <c r="G4380" i="5"/>
  <c r="G4344" i="5"/>
  <c r="G4308" i="5"/>
  <c r="G4272" i="5"/>
  <c r="G4236" i="5"/>
  <c r="G4200" i="5"/>
  <c r="G4164" i="5"/>
  <c r="G4128" i="5"/>
  <c r="G4092" i="5"/>
  <c r="G4063" i="5"/>
  <c r="G4031" i="5"/>
  <c r="G4004" i="5"/>
  <c r="G3972" i="5"/>
  <c r="G3945" i="5"/>
  <c r="G3919" i="5"/>
  <c r="G3887" i="5"/>
  <c r="G3860" i="5"/>
  <c r="G3828" i="5"/>
  <c r="G3801" i="5"/>
  <c r="G3775" i="5"/>
  <c r="G3743" i="5"/>
  <c r="G3716" i="5"/>
  <c r="G3684" i="5"/>
  <c r="G3657" i="5"/>
  <c r="G3632" i="5"/>
  <c r="G3608" i="5"/>
  <c r="G3584" i="5"/>
  <c r="G3563" i="5"/>
  <c r="G3547" i="5"/>
  <c r="G3527" i="5"/>
  <c r="G3511" i="5"/>
  <c r="G3491" i="5"/>
  <c r="G3475" i="5"/>
  <c r="G3457" i="5"/>
  <c r="G3442" i="5"/>
  <c r="G3427" i="5"/>
  <c r="G3409" i="5"/>
  <c r="G3395" i="5"/>
  <c r="G3381" i="5"/>
  <c r="G3367" i="5"/>
  <c r="G3352" i="5"/>
  <c r="G3337" i="5"/>
  <c r="G3323" i="5"/>
  <c r="G3309" i="5"/>
  <c r="G3295" i="5"/>
  <c r="G3280" i="5"/>
  <c r="G3265" i="5"/>
  <c r="G3251" i="5"/>
  <c r="G3237" i="5"/>
  <c r="G3223" i="5"/>
  <c r="G3208" i="5"/>
  <c r="G3193" i="5"/>
  <c r="G3179" i="5"/>
  <c r="G3165" i="5"/>
  <c r="G3151" i="5"/>
  <c r="G3136" i="5"/>
  <c r="G3121" i="5"/>
  <c r="G3107" i="5"/>
  <c r="G3093" i="5"/>
  <c r="G3080" i="5"/>
  <c r="G3068" i="5"/>
  <c r="G3056" i="5"/>
  <c r="G3044" i="5"/>
  <c r="G3032" i="5"/>
  <c r="G3020" i="5"/>
  <c r="G3008" i="5"/>
  <c r="G2996" i="5"/>
  <c r="G2984" i="5"/>
  <c r="G2972" i="5"/>
  <c r="G2960" i="5"/>
  <c r="G2948" i="5"/>
  <c r="G2936" i="5"/>
  <c r="G2924" i="5"/>
  <c r="G2912" i="5"/>
  <c r="G2900" i="5"/>
  <c r="G2888" i="5"/>
  <c r="G2876" i="5"/>
  <c r="G2864" i="5"/>
  <c r="G2852" i="5"/>
  <c r="G2840" i="5"/>
  <c r="G2828" i="5"/>
  <c r="G2816" i="5"/>
  <c r="G2804" i="5"/>
  <c r="G2792" i="5"/>
  <c r="G2780" i="5"/>
  <c r="G2768" i="5"/>
  <c r="G2756" i="5"/>
  <c r="G2744" i="5"/>
  <c r="G2732" i="5"/>
  <c r="G2720" i="5"/>
  <c r="G2708" i="5"/>
  <c r="G2696" i="5"/>
  <c r="G2684" i="5"/>
  <c r="G2672" i="5"/>
  <c r="G2660" i="5"/>
  <c r="G2648" i="5"/>
  <c r="G2636" i="5"/>
  <c r="G2624" i="5"/>
  <c r="G2612" i="5"/>
  <c r="G2600" i="5"/>
  <c r="G2588" i="5"/>
  <c r="G2576" i="5"/>
  <c r="G2564" i="5"/>
  <c r="G2552" i="5"/>
  <c r="G2540" i="5"/>
  <c r="G2528" i="5"/>
  <c r="G2516" i="5"/>
  <c r="G2504" i="5"/>
  <c r="G2492" i="5"/>
  <c r="G2480" i="5"/>
  <c r="G2468" i="5"/>
  <c r="G2456" i="5"/>
  <c r="G2444" i="5"/>
  <c r="G2432" i="5"/>
  <c r="G2420" i="5"/>
  <c r="G2408" i="5"/>
  <c r="G2396" i="5"/>
  <c r="G2384" i="5"/>
  <c r="G2372" i="5"/>
  <c r="G2360" i="5"/>
  <c r="G2348" i="5"/>
  <c r="G2336" i="5"/>
  <c r="G2324" i="5"/>
  <c r="G2312" i="5"/>
  <c r="G2300" i="5"/>
  <c r="G2288" i="5"/>
  <c r="G2276" i="5"/>
  <c r="G2264" i="5"/>
  <c r="G2252" i="5"/>
  <c r="G2240" i="5"/>
  <c r="G2228" i="5"/>
  <c r="G2216" i="5"/>
  <c r="G2204" i="5"/>
  <c r="G2192" i="5"/>
  <c r="G2180" i="5"/>
  <c r="G2168" i="5"/>
  <c r="G2156" i="5"/>
  <c r="G2144" i="5"/>
  <c r="G2132" i="5"/>
  <c r="G2120" i="5"/>
  <c r="G2108" i="5"/>
  <c r="G2096" i="5"/>
  <c r="G2084" i="5"/>
  <c r="G2072" i="5"/>
  <c r="G2060" i="5"/>
  <c r="G2048" i="5"/>
  <c r="G2036" i="5"/>
  <c r="G2024" i="5"/>
  <c r="G2012" i="5"/>
  <c r="G2000" i="5"/>
  <c r="G1988" i="5"/>
  <c r="G1976" i="5"/>
  <c r="G1964" i="5"/>
  <c r="G1952" i="5"/>
  <c r="G1940" i="5"/>
  <c r="G7684" i="5"/>
  <c r="G7196" i="5"/>
  <c r="G6851" i="5"/>
  <c r="G6590" i="5"/>
  <c r="G6335" i="5"/>
  <c r="G6147" i="5"/>
  <c r="G5965" i="5"/>
  <c r="G5824" i="5"/>
  <c r="G5703" i="5"/>
  <c r="G5610" i="5"/>
  <c r="G5516" i="5"/>
  <c r="G5429" i="5"/>
  <c r="G5344" i="5"/>
  <c r="G5254" i="5"/>
  <c r="G5169" i="5"/>
  <c r="G5083" i="5"/>
  <c r="G4997" i="5"/>
  <c r="G4924" i="5"/>
  <c r="G4859" i="5"/>
  <c r="G4798" i="5"/>
  <c r="G4743" i="5"/>
  <c r="G4695" i="5"/>
  <c r="G4647" i="5"/>
  <c r="G4599" i="5"/>
  <c r="G4559" i="5"/>
  <c r="G4523" i="5"/>
  <c r="G4487" i="5"/>
  <c r="G4451" i="5"/>
  <c r="G4415" i="5"/>
  <c r="G4379" i="5"/>
  <c r="G4343" i="5"/>
  <c r="G4307" i="5"/>
  <c r="G4271" i="5"/>
  <c r="G4235" i="5"/>
  <c r="G4199" i="5"/>
  <c r="G4163" i="5"/>
  <c r="G4127" i="5"/>
  <c r="G4091" i="5"/>
  <c r="G4056" i="5"/>
  <c r="G4029" i="5"/>
  <c r="G4003" i="5"/>
  <c r="G3971" i="5"/>
  <c r="G3944" i="5"/>
  <c r="G3912" i="5"/>
  <c r="G3885" i="5"/>
  <c r="G3859" i="5"/>
  <c r="G3827" i="5"/>
  <c r="G3800" i="5"/>
  <c r="G3768" i="5"/>
  <c r="G3741" i="5"/>
  <c r="G3715" i="5"/>
  <c r="G3683" i="5"/>
  <c r="G3656" i="5"/>
  <c r="G3631" i="5"/>
  <c r="G3607" i="5"/>
  <c r="G3583" i="5"/>
  <c r="G3562" i="5"/>
  <c r="G3546" i="5"/>
  <c r="G3526" i="5"/>
  <c r="G3510" i="5"/>
  <c r="G3490" i="5"/>
  <c r="G3474" i="5"/>
  <c r="G3456" i="5"/>
  <c r="G3441" i="5"/>
  <c r="G3426" i="5"/>
  <c r="G3408" i="5"/>
  <c r="G3394" i="5"/>
  <c r="G3380" i="5"/>
  <c r="G3366" i="5"/>
  <c r="G3351" i="5"/>
  <c r="G3336" i="5"/>
  <c r="G3322" i="5"/>
  <c r="G3308" i="5"/>
  <c r="G3294" i="5"/>
  <c r="G3279" i="5"/>
  <c r="G3264" i="5"/>
  <c r="G3250" i="5"/>
  <c r="G3236" i="5"/>
  <c r="G3222" i="5"/>
  <c r="G3207" i="5"/>
  <c r="G3192" i="5"/>
  <c r="G3178" i="5"/>
  <c r="G3164" i="5"/>
  <c r="G3150" i="5"/>
  <c r="G3135" i="5"/>
  <c r="G3120" i="5"/>
  <c r="G3106" i="5"/>
  <c r="G3092" i="5"/>
  <c r="G3079" i="5"/>
  <c r="G3067" i="5"/>
  <c r="G3055" i="5"/>
  <c r="G3043" i="5"/>
  <c r="G3031" i="5"/>
  <c r="G3019" i="5"/>
  <c r="G3007" i="5"/>
  <c r="G2995" i="5"/>
  <c r="G2983" i="5"/>
  <c r="G2971" i="5"/>
  <c r="G2959" i="5"/>
  <c r="G2947" i="5"/>
  <c r="G2935" i="5"/>
  <c r="G2923" i="5"/>
  <c r="G2911" i="5"/>
  <c r="G2899" i="5"/>
  <c r="G2887" i="5"/>
  <c r="G2875" i="5"/>
  <c r="G2863" i="5"/>
  <c r="G2851" i="5"/>
  <c r="G2839" i="5"/>
  <c r="G2827" i="5"/>
  <c r="G2815" i="5"/>
  <c r="G2803" i="5"/>
  <c r="G2791" i="5"/>
  <c r="G2779" i="5"/>
  <c r="G2767" i="5"/>
  <c r="G2755" i="5"/>
  <c r="G2743" i="5"/>
  <c r="G2731" i="5"/>
  <c r="G2719" i="5"/>
  <c r="G2707" i="5"/>
  <c r="G2695" i="5"/>
  <c r="G2683" i="5"/>
  <c r="G2671" i="5"/>
  <c r="G2659" i="5"/>
  <c r="G2647" i="5"/>
  <c r="G2635" i="5"/>
  <c r="G2623" i="5"/>
  <c r="G2611" i="5"/>
  <c r="G2599" i="5"/>
  <c r="G2587" i="5"/>
  <c r="G2575" i="5"/>
  <c r="G2563" i="5"/>
  <c r="G2551" i="5"/>
  <c r="G2539" i="5"/>
  <c r="G2527" i="5"/>
  <c r="G2515" i="5"/>
  <c r="G2503" i="5"/>
  <c r="G2491" i="5"/>
  <c r="G2479" i="5"/>
  <c r="G2467" i="5"/>
  <c r="G2455" i="5"/>
  <c r="G2443" i="5"/>
  <c r="G2431" i="5"/>
  <c r="G2419" i="5"/>
  <c r="G2407" i="5"/>
  <c r="G2395" i="5"/>
  <c r="G2383" i="5"/>
  <c r="G2371" i="5"/>
  <c r="G2359" i="5"/>
  <c r="G2347" i="5"/>
  <c r="G2335" i="5"/>
  <c r="G2323" i="5"/>
  <c r="G2311" i="5"/>
  <c r="G2299" i="5"/>
  <c r="G2287" i="5"/>
  <c r="G2275" i="5"/>
  <c r="G2263" i="5"/>
  <c r="G7660" i="5"/>
  <c r="G7179" i="5"/>
  <c r="G6839" i="5"/>
  <c r="G6578" i="5"/>
  <c r="G6325" i="5"/>
  <c r="G6137" i="5"/>
  <c r="G5956" i="5"/>
  <c r="G5819" i="5"/>
  <c r="G5700" i="5"/>
  <c r="G5606" i="5"/>
  <c r="G5513" i="5"/>
  <c r="G5422" i="5"/>
  <c r="G5337" i="5"/>
  <c r="G5251" i="5"/>
  <c r="G5165" i="5"/>
  <c r="G5080" i="5"/>
  <c r="G4990" i="5"/>
  <c r="G4918" i="5"/>
  <c r="G4857" i="5"/>
  <c r="G4795" i="5"/>
  <c r="G4738" i="5"/>
  <c r="G4690" i="5"/>
  <c r="G4642" i="5"/>
  <c r="G4595" i="5"/>
  <c r="G4557" i="5"/>
  <c r="G4521" i="5"/>
  <c r="G4485" i="5"/>
  <c r="G4449" i="5"/>
  <c r="G4413" i="5"/>
  <c r="G4377" i="5"/>
  <c r="G4341" i="5"/>
  <c r="G4305" i="5"/>
  <c r="G4269" i="5"/>
  <c r="G4233" i="5"/>
  <c r="G4197" i="5"/>
  <c r="G4161" i="5"/>
  <c r="G4125" i="5"/>
  <c r="G4089" i="5"/>
  <c r="G4055" i="5"/>
  <c r="G4028" i="5"/>
  <c r="G3996" i="5"/>
  <c r="G3969" i="5"/>
  <c r="G3943" i="5"/>
  <c r="G3911" i="5"/>
  <c r="G3884" i="5"/>
  <c r="G3852" i="5"/>
  <c r="G3825" i="5"/>
  <c r="G3799" i="5"/>
  <c r="G3767" i="5"/>
  <c r="G3740" i="5"/>
  <c r="G3708" i="5"/>
  <c r="G3681" i="5"/>
  <c r="G3655" i="5"/>
  <c r="G3624" i="5"/>
  <c r="G3600" i="5"/>
  <c r="G3577" i="5"/>
  <c r="G3561" i="5"/>
  <c r="G3541" i="5"/>
  <c r="G3525" i="5"/>
  <c r="G3505" i="5"/>
  <c r="G3489" i="5"/>
  <c r="G3471" i="5"/>
  <c r="G3455" i="5"/>
  <c r="G3440" i="5"/>
  <c r="G3423" i="5"/>
  <c r="G3407" i="5"/>
  <c r="G3393" i="5"/>
  <c r="G3379" i="5"/>
  <c r="G3364" i="5"/>
  <c r="G3349" i="5"/>
  <c r="G3335" i="5"/>
  <c r="G3321" i="5"/>
  <c r="G3307" i="5"/>
  <c r="G3292" i="5"/>
  <c r="G3277" i="5"/>
  <c r="G3263" i="5"/>
  <c r="G3249" i="5"/>
  <c r="G3235" i="5"/>
  <c r="G3220" i="5"/>
  <c r="G3205" i="5"/>
  <c r="G3191" i="5"/>
  <c r="G3177" i="5"/>
  <c r="G3163" i="5"/>
  <c r="G3148" i="5"/>
  <c r="G3133" i="5"/>
  <c r="G3119" i="5"/>
  <c r="G3105" i="5"/>
  <c r="G3091" i="5"/>
  <c r="G3078" i="5"/>
  <c r="G3066" i="5"/>
  <c r="G3054" i="5"/>
  <c r="G3042" i="5"/>
  <c r="G3030" i="5"/>
  <c r="G3018" i="5"/>
  <c r="G3006" i="5"/>
  <c r="G2994" i="5"/>
  <c r="G2982" i="5"/>
  <c r="G2970" i="5"/>
  <c r="G2958" i="5"/>
  <c r="G2946" i="5"/>
  <c r="G2934" i="5"/>
  <c r="G2922" i="5"/>
  <c r="G2910" i="5"/>
  <c r="G2898" i="5"/>
  <c r="G2886" i="5"/>
  <c r="G2874" i="5"/>
  <c r="G2862" i="5"/>
  <c r="G2850" i="5"/>
  <c r="G2838" i="5"/>
  <c r="G2826" i="5"/>
  <c r="G2814" i="5"/>
  <c r="G2802" i="5"/>
  <c r="G2790" i="5"/>
  <c r="G2778" i="5"/>
  <c r="G2766" i="5"/>
  <c r="G2754" i="5"/>
  <c r="G2742" i="5"/>
  <c r="G2730" i="5"/>
  <c r="G2718" i="5"/>
  <c r="G2706" i="5"/>
  <c r="G2694" i="5"/>
  <c r="G2682" i="5"/>
  <c r="G2670" i="5"/>
  <c r="G2658" i="5"/>
  <c r="G2646" i="5"/>
  <c r="G2634" i="5"/>
  <c r="G2622" i="5"/>
  <c r="G2610" i="5"/>
  <c r="G2598" i="5"/>
  <c r="G2586" i="5"/>
  <c r="G2574" i="5"/>
  <c r="G2562" i="5"/>
  <c r="G2550" i="5"/>
  <c r="G2538" i="5"/>
  <c r="G2526" i="5"/>
  <c r="G2514" i="5"/>
  <c r="G2502" i="5"/>
  <c r="G2490" i="5"/>
  <c r="G2478" i="5"/>
  <c r="G2466" i="5"/>
  <c r="G2454" i="5"/>
  <c r="G2442" i="5"/>
  <c r="G2430" i="5"/>
  <c r="G2418" i="5"/>
  <c r="G2406" i="5"/>
  <c r="G2394" i="5"/>
  <c r="G2382" i="5"/>
  <c r="G2370" i="5"/>
  <c r="G2358" i="5"/>
  <c r="G2346" i="5"/>
  <c r="G2334" i="5"/>
  <c r="G2322" i="5"/>
  <c r="G2310" i="5"/>
  <c r="G2298" i="5"/>
  <c r="G2286" i="5"/>
  <c r="G2274" i="5"/>
  <c r="G2262" i="5"/>
  <c r="G2250" i="5"/>
  <c r="G2238" i="5"/>
  <c r="G2226" i="5"/>
  <c r="G2214" i="5"/>
  <c r="G2202" i="5"/>
  <c r="G2190" i="5"/>
  <c r="G2178" i="5"/>
  <c r="G2166" i="5"/>
  <c r="G2154" i="5"/>
  <c r="G2142" i="5"/>
  <c r="G2130" i="5"/>
  <c r="G2118" i="5"/>
  <c r="G2106" i="5"/>
  <c r="G2094" i="5"/>
  <c r="G2082" i="5"/>
  <c r="G2070" i="5"/>
  <c r="G2058" i="5"/>
  <c r="G7616" i="5"/>
  <c r="G7155" i="5"/>
  <c r="G6819" i="5"/>
  <c r="G6563" i="5"/>
  <c r="G6313" i="5"/>
  <c r="G6125" i="5"/>
  <c r="G5945" i="5"/>
  <c r="G5810" i="5"/>
  <c r="G5696" i="5"/>
  <c r="G5598" i="5"/>
  <c r="G5506" i="5"/>
  <c r="G5419" i="5"/>
  <c r="G5333" i="5"/>
  <c r="G5248" i="5"/>
  <c r="G5158" i="5"/>
  <c r="G5073" i="5"/>
  <c r="G4987" i="5"/>
  <c r="G4915" i="5"/>
  <c r="G4854" i="5"/>
  <c r="G4793" i="5"/>
  <c r="G4736" i="5"/>
  <c r="G4688" i="5"/>
  <c r="G4640" i="5"/>
  <c r="G4593" i="5"/>
  <c r="G4555" i="5"/>
  <c r="G4519" i="5"/>
  <c r="G4483" i="5"/>
  <c r="G4447" i="5"/>
  <c r="G4411" i="5"/>
  <c r="G4375" i="5"/>
  <c r="G4339" i="5"/>
  <c r="G4303" i="5"/>
  <c r="G4267" i="5"/>
  <c r="G4231" i="5"/>
  <c r="G4195" i="5"/>
  <c r="G4159" i="5"/>
  <c r="G4123" i="5"/>
  <c r="G4087" i="5"/>
  <c r="G4053" i="5"/>
  <c r="G4027" i="5"/>
  <c r="G3995" i="5"/>
  <c r="G3968" i="5"/>
  <c r="G3936" i="5"/>
  <c r="G3909" i="5"/>
  <c r="G3883" i="5"/>
  <c r="G3851" i="5"/>
  <c r="G3824" i="5"/>
  <c r="G3792" i="5"/>
  <c r="G3765" i="5"/>
  <c r="G3739" i="5"/>
  <c r="G3707" i="5"/>
  <c r="G3680" i="5"/>
  <c r="G3648" i="5"/>
  <c r="G3623" i="5"/>
  <c r="G3599" i="5"/>
  <c r="G3576" i="5"/>
  <c r="G3560" i="5"/>
  <c r="G3540" i="5"/>
  <c r="G3524" i="5"/>
  <c r="G3504" i="5"/>
  <c r="G3488" i="5"/>
  <c r="G3469" i="5"/>
  <c r="G3454" i="5"/>
  <c r="G3439" i="5"/>
  <c r="G3421" i="5"/>
  <c r="G3406" i="5"/>
  <c r="G3392" i="5"/>
  <c r="G3378" i="5"/>
  <c r="G3363" i="5"/>
  <c r="G3348" i="5"/>
  <c r="G3334" i="5"/>
  <c r="G3320" i="5"/>
  <c r="G3306" i="5"/>
  <c r="G3291" i="5"/>
  <c r="G3276" i="5"/>
  <c r="G3262" i="5"/>
  <c r="G3248" i="5"/>
  <c r="G3234" i="5"/>
  <c r="G3219" i="5"/>
  <c r="G3204" i="5"/>
  <c r="G3190" i="5"/>
  <c r="G3176" i="5"/>
  <c r="G3162" i="5"/>
  <c r="G3147" i="5"/>
  <c r="G3132" i="5"/>
  <c r="G3118" i="5"/>
  <c r="G3104" i="5"/>
  <c r="G3090" i="5"/>
  <c r="G3077" i="5"/>
  <c r="G3065" i="5"/>
  <c r="G3053" i="5"/>
  <c r="G3041" i="5"/>
  <c r="G3029" i="5"/>
  <c r="G3017" i="5"/>
  <c r="G3005" i="5"/>
  <c r="G2993" i="5"/>
  <c r="G2981" i="5"/>
  <c r="G2969" i="5"/>
  <c r="G2957" i="5"/>
  <c r="G2945" i="5"/>
  <c r="G2933" i="5"/>
  <c r="G2921" i="5"/>
  <c r="G2909" i="5"/>
  <c r="G2897" i="5"/>
  <c r="G2885" i="5"/>
  <c r="G2873" i="5"/>
  <c r="G2861" i="5"/>
  <c r="G2849" i="5"/>
  <c r="G2837" i="5"/>
  <c r="G2825" i="5"/>
  <c r="G2813" i="5"/>
  <c r="G2801" i="5"/>
  <c r="G2789" i="5"/>
  <c r="G2777" i="5"/>
  <c r="G2765" i="5"/>
  <c r="G2753" i="5"/>
  <c r="G2741" i="5"/>
  <c r="G2729" i="5"/>
  <c r="G2717" i="5"/>
  <c r="G2705" i="5"/>
  <c r="G2693" i="5"/>
  <c r="G2681" i="5"/>
  <c r="G2669" i="5"/>
  <c r="G2657" i="5"/>
  <c r="G2645" i="5"/>
  <c r="G2633" i="5"/>
  <c r="G2621" i="5"/>
  <c r="G2609" i="5"/>
  <c r="G2597" i="5"/>
  <c r="G2585" i="5"/>
  <c r="G2573" i="5"/>
  <c r="G2561" i="5"/>
  <c r="G2549" i="5"/>
  <c r="G2537" i="5"/>
  <c r="G2525" i="5"/>
  <c r="G2513" i="5"/>
  <c r="G2501" i="5"/>
  <c r="G2489" i="5"/>
  <c r="G2477" i="5"/>
  <c r="G2465" i="5"/>
  <c r="G2453" i="5"/>
  <c r="G2441" i="5"/>
  <c r="G2429" i="5"/>
  <c r="G2417" i="5"/>
  <c r="G2405" i="5"/>
  <c r="G2393" i="5"/>
  <c r="G2381" i="5"/>
  <c r="G2369" i="5"/>
  <c r="G2357" i="5"/>
  <c r="G2345" i="5"/>
  <c r="G2333" i="5"/>
  <c r="G2321" i="5"/>
  <c r="G2309" i="5"/>
  <c r="G2297" i="5"/>
  <c r="G2285" i="5"/>
  <c r="G2273" i="5"/>
  <c r="G2261" i="5"/>
  <c r="G2249" i="5"/>
  <c r="G2237" i="5"/>
  <c r="G2225" i="5"/>
  <c r="G2213" i="5"/>
  <c r="G2201" i="5"/>
  <c r="G2189" i="5"/>
  <c r="G2177" i="5"/>
  <c r="G2165" i="5"/>
  <c r="G2153" i="5"/>
  <c r="G2141" i="5"/>
  <c r="G2129" i="5"/>
  <c r="G2117" i="5"/>
  <c r="G2105" i="5"/>
  <c r="G8630" i="5"/>
  <c r="G7487" i="5"/>
  <c r="G7031" i="5"/>
  <c r="G6748" i="5"/>
  <c r="G6493" i="5"/>
  <c r="G6264" i="5"/>
  <c r="G6076" i="5"/>
  <c r="G5907" i="5"/>
  <c r="G5775" i="5"/>
  <c r="G5670" i="5"/>
  <c r="G5572" i="5"/>
  <c r="G5481" i="5"/>
  <c r="G5395" i="5"/>
  <c r="G5309" i="5"/>
  <c r="G5224" i="5"/>
  <c r="G5134" i="5"/>
  <c r="G5049" i="5"/>
  <c r="G4963" i="5"/>
  <c r="G4900" i="5"/>
  <c r="G4835" i="5"/>
  <c r="G4774" i="5"/>
  <c r="G4723" i="5"/>
  <c r="G4675" i="5"/>
  <c r="G4627" i="5"/>
  <c r="G4581" i="5"/>
  <c r="G4545" i="5"/>
  <c r="G4509" i="5"/>
  <c r="G4473" i="5"/>
  <c r="G4437" i="5"/>
  <c r="G4401" i="5"/>
  <c r="G4365" i="5"/>
  <c r="G4329" i="5"/>
  <c r="G4293" i="5"/>
  <c r="G4257" i="5"/>
  <c r="G4221" i="5"/>
  <c r="G4185" i="5"/>
  <c r="G4149" i="5"/>
  <c r="G4113" i="5"/>
  <c r="G4077" i="5"/>
  <c r="G4044" i="5"/>
  <c r="G4017" i="5"/>
  <c r="G3991" i="5"/>
  <c r="G3959" i="5"/>
  <c r="G3932" i="5"/>
  <c r="G3900" i="5"/>
  <c r="G3873" i="5"/>
  <c r="G3847" i="5"/>
  <c r="G3815" i="5"/>
  <c r="G3788" i="5"/>
  <c r="G3756" i="5"/>
  <c r="G3729" i="5"/>
  <c r="G3703" i="5"/>
  <c r="G3671" i="5"/>
  <c r="G3644" i="5"/>
  <c r="G3620" i="5"/>
  <c r="G3596" i="5"/>
  <c r="G3573" i="5"/>
  <c r="G3553" i="5"/>
  <c r="G3537" i="5"/>
  <c r="G3517" i="5"/>
  <c r="G3501" i="5"/>
  <c r="G3481" i="5"/>
  <c r="G3466" i="5"/>
  <c r="G3451" i="5"/>
  <c r="G3433" i="5"/>
  <c r="G3418" i="5"/>
  <c r="G3403" i="5"/>
  <c r="G3388" i="5"/>
  <c r="G3373" i="5"/>
  <c r="G3359" i="5"/>
  <c r="G3345" i="5"/>
  <c r="G3331" i="5"/>
  <c r="G3316" i="5"/>
  <c r="G3301" i="5"/>
  <c r="G3287" i="5"/>
  <c r="G3273" i="5"/>
  <c r="G3259" i="5"/>
  <c r="G3244" i="5"/>
  <c r="G3229" i="5"/>
  <c r="G3215" i="5"/>
  <c r="G3201" i="5"/>
  <c r="G3187" i="5"/>
  <c r="G3172" i="5"/>
  <c r="G3157" i="5"/>
  <c r="G3143" i="5"/>
  <c r="G3129" i="5"/>
  <c r="G3115" i="5"/>
  <c r="G3100" i="5"/>
  <c r="G3086" i="5"/>
  <c r="G3074" i="5"/>
  <c r="G3062" i="5"/>
  <c r="G3050" i="5"/>
  <c r="G3038" i="5"/>
  <c r="G3026" i="5"/>
  <c r="G3014" i="5"/>
  <c r="G3002" i="5"/>
  <c r="G2990" i="5"/>
  <c r="G2978" i="5"/>
  <c r="G2966" i="5"/>
  <c r="G2954" i="5"/>
  <c r="G2942" i="5"/>
  <c r="G2930" i="5"/>
  <c r="G2918" i="5"/>
  <c r="G2906" i="5"/>
  <c r="G2894" i="5"/>
  <c r="G2882" i="5"/>
  <c r="G2870" i="5"/>
  <c r="G2858" i="5"/>
  <c r="G2846" i="5"/>
  <c r="G2834" i="5"/>
  <c r="G2822" i="5"/>
  <c r="G2810" i="5"/>
  <c r="G2798" i="5"/>
  <c r="G2786" i="5"/>
  <c r="G2774" i="5"/>
  <c r="G2762" i="5"/>
  <c r="G2750" i="5"/>
  <c r="G2738" i="5"/>
  <c r="G2726" i="5"/>
  <c r="G2714" i="5"/>
  <c r="G2702" i="5"/>
  <c r="G2690" i="5"/>
  <c r="G2678" i="5"/>
  <c r="G2666" i="5"/>
  <c r="G2654" i="5"/>
  <c r="G2642" i="5"/>
  <c r="G2630" i="5"/>
  <c r="G7511" i="5"/>
  <c r="G6676" i="5"/>
  <c r="G6087" i="5"/>
  <c r="G5767" i="5"/>
  <c r="G5546" i="5"/>
  <c r="G5313" i="5"/>
  <c r="G5116" i="5"/>
  <c r="G4903" i="5"/>
  <c r="G4771" i="5"/>
  <c r="G4662" i="5"/>
  <c r="G4547" i="5"/>
  <c r="G4464" i="5"/>
  <c r="G4368" i="5"/>
  <c r="G4291" i="5"/>
  <c r="G4211" i="5"/>
  <c r="G4115" i="5"/>
  <c r="G4041" i="5"/>
  <c r="G3967" i="5"/>
  <c r="G3899" i="5"/>
  <c r="G3837" i="5"/>
  <c r="G3763" i="5"/>
  <c r="G3695" i="5"/>
  <c r="G3622" i="5"/>
  <c r="G3572" i="5"/>
  <c r="G3534" i="5"/>
  <c r="G3486" i="5"/>
  <c r="G3447" i="5"/>
  <c r="G3405" i="5"/>
  <c r="G3372" i="5"/>
  <c r="G3342" i="5"/>
  <c r="G3303" i="5"/>
  <c r="G3271" i="5"/>
  <c r="G3232" i="5"/>
  <c r="G3200" i="5"/>
  <c r="G3168" i="5"/>
  <c r="G3130" i="5"/>
  <c r="G3097" i="5"/>
  <c r="G3064" i="5"/>
  <c r="G3037" i="5"/>
  <c r="G3011" i="5"/>
  <c r="G2979" i="5"/>
  <c r="G2952" i="5"/>
  <c r="G2920" i="5"/>
  <c r="G2893" i="5"/>
  <c r="G2867" i="5"/>
  <c r="G2835" i="5"/>
  <c r="G2808" i="5"/>
  <c r="G2784" i="5"/>
  <c r="G2760" i="5"/>
  <c r="G2736" i="5"/>
  <c r="G2712" i="5"/>
  <c r="G2688" i="5"/>
  <c r="G2664" i="5"/>
  <c r="G2640" i="5"/>
  <c r="G2617" i="5"/>
  <c r="G2595" i="5"/>
  <c r="G2578" i="5"/>
  <c r="G2556" i="5"/>
  <c r="G2534" i="5"/>
  <c r="G2512" i="5"/>
  <c r="G2495" i="5"/>
  <c r="G2473" i="5"/>
  <c r="G2451" i="5"/>
  <c r="G2434" i="5"/>
  <c r="G2412" i="5"/>
  <c r="G2390" i="5"/>
  <c r="G2368" i="5"/>
  <c r="G2351" i="5"/>
  <c r="G2329" i="5"/>
  <c r="G2307" i="5"/>
  <c r="G2290" i="5"/>
  <c r="G2268" i="5"/>
  <c r="G2247" i="5"/>
  <c r="G2231" i="5"/>
  <c r="G2211" i="5"/>
  <c r="G2195" i="5"/>
  <c r="G2175" i="5"/>
  <c r="G2159" i="5"/>
  <c r="G2139" i="5"/>
  <c r="G2123" i="5"/>
  <c r="G2103" i="5"/>
  <c r="G2088" i="5"/>
  <c r="G2071" i="5"/>
  <c r="G2055" i="5"/>
  <c r="G2041" i="5"/>
  <c r="G2027" i="5"/>
  <c r="G2011" i="5"/>
  <c r="G1997" i="5"/>
  <c r="G1983" i="5"/>
  <c r="G1969" i="5"/>
  <c r="G1955" i="5"/>
  <c r="G1939" i="5"/>
  <c r="G1926" i="5"/>
  <c r="G1913" i="5"/>
  <c r="G1900" i="5"/>
  <c r="G1887" i="5"/>
  <c r="G1874" i="5"/>
  <c r="G1861" i="5"/>
  <c r="G1848" i="5"/>
  <c r="G1835" i="5"/>
  <c r="G7447" i="5"/>
  <c r="G6675" i="5"/>
  <c r="G6086" i="5"/>
  <c r="G5742" i="5"/>
  <c r="G5489" i="5"/>
  <c r="G5302" i="5"/>
  <c r="G5110" i="5"/>
  <c r="G4902" i="5"/>
  <c r="G4759" i="5"/>
  <c r="G4630" i="5"/>
  <c r="G4543" i="5"/>
  <c r="G4463" i="5"/>
  <c r="G4367" i="5"/>
  <c r="G4284" i="5"/>
  <c r="G4188" i="5"/>
  <c r="G4111" i="5"/>
  <c r="G4040" i="5"/>
  <c r="G3960" i="5"/>
  <c r="G3897" i="5"/>
  <c r="G3823" i="5"/>
  <c r="G3755" i="5"/>
  <c r="G3693" i="5"/>
  <c r="G3621" i="5"/>
  <c r="G3571" i="5"/>
  <c r="G3523" i="5"/>
  <c r="G3480" i="5"/>
  <c r="G3445" i="5"/>
  <c r="G3404" i="5"/>
  <c r="G3371" i="5"/>
  <c r="G3333" i="5"/>
  <c r="G3300" i="5"/>
  <c r="G3270" i="5"/>
  <c r="G3231" i="5"/>
  <c r="G3199" i="5"/>
  <c r="G3160" i="5"/>
  <c r="G3128" i="5"/>
  <c r="G3096" i="5"/>
  <c r="G3063" i="5"/>
  <c r="G3036" i="5"/>
  <c r="G3004" i="5"/>
  <c r="G2977" i="5"/>
  <c r="G2951" i="5"/>
  <c r="G2919" i="5"/>
  <c r="G2892" i="5"/>
  <c r="G2860" i="5"/>
  <c r="G2833" i="5"/>
  <c r="G2807" i="5"/>
  <c r="G2783" i="5"/>
  <c r="G2759" i="5"/>
  <c r="G2735" i="5"/>
  <c r="G2711" i="5"/>
  <c r="G2687" i="5"/>
  <c r="G2663" i="5"/>
  <c r="G2639" i="5"/>
  <c r="G2616" i="5"/>
  <c r="G2594" i="5"/>
  <c r="G2572" i="5"/>
  <c r="G2555" i="5"/>
  <c r="G2533" i="5"/>
  <c r="G2511" i="5"/>
  <c r="G2494" i="5"/>
  <c r="G2472" i="5"/>
  <c r="G2450" i="5"/>
  <c r="G2428" i="5"/>
  <c r="G2411" i="5"/>
  <c r="G2389" i="5"/>
  <c r="G2367" i="5"/>
  <c r="G2350" i="5"/>
  <c r="G2328" i="5"/>
  <c r="G2306" i="5"/>
  <c r="G2284" i="5"/>
  <c r="G2267" i="5"/>
  <c r="G2246" i="5"/>
  <c r="G2230" i="5"/>
  <c r="G2210" i="5"/>
  <c r="G2194" i="5"/>
  <c r="G2174" i="5"/>
  <c r="G2158" i="5"/>
  <c r="G2138" i="5"/>
  <c r="G2122" i="5"/>
  <c r="G2102" i="5"/>
  <c r="G2087" i="5"/>
  <c r="G2069" i="5"/>
  <c r="G2054" i="5"/>
  <c r="G2040" i="5"/>
  <c r="G2026" i="5"/>
  <c r="G2010" i="5"/>
  <c r="G1996" i="5"/>
  <c r="G1982" i="5"/>
  <c r="G1968" i="5"/>
  <c r="G1954" i="5"/>
  <c r="G1938" i="5"/>
  <c r="G1925" i="5"/>
  <c r="G1912" i="5"/>
  <c r="G1899" i="5"/>
  <c r="G1886" i="5"/>
  <c r="G1873" i="5"/>
  <c r="G1860" i="5"/>
  <c r="G1847" i="5"/>
  <c r="G1834" i="5"/>
  <c r="G1821" i="5"/>
  <c r="G1809" i="5"/>
  <c r="G1797" i="5"/>
  <c r="G1785" i="5"/>
  <c r="G1773" i="5"/>
  <c r="G1761" i="5"/>
  <c r="G1749" i="5"/>
  <c r="G1737" i="5"/>
  <c r="G1725" i="5"/>
  <c r="G1713" i="5"/>
  <c r="G1701" i="5"/>
  <c r="G1689" i="5"/>
  <c r="G1677" i="5"/>
  <c r="G1665" i="5"/>
  <c r="G1653" i="5"/>
  <c r="G1641" i="5"/>
  <c r="G1629" i="5"/>
  <c r="G1617" i="5"/>
  <c r="G1605" i="5"/>
  <c r="G1593" i="5"/>
  <c r="G1581" i="5"/>
  <c r="G1569" i="5"/>
  <c r="G1557" i="5"/>
  <c r="G1545" i="5"/>
  <c r="G1533" i="5"/>
  <c r="G1521" i="5"/>
  <c r="G1509" i="5"/>
  <c r="G1497" i="5"/>
  <c r="G1485" i="5"/>
  <c r="G1473" i="5"/>
  <c r="G1461" i="5"/>
  <c r="G1449" i="5"/>
  <c r="G1437" i="5"/>
  <c r="G1425" i="5"/>
  <c r="G1413" i="5"/>
  <c r="G1401" i="5"/>
  <c r="G1389" i="5"/>
  <c r="G1377" i="5"/>
  <c r="G1365" i="5"/>
  <c r="G1353" i="5"/>
  <c r="G1341" i="5"/>
  <c r="G1329" i="5"/>
  <c r="G1317" i="5"/>
  <c r="G1305" i="5"/>
  <c r="G1293" i="5"/>
  <c r="G1281" i="5"/>
  <c r="G1269" i="5"/>
  <c r="G1257" i="5"/>
  <c r="G1245" i="5"/>
  <c r="G1233" i="5"/>
  <c r="G1221" i="5"/>
  <c r="G1209" i="5"/>
  <c r="G1197" i="5"/>
  <c r="G1185" i="5"/>
  <c r="G1173" i="5"/>
  <c r="G1161" i="5"/>
  <c r="G1149" i="5"/>
  <c r="G1137" i="5"/>
  <c r="G1125" i="5"/>
  <c r="G1113" i="5"/>
  <c r="G1101" i="5"/>
  <c r="G1089" i="5"/>
  <c r="G1077" i="5"/>
  <c r="G1065" i="5"/>
  <c r="G1053" i="5"/>
  <c r="G1041" i="5"/>
  <c r="G1029" i="5"/>
  <c r="G1017" i="5"/>
  <c r="G1005" i="5"/>
  <c r="G993" i="5"/>
  <c r="G981" i="5"/>
  <c r="G969" i="5"/>
  <c r="G957" i="5"/>
  <c r="G945" i="5"/>
  <c r="G933" i="5"/>
  <c r="G921" i="5"/>
  <c r="G909" i="5"/>
  <c r="G897" i="5"/>
  <c r="G885" i="5"/>
  <c r="G873" i="5"/>
  <c r="G861" i="5"/>
  <c r="G849" i="5"/>
  <c r="G837" i="5"/>
  <c r="G825" i="5"/>
  <c r="G813" i="5"/>
  <c r="G801" i="5"/>
  <c r="G789" i="5"/>
  <c r="G777" i="5"/>
  <c r="G765" i="5"/>
  <c r="G753" i="5"/>
  <c r="G741" i="5"/>
  <c r="G7355" i="5"/>
  <c r="G6506" i="5"/>
  <c r="G6064" i="5"/>
  <c r="G5741" i="5"/>
  <c r="G5488" i="5"/>
  <c r="G5287" i="5"/>
  <c r="G5057" i="5"/>
  <c r="G4894" i="5"/>
  <c r="G4758" i="5"/>
  <c r="G4629" i="5"/>
  <c r="G4536" i="5"/>
  <c r="G4440" i="5"/>
  <c r="G4363" i="5"/>
  <c r="G4283" i="5"/>
  <c r="G4187" i="5"/>
  <c r="G4104" i="5"/>
  <c r="G4020" i="5"/>
  <c r="G3957" i="5"/>
  <c r="G3896" i="5"/>
  <c r="G3816" i="5"/>
  <c r="G3753" i="5"/>
  <c r="G3679" i="5"/>
  <c r="G3619" i="5"/>
  <c r="G3570" i="5"/>
  <c r="G3522" i="5"/>
  <c r="G3479" i="5"/>
  <c r="G3438" i="5"/>
  <c r="G3402" i="5"/>
  <c r="G3370" i="5"/>
  <c r="G3332" i="5"/>
  <c r="G3299" i="5"/>
  <c r="G3261" i="5"/>
  <c r="G3228" i="5"/>
  <c r="G3198" i="5"/>
  <c r="G3159" i="5"/>
  <c r="G3127" i="5"/>
  <c r="G3088" i="5"/>
  <c r="G3061" i="5"/>
  <c r="G3035" i="5"/>
  <c r="G3003" i="5"/>
  <c r="G2976" i="5"/>
  <c r="G2944" i="5"/>
  <c r="G2917" i="5"/>
  <c r="G2891" i="5"/>
  <c r="G2859" i="5"/>
  <c r="G2832" i="5"/>
  <c r="G2806" i="5"/>
  <c r="G2782" i="5"/>
  <c r="G2758" i="5"/>
  <c r="G2734" i="5"/>
  <c r="G2710" i="5"/>
  <c r="G2686" i="5"/>
  <c r="G2662" i="5"/>
  <c r="G2638" i="5"/>
  <c r="G2615" i="5"/>
  <c r="G2593" i="5"/>
  <c r="G2571" i="5"/>
  <c r="G2554" i="5"/>
  <c r="G2532" i="5"/>
  <c r="G2510" i="5"/>
  <c r="G2488" i="5"/>
  <c r="G2471" i="5"/>
  <c r="G2449" i="5"/>
  <c r="G2427" i="5"/>
  <c r="G2410" i="5"/>
  <c r="G2388" i="5"/>
  <c r="G2366" i="5"/>
  <c r="G2344" i="5"/>
  <c r="G2327" i="5"/>
  <c r="G2305" i="5"/>
  <c r="G2283" i="5"/>
  <c r="G2266" i="5"/>
  <c r="G2245" i="5"/>
  <c r="G2227" i="5"/>
  <c r="G2209" i="5"/>
  <c r="G2191" i="5"/>
  <c r="G2173" i="5"/>
  <c r="G2155" i="5"/>
  <c r="G2137" i="5"/>
  <c r="G2119" i="5"/>
  <c r="G2101" i="5"/>
  <c r="G2086" i="5"/>
  <c r="G2068" i="5"/>
  <c r="G2053" i="5"/>
  <c r="G2039" i="5"/>
  <c r="G2023" i="5"/>
  <c r="G2009" i="5"/>
  <c r="G1995" i="5"/>
  <c r="G1981" i="5"/>
  <c r="G1967" i="5"/>
  <c r="G1951" i="5"/>
  <c r="G1937" i="5"/>
  <c r="G1924" i="5"/>
  <c r="G1911" i="5"/>
  <c r="G1898" i="5"/>
  <c r="G1885" i="5"/>
  <c r="G1872" i="5"/>
  <c r="G1859" i="5"/>
  <c r="G1846" i="5"/>
  <c r="G1832" i="5"/>
  <c r="G1820" i="5"/>
  <c r="G1808" i="5"/>
  <c r="G1796" i="5"/>
  <c r="G1784" i="5"/>
  <c r="G1772" i="5"/>
  <c r="G1760" i="5"/>
  <c r="G1748" i="5"/>
  <c r="G1736" i="5"/>
  <c r="G1724" i="5"/>
  <c r="G1712" i="5"/>
  <c r="G1700" i="5"/>
  <c r="G1688" i="5"/>
  <c r="G1676" i="5"/>
  <c r="G1664" i="5"/>
  <c r="G1652" i="5"/>
  <c r="G1640" i="5"/>
  <c r="G1628" i="5"/>
  <c r="G1616" i="5"/>
  <c r="G1604" i="5"/>
  <c r="G1592" i="5"/>
  <c r="G1580" i="5"/>
  <c r="G1568" i="5"/>
  <c r="G1556" i="5"/>
  <c r="G1544" i="5"/>
  <c r="G1532" i="5"/>
  <c r="G1520" i="5"/>
  <c r="G1508" i="5"/>
  <c r="G1496" i="5"/>
  <c r="G1484" i="5"/>
  <c r="G1472" i="5"/>
  <c r="G1460" i="5"/>
  <c r="G1448" i="5"/>
  <c r="G1436" i="5"/>
  <c r="G1424" i="5"/>
  <c r="G1412" i="5"/>
  <c r="G1400" i="5"/>
  <c r="G1388" i="5"/>
  <c r="G1376" i="5"/>
  <c r="G1364" i="5"/>
  <c r="G1352" i="5"/>
  <c r="G1340" i="5"/>
  <c r="G1328" i="5"/>
  <c r="G1316" i="5"/>
  <c r="G1304" i="5"/>
  <c r="G1292" i="5"/>
  <c r="G1280" i="5"/>
  <c r="G1268" i="5"/>
  <c r="G1256" i="5"/>
  <c r="G1244" i="5"/>
  <c r="G1232" i="5"/>
  <c r="G1220" i="5"/>
  <c r="G1208" i="5"/>
  <c r="G1196" i="5"/>
  <c r="G1184" i="5"/>
  <c r="G1172" i="5"/>
  <c r="G1160" i="5"/>
  <c r="G1148" i="5"/>
  <c r="G1136" i="5"/>
  <c r="G1124" i="5"/>
  <c r="G1112" i="5"/>
  <c r="G1100" i="5"/>
  <c r="G1088" i="5"/>
  <c r="G1076" i="5"/>
  <c r="G1064" i="5"/>
  <c r="G1052" i="5"/>
  <c r="G1040" i="5"/>
  <c r="G1028" i="5"/>
  <c r="G1016" i="5"/>
  <c r="G1004" i="5"/>
  <c r="G992" i="5"/>
  <c r="G980" i="5"/>
  <c r="G968" i="5"/>
  <c r="G956" i="5"/>
  <c r="G944" i="5"/>
  <c r="G932" i="5"/>
  <c r="G920" i="5"/>
  <c r="G908" i="5"/>
  <c r="G896" i="5"/>
  <c r="G884" i="5"/>
  <c r="G872" i="5"/>
  <c r="G860" i="5"/>
  <c r="G848" i="5"/>
  <c r="G836" i="5"/>
  <c r="G824" i="5"/>
  <c r="G812" i="5"/>
  <c r="G800" i="5"/>
  <c r="G788" i="5"/>
  <c r="G776" i="5"/>
  <c r="G764" i="5"/>
  <c r="G752" i="5"/>
  <c r="G740" i="5"/>
  <c r="G728" i="5"/>
  <c r="G716" i="5"/>
  <c r="G704" i="5"/>
  <c r="G7343" i="5"/>
  <c r="G6505" i="5"/>
  <c r="G6026" i="5"/>
  <c r="G5676" i="5"/>
  <c r="G5477" i="5"/>
  <c r="G5285" i="5"/>
  <c r="G5056" i="5"/>
  <c r="G4882" i="5"/>
  <c r="G4726" i="5"/>
  <c r="G4625" i="5"/>
  <c r="G4535" i="5"/>
  <c r="G4439" i="5"/>
  <c r="G4356" i="5"/>
  <c r="G4260" i="5"/>
  <c r="G4183" i="5"/>
  <c r="G4103" i="5"/>
  <c r="G4019" i="5"/>
  <c r="G3956" i="5"/>
  <c r="G3876" i="5"/>
  <c r="G3813" i="5"/>
  <c r="G3752" i="5"/>
  <c r="G3672" i="5"/>
  <c r="G3612" i="5"/>
  <c r="G3559" i="5"/>
  <c r="G3516" i="5"/>
  <c r="G3478" i="5"/>
  <c r="G3435" i="5"/>
  <c r="G3400" i="5"/>
  <c r="G3361" i="5"/>
  <c r="G3330" i="5"/>
  <c r="G3298" i="5"/>
  <c r="G3260" i="5"/>
  <c r="G3227" i="5"/>
  <c r="G3189" i="5"/>
  <c r="G3156" i="5"/>
  <c r="G3126" i="5"/>
  <c r="G3087" i="5"/>
  <c r="G3060" i="5"/>
  <c r="G3028" i="5"/>
  <c r="G3001" i="5"/>
  <c r="G2975" i="5"/>
  <c r="G2943" i="5"/>
  <c r="G2916" i="5"/>
  <c r="G2884" i="5"/>
  <c r="G2857" i="5"/>
  <c r="G2831" i="5"/>
  <c r="G2800" i="5"/>
  <c r="G2776" i="5"/>
  <c r="G2752" i="5"/>
  <c r="G2728" i="5"/>
  <c r="G2704" i="5"/>
  <c r="G2680" i="5"/>
  <c r="G2656" i="5"/>
  <c r="G2632" i="5"/>
  <c r="G2614" i="5"/>
  <c r="G2592" i="5"/>
  <c r="G2570" i="5"/>
  <c r="G2548" i="5"/>
  <c r="G2531" i="5"/>
  <c r="G2509" i="5"/>
  <c r="G2487" i="5"/>
  <c r="G2470" i="5"/>
  <c r="G2448" i="5"/>
  <c r="G2426" i="5"/>
  <c r="G2404" i="5"/>
  <c r="G2387" i="5"/>
  <c r="G2365" i="5"/>
  <c r="G2343" i="5"/>
  <c r="G2326" i="5"/>
  <c r="G2304" i="5"/>
  <c r="G2282" i="5"/>
  <c r="G2260" i="5"/>
  <c r="G2244" i="5"/>
  <c r="G2224" i="5"/>
  <c r="G2208" i="5"/>
  <c r="G2188" i="5"/>
  <c r="G2172" i="5"/>
  <c r="G2152" i="5"/>
  <c r="G2136" i="5"/>
  <c r="G2116" i="5"/>
  <c r="G2100" i="5"/>
  <c r="G2083" i="5"/>
  <c r="G2067" i="5"/>
  <c r="G2052" i="5"/>
  <c r="G2038" i="5"/>
  <c r="G2022" i="5"/>
  <c r="G2008" i="5"/>
  <c r="G1994" i="5"/>
  <c r="G1980" i="5"/>
  <c r="G1966" i="5"/>
  <c r="G1950" i="5"/>
  <c r="G1936" i="5"/>
  <c r="G1923" i="5"/>
  <c r="G1910" i="5"/>
  <c r="G1897" i="5"/>
  <c r="G1884" i="5"/>
  <c r="G1871" i="5"/>
  <c r="G1858" i="5"/>
  <c r="G1844" i="5"/>
  <c r="G1831" i="5"/>
  <c r="G1819" i="5"/>
  <c r="G1807" i="5"/>
  <c r="G1795" i="5"/>
  <c r="G1783" i="5"/>
  <c r="G1771" i="5"/>
  <c r="G1759" i="5"/>
  <c r="G1747" i="5"/>
  <c r="G1735" i="5"/>
  <c r="G1723" i="5"/>
  <c r="G1711" i="5"/>
  <c r="G1699" i="5"/>
  <c r="G1687" i="5"/>
  <c r="G1675" i="5"/>
  <c r="G1663" i="5"/>
  <c r="G1651" i="5"/>
  <c r="G1639" i="5"/>
  <c r="G1627" i="5"/>
  <c r="G1615" i="5"/>
  <c r="G1603" i="5"/>
  <c r="G1591" i="5"/>
  <c r="G1579" i="5"/>
  <c r="G1567" i="5"/>
  <c r="G1555" i="5"/>
  <c r="G1543" i="5"/>
  <c r="G1531" i="5"/>
  <c r="G1519" i="5"/>
  <c r="G1507" i="5"/>
  <c r="G1495" i="5"/>
  <c r="G1483" i="5"/>
  <c r="G1471" i="5"/>
  <c r="G1459" i="5"/>
  <c r="G1447" i="5"/>
  <c r="G1435" i="5"/>
  <c r="G1423" i="5"/>
  <c r="G1411" i="5"/>
  <c r="G1399" i="5"/>
  <c r="G1387" i="5"/>
  <c r="G1375" i="5"/>
  <c r="G1363" i="5"/>
  <c r="G1351" i="5"/>
  <c r="G1339" i="5"/>
  <c r="G1327" i="5"/>
  <c r="G1315" i="5"/>
  <c r="G1303" i="5"/>
  <c r="G1291" i="5"/>
  <c r="G1279" i="5"/>
  <c r="G1267" i="5"/>
  <c r="G1255" i="5"/>
  <c r="G1243" i="5"/>
  <c r="G1231" i="5"/>
  <c r="G1219" i="5"/>
  <c r="G1207" i="5"/>
  <c r="G1195" i="5"/>
  <c r="G1183" i="5"/>
  <c r="G1171" i="5"/>
  <c r="G1159" i="5"/>
  <c r="G1147" i="5"/>
  <c r="G1135" i="5"/>
  <c r="G1123" i="5"/>
  <c r="G1111" i="5"/>
  <c r="G1099" i="5"/>
  <c r="G1087" i="5"/>
  <c r="G1075" i="5"/>
  <c r="G1063" i="5"/>
  <c r="G1051" i="5"/>
  <c r="G1039" i="5"/>
  <c r="G1027" i="5"/>
  <c r="G1015" i="5"/>
  <c r="G1003" i="5"/>
  <c r="G991" i="5"/>
  <c r="G979" i="5"/>
  <c r="G967" i="5"/>
  <c r="G955" i="5"/>
  <c r="G943" i="5"/>
  <c r="G931" i="5"/>
  <c r="G919" i="5"/>
  <c r="G907" i="5"/>
  <c r="G895" i="5"/>
  <c r="G883" i="5"/>
  <c r="G871" i="5"/>
  <c r="G859" i="5"/>
  <c r="G847" i="5"/>
  <c r="G835" i="5"/>
  <c r="G823" i="5"/>
  <c r="G811" i="5"/>
  <c r="G799" i="5"/>
  <c r="G787" i="5"/>
  <c r="G775" i="5"/>
  <c r="G763" i="5"/>
  <c r="G7052" i="5"/>
  <c r="G6472" i="5"/>
  <c r="G6025" i="5"/>
  <c r="G5674" i="5"/>
  <c r="G5458" i="5"/>
  <c r="G5229" i="5"/>
  <c r="G5045" i="5"/>
  <c r="G4881" i="5"/>
  <c r="G4725" i="5"/>
  <c r="G4615" i="5"/>
  <c r="G4512" i="5"/>
  <c r="G4435" i="5"/>
  <c r="G4355" i="5"/>
  <c r="G4259" i="5"/>
  <c r="G4176" i="5"/>
  <c r="G4080" i="5"/>
  <c r="G4016" i="5"/>
  <c r="G3955" i="5"/>
  <c r="G3875" i="5"/>
  <c r="G3812" i="5"/>
  <c r="G3732" i="5"/>
  <c r="G3669" i="5"/>
  <c r="G3611" i="5"/>
  <c r="G3558" i="5"/>
  <c r="G3515" i="5"/>
  <c r="G3468" i="5"/>
  <c r="G3432" i="5"/>
  <c r="G3399" i="5"/>
  <c r="G3360" i="5"/>
  <c r="G3328" i="5"/>
  <c r="G3289" i="5"/>
  <c r="G3258" i="5"/>
  <c r="G3226" i="5"/>
  <c r="G3188" i="5"/>
  <c r="G3155" i="5"/>
  <c r="G3117" i="5"/>
  <c r="G3085" i="5"/>
  <c r="G3059" i="5"/>
  <c r="G3027" i="5"/>
  <c r="G3000" i="5"/>
  <c r="G2968" i="5"/>
  <c r="G2941" i="5"/>
  <c r="G2915" i="5"/>
  <c r="G2883" i="5"/>
  <c r="G2856" i="5"/>
  <c r="G2824" i="5"/>
  <c r="G2799" i="5"/>
  <c r="G2775" i="5"/>
  <c r="G2751" i="5"/>
  <c r="G2727" i="5"/>
  <c r="G2703" i="5"/>
  <c r="G2679" i="5"/>
  <c r="G2655" i="5"/>
  <c r="G2631" i="5"/>
  <c r="G2608" i="5"/>
  <c r="G2591" i="5"/>
  <c r="G2569" i="5"/>
  <c r="G2547" i="5"/>
  <c r="G2530" i="5"/>
  <c r="G2508" i="5"/>
  <c r="G2486" i="5"/>
  <c r="G2464" i="5"/>
  <c r="G2447" i="5"/>
  <c r="G2425" i="5"/>
  <c r="G2403" i="5"/>
  <c r="G2386" i="5"/>
  <c r="G2364" i="5"/>
  <c r="G2342" i="5"/>
  <c r="G2320" i="5"/>
  <c r="G2303" i="5"/>
  <c r="G2281" i="5"/>
  <c r="G2259" i="5"/>
  <c r="G2243" i="5"/>
  <c r="G2223" i="5"/>
  <c r="G2207" i="5"/>
  <c r="G2187" i="5"/>
  <c r="G2171" i="5"/>
  <c r="G2151" i="5"/>
  <c r="G2135" i="5"/>
  <c r="G2115" i="5"/>
  <c r="G2099" i="5"/>
  <c r="G2081" i="5"/>
  <c r="G2066" i="5"/>
  <c r="G2051" i="5"/>
  <c r="G2035" i="5"/>
  <c r="G2021" i="5"/>
  <c r="G2007" i="5"/>
  <c r="G1993" i="5"/>
  <c r="G1979" i="5"/>
  <c r="G1963" i="5"/>
  <c r="G1949" i="5"/>
  <c r="G1935" i="5"/>
  <c r="G1922" i="5"/>
  <c r="G1909" i="5"/>
  <c r="G1896" i="5"/>
  <c r="G1883" i="5"/>
  <c r="G1870" i="5"/>
  <c r="G1856" i="5"/>
  <c r="G1843" i="5"/>
  <c r="G1830" i="5"/>
  <c r="G1818" i="5"/>
  <c r="G1806" i="5"/>
  <c r="G1794" i="5"/>
  <c r="G1782" i="5"/>
  <c r="G1770" i="5"/>
  <c r="G1758" i="5"/>
  <c r="G1746" i="5"/>
  <c r="G1734" i="5"/>
  <c r="G1722" i="5"/>
  <c r="G1710" i="5"/>
  <c r="G1698" i="5"/>
  <c r="G1686" i="5"/>
  <c r="G1674" i="5"/>
  <c r="G1662" i="5"/>
  <c r="G1650" i="5"/>
  <c r="G1638" i="5"/>
  <c r="G1626" i="5"/>
  <c r="G1614" i="5"/>
  <c r="G1602" i="5"/>
  <c r="G1590" i="5"/>
  <c r="G1578" i="5"/>
  <c r="G1566" i="5"/>
  <c r="G1554" i="5"/>
  <c r="G1542" i="5"/>
  <c r="G1530" i="5"/>
  <c r="G1518" i="5"/>
  <c r="G1506" i="5"/>
  <c r="G1494" i="5"/>
  <c r="G1482" i="5"/>
  <c r="G1470" i="5"/>
  <c r="G1458" i="5"/>
  <c r="G1446" i="5"/>
  <c r="G1434" i="5"/>
  <c r="G1422" i="5"/>
  <c r="G1410" i="5"/>
  <c r="G1398" i="5"/>
  <c r="G1386" i="5"/>
  <c r="G1374" i="5"/>
  <c r="G1362" i="5"/>
  <c r="G1350" i="5"/>
  <c r="G1338" i="5"/>
  <c r="G1326" i="5"/>
  <c r="G1314" i="5"/>
  <c r="G1302" i="5"/>
  <c r="G1290" i="5"/>
  <c r="G1278" i="5"/>
  <c r="G1266" i="5"/>
  <c r="G1254" i="5"/>
  <c r="G1242" i="5"/>
  <c r="G1230" i="5"/>
  <c r="G1218" i="5"/>
  <c r="G1206" i="5"/>
  <c r="G1194" i="5"/>
  <c r="G1182" i="5"/>
  <c r="G1170" i="5"/>
  <c r="G1158" i="5"/>
  <c r="G1146" i="5"/>
  <c r="G1134" i="5"/>
  <c r="G1122" i="5"/>
  <c r="G1110" i="5"/>
  <c r="G1098" i="5"/>
  <c r="G1086" i="5"/>
  <c r="G1074" i="5"/>
  <c r="G1062" i="5"/>
  <c r="G1050" i="5"/>
  <c r="G1038" i="5"/>
  <c r="G1026" i="5"/>
  <c r="G1014" i="5"/>
  <c r="G1002" i="5"/>
  <c r="G990" i="5"/>
  <c r="G978" i="5"/>
  <c r="G966" i="5"/>
  <c r="G954" i="5"/>
  <c r="G942" i="5"/>
  <c r="G930" i="5"/>
  <c r="G918" i="5"/>
  <c r="G906" i="5"/>
  <c r="G894" i="5"/>
  <c r="G882" i="5"/>
  <c r="G870" i="5"/>
  <c r="G858" i="5"/>
  <c r="G846" i="5"/>
  <c r="G834" i="5"/>
  <c r="G822" i="5"/>
  <c r="G810" i="5"/>
  <c r="G798" i="5"/>
  <c r="G786" i="5"/>
  <c r="G774" i="5"/>
  <c r="G762" i="5"/>
  <c r="G750" i="5"/>
  <c r="G7051" i="5"/>
  <c r="G6421" i="5"/>
  <c r="G5916" i="5"/>
  <c r="G5663" i="5"/>
  <c r="G5457" i="5"/>
  <c r="G5227" i="5"/>
  <c r="G5026" i="5"/>
  <c r="G4842" i="5"/>
  <c r="G4721" i="5"/>
  <c r="G4614" i="5"/>
  <c r="G4511" i="5"/>
  <c r="G4428" i="5"/>
  <c r="G4332" i="5"/>
  <c r="G4255" i="5"/>
  <c r="G4175" i="5"/>
  <c r="G4079" i="5"/>
  <c r="G4015" i="5"/>
  <c r="G3935" i="5"/>
  <c r="G3872" i="5"/>
  <c r="G3811" i="5"/>
  <c r="G3731" i="5"/>
  <c r="G3668" i="5"/>
  <c r="G3598" i="5"/>
  <c r="G3552" i="5"/>
  <c r="G3514" i="5"/>
  <c r="G3467" i="5"/>
  <c r="G3431" i="5"/>
  <c r="G3391" i="5"/>
  <c r="G3358" i="5"/>
  <c r="G3327" i="5"/>
  <c r="G3288" i="5"/>
  <c r="G3256" i="5"/>
  <c r="G3217" i="5"/>
  <c r="G3186" i="5"/>
  <c r="G3154" i="5"/>
  <c r="G3116" i="5"/>
  <c r="G3084" i="5"/>
  <c r="G3052" i="5"/>
  <c r="G3025" i="5"/>
  <c r="G2999" i="5"/>
  <c r="G2967" i="5"/>
  <c r="G2940" i="5"/>
  <c r="G2908" i="5"/>
  <c r="G2881" i="5"/>
  <c r="G2855" i="5"/>
  <c r="G2823" i="5"/>
  <c r="G2797" i="5"/>
  <c r="G2773" i="5"/>
  <c r="G2749" i="5"/>
  <c r="G2725" i="5"/>
  <c r="G2701" i="5"/>
  <c r="G2677" i="5"/>
  <c r="G2653" i="5"/>
  <c r="G2629" i="5"/>
  <c r="G2607" i="5"/>
  <c r="G2590" i="5"/>
  <c r="G2568" i="5"/>
  <c r="G2546" i="5"/>
  <c r="G2524" i="5"/>
  <c r="G2507" i="5"/>
  <c r="G2485" i="5"/>
  <c r="G2463" i="5"/>
  <c r="G2446" i="5"/>
  <c r="G2424" i="5"/>
  <c r="G2402" i="5"/>
  <c r="G2380" i="5"/>
  <c r="G2363" i="5"/>
  <c r="G2341" i="5"/>
  <c r="G2319" i="5"/>
  <c r="G2302" i="5"/>
  <c r="G2280" i="5"/>
  <c r="G2258" i="5"/>
  <c r="G2242" i="5"/>
  <c r="G2222" i="5"/>
  <c r="G2206" i="5"/>
  <c r="G2186" i="5"/>
  <c r="G2170" i="5"/>
  <c r="G2150" i="5"/>
  <c r="G2134" i="5"/>
  <c r="G2114" i="5"/>
  <c r="G2098" i="5"/>
  <c r="G2080" i="5"/>
  <c r="G2065" i="5"/>
  <c r="G2050" i="5"/>
  <c r="G2034" i="5"/>
  <c r="G2020" i="5"/>
  <c r="G2006" i="5"/>
  <c r="G1992" i="5"/>
  <c r="G1978" i="5"/>
  <c r="G1962" i="5"/>
  <c r="G1948" i="5"/>
  <c r="G1934" i="5"/>
  <c r="G1921" i="5"/>
  <c r="G1908" i="5"/>
  <c r="G1895" i="5"/>
  <c r="G1882" i="5"/>
  <c r="G1868" i="5"/>
  <c r="G1855" i="5"/>
  <c r="G1842" i="5"/>
  <c r="G1829" i="5"/>
  <c r="G1817" i="5"/>
  <c r="G1805" i="5"/>
  <c r="G1793" i="5"/>
  <c r="G1781" i="5"/>
  <c r="G1769" i="5"/>
  <c r="G1757" i="5"/>
  <c r="G1745" i="5"/>
  <c r="G1733" i="5"/>
  <c r="G1721" i="5"/>
  <c r="G1709" i="5"/>
  <c r="G1697" i="5"/>
  <c r="G1685" i="5"/>
  <c r="G1673" i="5"/>
  <c r="G1661" i="5"/>
  <c r="G1649" i="5"/>
  <c r="G1637" i="5"/>
  <c r="G1625" i="5"/>
  <c r="G1613" i="5"/>
  <c r="G1601" i="5"/>
  <c r="G1589" i="5"/>
  <c r="G1577" i="5"/>
  <c r="G1565" i="5"/>
  <c r="G1553" i="5"/>
  <c r="G1541" i="5"/>
  <c r="G1529" i="5"/>
  <c r="G1517" i="5"/>
  <c r="G1505" i="5"/>
  <c r="G1493" i="5"/>
  <c r="G1481" i="5"/>
  <c r="G1469" i="5"/>
  <c r="G1457" i="5"/>
  <c r="G1445" i="5"/>
  <c r="G1433" i="5"/>
  <c r="G1421" i="5"/>
  <c r="G1409" i="5"/>
  <c r="G1397" i="5"/>
  <c r="G1385" i="5"/>
  <c r="G1373" i="5"/>
  <c r="G1361" i="5"/>
  <c r="G1349" i="5"/>
  <c r="G1337" i="5"/>
  <c r="G1325" i="5"/>
  <c r="G1313" i="5"/>
  <c r="G1301" i="5"/>
  <c r="G1289" i="5"/>
  <c r="G1277" i="5"/>
  <c r="G1265" i="5"/>
  <c r="G1253" i="5"/>
  <c r="G1241" i="5"/>
  <c r="G1229" i="5"/>
  <c r="G1217" i="5"/>
  <c r="G1205" i="5"/>
  <c r="G1193" i="5"/>
  <c r="G1181" i="5"/>
  <c r="G1169" i="5"/>
  <c r="G1157" i="5"/>
  <c r="G1145" i="5"/>
  <c r="G1133" i="5"/>
  <c r="G1121" i="5"/>
  <c r="G1109" i="5"/>
  <c r="G1097" i="5"/>
  <c r="G1085" i="5"/>
  <c r="G1073" i="5"/>
  <c r="G1061" i="5"/>
  <c r="G1049" i="5"/>
  <c r="G1037" i="5"/>
  <c r="G1025" i="5"/>
  <c r="G1013" i="5"/>
  <c r="G1001" i="5"/>
  <c r="G7004" i="5"/>
  <c r="G6419" i="5"/>
  <c r="G5915" i="5"/>
  <c r="G5645" i="5"/>
  <c r="G5404" i="5"/>
  <c r="G5217" i="5"/>
  <c r="G5025" i="5"/>
  <c r="G4841" i="5"/>
  <c r="G4711" i="5"/>
  <c r="G4586" i="5"/>
  <c r="G4507" i="5"/>
  <c r="G4427" i="5"/>
  <c r="G4331" i="5"/>
  <c r="G4248" i="5"/>
  <c r="G4152" i="5"/>
  <c r="G8548" i="5"/>
  <c r="G6937" i="5"/>
  <c r="G6269" i="5"/>
  <c r="G5869" i="5"/>
  <c r="G5582" i="5"/>
  <c r="G5392" i="5"/>
  <c r="G5200" i="5"/>
  <c r="G4966" i="5"/>
  <c r="G4821" i="5"/>
  <c r="G4678" i="5"/>
  <c r="G4579" i="5"/>
  <c r="G4499" i="5"/>
  <c r="G4403" i="5"/>
  <c r="G4320" i="5"/>
  <c r="G4224" i="5"/>
  <c r="G4147" i="5"/>
  <c r="G4067" i="5"/>
  <c r="G3992" i="5"/>
  <c r="G3924" i="5"/>
  <c r="G3849" i="5"/>
  <c r="G3787" i="5"/>
  <c r="G3720" i="5"/>
  <c r="G3645" i="5"/>
  <c r="G3588" i="5"/>
  <c r="G3539" i="5"/>
  <c r="G3500" i="5"/>
  <c r="G3463" i="5"/>
  <c r="G3419" i="5"/>
  <c r="G3385" i="5"/>
  <c r="G3347" i="5"/>
  <c r="G3315" i="5"/>
  <c r="G3284" i="5"/>
  <c r="G3246" i="5"/>
  <c r="G3213" i="5"/>
  <c r="G3175" i="5"/>
  <c r="G3142" i="5"/>
  <c r="G3111" i="5"/>
  <c r="G3075" i="5"/>
  <c r="G3048" i="5"/>
  <c r="G3016" i="5"/>
  <c r="G2989" i="5"/>
  <c r="G2963" i="5"/>
  <c r="G2931" i="5"/>
  <c r="G2904" i="5"/>
  <c r="G2872" i="5"/>
  <c r="G2845" i="5"/>
  <c r="G2819" i="5"/>
  <c r="G2794" i="5"/>
  <c r="G2770" i="5"/>
  <c r="G2746" i="5"/>
  <c r="G2722" i="5"/>
  <c r="G2698" i="5"/>
  <c r="G2674" i="5"/>
  <c r="G2650" i="5"/>
  <c r="G2626" i="5"/>
  <c r="G2604" i="5"/>
  <c r="G2582" i="5"/>
  <c r="G2560" i="5"/>
  <c r="G2543" i="5"/>
  <c r="G2521" i="5"/>
  <c r="G2499" i="5"/>
  <c r="G2482" i="5"/>
  <c r="G2460" i="5"/>
  <c r="G2438" i="5"/>
  <c r="G2416" i="5"/>
  <c r="G2399" i="5"/>
  <c r="G2377" i="5"/>
  <c r="G2355" i="5"/>
  <c r="G2338" i="5"/>
  <c r="G2316" i="5"/>
  <c r="G2294" i="5"/>
  <c r="G2272" i="5"/>
  <c r="G2255" i="5"/>
  <c r="G2235" i="5"/>
  <c r="G2219" i="5"/>
  <c r="G2199" i="5"/>
  <c r="G2183" i="5"/>
  <c r="G2163" i="5"/>
  <c r="G8189" i="5"/>
  <c r="G6760" i="5"/>
  <c r="G6209" i="5"/>
  <c r="G5783" i="5"/>
  <c r="G5569" i="5"/>
  <c r="G5371" i="5"/>
  <c r="G5141" i="5"/>
  <c r="G4943" i="5"/>
  <c r="G4781" i="5"/>
  <c r="G4673" i="5"/>
  <c r="G4571" i="5"/>
  <c r="G4475" i="5"/>
  <c r="G4392" i="5"/>
  <c r="G4296" i="5"/>
  <c r="G4219" i="5"/>
  <c r="G4139" i="5"/>
  <c r="G4051" i="5"/>
  <c r="G3983" i="5"/>
  <c r="G3908" i="5"/>
  <c r="G3840" i="5"/>
  <c r="G3779" i="5"/>
  <c r="G3704" i="5"/>
  <c r="G3636" i="5"/>
  <c r="G3575" i="5"/>
  <c r="G3536" i="5"/>
  <c r="G3498" i="5"/>
  <c r="G3452" i="5"/>
  <c r="G3416" i="5"/>
  <c r="G3376" i="5"/>
  <c r="G3344" i="5"/>
  <c r="G3312" i="5"/>
  <c r="G3274" i="5"/>
  <c r="G3241" i="5"/>
  <c r="G3203" i="5"/>
  <c r="G3171" i="5"/>
  <c r="G3140" i="5"/>
  <c r="G3102" i="5"/>
  <c r="G3072" i="5"/>
  <c r="G3040" i="5"/>
  <c r="G3013" i="5"/>
  <c r="G2987" i="5"/>
  <c r="G2955" i="5"/>
  <c r="G2928" i="5"/>
  <c r="G2896" i="5"/>
  <c r="G2869" i="5"/>
  <c r="G2843" i="5"/>
  <c r="G2811" i="5"/>
  <c r="G2787" i="5"/>
  <c r="G2763" i="5"/>
  <c r="G2739" i="5"/>
  <c r="G2715" i="5"/>
  <c r="G2691" i="5"/>
  <c r="G2667" i="5"/>
  <c r="G2643" i="5"/>
  <c r="G2619" i="5"/>
  <c r="G2602" i="5"/>
  <c r="G2580" i="5"/>
  <c r="G2558" i="5"/>
  <c r="G2536" i="5"/>
  <c r="G2519" i="5"/>
  <c r="G2497" i="5"/>
  <c r="G2475" i="5"/>
  <c r="G2458" i="5"/>
  <c r="G2436" i="5"/>
  <c r="G2414" i="5"/>
  <c r="G2392" i="5"/>
  <c r="G2375" i="5"/>
  <c r="G2353" i="5"/>
  <c r="G2331" i="5"/>
  <c r="G2314" i="5"/>
  <c r="G2292" i="5"/>
  <c r="G2270" i="5"/>
  <c r="G2251" i="5"/>
  <c r="G2233" i="5"/>
  <c r="G2215" i="5"/>
  <c r="G2197" i="5"/>
  <c r="G2179" i="5"/>
  <c r="G2161" i="5"/>
  <c r="G2143" i="5"/>
  <c r="G2125" i="5"/>
  <c r="G2107" i="5"/>
  <c r="G2090" i="5"/>
  <c r="G2075" i="5"/>
  <c r="G2057" i="5"/>
  <c r="G2043" i="5"/>
  <c r="G2029" i="5"/>
  <c r="G2015" i="5"/>
  <c r="G1999" i="5"/>
  <c r="G1985" i="5"/>
  <c r="G1971" i="5"/>
  <c r="G1957" i="5"/>
  <c r="G1943" i="5"/>
  <c r="G1928" i="5"/>
  <c r="G1915" i="5"/>
  <c r="G1902" i="5"/>
  <c r="G1889" i="5"/>
  <c r="G1876" i="5"/>
  <c r="G1863" i="5"/>
  <c r="G1850" i="5"/>
  <c r="G1837" i="5"/>
  <c r="G1824" i="5"/>
  <c r="G1812" i="5"/>
  <c r="G1800" i="5"/>
  <c r="G1788" i="5"/>
  <c r="G1776" i="5"/>
  <c r="G1764" i="5"/>
  <c r="G1752" i="5"/>
  <c r="G1740" i="5"/>
  <c r="G1728" i="5"/>
  <c r="G1716" i="5"/>
  <c r="G1704" i="5"/>
  <c r="G1692" i="5"/>
  <c r="G1680" i="5"/>
  <c r="G1668" i="5"/>
  <c r="G1656" i="5"/>
  <c r="G1644" i="5"/>
  <c r="G1632" i="5"/>
  <c r="G1620" i="5"/>
  <c r="G1608" i="5"/>
  <c r="G1596" i="5"/>
  <c r="G1584" i="5"/>
  <c r="G1572" i="5"/>
  <c r="G1560" i="5"/>
  <c r="G1548" i="5"/>
  <c r="G1536" i="5"/>
  <c r="G1524" i="5"/>
  <c r="G1512" i="5"/>
  <c r="G1500" i="5"/>
  <c r="G1488" i="5"/>
  <c r="G1476" i="5"/>
  <c r="G1464" i="5"/>
  <c r="G1452" i="5"/>
  <c r="G1440" i="5"/>
  <c r="G1428" i="5"/>
  <c r="G1416" i="5"/>
  <c r="G1404" i="5"/>
  <c r="G1392" i="5"/>
  <c r="G1380" i="5"/>
  <c r="G1368" i="5"/>
  <c r="G1356" i="5"/>
  <c r="G1344" i="5"/>
  <c r="G1332" i="5"/>
  <c r="G1320" i="5"/>
  <c r="G1308" i="5"/>
  <c r="G1296" i="5"/>
  <c r="G1284" i="5"/>
  <c r="G1272" i="5"/>
  <c r="G1260" i="5"/>
  <c r="G1248" i="5"/>
  <c r="G1236" i="5"/>
  <c r="G1224" i="5"/>
  <c r="G1212" i="5"/>
  <c r="G1200" i="5"/>
  <c r="G1188" i="5"/>
  <c r="G1176" i="5"/>
  <c r="G1164" i="5"/>
  <c r="G1152" i="5"/>
  <c r="G1140" i="5"/>
  <c r="G1128" i="5"/>
  <c r="G1116" i="5"/>
  <c r="G1104" i="5"/>
  <c r="G1092" i="5"/>
  <c r="G1080" i="5"/>
  <c r="G1068" i="5"/>
  <c r="G1056" i="5"/>
  <c r="G1044" i="5"/>
  <c r="G1032" i="5"/>
  <c r="G1020" i="5"/>
  <c r="G1008" i="5"/>
  <c r="G996" i="5"/>
  <c r="G7516" i="5"/>
  <c r="G6734" i="5"/>
  <c r="G6208" i="5"/>
  <c r="G5782" i="5"/>
  <c r="G5552" i="5"/>
  <c r="G5314" i="5"/>
  <c r="G5131" i="5"/>
  <c r="G4942" i="5"/>
  <c r="G4780" i="5"/>
  <c r="G4663" i="5"/>
  <c r="G4548" i="5"/>
  <c r="G4471" i="5"/>
  <c r="G4391" i="5"/>
  <c r="G4295" i="5"/>
  <c r="G4212" i="5"/>
  <c r="G4116" i="5"/>
  <c r="G4043" i="5"/>
  <c r="G3981" i="5"/>
  <c r="G3907" i="5"/>
  <c r="G3839" i="5"/>
  <c r="G3764" i="5"/>
  <c r="G3696" i="5"/>
  <c r="G3635" i="5"/>
  <c r="G3574" i="5"/>
  <c r="G3535" i="5"/>
  <c r="G3487" i="5"/>
  <c r="G3450" i="5"/>
  <c r="G3415" i="5"/>
  <c r="G3375" i="5"/>
  <c r="G3343" i="5"/>
  <c r="G3304" i="5"/>
  <c r="G3272" i="5"/>
  <c r="G3240" i="5"/>
  <c r="G3202" i="5"/>
  <c r="G3169" i="5"/>
  <c r="G3131" i="5"/>
  <c r="G3099" i="5"/>
  <c r="G3071" i="5"/>
  <c r="G3039" i="5"/>
  <c r="G3012" i="5"/>
  <c r="G2980" i="5"/>
  <c r="G2953" i="5"/>
  <c r="G2927" i="5"/>
  <c r="G2895" i="5"/>
  <c r="G2868" i="5"/>
  <c r="G2836" i="5"/>
  <c r="G2809" i="5"/>
  <c r="G2785" i="5"/>
  <c r="G2761" i="5"/>
  <c r="G2737" i="5"/>
  <c r="G2713" i="5"/>
  <c r="G2689" i="5"/>
  <c r="G2665" i="5"/>
  <c r="G2641" i="5"/>
  <c r="G2618" i="5"/>
  <c r="G2596" i="5"/>
  <c r="G2579" i="5"/>
  <c r="G2557" i="5"/>
  <c r="G2535" i="5"/>
  <c r="G2518" i="5"/>
  <c r="G2496" i="5"/>
  <c r="G2474" i="5"/>
  <c r="G2452" i="5"/>
  <c r="G2435" i="5"/>
  <c r="G2413" i="5"/>
  <c r="G2391" i="5"/>
  <c r="G2374" i="5"/>
  <c r="G2352" i="5"/>
  <c r="G2330" i="5"/>
  <c r="G2308" i="5"/>
  <c r="G2291" i="5"/>
  <c r="G2269" i="5"/>
  <c r="G2248" i="5"/>
  <c r="G2232" i="5"/>
  <c r="G2212" i="5"/>
  <c r="G2196" i="5"/>
  <c r="G2176" i="5"/>
  <c r="G2160" i="5"/>
  <c r="G2140" i="5"/>
  <c r="G2124" i="5"/>
  <c r="G2104" i="5"/>
  <c r="G2089" i="5"/>
  <c r="G2074" i="5"/>
  <c r="G2056" i="5"/>
  <c r="G2042" i="5"/>
  <c r="G2028" i="5"/>
  <c r="G2014" i="5"/>
  <c r="G1998" i="5"/>
  <c r="G1984" i="5"/>
  <c r="G1970" i="5"/>
  <c r="G1956" i="5"/>
  <c r="G1942" i="5"/>
  <c r="G1927" i="5"/>
  <c r="G1914" i="5"/>
  <c r="G1901" i="5"/>
  <c r="G1888" i="5"/>
  <c r="G1875" i="5"/>
  <c r="G1862" i="5"/>
  <c r="G1849" i="5"/>
  <c r="G1836" i="5"/>
  <c r="G1823" i="5"/>
  <c r="G1811" i="5"/>
  <c r="G1799" i="5"/>
  <c r="G1787" i="5"/>
  <c r="G1775" i="5"/>
  <c r="G1763" i="5"/>
  <c r="G1751" i="5"/>
  <c r="G1739" i="5"/>
  <c r="G1727" i="5"/>
  <c r="G1715" i="5"/>
  <c r="G1703" i="5"/>
  <c r="G1691" i="5"/>
  <c r="G1679" i="5"/>
  <c r="G1667" i="5"/>
  <c r="G1655" i="5"/>
  <c r="G1643" i="5"/>
  <c r="G1631" i="5"/>
  <c r="G1619" i="5"/>
  <c r="G1607" i="5"/>
  <c r="G1595" i="5"/>
  <c r="G1583" i="5"/>
  <c r="G1571" i="5"/>
  <c r="G1559" i="5"/>
  <c r="G1547" i="5"/>
  <c r="G1535" i="5"/>
  <c r="G1523" i="5"/>
  <c r="G1511" i="5"/>
  <c r="G1499" i="5"/>
  <c r="G1487" i="5"/>
  <c r="G1475" i="5"/>
  <c r="G1463" i="5"/>
  <c r="G1451" i="5"/>
  <c r="G1439" i="5"/>
  <c r="G1427" i="5"/>
  <c r="G1415" i="5"/>
  <c r="G1403" i="5"/>
  <c r="G1391" i="5"/>
  <c r="G1379" i="5"/>
  <c r="G1367" i="5"/>
  <c r="G1355" i="5"/>
  <c r="G1343" i="5"/>
  <c r="G1331" i="5"/>
  <c r="G1319" i="5"/>
  <c r="G1307" i="5"/>
  <c r="G1295" i="5"/>
  <c r="G1283" i="5"/>
  <c r="G1271" i="5"/>
  <c r="G1259" i="5"/>
  <c r="G1247" i="5"/>
  <c r="G1235" i="5"/>
  <c r="G1223" i="5"/>
  <c r="G1211" i="5"/>
  <c r="G1199" i="5"/>
  <c r="G1187" i="5"/>
  <c r="G1175" i="5"/>
  <c r="G1163" i="5"/>
  <c r="G1151" i="5"/>
  <c r="G1139" i="5"/>
  <c r="G1127" i="5"/>
  <c r="G1115" i="5"/>
  <c r="G1103" i="5"/>
  <c r="G1091" i="5"/>
  <c r="G1079" i="5"/>
  <c r="G1067" i="5"/>
  <c r="G1055" i="5"/>
  <c r="G1043" i="5"/>
  <c r="G1031" i="5"/>
  <c r="G1019" i="5"/>
  <c r="G1007" i="5"/>
  <c r="G995" i="5"/>
  <c r="G6252" i="5"/>
  <c r="G4819" i="5"/>
  <c r="G4223" i="5"/>
  <c r="G3871" i="5"/>
  <c r="G3597" i="5"/>
  <c r="G3430" i="5"/>
  <c r="G3286" i="5"/>
  <c r="G3145" i="5"/>
  <c r="G3024" i="5"/>
  <c r="G2907" i="5"/>
  <c r="G2796" i="5"/>
  <c r="G2700" i="5"/>
  <c r="G2606" i="5"/>
  <c r="G2523" i="5"/>
  <c r="G2440" i="5"/>
  <c r="G2362" i="5"/>
  <c r="G2279" i="5"/>
  <c r="G2203" i="5"/>
  <c r="G2146" i="5"/>
  <c r="G2091" i="5"/>
  <c r="G2044" i="5"/>
  <c r="G2002" i="5"/>
  <c r="G1958" i="5"/>
  <c r="G1916" i="5"/>
  <c r="G1877" i="5"/>
  <c r="G1838" i="5"/>
  <c r="G1803" i="5"/>
  <c r="G1777" i="5"/>
  <c r="G1744" i="5"/>
  <c r="G1718" i="5"/>
  <c r="G1690" i="5"/>
  <c r="G1659" i="5"/>
  <c r="G1633" i="5"/>
  <c r="G1600" i="5"/>
  <c r="G1574" i="5"/>
  <c r="G1546" i="5"/>
  <c r="G1515" i="5"/>
  <c r="G1489" i="5"/>
  <c r="G1456" i="5"/>
  <c r="G1430" i="5"/>
  <c r="G1402" i="5"/>
  <c r="G1371" i="5"/>
  <c r="G1345" i="5"/>
  <c r="G1312" i="5"/>
  <c r="G1286" i="5"/>
  <c r="G1258" i="5"/>
  <c r="G1227" i="5"/>
  <c r="G1201" i="5"/>
  <c r="G1168" i="5"/>
  <c r="G1142" i="5"/>
  <c r="G1114" i="5"/>
  <c r="G1083" i="5"/>
  <c r="G1057" i="5"/>
  <c r="G1024" i="5"/>
  <c r="G998" i="5"/>
  <c r="G976" i="5"/>
  <c r="G960" i="5"/>
  <c r="G940" i="5"/>
  <c r="G924" i="5"/>
  <c r="G904" i="5"/>
  <c r="G888" i="5"/>
  <c r="G868" i="5"/>
  <c r="G852" i="5"/>
  <c r="G832" i="5"/>
  <c r="G816" i="5"/>
  <c r="G796" i="5"/>
  <c r="G780" i="5"/>
  <c r="G760" i="5"/>
  <c r="G745" i="5"/>
  <c r="G731" i="5"/>
  <c r="G718" i="5"/>
  <c r="G705" i="5"/>
  <c r="G692" i="5"/>
  <c r="G680" i="5"/>
  <c r="G668" i="5"/>
  <c r="G656" i="5"/>
  <c r="G644" i="5"/>
  <c r="G632" i="5"/>
  <c r="G620" i="5"/>
  <c r="G608" i="5"/>
  <c r="G596" i="5"/>
  <c r="G584" i="5"/>
  <c r="G572" i="5"/>
  <c r="G560" i="5"/>
  <c r="G548" i="5"/>
  <c r="G536" i="5"/>
  <c r="G524" i="5"/>
  <c r="G512" i="5"/>
  <c r="G500" i="5"/>
  <c r="G488" i="5"/>
  <c r="G476" i="5"/>
  <c r="G464" i="5"/>
  <c r="G452" i="5"/>
  <c r="G440" i="5"/>
  <c r="G428" i="5"/>
  <c r="G416" i="5"/>
  <c r="G404" i="5"/>
  <c r="G392" i="5"/>
  <c r="G380" i="5"/>
  <c r="G368" i="5"/>
  <c r="G356" i="5"/>
  <c r="G344" i="5"/>
  <c r="G332" i="5"/>
  <c r="G320" i="5"/>
  <c r="G308" i="5"/>
  <c r="G296" i="5"/>
  <c r="G284" i="5"/>
  <c r="G272" i="5"/>
  <c r="G260" i="5"/>
  <c r="G248" i="5"/>
  <c r="G236" i="5"/>
  <c r="G224" i="5"/>
  <c r="G212" i="5"/>
  <c r="G200" i="5"/>
  <c r="G188" i="5"/>
  <c r="G176" i="5"/>
  <c r="G164" i="5"/>
  <c r="G152" i="5"/>
  <c r="G140" i="5"/>
  <c r="G128" i="5"/>
  <c r="G116" i="5"/>
  <c r="G104" i="5"/>
  <c r="G92" i="5"/>
  <c r="G80" i="5"/>
  <c r="G68" i="5"/>
  <c r="G56" i="5"/>
  <c r="G44" i="5"/>
  <c r="G32" i="5"/>
  <c r="G20" i="5"/>
  <c r="G8" i="5"/>
  <c r="G5897" i="5"/>
  <c r="G4710" i="5"/>
  <c r="G4151" i="5"/>
  <c r="G3864" i="5"/>
  <c r="G3595" i="5"/>
  <c r="G3420" i="5"/>
  <c r="G3285" i="5"/>
  <c r="G3144" i="5"/>
  <c r="G3023" i="5"/>
  <c r="G2905" i="5"/>
  <c r="G2795" i="5"/>
  <c r="G2699" i="5"/>
  <c r="G2605" i="5"/>
  <c r="G2522" i="5"/>
  <c r="G2439" i="5"/>
  <c r="G2356" i="5"/>
  <c r="G2278" i="5"/>
  <c r="G2200" i="5"/>
  <c r="G2131" i="5"/>
  <c r="G2079" i="5"/>
  <c r="G2033" i="5"/>
  <c r="G1991" i="5"/>
  <c r="G1947" i="5"/>
  <c r="G1907" i="5"/>
  <c r="G1867" i="5"/>
  <c r="G1828" i="5"/>
  <c r="G1802" i="5"/>
  <c r="G1774" i="5"/>
  <c r="G1743" i="5"/>
  <c r="G1717" i="5"/>
  <c r="G1684" i="5"/>
  <c r="G1658" i="5"/>
  <c r="G1630" i="5"/>
  <c r="G1599" i="5"/>
  <c r="G1573" i="5"/>
  <c r="G1540" i="5"/>
  <c r="G1514" i="5"/>
  <c r="G1486" i="5"/>
  <c r="G1455" i="5"/>
  <c r="G1429" i="5"/>
  <c r="G1396" i="5"/>
  <c r="G1370" i="5"/>
  <c r="G1342" i="5"/>
  <c r="G1311" i="5"/>
  <c r="G1285" i="5"/>
  <c r="G1252" i="5"/>
  <c r="G1226" i="5"/>
  <c r="G1198" i="5"/>
  <c r="G1167" i="5"/>
  <c r="G1141" i="5"/>
  <c r="G1108" i="5"/>
  <c r="G1082" i="5"/>
  <c r="G1054" i="5"/>
  <c r="G1023" i="5"/>
  <c r="G997" i="5"/>
  <c r="G975" i="5"/>
  <c r="G959" i="5"/>
  <c r="G939" i="5"/>
  <c r="G923" i="5"/>
  <c r="G903" i="5"/>
  <c r="G887" i="5"/>
  <c r="G867" i="5"/>
  <c r="G851" i="5"/>
  <c r="G831" i="5"/>
  <c r="G815" i="5"/>
  <c r="G795" i="5"/>
  <c r="G779" i="5"/>
  <c r="G759" i="5"/>
  <c r="G744" i="5"/>
  <c r="G730" i="5"/>
  <c r="G717" i="5"/>
  <c r="G703" i="5"/>
  <c r="G691" i="5"/>
  <c r="G679" i="5"/>
  <c r="G667" i="5"/>
  <c r="G655" i="5"/>
  <c r="G643" i="5"/>
  <c r="G631" i="5"/>
  <c r="G619" i="5"/>
  <c r="G607" i="5"/>
  <c r="G595" i="5"/>
  <c r="G583" i="5"/>
  <c r="G571" i="5"/>
  <c r="G559" i="5"/>
  <c r="G547" i="5"/>
  <c r="G535" i="5"/>
  <c r="G523" i="5"/>
  <c r="G511" i="5"/>
  <c r="G499" i="5"/>
  <c r="G487" i="5"/>
  <c r="G475" i="5"/>
  <c r="G463" i="5"/>
  <c r="G451" i="5"/>
  <c r="G439" i="5"/>
  <c r="G427" i="5"/>
  <c r="G415" i="5"/>
  <c r="G403" i="5"/>
  <c r="G391" i="5"/>
  <c r="G379" i="5"/>
  <c r="G367" i="5"/>
  <c r="G355" i="5"/>
  <c r="G343" i="5"/>
  <c r="G331" i="5"/>
  <c r="G319" i="5"/>
  <c r="G307" i="5"/>
  <c r="G295" i="5"/>
  <c r="G283" i="5"/>
  <c r="G271" i="5"/>
  <c r="G259" i="5"/>
  <c r="G247" i="5"/>
  <c r="G235" i="5"/>
  <c r="G223" i="5"/>
  <c r="G211" i="5"/>
  <c r="G199" i="5"/>
  <c r="G187" i="5"/>
  <c r="G175" i="5"/>
  <c r="G163" i="5"/>
  <c r="G151" i="5"/>
  <c r="G139" i="5"/>
  <c r="G127" i="5"/>
  <c r="G115" i="5"/>
  <c r="G103" i="5"/>
  <c r="G91" i="5"/>
  <c r="G79" i="5"/>
  <c r="G67" i="5"/>
  <c r="G55" i="5"/>
  <c r="G43" i="5"/>
  <c r="G31" i="5"/>
  <c r="G19" i="5"/>
  <c r="G7" i="5"/>
  <c r="G5868" i="5"/>
  <c r="G4677" i="5"/>
  <c r="G4140" i="5"/>
  <c r="G3848" i="5"/>
  <c r="G3587" i="5"/>
  <c r="G3417" i="5"/>
  <c r="G3275" i="5"/>
  <c r="G3141" i="5"/>
  <c r="G3015" i="5"/>
  <c r="G2903" i="5"/>
  <c r="G2788" i="5"/>
  <c r="G2692" i="5"/>
  <c r="G2603" i="5"/>
  <c r="G2520" i="5"/>
  <c r="G2437" i="5"/>
  <c r="G2354" i="5"/>
  <c r="G2271" i="5"/>
  <c r="G2198" i="5"/>
  <c r="G2128" i="5"/>
  <c r="G2078" i="5"/>
  <c r="G2032" i="5"/>
  <c r="G1990" i="5"/>
  <c r="G1946" i="5"/>
  <c r="G1906" i="5"/>
  <c r="G1866" i="5"/>
  <c r="G1827" i="5"/>
  <c r="G1801" i="5"/>
  <c r="G1768" i="5"/>
  <c r="G1742" i="5"/>
  <c r="G1714" i="5"/>
  <c r="G1683" i="5"/>
  <c r="G1657" i="5"/>
  <c r="G1624" i="5"/>
  <c r="G1598" i="5"/>
  <c r="G1570" i="5"/>
  <c r="G1539" i="5"/>
  <c r="G1513" i="5"/>
  <c r="G1480" i="5"/>
  <c r="G1454" i="5"/>
  <c r="G1426" i="5"/>
  <c r="G1395" i="5"/>
  <c r="G1369" i="5"/>
  <c r="G1336" i="5"/>
  <c r="G1310" i="5"/>
  <c r="G1282" i="5"/>
  <c r="G1251" i="5"/>
  <c r="G1225" i="5"/>
  <c r="G1192" i="5"/>
  <c r="G1166" i="5"/>
  <c r="G1138" i="5"/>
  <c r="G1107" i="5"/>
  <c r="G1081" i="5"/>
  <c r="G1048" i="5"/>
  <c r="G1022" i="5"/>
  <c r="G994" i="5"/>
  <c r="G974" i="5"/>
  <c r="G958" i="5"/>
  <c r="G938" i="5"/>
  <c r="G922" i="5"/>
  <c r="G902" i="5"/>
  <c r="G886" i="5"/>
  <c r="G866" i="5"/>
  <c r="G850" i="5"/>
  <c r="G830" i="5"/>
  <c r="G814" i="5"/>
  <c r="G794" i="5"/>
  <c r="G778" i="5"/>
  <c r="G758" i="5"/>
  <c r="G743" i="5"/>
  <c r="G729" i="5"/>
  <c r="G715" i="5"/>
  <c r="G702" i="5"/>
  <c r="G690" i="5"/>
  <c r="G678" i="5"/>
  <c r="G666" i="5"/>
  <c r="G654" i="5"/>
  <c r="G642" i="5"/>
  <c r="G630" i="5"/>
  <c r="G618" i="5"/>
  <c r="G606" i="5"/>
  <c r="G594" i="5"/>
  <c r="G582" i="5"/>
  <c r="G570" i="5"/>
  <c r="G558" i="5"/>
  <c r="G546" i="5"/>
  <c r="G534" i="5"/>
  <c r="G522" i="5"/>
  <c r="G510" i="5"/>
  <c r="G498" i="5"/>
  <c r="G486" i="5"/>
  <c r="G474" i="5"/>
  <c r="G462" i="5"/>
  <c r="G450" i="5"/>
  <c r="G438" i="5"/>
  <c r="G426" i="5"/>
  <c r="G414" i="5"/>
  <c r="G402" i="5"/>
  <c r="G390" i="5"/>
  <c r="G378" i="5"/>
  <c r="G366" i="5"/>
  <c r="G354" i="5"/>
  <c r="G342" i="5"/>
  <c r="G330" i="5"/>
  <c r="G318" i="5"/>
  <c r="G306" i="5"/>
  <c r="G294" i="5"/>
  <c r="G282" i="5"/>
  <c r="G270" i="5"/>
  <c r="G258" i="5"/>
  <c r="G246" i="5"/>
  <c r="G234" i="5"/>
  <c r="G222" i="5"/>
  <c r="G210" i="5"/>
  <c r="G198" i="5"/>
  <c r="G186" i="5"/>
  <c r="G174" i="5"/>
  <c r="G162" i="5"/>
  <c r="G150" i="5"/>
  <c r="G138" i="5"/>
  <c r="G126" i="5"/>
  <c r="G114" i="5"/>
  <c r="G102" i="5"/>
  <c r="G90" i="5"/>
  <c r="G78" i="5"/>
  <c r="G66" i="5"/>
  <c r="G54" i="5"/>
  <c r="G42" i="5"/>
  <c r="G30" i="5"/>
  <c r="G18" i="5"/>
  <c r="G6" i="5"/>
  <c r="G5644" i="5"/>
  <c r="G4583" i="5"/>
  <c r="G4075" i="5"/>
  <c r="G3791" i="5"/>
  <c r="G3551" i="5"/>
  <c r="G3390" i="5"/>
  <c r="G3255" i="5"/>
  <c r="G3114" i="5"/>
  <c r="G2992" i="5"/>
  <c r="G2880" i="5"/>
  <c r="G2772" i="5"/>
  <c r="G2676" i="5"/>
  <c r="G2584" i="5"/>
  <c r="G2506" i="5"/>
  <c r="G2423" i="5"/>
  <c r="G2340" i="5"/>
  <c r="G2257" i="5"/>
  <c r="G2185" i="5"/>
  <c r="G2127" i="5"/>
  <c r="G2077" i="5"/>
  <c r="G2031" i="5"/>
  <c r="G1987" i="5"/>
  <c r="G1945" i="5"/>
  <c r="G1904" i="5"/>
  <c r="G1865" i="5"/>
  <c r="G1826" i="5"/>
  <c r="G1798" i="5"/>
  <c r="G1767" i="5"/>
  <c r="G1741" i="5"/>
  <c r="G1708" i="5"/>
  <c r="G1682" i="5"/>
  <c r="G1654" i="5"/>
  <c r="G1623" i="5"/>
  <c r="G1597" i="5"/>
  <c r="G1564" i="5"/>
  <c r="G1538" i="5"/>
  <c r="G1510" i="5"/>
  <c r="G1479" i="5"/>
  <c r="G1453" i="5"/>
  <c r="G1420" i="5"/>
  <c r="G1394" i="5"/>
  <c r="G1366" i="5"/>
  <c r="G1335" i="5"/>
  <c r="G1309" i="5"/>
  <c r="G1276" i="5"/>
  <c r="G1250" i="5"/>
  <c r="G1222" i="5"/>
  <c r="G1191" i="5"/>
  <c r="G1165" i="5"/>
  <c r="G1132" i="5"/>
  <c r="G1106" i="5"/>
  <c r="G1078" i="5"/>
  <c r="G1047" i="5"/>
  <c r="G1021" i="5"/>
  <c r="G989" i="5"/>
  <c r="G973" i="5"/>
  <c r="G953" i="5"/>
  <c r="G937" i="5"/>
  <c r="G917" i="5"/>
  <c r="G901" i="5"/>
  <c r="G881" i="5"/>
  <c r="G865" i="5"/>
  <c r="G845" i="5"/>
  <c r="G829" i="5"/>
  <c r="G809" i="5"/>
  <c r="G793" i="5"/>
  <c r="G773" i="5"/>
  <c r="G757" i="5"/>
  <c r="G742" i="5"/>
  <c r="G727" i="5"/>
  <c r="G714" i="5"/>
  <c r="G701" i="5"/>
  <c r="G689" i="5"/>
  <c r="G677" i="5"/>
  <c r="G665" i="5"/>
  <c r="G653" i="5"/>
  <c r="G641" i="5"/>
  <c r="G629" i="5"/>
  <c r="G617" i="5"/>
  <c r="G605" i="5"/>
  <c r="G593" i="5"/>
  <c r="G581" i="5"/>
  <c r="G569" i="5"/>
  <c r="G557" i="5"/>
  <c r="G545" i="5"/>
  <c r="G533" i="5"/>
  <c r="G521" i="5"/>
  <c r="G509" i="5"/>
  <c r="G497" i="5"/>
  <c r="G485" i="5"/>
  <c r="G473" i="5"/>
  <c r="G461" i="5"/>
  <c r="G449" i="5"/>
  <c r="G437" i="5"/>
  <c r="G425" i="5"/>
  <c r="G413" i="5"/>
  <c r="G401" i="5"/>
  <c r="G389" i="5"/>
  <c r="G377" i="5"/>
  <c r="G365" i="5"/>
  <c r="G353" i="5"/>
  <c r="G341" i="5"/>
  <c r="G329" i="5"/>
  <c r="G317" i="5"/>
  <c r="G305" i="5"/>
  <c r="G293" i="5"/>
  <c r="G281" i="5"/>
  <c r="G269" i="5"/>
  <c r="G257" i="5"/>
  <c r="G245" i="5"/>
  <c r="G233" i="5"/>
  <c r="G221" i="5"/>
  <c r="G209" i="5"/>
  <c r="G197" i="5"/>
  <c r="G185" i="5"/>
  <c r="G173" i="5"/>
  <c r="G161" i="5"/>
  <c r="G149" i="5"/>
  <c r="G137" i="5"/>
  <c r="G125" i="5"/>
  <c r="G113" i="5"/>
  <c r="G101" i="5"/>
  <c r="G89" i="5"/>
  <c r="G77" i="5"/>
  <c r="G65" i="5"/>
  <c r="G53" i="5"/>
  <c r="G41" i="5"/>
  <c r="G29" i="5"/>
  <c r="G17" i="5"/>
  <c r="G5" i="5"/>
  <c r="G5580" i="5"/>
  <c r="G4572" i="5"/>
  <c r="G4068" i="5"/>
  <c r="G3789" i="5"/>
  <c r="G3550" i="5"/>
  <c r="G3387" i="5"/>
  <c r="G3247" i="5"/>
  <c r="G3112" i="5"/>
  <c r="G2991" i="5"/>
  <c r="G2879" i="5"/>
  <c r="G2771" i="5"/>
  <c r="G2675" i="5"/>
  <c r="G2583" i="5"/>
  <c r="G2500" i="5"/>
  <c r="G2422" i="5"/>
  <c r="G2339" i="5"/>
  <c r="G2256" i="5"/>
  <c r="G2184" i="5"/>
  <c r="G2126" i="5"/>
  <c r="G2076" i="5"/>
  <c r="G2030" i="5"/>
  <c r="G1986" i="5"/>
  <c r="G1944" i="5"/>
  <c r="G1903" i="5"/>
  <c r="G1864" i="5"/>
  <c r="G1825" i="5"/>
  <c r="G1792" i="5"/>
  <c r="G1766" i="5"/>
  <c r="G1738" i="5"/>
  <c r="G1707" i="5"/>
  <c r="G1681" i="5"/>
  <c r="G1648" i="5"/>
  <c r="G1622" i="5"/>
  <c r="G1594" i="5"/>
  <c r="G1563" i="5"/>
  <c r="G1537" i="5"/>
  <c r="G1504" i="5"/>
  <c r="G1478" i="5"/>
  <c r="G1450" i="5"/>
  <c r="G1419" i="5"/>
  <c r="G1393" i="5"/>
  <c r="G1360" i="5"/>
  <c r="G1334" i="5"/>
  <c r="G1306" i="5"/>
  <c r="G1275" i="5"/>
  <c r="G1249" i="5"/>
  <c r="G1216" i="5"/>
  <c r="G1190" i="5"/>
  <c r="G1162" i="5"/>
  <c r="G1131" i="5"/>
  <c r="G1105" i="5"/>
  <c r="G1072" i="5"/>
  <c r="G1046" i="5"/>
  <c r="G1018" i="5"/>
  <c r="G988" i="5"/>
  <c r="G972" i="5"/>
  <c r="G952" i="5"/>
  <c r="G936" i="5"/>
  <c r="G916" i="5"/>
  <c r="G900" i="5"/>
  <c r="G880" i="5"/>
  <c r="G864" i="5"/>
  <c r="G844" i="5"/>
  <c r="G828" i="5"/>
  <c r="G808" i="5"/>
  <c r="G792" i="5"/>
  <c r="G772" i="5"/>
  <c r="G756" i="5"/>
  <c r="G739" i="5"/>
  <c r="G726" i="5"/>
  <c r="G713" i="5"/>
  <c r="G700" i="5"/>
  <c r="G688" i="5"/>
  <c r="G676" i="5"/>
  <c r="G664" i="5"/>
  <c r="G652" i="5"/>
  <c r="G640" i="5"/>
  <c r="G628" i="5"/>
  <c r="G616" i="5"/>
  <c r="G604" i="5"/>
  <c r="G592" i="5"/>
  <c r="G580" i="5"/>
  <c r="G568" i="5"/>
  <c r="G556" i="5"/>
  <c r="G544" i="5"/>
  <c r="G532" i="5"/>
  <c r="G520" i="5"/>
  <c r="G508" i="5"/>
  <c r="G496" i="5"/>
  <c r="G484" i="5"/>
  <c r="G472" i="5"/>
  <c r="G460" i="5"/>
  <c r="G448" i="5"/>
  <c r="G436" i="5"/>
  <c r="G424" i="5"/>
  <c r="G412" i="5"/>
  <c r="G400" i="5"/>
  <c r="G388" i="5"/>
  <c r="G376" i="5"/>
  <c r="G364" i="5"/>
  <c r="G352" i="5"/>
  <c r="G340" i="5"/>
  <c r="G328" i="5"/>
  <c r="G316" i="5"/>
  <c r="G304" i="5"/>
  <c r="G292" i="5"/>
  <c r="G280" i="5"/>
  <c r="G268" i="5"/>
  <c r="G256" i="5"/>
  <c r="G244" i="5"/>
  <c r="G232" i="5"/>
  <c r="G220" i="5"/>
  <c r="G208" i="5"/>
  <c r="G196" i="5"/>
  <c r="G184" i="5"/>
  <c r="G172" i="5"/>
  <c r="G160" i="5"/>
  <c r="G148" i="5"/>
  <c r="G136" i="5"/>
  <c r="G124" i="5"/>
  <c r="G112" i="5"/>
  <c r="G100" i="5"/>
  <c r="G88" i="5"/>
  <c r="G76" i="5"/>
  <c r="G64" i="5"/>
  <c r="G52" i="5"/>
  <c r="G40" i="5"/>
  <c r="G28" i="5"/>
  <c r="G16" i="5"/>
  <c r="G4" i="5"/>
  <c r="G5398" i="5"/>
  <c r="G4500" i="5"/>
  <c r="G4052" i="5"/>
  <c r="G3780" i="5"/>
  <c r="G3538" i="5"/>
  <c r="G3384" i="5"/>
  <c r="G3243" i="5"/>
  <c r="G3103" i="5"/>
  <c r="G2988" i="5"/>
  <c r="G2871" i="5"/>
  <c r="G2764" i="5"/>
  <c r="G2668" i="5"/>
  <c r="G2581" i="5"/>
  <c r="G2498" i="5"/>
  <c r="G2415" i="5"/>
  <c r="G2332" i="5"/>
  <c r="G2254" i="5"/>
  <c r="G2182" i="5"/>
  <c r="G2113" i="5"/>
  <c r="G2064" i="5"/>
  <c r="G2019" i="5"/>
  <c r="G1975" i="5"/>
  <c r="G1933" i="5"/>
  <c r="G1894" i="5"/>
  <c r="G1854" i="5"/>
  <c r="G1822" i="5"/>
  <c r="G1791" i="5"/>
  <c r="G1765" i="5"/>
  <c r="G1732" i="5"/>
  <c r="G1706" i="5"/>
  <c r="G1678" i="5"/>
  <c r="G1647" i="5"/>
  <c r="G1621" i="5"/>
  <c r="G1588" i="5"/>
  <c r="G1562" i="5"/>
  <c r="G1534" i="5"/>
  <c r="G1503" i="5"/>
  <c r="G1477" i="5"/>
  <c r="G1444" i="5"/>
  <c r="G1418" i="5"/>
  <c r="G1390" i="5"/>
  <c r="G1359" i="5"/>
  <c r="G1333" i="5"/>
  <c r="G1300" i="5"/>
  <c r="G1274" i="5"/>
  <c r="G1246" i="5"/>
  <c r="G1215" i="5"/>
  <c r="G1189" i="5"/>
  <c r="G1156" i="5"/>
  <c r="G1130" i="5"/>
  <c r="G1102" i="5"/>
  <c r="G1071" i="5"/>
  <c r="G1045" i="5"/>
  <c r="G1012" i="5"/>
  <c r="G987" i="5"/>
  <c r="G971" i="5"/>
  <c r="G951" i="5"/>
  <c r="G935" i="5"/>
  <c r="G915" i="5"/>
  <c r="G899" i="5"/>
  <c r="G879" i="5"/>
  <c r="G863" i="5"/>
  <c r="G843" i="5"/>
  <c r="G827" i="5"/>
  <c r="G807" i="5"/>
  <c r="G791" i="5"/>
  <c r="G771" i="5"/>
  <c r="G755" i="5"/>
  <c r="G738" i="5"/>
  <c r="G725" i="5"/>
  <c r="G712" i="5"/>
  <c r="G699" i="5"/>
  <c r="G687" i="5"/>
  <c r="G675" i="5"/>
  <c r="G663" i="5"/>
  <c r="G651" i="5"/>
  <c r="G639" i="5"/>
  <c r="G627" i="5"/>
  <c r="G615" i="5"/>
  <c r="G603" i="5"/>
  <c r="G591" i="5"/>
  <c r="G579" i="5"/>
  <c r="G567" i="5"/>
  <c r="G555" i="5"/>
  <c r="G543" i="5"/>
  <c r="G531" i="5"/>
  <c r="G519" i="5"/>
  <c r="G507" i="5"/>
  <c r="G495" i="5"/>
  <c r="G483" i="5"/>
  <c r="G471" i="5"/>
  <c r="G459" i="5"/>
  <c r="G447" i="5"/>
  <c r="G435" i="5"/>
  <c r="G423" i="5"/>
  <c r="G411" i="5"/>
  <c r="G399" i="5"/>
  <c r="G387" i="5"/>
  <c r="G375" i="5"/>
  <c r="G363" i="5"/>
  <c r="G351" i="5"/>
  <c r="G339" i="5"/>
  <c r="G327" i="5"/>
  <c r="G315" i="5"/>
  <c r="G303" i="5"/>
  <c r="G291" i="5"/>
  <c r="G279" i="5"/>
  <c r="G267" i="5"/>
  <c r="G255" i="5"/>
  <c r="G243" i="5"/>
  <c r="G231" i="5"/>
  <c r="G219" i="5"/>
  <c r="G207" i="5"/>
  <c r="G195" i="5"/>
  <c r="G183" i="5"/>
  <c r="G171" i="5"/>
  <c r="G159" i="5"/>
  <c r="G147" i="5"/>
  <c r="G135" i="5"/>
  <c r="G123" i="5"/>
  <c r="G111" i="5"/>
  <c r="G99" i="5"/>
  <c r="G5373" i="5"/>
  <c r="G4476" i="5"/>
  <c r="G4008" i="5"/>
  <c r="G3728" i="5"/>
  <c r="G3503" i="5"/>
  <c r="G3357" i="5"/>
  <c r="G3216" i="5"/>
  <c r="G3083" i="5"/>
  <c r="G2965" i="5"/>
  <c r="G2848" i="5"/>
  <c r="G2748" i="5"/>
  <c r="G2652" i="5"/>
  <c r="G2567" i="5"/>
  <c r="G2484" i="5"/>
  <c r="G2401" i="5"/>
  <c r="G2318" i="5"/>
  <c r="G2239" i="5"/>
  <c r="G2167" i="5"/>
  <c r="G2112" i="5"/>
  <c r="G2063" i="5"/>
  <c r="G2018" i="5"/>
  <c r="G1974" i="5"/>
  <c r="G1932" i="5"/>
  <c r="G1892" i="5"/>
  <c r="G1853" i="5"/>
  <c r="G1816" i="5"/>
  <c r="G1790" i="5"/>
  <c r="G1762" i="5"/>
  <c r="G1731" i="5"/>
  <c r="G1705" i="5"/>
  <c r="G1672" i="5"/>
  <c r="G1646" i="5"/>
  <c r="G1618" i="5"/>
  <c r="G1587" i="5"/>
  <c r="G1561" i="5"/>
  <c r="G1528" i="5"/>
  <c r="G1502" i="5"/>
  <c r="G1474" i="5"/>
  <c r="G1443" i="5"/>
  <c r="G1417" i="5"/>
  <c r="G1384" i="5"/>
  <c r="G1358" i="5"/>
  <c r="G1330" i="5"/>
  <c r="G1299" i="5"/>
  <c r="G1273" i="5"/>
  <c r="G1240" i="5"/>
  <c r="G1214" i="5"/>
  <c r="G1186" i="5"/>
  <c r="G1155" i="5"/>
  <c r="G1129" i="5"/>
  <c r="G1096" i="5"/>
  <c r="G1070" i="5"/>
  <c r="G1042" i="5"/>
  <c r="G1011" i="5"/>
  <c r="G986" i="5"/>
  <c r="G970" i="5"/>
  <c r="G950" i="5"/>
  <c r="G934" i="5"/>
  <c r="G914" i="5"/>
  <c r="G898" i="5"/>
  <c r="G878" i="5"/>
  <c r="G862" i="5"/>
  <c r="G842" i="5"/>
  <c r="G826" i="5"/>
  <c r="G806" i="5"/>
  <c r="G790" i="5"/>
  <c r="G770" i="5"/>
  <c r="G754" i="5"/>
  <c r="G737" i="5"/>
  <c r="G724" i="5"/>
  <c r="G711" i="5"/>
  <c r="G698" i="5"/>
  <c r="G686" i="5"/>
  <c r="G674" i="5"/>
  <c r="G662" i="5"/>
  <c r="G650" i="5"/>
  <c r="G638" i="5"/>
  <c r="G626" i="5"/>
  <c r="G614" i="5"/>
  <c r="G602" i="5"/>
  <c r="G590" i="5"/>
  <c r="G578" i="5"/>
  <c r="G566" i="5"/>
  <c r="G554" i="5"/>
  <c r="G542" i="5"/>
  <c r="G8198" i="5"/>
  <c r="G5143" i="5"/>
  <c r="G4399" i="5"/>
  <c r="G3984" i="5"/>
  <c r="G3705" i="5"/>
  <c r="G3499" i="5"/>
  <c r="G3346" i="5"/>
  <c r="G3212" i="5"/>
  <c r="G3073" i="5"/>
  <c r="G2956" i="5"/>
  <c r="G2844" i="5"/>
  <c r="G2740" i="5"/>
  <c r="G2644" i="5"/>
  <c r="G2559" i="5"/>
  <c r="G2476" i="5"/>
  <c r="G2398" i="5"/>
  <c r="G2315" i="5"/>
  <c r="G2234" i="5"/>
  <c r="G2162" i="5"/>
  <c r="G2110" i="5"/>
  <c r="G2059" i="5"/>
  <c r="G2016" i="5"/>
  <c r="G1972" i="5"/>
  <c r="G1930" i="5"/>
  <c r="G1890" i="5"/>
  <c r="G1851" i="5"/>
  <c r="G1814" i="5"/>
  <c r="G1786" i="5"/>
  <c r="G1755" i="5"/>
  <c r="G1729" i="5"/>
  <c r="G1696" i="5"/>
  <c r="G1670" i="5"/>
  <c r="G1642" i="5"/>
  <c r="G1611" i="5"/>
  <c r="G1585" i="5"/>
  <c r="G1552" i="5"/>
  <c r="G1526" i="5"/>
  <c r="G1498" i="5"/>
  <c r="G1467" i="5"/>
  <c r="G1441" i="5"/>
  <c r="G1408" i="5"/>
  <c r="G1382" i="5"/>
  <c r="G1354" i="5"/>
  <c r="G1323" i="5"/>
  <c r="G1297" i="5"/>
  <c r="G1264" i="5"/>
  <c r="G1238" i="5"/>
  <c r="G1210" i="5"/>
  <c r="G1179" i="5"/>
  <c r="G1153" i="5"/>
  <c r="G1120" i="5"/>
  <c r="G1094" i="5"/>
  <c r="G1066" i="5"/>
  <c r="G1035" i="5"/>
  <c r="G1009" i="5"/>
  <c r="G984" i="5"/>
  <c r="G964" i="5"/>
  <c r="G948" i="5"/>
  <c r="G928" i="5"/>
  <c r="G912" i="5"/>
  <c r="G892" i="5"/>
  <c r="G876" i="5"/>
  <c r="G856" i="5"/>
  <c r="G840" i="5"/>
  <c r="G820" i="5"/>
  <c r="G804" i="5"/>
  <c r="G784" i="5"/>
  <c r="G768" i="5"/>
  <c r="G749" i="5"/>
  <c r="G735" i="5"/>
  <c r="G722" i="5"/>
  <c r="G709" i="5"/>
  <c r="G696" i="5"/>
  <c r="G684" i="5"/>
  <c r="G672" i="5"/>
  <c r="G660" i="5"/>
  <c r="G648" i="5"/>
  <c r="G636" i="5"/>
  <c r="G624" i="5"/>
  <c r="G612" i="5"/>
  <c r="G600" i="5"/>
  <c r="G588" i="5"/>
  <c r="G576" i="5"/>
  <c r="G564" i="5"/>
  <c r="G552" i="5"/>
  <c r="G540" i="5"/>
  <c r="G528" i="5"/>
  <c r="G516" i="5"/>
  <c r="G504" i="5"/>
  <c r="G492" i="5"/>
  <c r="G480" i="5"/>
  <c r="G468" i="5"/>
  <c r="G456" i="5"/>
  <c r="G444" i="5"/>
  <c r="G432" i="5"/>
  <c r="G420" i="5"/>
  <c r="G6767" i="5"/>
  <c r="G4960" i="5"/>
  <c r="G4319" i="5"/>
  <c r="G3931" i="5"/>
  <c r="G3647" i="5"/>
  <c r="G3464" i="5"/>
  <c r="G3318" i="5"/>
  <c r="G3183" i="5"/>
  <c r="G3049" i="5"/>
  <c r="G2932" i="5"/>
  <c r="G2820" i="5"/>
  <c r="G2723" i="5"/>
  <c r="G2627" i="5"/>
  <c r="G2544" i="5"/>
  <c r="G2461" i="5"/>
  <c r="G2378" i="5"/>
  <c r="G2295" i="5"/>
  <c r="G2220" i="5"/>
  <c r="G2148" i="5"/>
  <c r="G2093" i="5"/>
  <c r="G2046" i="5"/>
  <c r="G2004" i="5"/>
  <c r="G1960" i="5"/>
  <c r="G1919" i="5"/>
  <c r="G1879" i="5"/>
  <c r="G1840" i="5"/>
  <c r="G1810" i="5"/>
  <c r="G1779" i="5"/>
  <c r="G1753" i="5"/>
  <c r="G1720" i="5"/>
  <c r="G1694" i="5"/>
  <c r="G1666" i="5"/>
  <c r="G1635" i="5"/>
  <c r="G1609" i="5"/>
  <c r="G1576" i="5"/>
  <c r="G1550" i="5"/>
  <c r="G1522" i="5"/>
  <c r="G1491" i="5"/>
  <c r="G1465" i="5"/>
  <c r="G1432" i="5"/>
  <c r="G1406" i="5"/>
  <c r="G1378" i="5"/>
  <c r="G1347" i="5"/>
  <c r="G1321" i="5"/>
  <c r="G1288" i="5"/>
  <c r="G1262" i="5"/>
  <c r="G1234" i="5"/>
  <c r="G1203" i="5"/>
  <c r="G1177" i="5"/>
  <c r="G1144" i="5"/>
  <c r="G1118" i="5"/>
  <c r="G1090" i="5"/>
  <c r="G1059" i="5"/>
  <c r="G1033" i="5"/>
  <c r="G1000" i="5"/>
  <c r="G982" i="5"/>
  <c r="G962" i="5"/>
  <c r="G946" i="5"/>
  <c r="G926" i="5"/>
  <c r="G910" i="5"/>
  <c r="G890" i="5"/>
  <c r="G874" i="5"/>
  <c r="G854" i="5"/>
  <c r="G838" i="5"/>
  <c r="G818" i="5"/>
  <c r="G802" i="5"/>
  <c r="G782" i="5"/>
  <c r="G766" i="5"/>
  <c r="G747" i="5"/>
  <c r="G733" i="5"/>
  <c r="G720" i="5"/>
  <c r="G707" i="5"/>
  <c r="G694" i="5"/>
  <c r="G682" i="5"/>
  <c r="G670" i="5"/>
  <c r="G658" i="5"/>
  <c r="G646" i="5"/>
  <c r="G634" i="5"/>
  <c r="G622" i="5"/>
  <c r="G610" i="5"/>
  <c r="G598" i="5"/>
  <c r="G586" i="5"/>
  <c r="G574" i="5"/>
  <c r="G562" i="5"/>
  <c r="G550" i="5"/>
  <c r="G538" i="5"/>
  <c r="G526" i="5"/>
  <c r="G6275" i="5"/>
  <c r="G4833" i="5"/>
  <c r="G4247" i="5"/>
  <c r="G3923" i="5"/>
  <c r="G3643" i="5"/>
  <c r="G3453" i="5"/>
  <c r="G3313" i="5"/>
  <c r="G3174" i="5"/>
  <c r="G3047" i="5"/>
  <c r="G2929" i="5"/>
  <c r="G2812" i="5"/>
  <c r="G2716" i="5"/>
  <c r="G2620" i="5"/>
  <c r="G2542" i="5"/>
  <c r="G2459" i="5"/>
  <c r="G2376" i="5"/>
  <c r="G2293" i="5"/>
  <c r="G2218" i="5"/>
  <c r="G2147" i="5"/>
  <c r="G2092" i="5"/>
  <c r="G2045" i="5"/>
  <c r="G2003" i="5"/>
  <c r="G1959" i="5"/>
  <c r="G1918" i="5"/>
  <c r="G1878" i="5"/>
  <c r="G1839" i="5"/>
  <c r="G1804" i="5"/>
  <c r="G1778" i="5"/>
  <c r="G1750" i="5"/>
  <c r="G1719" i="5"/>
  <c r="G1693" i="5"/>
  <c r="G1660" i="5"/>
  <c r="G1634" i="5"/>
  <c r="G1606" i="5"/>
  <c r="G1575" i="5"/>
  <c r="G1549" i="5"/>
  <c r="G1516" i="5"/>
  <c r="G1490" i="5"/>
  <c r="G1462" i="5"/>
  <c r="G1431" i="5"/>
  <c r="G1405" i="5"/>
  <c r="G1372" i="5"/>
  <c r="G1346" i="5"/>
  <c r="G1318" i="5"/>
  <c r="G1287" i="5"/>
  <c r="G1261" i="5"/>
  <c r="G1228" i="5"/>
  <c r="G1202" i="5"/>
  <c r="G1174" i="5"/>
  <c r="G1143" i="5"/>
  <c r="G1117" i="5"/>
  <c r="G1084" i="5"/>
  <c r="G1058" i="5"/>
  <c r="G1030" i="5"/>
  <c r="G999" i="5"/>
  <c r="G977" i="5"/>
  <c r="G961" i="5"/>
  <c r="G941" i="5"/>
  <c r="G925" i="5"/>
  <c r="G905" i="5"/>
  <c r="G889" i="5"/>
  <c r="G869" i="5"/>
  <c r="G853" i="5"/>
  <c r="G833" i="5"/>
  <c r="G817" i="5"/>
  <c r="G797" i="5"/>
  <c r="G23" i="5"/>
  <c r="G45" i="5"/>
  <c r="G62" i="5"/>
  <c r="G84" i="5"/>
  <c r="G107" i="5"/>
  <c r="G131" i="5"/>
  <c r="G155" i="5"/>
  <c r="G179" i="5"/>
  <c r="G203" i="5"/>
  <c r="G227" i="5"/>
  <c r="G251" i="5"/>
  <c r="G275" i="5"/>
  <c r="G299" i="5"/>
  <c r="G323" i="5"/>
  <c r="G347" i="5"/>
  <c r="G371" i="5"/>
  <c r="G395" i="5"/>
  <c r="G419" i="5"/>
  <c r="G446" i="5"/>
  <c r="G478" i="5"/>
  <c r="G505" i="5"/>
  <c r="G539" i="5"/>
  <c r="G587" i="5"/>
  <c r="G635" i="5"/>
  <c r="G683" i="5"/>
  <c r="G734" i="5"/>
  <c r="G805" i="5"/>
  <c r="G913" i="5"/>
  <c r="G1036" i="5"/>
  <c r="G1213" i="5"/>
  <c r="G1383" i="5"/>
  <c r="G1558" i="5"/>
  <c r="G1730" i="5"/>
  <c r="G1931" i="5"/>
  <c r="G2236" i="5"/>
  <c r="G2747" i="5"/>
  <c r="G3502" i="5"/>
  <c r="G2" i="5"/>
  <c r="G24" i="5"/>
  <c r="G46" i="5"/>
  <c r="G63" i="5"/>
  <c r="G85" i="5"/>
  <c r="G108" i="5"/>
  <c r="G132" i="5"/>
  <c r="G156" i="5"/>
  <c r="G180" i="5"/>
  <c r="G204" i="5"/>
  <c r="G228" i="5"/>
  <c r="G252" i="5"/>
  <c r="G276" i="5"/>
  <c r="G300" i="5"/>
  <c r="G324" i="5"/>
  <c r="G348" i="5"/>
  <c r="G372" i="5"/>
  <c r="G396" i="5"/>
  <c r="G421" i="5"/>
  <c r="G453" i="5"/>
  <c r="G479" i="5"/>
  <c r="G506" i="5"/>
  <c r="G541" i="5"/>
  <c r="G589" i="5"/>
  <c r="G637" i="5"/>
  <c r="G685" i="5"/>
  <c r="G736" i="5"/>
  <c r="G819" i="5"/>
  <c r="G927" i="5"/>
  <c r="G1060" i="5"/>
  <c r="G1237" i="5"/>
  <c r="G1407" i="5"/>
  <c r="G1582" i="5"/>
  <c r="G1754" i="5"/>
  <c r="G1961" i="5"/>
  <c r="G2296" i="5"/>
  <c r="G2821" i="5"/>
  <c r="G3667" i="5"/>
  <c r="G3" i="5"/>
  <c r="G25" i="5"/>
  <c r="G47" i="5"/>
  <c r="G69" i="5"/>
  <c r="G86" i="5"/>
  <c r="G109" i="5"/>
  <c r="G133" i="5"/>
  <c r="G157" i="5"/>
  <c r="G181" i="5"/>
  <c r="G205" i="5"/>
  <c r="G229" i="5"/>
  <c r="G253" i="5"/>
  <c r="G277" i="5"/>
  <c r="G301" i="5"/>
  <c r="G325" i="5"/>
  <c r="G349" i="5"/>
  <c r="G373" i="5"/>
  <c r="G397" i="5"/>
  <c r="G422" i="5"/>
  <c r="G454" i="5"/>
  <c r="G481" i="5"/>
  <c r="G513" i="5"/>
  <c r="G549" i="5"/>
  <c r="G597" i="5"/>
  <c r="G645" i="5"/>
  <c r="G693" i="5"/>
  <c r="G746" i="5"/>
  <c r="G821" i="5"/>
  <c r="G929" i="5"/>
  <c r="G1069" i="5"/>
  <c r="G1239" i="5"/>
  <c r="G1414" i="5"/>
  <c r="G1586" i="5"/>
  <c r="G1756" i="5"/>
  <c r="G1973" i="5"/>
  <c r="G2317" i="5"/>
  <c r="G2847" i="5"/>
  <c r="G3727" i="5"/>
  <c r="G9" i="5"/>
  <c r="G26" i="5"/>
  <c r="G48" i="5"/>
  <c r="G70" i="5"/>
  <c r="G87" i="5"/>
  <c r="G110" i="5"/>
  <c r="G134" i="5"/>
  <c r="G158" i="5"/>
  <c r="G182" i="5"/>
  <c r="G206" i="5"/>
  <c r="G230" i="5"/>
  <c r="G254" i="5"/>
  <c r="G278" i="5"/>
  <c r="G302" i="5"/>
  <c r="G326" i="5"/>
  <c r="G350" i="5"/>
  <c r="G374" i="5"/>
  <c r="G398" i="5"/>
  <c r="G429" i="5"/>
  <c r="G455" i="5"/>
  <c r="G482" i="5"/>
  <c r="G514" i="5"/>
  <c r="G551" i="5"/>
  <c r="G599" i="5"/>
  <c r="G647" i="5"/>
  <c r="G695" i="5"/>
  <c r="G748" i="5"/>
  <c r="G839" i="5"/>
  <c r="G947" i="5"/>
  <c r="G1093" i="5"/>
  <c r="G1263" i="5"/>
  <c r="G1438" i="5"/>
  <c r="G1610" i="5"/>
  <c r="G1780" i="5"/>
  <c r="G2005" i="5"/>
  <c r="G2379" i="5"/>
  <c r="G2939" i="5"/>
  <c r="G3933" i="5"/>
  <c r="G10" i="5"/>
  <c r="G27" i="5"/>
  <c r="G49" i="5"/>
  <c r="G71" i="5"/>
  <c r="G93" i="5"/>
  <c r="G117" i="5"/>
  <c r="G141" i="5"/>
  <c r="G165" i="5"/>
  <c r="G189" i="5"/>
  <c r="G213" i="5"/>
  <c r="G237" i="5"/>
  <c r="G261" i="5"/>
  <c r="G285" i="5"/>
  <c r="G309" i="5"/>
  <c r="G333" i="5"/>
  <c r="G357" i="5"/>
  <c r="G381" i="5"/>
  <c r="G405" i="5"/>
  <c r="G430" i="5"/>
  <c r="G457" i="5"/>
  <c r="G489" i="5"/>
  <c r="G515" i="5"/>
  <c r="G553" i="5"/>
  <c r="G601" i="5"/>
  <c r="G649" i="5"/>
  <c r="G697" i="5"/>
  <c r="G751" i="5"/>
  <c r="G841" i="5"/>
  <c r="G949" i="5"/>
  <c r="G1095" i="5"/>
  <c r="G1270" i="5"/>
  <c r="G1442" i="5"/>
  <c r="G1612" i="5"/>
  <c r="G1789" i="5"/>
  <c r="G2017" i="5"/>
  <c r="G2400" i="5"/>
  <c r="G2964" i="5"/>
  <c r="G3993" i="5"/>
  <c r="G11" i="5"/>
  <c r="G33" i="5"/>
  <c r="G50" i="5"/>
  <c r="G72" i="5"/>
  <c r="G94" i="5"/>
  <c r="G118" i="5"/>
  <c r="G142" i="5"/>
  <c r="G166" i="5"/>
  <c r="G190" i="5"/>
  <c r="G214" i="5"/>
  <c r="G238" i="5"/>
  <c r="G262" i="5"/>
  <c r="G286" i="5"/>
  <c r="G310" i="5"/>
  <c r="G334" i="5"/>
  <c r="G358" i="5"/>
  <c r="G382" i="5"/>
  <c r="G406" i="5"/>
  <c r="G431" i="5"/>
  <c r="G458" i="5"/>
  <c r="G490" i="5"/>
  <c r="G517" i="5"/>
  <c r="G561" i="5"/>
  <c r="G609" i="5"/>
  <c r="G657" i="5"/>
  <c r="G706" i="5"/>
  <c r="G761" i="5"/>
  <c r="G855" i="5"/>
  <c r="G963" i="5"/>
  <c r="G1119" i="5"/>
  <c r="G1294" i="5"/>
  <c r="G1466" i="5"/>
  <c r="G1636" i="5"/>
  <c r="G1813" i="5"/>
  <c r="G2047" i="5"/>
  <c r="G2462" i="5"/>
  <c r="G3051" i="5"/>
  <c r="G432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この列の2行目以降を変更すると、フォームで選択できる名前が変わります。
	-Takahiro Katsumata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00000000-0006-0000-0100-000002000000}">
      <text>
        <r>
          <rPr>
            <sz val="10"/>
            <color rgb="FF000000"/>
            <rFont val="Arial"/>
            <scheme val="minor"/>
          </rPr>
          <t>フォーム解答を自動で集計して各シフトの最大スコアの人を計算する
	-Takahiro Katsumata</t>
        </r>
      </text>
    </comment>
    <comment ref="F8" authorId="0" shapeId="0" xr:uid="{00000000-0006-0000-0100-000001000000}">
      <text>
        <r>
          <rPr>
            <sz val="10"/>
            <color rgb="FF000000"/>
            <rFont val="Arial"/>
            <scheme val="minor"/>
          </rPr>
          <t>左の最大スコアの獲得者。困ったときにシフトをふる方第一候補
	-Takahiro Katsumata</t>
        </r>
      </text>
    </comment>
  </commentList>
</comments>
</file>

<file path=xl/sharedStrings.xml><?xml version="1.0" encoding="utf-8"?>
<sst xmlns="http://schemas.openxmlformats.org/spreadsheetml/2006/main" count="29985" uniqueCount="721">
  <si>
    <t>名前</t>
  </si>
  <si>
    <t>菊野</t>
  </si>
  <si>
    <t>伊藤</t>
  </si>
  <si>
    <t>高口</t>
  </si>
  <si>
    <t>井上</t>
  </si>
  <si>
    <t>勝俣</t>
  </si>
  <si>
    <t>西谷</t>
  </si>
  <si>
    <t>竹藤</t>
  </si>
  <si>
    <t>宗</t>
  </si>
  <si>
    <t>山口</t>
  </si>
  <si>
    <t>福井</t>
  </si>
  <si>
    <t>宮坂</t>
  </si>
  <si>
    <t>林哲</t>
  </si>
  <si>
    <t>新美</t>
  </si>
  <si>
    <t>林智</t>
  </si>
  <si>
    <t>太良</t>
  </si>
  <si>
    <t>吉田</t>
  </si>
  <si>
    <t>尾田</t>
  </si>
  <si>
    <t>中瀬</t>
  </si>
  <si>
    <t>佐藤</t>
  </si>
  <si>
    <t>QueryによるMAXスコア集計</t>
  </si>
  <si>
    <t>最大スコア獲得者</t>
  </si>
  <si>
    <t>希望</t>
  </si>
  <si>
    <t>確定シフト</t>
  </si>
  <si>
    <t>1年目</t>
  </si>
  <si>
    <t>メモ</t>
  </si>
  <si>
    <t>当直同時</t>
  </si>
  <si>
    <t>2022</t>
  </si>
  <si>
    <t>04</t>
  </si>
  <si>
    <t>福里</t>
  </si>
  <si>
    <t>柴山</t>
  </si>
  <si>
    <t>湯川</t>
  </si>
  <si>
    <t>05</t>
  </si>
  <si>
    <t>なし</t>
  </si>
  <si>
    <t>勝俣教育吉田コマ</t>
  </si>
  <si>
    <t>千種</t>
  </si>
  <si>
    <t>宗病棟</t>
  </si>
  <si>
    <t>湯川E森岳F勝俣A林哲B</t>
  </si>
  <si>
    <t>森岳</t>
  </si>
  <si>
    <t>片山C新美E福里A</t>
  </si>
  <si>
    <t>千種病棟勝俣コマ</t>
  </si>
  <si>
    <t>中瀬病棟林智コマ</t>
  </si>
  <si>
    <t>佐藤病棟</t>
  </si>
  <si>
    <t>能野E柴山A</t>
  </si>
  <si>
    <t>新美コマ</t>
  </si>
  <si>
    <t>松井</t>
  </si>
  <si>
    <t>井上コマ</t>
  </si>
  <si>
    <t>森岳病棟</t>
  </si>
  <si>
    <t>宮坂病棟</t>
  </si>
  <si>
    <t>山田C宗E新美F吉田B</t>
  </si>
  <si>
    <t>能野</t>
  </si>
  <si>
    <t>佐藤E中瀬F</t>
  </si>
  <si>
    <t>松井病棟福里コマ</t>
  </si>
  <si>
    <t>伊藤病棟尾田コマ</t>
  </si>
  <si>
    <t>06</t>
  </si>
  <si>
    <t>河瀬</t>
  </si>
  <si>
    <t>吉田コマ</t>
  </si>
  <si>
    <t>福井E菊野F</t>
  </si>
  <si>
    <t>尾田E湯川F林哲B</t>
  </si>
  <si>
    <t>中村</t>
  </si>
  <si>
    <t>井上病棟太良コマ</t>
  </si>
  <si>
    <t>中瀬病棟勝俣コマ</t>
  </si>
  <si>
    <t>中村病棟</t>
  </si>
  <si>
    <t>河瀬病棟新美教育</t>
  </si>
  <si>
    <t>山田C松井F</t>
  </si>
  <si>
    <t>宗E勝俣F</t>
  </si>
  <si>
    <t>菊野病棟尾田コマ</t>
  </si>
  <si>
    <t>福井教育伊東病棟</t>
  </si>
  <si>
    <t>福里A</t>
  </si>
  <si>
    <t>片山C井上E太良A</t>
  </si>
  <si>
    <t>新美病棟林智コマ</t>
  </si>
  <si>
    <t>尾田教育井上コマ</t>
  </si>
  <si>
    <t>湯川教育</t>
  </si>
  <si>
    <t>勝俣病棟</t>
  </si>
  <si>
    <t>森伸C中瀬F</t>
  </si>
  <si>
    <t>河瀬E柴山A林智B</t>
  </si>
  <si>
    <t>森岳病棟福里コマ</t>
  </si>
  <si>
    <t>湯川コマ</t>
  </si>
  <si>
    <t>松井病棟</t>
  </si>
  <si>
    <t>07</t>
  </si>
  <si>
    <t>新美E 森岳A</t>
  </si>
  <si>
    <t>佐藤F尾田B</t>
  </si>
  <si>
    <t>中瀬病棟太良コマ</t>
  </si>
  <si>
    <t>林智コマ</t>
  </si>
  <si>
    <t>柴山病棟</t>
  </si>
  <si>
    <t>山田B</t>
  </si>
  <si>
    <t>片山C福井E松井F宗A</t>
  </si>
  <si>
    <t>林智教育新美コマ</t>
  </si>
  <si>
    <t>菊野病棟吉田コマ</t>
  </si>
  <si>
    <t>林哲A</t>
  </si>
  <si>
    <t>井上F湯川A河瀬B</t>
  </si>
  <si>
    <t>中瀬E伊藤F福里A太良B吉田コマ</t>
  </si>
  <si>
    <t>新美病棟尾田コマ</t>
  </si>
  <si>
    <t>柴山E松井F吉田B</t>
  </si>
  <si>
    <t>林智教育井上湯川コマ</t>
  </si>
  <si>
    <t>福里コマ</t>
  </si>
  <si>
    <t>勝俣コマ</t>
  </si>
  <si>
    <t>森伸C中村F</t>
  </si>
  <si>
    <t>宮坂F伊藤A勝俣B</t>
  </si>
  <si>
    <t>08</t>
  </si>
  <si>
    <t>吉田教育湯川コマ</t>
  </si>
  <si>
    <t>勝俣病棟新見コマ</t>
  </si>
  <si>
    <t>湯川病棟勝俣コマ</t>
  </si>
  <si>
    <t>宗E森岳F中瀬A山田B</t>
  </si>
  <si>
    <t>稲葉E伊藤F</t>
  </si>
  <si>
    <t>福井病棟太良コマ</t>
  </si>
  <si>
    <t>井上E林智コマ</t>
  </si>
  <si>
    <t>柴山E</t>
  </si>
  <si>
    <t>鈴木F松井A</t>
  </si>
  <si>
    <t>尾田病棟福里コマ</t>
  </si>
  <si>
    <t>森岳病棟林智コマ</t>
  </si>
  <si>
    <t>菊野病棟</t>
  </si>
  <si>
    <t>吉田教育伊藤病棟</t>
  </si>
  <si>
    <t>森伸C湯川E福井F佐藤A</t>
  </si>
  <si>
    <t>林智教育太良コマ</t>
  </si>
  <si>
    <t>井上病棟新美コマ</t>
  </si>
  <si>
    <t>新美E林哲B</t>
  </si>
  <si>
    <t>片山C宮坂E菊野F太良B</t>
  </si>
  <si>
    <t>柴山教育井上コマ</t>
  </si>
  <si>
    <t>尾田教育</t>
  </si>
  <si>
    <t>09</t>
  </si>
  <si>
    <t>宮坂病棟勝俣コマ</t>
  </si>
  <si>
    <t>湯川E井上F宗A林智B</t>
  </si>
  <si>
    <t>福井E</t>
  </si>
  <si>
    <t>太良コマ</t>
  </si>
  <si>
    <t>笠原</t>
  </si>
  <si>
    <t>鈴木</t>
  </si>
  <si>
    <t>稲葉</t>
  </si>
  <si>
    <t>勝俣F山田B</t>
  </si>
  <si>
    <t>尾田E笠原B</t>
  </si>
  <si>
    <t>菊野病棟福里コマ</t>
  </si>
  <si>
    <t>湯川病棟</t>
  </si>
  <si>
    <t>井上病棟</t>
  </si>
  <si>
    <t>宮坂F佐藤A林哲B</t>
  </si>
  <si>
    <t>片山C柴山E中瀬F森岳A吉田B</t>
  </si>
  <si>
    <t>稲葉E伊藤F新美A</t>
  </si>
  <si>
    <t>尾田コマ</t>
  </si>
  <si>
    <t>福井病棟</t>
  </si>
  <si>
    <t>森伸C福里B</t>
  </si>
  <si>
    <t>菊野F</t>
  </si>
  <si>
    <t>松井F鈴木A太良B</t>
  </si>
  <si>
    <t>尾田病棟湯川コマ</t>
  </si>
  <si>
    <t>稲葉病棟柴山教育林智コマ</t>
  </si>
  <si>
    <t>中瀬病棟</t>
  </si>
  <si>
    <t>伊藤病棟井上コマ</t>
  </si>
  <si>
    <t>10</t>
  </si>
  <si>
    <t>宗A森岳E橋元F</t>
  </si>
  <si>
    <t>尾田E林智B</t>
  </si>
  <si>
    <t>橋元</t>
  </si>
  <si>
    <t>中野</t>
  </si>
  <si>
    <t>中野病棟吉田コマ</t>
  </si>
  <si>
    <t>尾田教育林智コマ</t>
  </si>
  <si>
    <t>宮坂病棟竹藤コマ</t>
  </si>
  <si>
    <t>福井E菊野F林哲A</t>
  </si>
  <si>
    <t>石田F森岳A勝俣B</t>
  </si>
  <si>
    <t>新美E吉田A林智コマ菊野コマ</t>
  </si>
  <si>
    <t>石田</t>
  </si>
  <si>
    <t>西谷病棟勝俣コマ</t>
  </si>
  <si>
    <t>稲葉病棟</t>
  </si>
  <si>
    <t>笠原病棟</t>
  </si>
  <si>
    <t>宗F井上A</t>
  </si>
  <si>
    <t>森伸C松井F鈴木A</t>
  </si>
  <si>
    <t>竹藤教育井上病棟</t>
  </si>
  <si>
    <t>西谷E稲葉F山田B</t>
  </si>
  <si>
    <t>笠原E中野F</t>
  </si>
  <si>
    <t>石田病棟井上コマ</t>
  </si>
  <si>
    <t>菊野E宮坂F橋元A</t>
  </si>
  <si>
    <t>片山C竹藤E太良B</t>
  </si>
  <si>
    <t>新美教育尾田コマ</t>
  </si>
  <si>
    <t>11</t>
  </si>
  <si>
    <t>山口E橋元F林哲B吉田コマ</t>
  </si>
  <si>
    <t>山口E橋元F林哲B勝俣コマ</t>
  </si>
  <si>
    <t>NAN</t>
  </si>
  <si>
    <t>森病棟竹藤コマ</t>
  </si>
  <si>
    <t>西谷F</t>
  </si>
  <si>
    <t>竹藤教育尾田コマ</t>
  </si>
  <si>
    <t>尾田病棟</t>
  </si>
  <si>
    <t>山口病棟</t>
  </si>
  <si>
    <t>勝俣F宗A</t>
  </si>
  <si>
    <t>井上F</t>
  </si>
  <si>
    <t>竹藤教育菊野病棟</t>
  </si>
  <si>
    <t>橋元病棟</t>
  </si>
  <si>
    <t>西谷E</t>
  </si>
  <si>
    <t>片山C石田E松井A新美B</t>
  </si>
  <si>
    <t>宮坂病棟井上コマ</t>
  </si>
  <si>
    <t>森F中野A林智B</t>
  </si>
  <si>
    <t>山田C稲葉A吉田B</t>
  </si>
  <si>
    <t>福井E笠原A太良B</t>
  </si>
  <si>
    <t>尾田教育山口コマ</t>
  </si>
  <si>
    <t>井上病棟勝俣コマ</t>
  </si>
  <si>
    <t>石田病棟</t>
  </si>
  <si>
    <t>12</t>
  </si>
  <si>
    <t>伊藤病棟</t>
  </si>
  <si>
    <t>中瀬F林哲B</t>
  </si>
  <si>
    <t>稲葉E太良A</t>
  </si>
  <si>
    <t>西谷病棟</t>
  </si>
  <si>
    <t>山口教育菊野病棟</t>
  </si>
  <si>
    <t>森岳B</t>
  </si>
  <si>
    <t>伊藤F松井A</t>
  </si>
  <si>
    <t>尾田教育中野病棟</t>
  </si>
  <si>
    <t>西堂</t>
  </si>
  <si>
    <t>佐藤E</t>
  </si>
  <si>
    <t>松井F</t>
  </si>
  <si>
    <t>吉田教育</t>
  </si>
  <si>
    <t>林智教育菊野病棟</t>
  </si>
  <si>
    <t>山口教育西堂病棟</t>
  </si>
  <si>
    <t>佐藤F</t>
  </si>
  <si>
    <t>2023</t>
  </si>
  <si>
    <t>01</t>
  </si>
  <si>
    <t>松井病棟林智コマ</t>
  </si>
  <si>
    <t>竹藤コマ</t>
  </si>
  <si>
    <t>勝俣E</t>
  </si>
  <si>
    <t>森E竹藤コマ日勤</t>
  </si>
  <si>
    <t>森E林智コマ夜勤</t>
  </si>
  <si>
    <t>竹藤教育西堂病棟</t>
  </si>
  <si>
    <t>西谷A</t>
  </si>
  <si>
    <t>片山C中野E伊藤F稲葉A林智B</t>
  </si>
  <si>
    <t>勝俣病棟太良コマ</t>
  </si>
  <si>
    <t>森</t>
  </si>
  <si>
    <t>山田C中瀬E林哲B</t>
  </si>
  <si>
    <t>佐藤F新美B</t>
  </si>
  <si>
    <t>中野病棟尾田コマ</t>
  </si>
  <si>
    <t>西谷F中瀬A吉田B</t>
  </si>
  <si>
    <t>佐藤A太良B</t>
  </si>
  <si>
    <t>森教育山口コマ</t>
  </si>
  <si>
    <t>02</t>
  </si>
  <si>
    <t>山田C山口E井上F宗A</t>
  </si>
  <si>
    <t>中瀬E高口F竹藤B</t>
  </si>
  <si>
    <t>林智教育新美病棟尾田コマ</t>
  </si>
  <si>
    <t>菊野教育佐藤病棟太良コマ</t>
  </si>
  <si>
    <t>林哲B</t>
  </si>
  <si>
    <t>勝俣F伊藤A</t>
  </si>
  <si>
    <t>新美教育林智コマ</t>
  </si>
  <si>
    <t>西谷E佐藤F吉田B</t>
  </si>
  <si>
    <t>片山C高口E</t>
  </si>
  <si>
    <t>尾田教育中瀬病棟吉田コマ</t>
  </si>
  <si>
    <t>菊野F新美コマ</t>
  </si>
  <si>
    <t>菊野F山口コマ</t>
  </si>
  <si>
    <t>林智教育勝俣病棟</t>
  </si>
  <si>
    <t>西谷F福井A太良B</t>
  </si>
  <si>
    <t>03</t>
  </si>
  <si>
    <t>山口教育</t>
  </si>
  <si>
    <t>山田C森E宮坂B</t>
  </si>
  <si>
    <t>太良✗</t>
  </si>
  <si>
    <t>林智教育西谷病棟</t>
  </si>
  <si>
    <t>宗A</t>
  </si>
  <si>
    <t>福井E菊野A</t>
  </si>
  <si>
    <t>新美教育</t>
  </si>
  <si>
    <t>中瀬F太良A</t>
  </si>
  <si>
    <t>←OK</t>
  </si>
  <si>
    <t>伊藤E佐藤F高口A林哲B</t>
  </si>
  <si>
    <t>勝俣EF</t>
  </si>
  <si>
    <t>宮坂F中瀬A</t>
  </si>
  <si>
    <t>高口E宗F</t>
  </si>
  <si>
    <t>西谷病棟新美教育</t>
  </si>
  <si>
    <t>伊藤病棟林智教育</t>
  </si>
  <si>
    <t>竹藤AE尾田BF</t>
  </si>
  <si>
    <t/>
  </si>
  <si>
    <t>2022/04/01 (金)
平日夜間</t>
  </si>
  <si>
    <t>平日夜間</t>
  </si>
  <si>
    <t>2022/04/02 (土)
休日午後</t>
  </si>
  <si>
    <t>休日午後</t>
  </si>
  <si>
    <t>2022/04/02 (土)
休日午前</t>
  </si>
  <si>
    <t>休日午前</t>
  </si>
  <si>
    <t>2022/04/03 (日)
休日午後</t>
  </si>
  <si>
    <t>2022/04/03 (日)
休日午前</t>
  </si>
  <si>
    <t>2022/04/04 (月)
平日夜間</t>
  </si>
  <si>
    <t>2022/04/05 (火)
平日夜間</t>
  </si>
  <si>
    <t>2022/04/06 (水)
平日夜間</t>
  </si>
  <si>
    <t>2022/04/07 (木)
平日夜間</t>
  </si>
  <si>
    <t>2022/04/08 (金)
平日夜間</t>
  </si>
  <si>
    <t>2022/04/09 (土)
休日午後</t>
  </si>
  <si>
    <t>2022/04/09 (土)
休日午前</t>
  </si>
  <si>
    <t>2022/04/10 (日)
休日午後</t>
  </si>
  <si>
    <t>2022/04/10 (日)
休日午前</t>
  </si>
  <si>
    <t>2022/04/11 (月)
平日夜間</t>
  </si>
  <si>
    <t>2022/04/12 (火)
平日夜間</t>
  </si>
  <si>
    <t>2022/04/13 (水)
平日夜間</t>
  </si>
  <si>
    <t>2022/04/14 (木)
平日夜間</t>
  </si>
  <si>
    <t>2022/04/15 (金)
平日夜間</t>
  </si>
  <si>
    <t>2022/04/16 (土)
休日午後</t>
  </si>
  <si>
    <t>2022/04/16 (土)
休日午前</t>
  </si>
  <si>
    <t>2022/04/17 (日)
休日午後</t>
  </si>
  <si>
    <t>2022/04/17 (日)
休日午前</t>
  </si>
  <si>
    <t>2022/04/18 (月)
平日夜間</t>
  </si>
  <si>
    <t>2022/04/19 (火)
平日夜間</t>
  </si>
  <si>
    <t>2022/04/20 (水)
平日夜間</t>
  </si>
  <si>
    <t>2022/04/21 (木)
平日夜間</t>
  </si>
  <si>
    <t>2022/04/22 (金)
平日夜間</t>
  </si>
  <si>
    <t>2022/04/23 (土)
休日午後</t>
  </si>
  <si>
    <t>2022/04/23 (土)
休日午前</t>
  </si>
  <si>
    <t>2022/04/24 (日)
休日午後</t>
  </si>
  <si>
    <t>2022/04/24 (日)
休日午前</t>
  </si>
  <si>
    <t>2022/04/25 (月)
平日夜間</t>
  </si>
  <si>
    <t>2022/04/26 (火)
平日夜間</t>
  </si>
  <si>
    <t>2022/04/27 (水)
平日夜間</t>
  </si>
  <si>
    <t>2022/04/28 (木)
平日夜間</t>
  </si>
  <si>
    <t>2022/05/09 (月)
平日夜間</t>
  </si>
  <si>
    <t>2022/05/10 (火)
平日夜間</t>
  </si>
  <si>
    <t>2022/05/11 (水)
平日夜間</t>
  </si>
  <si>
    <t>2022/05/12 (木)
平日夜間</t>
  </si>
  <si>
    <t>2022/05/13 (金)
平日夜間</t>
  </si>
  <si>
    <t>2022/05/14 (土)
休日午後</t>
  </si>
  <si>
    <t>2022/05/14 (土)
休日午前</t>
  </si>
  <si>
    <t>2022/05/15 (日)
休日午後</t>
  </si>
  <si>
    <t>2022/05/15 (日)
休日午前</t>
  </si>
  <si>
    <t>2022/05/16 (月)
平日夜間</t>
  </si>
  <si>
    <t>2022/05/17 (火)
平日夜間</t>
  </si>
  <si>
    <t>2022/05/18 (水)
平日夜間</t>
  </si>
  <si>
    <t>2022/05/19 (木)
平日夜間</t>
  </si>
  <si>
    <t>2022/05/20 (金)
平日夜間</t>
  </si>
  <si>
    <t>2022/05/21 (土)
休日午後</t>
  </si>
  <si>
    <t>2022/05/21 (土)
休日午前</t>
  </si>
  <si>
    <t>2022/05/22 (日)
休日午後</t>
  </si>
  <si>
    <t>2022/05/22 (日)
休日午前</t>
  </si>
  <si>
    <t>2022/05/23 (月)
平日夜間</t>
  </si>
  <si>
    <t>2022/05/24 (火)
平日夜間</t>
  </si>
  <si>
    <t>2022/05/25 (水)
平日夜間</t>
  </si>
  <si>
    <t>2022/05/26 (木)
平日夜間</t>
  </si>
  <si>
    <t>2022/05/27 (金)
平日夜間</t>
  </si>
  <si>
    <t>2022/05/28 (土)
休日午後</t>
  </si>
  <si>
    <t>2022/05/28 (土)
休日午前</t>
  </si>
  <si>
    <t>2022/05/29 (日)
休日午後</t>
  </si>
  <si>
    <t>2022/05/29 (日)
休日午前</t>
  </si>
  <si>
    <t>2022/05/30 (月)
平日夜間</t>
  </si>
  <si>
    <t>2022/05/31 (火)
平日夜間</t>
  </si>
  <si>
    <t>2022/06/01 (水)
平日夜間</t>
  </si>
  <si>
    <t>2022/06/02 (木)
平日夜間</t>
  </si>
  <si>
    <t>2022/06/03 (金)
平日夜間</t>
  </si>
  <si>
    <t>2022/06/04 (土)
休日午後</t>
  </si>
  <si>
    <t>2022/06/04 (土)
休日午前</t>
  </si>
  <si>
    <t>2022/06/05 (日)
休日午後</t>
  </si>
  <si>
    <t>2022/06/05 (日)
休日午前</t>
  </si>
  <si>
    <t>2022/06/06 (月)
平日夜間</t>
  </si>
  <si>
    <t>2022/06/07 (火)
平日夜間</t>
  </si>
  <si>
    <t>2022/06/08 (水)
平日夜間</t>
  </si>
  <si>
    <t>2022/06/09 (木)
平日夜間</t>
  </si>
  <si>
    <t>2022/06/10 (金)
平日夜間</t>
  </si>
  <si>
    <t>2022/06/11 (土)
休日午後</t>
  </si>
  <si>
    <t>2022/06/11 (土)
休日午前</t>
  </si>
  <si>
    <t>2022/06/12 (日)
休日午後</t>
  </si>
  <si>
    <t>2022/06/12 (日)
休日午前</t>
  </si>
  <si>
    <t>2022/06/13 (月)
平日夜間</t>
  </si>
  <si>
    <t>2022/06/14 (火)
平日夜間</t>
  </si>
  <si>
    <t>2022/06/15 (水)
平日夜間</t>
  </si>
  <si>
    <t>2022/06/16 (木)
平日夜間</t>
  </si>
  <si>
    <t>2022/06/17 (金)
平日夜間</t>
  </si>
  <si>
    <t>2022/06/18 (土)
休日午後</t>
  </si>
  <si>
    <t>2022/06/18 (土)
休日午前</t>
  </si>
  <si>
    <t>2022/06/19 (日)
休日午後</t>
  </si>
  <si>
    <t>2022/06/19 (日)
休日午前</t>
  </si>
  <si>
    <t>2022/06/20 (月)
平日夜間</t>
  </si>
  <si>
    <t>2022/06/21 (火)
平日夜間</t>
  </si>
  <si>
    <t>2022/06/22 (水)
平日夜間</t>
  </si>
  <si>
    <t>2022/06/23 (木)
平日夜間</t>
  </si>
  <si>
    <t>2022/06/24 (金)
平日夜間</t>
  </si>
  <si>
    <t>2022/06/25 (土)
休日午後</t>
  </si>
  <si>
    <t>2022/06/25 (土)
休日午前</t>
  </si>
  <si>
    <t>2022/06/26 (日)
休日午後</t>
  </si>
  <si>
    <t>2022/06/26 (日)
休日午前</t>
  </si>
  <si>
    <t>2022/06/27 (月)
平日夜間</t>
  </si>
  <si>
    <t>2022/06/28 (火)
平日夜間</t>
  </si>
  <si>
    <t>2022/06/29 (水)
平日夜間</t>
  </si>
  <si>
    <t>2022/06/30 (木)
平日夜間</t>
  </si>
  <si>
    <t>2022/07/01 (金)
平日夜間</t>
  </si>
  <si>
    <t>2022/07/02 (土)
休日午後</t>
  </si>
  <si>
    <t>2022/07/02 (土)
休日午前</t>
  </si>
  <si>
    <t>2022/07/03 (日)
休日午後</t>
  </si>
  <si>
    <t>2022/07/03 (日)
休日午前</t>
  </si>
  <si>
    <t>2022/07/04 (月)
平日夜間</t>
  </si>
  <si>
    <t>2022/07/05 (火)
平日夜間</t>
  </si>
  <si>
    <t>2022/07/06 (水)
平日夜間</t>
  </si>
  <si>
    <t>2022/07/07 (木)
平日夜間</t>
  </si>
  <si>
    <t>2022/07/08 (金)
平日夜間</t>
  </si>
  <si>
    <t>2022/07/09 (土)
休日午後</t>
  </si>
  <si>
    <t>2022/07/09 (土)
休日午前</t>
  </si>
  <si>
    <t>2022/07/10 (日)
休日午後</t>
  </si>
  <si>
    <t>2022/07/10 (日)
休日午前</t>
  </si>
  <si>
    <t>2022/07/11 (月)
平日夜間</t>
  </si>
  <si>
    <t>2022/07/12 (火)
平日夜間</t>
  </si>
  <si>
    <t>2022/07/13 (水)
平日夜間</t>
  </si>
  <si>
    <t>2022/07/14 (木)
平日夜間</t>
  </si>
  <si>
    <t>2022/07/15 (金)
平日夜間</t>
  </si>
  <si>
    <t>2022/07/16 (土)
休日午後</t>
  </si>
  <si>
    <t>2022/07/16 (土)
休日午前</t>
  </si>
  <si>
    <t>2022/07/17 (日)
休日午後</t>
  </si>
  <si>
    <t>2022/07/17 (日)
休日午前</t>
  </si>
  <si>
    <t>2022/07/19 (火)
平日夜間</t>
  </si>
  <si>
    <t>2022/07/20 (水)
平日夜間</t>
  </si>
  <si>
    <t>2022/07/21 (木)
平日夜間</t>
  </si>
  <si>
    <t>2022/07/22 (金)
平日夜間</t>
  </si>
  <si>
    <t>2022/07/23 (土)
休日午後</t>
  </si>
  <si>
    <t>2022/07/23 (土)
休日午前</t>
  </si>
  <si>
    <t>2022/07/24 (日)
休日午後</t>
  </si>
  <si>
    <t>2022/07/24 (日)
休日午前</t>
  </si>
  <si>
    <t>2022/07/25 (月)
平日夜間</t>
  </si>
  <si>
    <t>2022/07/26 (火)
平日夜間</t>
  </si>
  <si>
    <t>2022/07/27 (水)
平日夜間</t>
  </si>
  <si>
    <t>2022/07/28 (木)
平日夜間</t>
  </si>
  <si>
    <t>2022/07/29 (金)
平日夜間</t>
  </si>
  <si>
    <t>2022/07/30 (土)
休日午後</t>
  </si>
  <si>
    <t>2022/07/30 (土)
休日午前</t>
  </si>
  <si>
    <t>2022/07/31 (日)
休日午後</t>
  </si>
  <si>
    <t>2022/07/31 (日)
休日午前</t>
  </si>
  <si>
    <t>2022/07/18 (月)
休日午後</t>
  </si>
  <si>
    <t>2022/07/18 (月)
休日午前</t>
  </si>
  <si>
    <t>2022/08/01 (月)
平日夜間</t>
  </si>
  <si>
    <t>2022/08/02 (火)
平日夜間</t>
  </si>
  <si>
    <t>2022/08/03 (水)
平日夜間</t>
  </si>
  <si>
    <t>2022/08/04 (木)
平日夜間</t>
  </si>
  <si>
    <t>2022/08/05 (金)
平日夜間</t>
  </si>
  <si>
    <t>2022/08/06 (土)
休日午前</t>
  </si>
  <si>
    <t>2022/08/06 (土)
休日午後</t>
  </si>
  <si>
    <t>2022/08/07 (日)
休日午前</t>
  </si>
  <si>
    <t>2022/08/07 (日)
休日午後</t>
  </si>
  <si>
    <t>2022/08/08 (月)
平日夜間</t>
  </si>
  <si>
    <t>2022/08/09 (火)
平日夜間</t>
  </si>
  <si>
    <t>2022/08/10 (水)
平日夜間</t>
  </si>
  <si>
    <t>2022/08/11 (木)
休日午前</t>
  </si>
  <si>
    <t>2022/08/11 (木)
休日午後</t>
  </si>
  <si>
    <t>2022/08/12 (金)
平日夜間</t>
  </si>
  <si>
    <t>2022/08/13 (土)
休日午前</t>
  </si>
  <si>
    <t>2022/08/13 (土)
休日午後</t>
  </si>
  <si>
    <t>2022/08/14 (日)
休日午前</t>
  </si>
  <si>
    <t>2022/08/14 (日)
休日午後</t>
  </si>
  <si>
    <t>2022/08/15 (月)
平日夜間</t>
  </si>
  <si>
    <t>2022/08/16 (火)
平日夜間</t>
  </si>
  <si>
    <t>2022/08/17 (水)
平日夜間</t>
  </si>
  <si>
    <t>2022/08/18 (木)
平日夜間</t>
  </si>
  <si>
    <t>2022/08/19 (金)
平日夜間</t>
  </si>
  <si>
    <t>2022/08/20 (土)
休日午前</t>
  </si>
  <si>
    <t>2022/08/20 (土)
休日午後</t>
  </si>
  <si>
    <t>2022/08/21 (日)
休日午前</t>
  </si>
  <si>
    <t>2022/08/21 (日)
休日午後</t>
  </si>
  <si>
    <t>2022/08/22 (月)
平日夜間</t>
  </si>
  <si>
    <t>2022/08/23 (火)
平日夜間</t>
  </si>
  <si>
    <t>2022/08/24 (水)
平日夜間</t>
  </si>
  <si>
    <t>2022/08/25 (木)
平日夜間</t>
  </si>
  <si>
    <t>2022/08/26 (金)
平日夜間</t>
  </si>
  <si>
    <t>2022/08/27 (土)
休日午前</t>
  </si>
  <si>
    <t>2022/08/27 (土)
休日午後</t>
  </si>
  <si>
    <t>2022/08/28 (日)
休日午前</t>
  </si>
  <si>
    <t>2022/08/28 (日)
休日午後</t>
  </si>
  <si>
    <t>2022/08/29 (月)
平日夜間</t>
  </si>
  <si>
    <t>2022/08/30 (火)
平日夜間</t>
  </si>
  <si>
    <t>2022/08/31 (水)
平日夜間</t>
  </si>
  <si>
    <t>2022/09/01 (木)
平日夜間</t>
  </si>
  <si>
    <t>2022/09/02 (金)
平日夜間</t>
  </si>
  <si>
    <t>2022/09/03 (土)
休日午前</t>
  </si>
  <si>
    <t>2022/09/03 (土)
休日午後</t>
  </si>
  <si>
    <t>2022/09/04 (日)
休日午前</t>
  </si>
  <si>
    <t>2022/09/04 (日)
休日午後</t>
  </si>
  <si>
    <t>2022/09/05 (月)
平日夜間</t>
  </si>
  <si>
    <t>2022/09/06 (火)
平日夜間</t>
  </si>
  <si>
    <t>2022/09/07 (水)
平日夜間</t>
  </si>
  <si>
    <t>2022/09/08 (木)
平日夜間</t>
  </si>
  <si>
    <t>2022/09/09 (金)
平日夜間</t>
  </si>
  <si>
    <t>2022/09/10 (土)
休日午前</t>
  </si>
  <si>
    <t>2022/09/10 (土)
休日午後</t>
  </si>
  <si>
    <t>2022/09/11 (日)
休日午前</t>
  </si>
  <si>
    <t>2022/09/11 (日)
休日午後</t>
  </si>
  <si>
    <t>2022/09/12 (月)
平日夜間</t>
  </si>
  <si>
    <t>2022/09/13 (火)
平日夜間</t>
  </si>
  <si>
    <t>2022/09/14 (水)
平日夜間</t>
  </si>
  <si>
    <t>2022/09/15 (木)
平日夜間</t>
  </si>
  <si>
    <t>2022/09/16 (金)
平日夜間</t>
  </si>
  <si>
    <t>2022/09/17 (土)
休日午前</t>
  </si>
  <si>
    <t>2022/09/17 (土)
休日午後</t>
  </si>
  <si>
    <t>2022/09/18 (日)
休日午前</t>
  </si>
  <si>
    <t>2022/09/18 (日)
休日午後</t>
  </si>
  <si>
    <t>2022/09/19 (月)
休日午前</t>
  </si>
  <si>
    <t>2022/09/19 (月)
休日午後</t>
  </si>
  <si>
    <t>2022/09/20 (火)
平日夜間</t>
  </si>
  <si>
    <t>2022/09/21 (水)
平日夜間</t>
  </si>
  <si>
    <t>2022/09/22 (木)
平日夜間</t>
  </si>
  <si>
    <t>2022/09/23 (金)
休日午前</t>
  </si>
  <si>
    <t>2022/09/23 (金)
休日午後</t>
  </si>
  <si>
    <t>2022/09/24 (土)
休日午前</t>
  </si>
  <si>
    <t>2022/09/24 (土)
休日午後</t>
  </si>
  <si>
    <t>2022/09/25 (日)
休日午前</t>
  </si>
  <si>
    <t>2022/09/25 (日)
休日午後</t>
  </si>
  <si>
    <t>2022/09/26 (月)
平日夜間</t>
  </si>
  <si>
    <t>2022/09/27 (火)
平日夜間</t>
  </si>
  <si>
    <t>2022/09/28 (水)
平日夜間</t>
  </si>
  <si>
    <t>2022/09/29 (木)
平日夜間</t>
  </si>
  <si>
    <t>2022/09/30 (金)
平日夜間</t>
  </si>
  <si>
    <t>2022/10/01 (土)
休日午前</t>
  </si>
  <si>
    <t>2022/10/01 (土)
休日午後</t>
  </si>
  <si>
    <t>2022/10/02 (日)
休日午前</t>
  </si>
  <si>
    <t>2022/10/02 (日)
休日午後</t>
  </si>
  <si>
    <t>2022/10/03 (月)
平日夜間</t>
  </si>
  <si>
    <t>2022/10/04 (火)
平日夜間</t>
  </si>
  <si>
    <t>2022/10/05 (水)
平日夜間</t>
  </si>
  <si>
    <t>2022/10/06 (木)
平日夜間</t>
  </si>
  <si>
    <t>2022/10/07 (金)
平日夜間</t>
  </si>
  <si>
    <t>2022/10/08 (土)
休日午前</t>
  </si>
  <si>
    <t>2022/10/08 (土)
休日午後</t>
  </si>
  <si>
    <t>2022/10/09 (日)
休日午前</t>
  </si>
  <si>
    <t>2022/10/09 (日)
休日午後</t>
  </si>
  <si>
    <t>2022/10/10 (月)
休日午前</t>
  </si>
  <si>
    <t>2022/10/10 (月)
休日午後</t>
  </si>
  <si>
    <t>2022/10/11 (火)
平日夜間</t>
  </si>
  <si>
    <t>2022/10/12 (水)
平日夜間</t>
  </si>
  <si>
    <t>2022/10/13 (木)
平日夜間</t>
  </si>
  <si>
    <t>2022/10/14 (金)
平日夜間</t>
  </si>
  <si>
    <t>2022/10/15 (土)
休日午前</t>
  </si>
  <si>
    <t>2022/10/15 (土)
休日午後</t>
  </si>
  <si>
    <t>2022/10/16 (日)
休日午前</t>
  </si>
  <si>
    <t>2022/10/16 (日)
休日午後</t>
  </si>
  <si>
    <t>2022/10/17 (月)
平日夜間</t>
  </si>
  <si>
    <t>2022/10/18 (火)
平日夜間</t>
  </si>
  <si>
    <t>2022/10/19 (水)
平日夜間</t>
  </si>
  <si>
    <t>2022/10/20 (木)
平日夜間</t>
  </si>
  <si>
    <t>2022/10/21 (金)
平日夜間</t>
  </si>
  <si>
    <t>2022/10/22 (土)
休日午前</t>
  </si>
  <si>
    <t>2022/10/22 (土)
休日午後</t>
  </si>
  <si>
    <t>2022/10/23 (日)
休日午前</t>
  </si>
  <si>
    <t>2022/10/23 (日)
休日午後</t>
  </si>
  <si>
    <t>2022/10/24 (月)
平日夜間</t>
  </si>
  <si>
    <t>2022/10/25 (火)
平日夜間</t>
  </si>
  <si>
    <t>2022/10/26 (水)
平日夜間</t>
  </si>
  <si>
    <t>2022/10/27 (木)
平日夜間</t>
  </si>
  <si>
    <t>2022/10/28 (金)
平日夜間</t>
  </si>
  <si>
    <t>2022/10/29 (土)
休日午前</t>
  </si>
  <si>
    <t>2022/10/29 (土)
休日午後</t>
  </si>
  <si>
    <t>2022/10/30 (日)
休日午前</t>
  </si>
  <si>
    <t>2022/10/30 (日)
休日午後</t>
  </si>
  <si>
    <t>2022/10/31 (月)
平日夜間</t>
  </si>
  <si>
    <t>2022/11/01 (火)
平日夜間</t>
  </si>
  <si>
    <t>2022/11/02 (水)
平日夜間</t>
  </si>
  <si>
    <t>2022/11/03 (木)
平日夜間</t>
  </si>
  <si>
    <t>2022/11/04 (金)
平日夜間</t>
  </si>
  <si>
    <t>2022/11/05 (土)
休日午前</t>
  </si>
  <si>
    <t>2022/11/05 (土)
休日午後</t>
  </si>
  <si>
    <t>2022/11/06 (日)
休日午前</t>
  </si>
  <si>
    <t>2022/11/06 (日)
休日午後</t>
  </si>
  <si>
    <t>2022/11/07 (月)
平日夜間</t>
  </si>
  <si>
    <t>2022/11/08 (火)
平日夜間</t>
  </si>
  <si>
    <t>2022/11/09 (水)
平日夜間</t>
  </si>
  <si>
    <t>2022/11/10 (木)
平日夜間</t>
  </si>
  <si>
    <t>2022/11/11 (金)
平日夜間</t>
  </si>
  <si>
    <t>2022/11/12 (土)
休日午前</t>
  </si>
  <si>
    <t>2022/11/12 (土)
休日午後</t>
  </si>
  <si>
    <t>2022/11/13 (日)
休日午前</t>
  </si>
  <si>
    <t>2022/11/13 (日)
休日午後</t>
  </si>
  <si>
    <t>2022/11/14 (月)
平日夜間</t>
  </si>
  <si>
    <t>2022/11/15 (火)
平日夜間</t>
  </si>
  <si>
    <t>2022/11/16 (水)
平日夜間</t>
  </si>
  <si>
    <t>2022/11/17 (木)
平日夜間</t>
  </si>
  <si>
    <t>2022/11/18 (金)
平日夜間</t>
  </si>
  <si>
    <t>2022/11/19 (土)
休日午前</t>
  </si>
  <si>
    <t>2022/11/19 (土)
休日午後</t>
  </si>
  <si>
    <t>2022/11/20 (日)
休日午前</t>
  </si>
  <si>
    <t>2022/11/20 (日)
休日午後</t>
  </si>
  <si>
    <t>2022/11/21 (月)
平日夜間</t>
  </si>
  <si>
    <t>2022/11/22 (火)
平日夜間</t>
  </si>
  <si>
    <t>2022/11/23 (水)
平日夜間</t>
  </si>
  <si>
    <t>2022/11/24 (木)
平日夜間</t>
  </si>
  <si>
    <t>2022/11/25 (金)
平日夜間</t>
  </si>
  <si>
    <t>2022/11/26 (土)
休日午前</t>
  </si>
  <si>
    <t>2022/11/26 (土)
休日午後</t>
  </si>
  <si>
    <t>2022/11/27 (日)
休日午前</t>
  </si>
  <si>
    <t>2022/11/27 (日)
休日午後</t>
  </si>
  <si>
    <t>2022/11/28 (月)
平日夜間</t>
  </si>
  <si>
    <t>2022/11/29 (火)
平日夜間</t>
  </si>
  <si>
    <t>2022/11/30 (水)
平日夜間</t>
  </si>
  <si>
    <t>2022/11/03 (木)
休日午前</t>
  </si>
  <si>
    <t>2022/11/03 (木)
休日午後</t>
  </si>
  <si>
    <t>2022/11/23 (水)
休日午前</t>
  </si>
  <si>
    <t>2022/11/23 (水)
休日午後</t>
  </si>
  <si>
    <t>2022/12/01 (木)
平日夜間</t>
  </si>
  <si>
    <t>2022/12/02 (金)
平日夜間</t>
  </si>
  <si>
    <t>2022/12/03 (土)
休日午前</t>
  </si>
  <si>
    <t>2022/12/03 (土)
休日午後</t>
  </si>
  <si>
    <t>2022/12/04 (日)
休日午前</t>
  </si>
  <si>
    <t>2022/12/04 (日)
休日午後</t>
  </si>
  <si>
    <t>2022/12/05 (月)
平日夜間</t>
  </si>
  <si>
    <t>2022/12/06 (火)
平日夜間</t>
  </si>
  <si>
    <t>2022/12/07 (水)
平日夜間</t>
  </si>
  <si>
    <t>2022/12/08 (木)
平日夜間</t>
  </si>
  <si>
    <t>2022/12/09 (金)
平日夜間</t>
  </si>
  <si>
    <t>2022/12/10 (土)
休日午前</t>
  </si>
  <si>
    <t>2022/12/10 (土)
休日午後</t>
  </si>
  <si>
    <t>2022/12/11 (日)
休日午前</t>
  </si>
  <si>
    <t>2022/12/11 (日)
休日午後</t>
  </si>
  <si>
    <t>2022/12/12 (月)
平日夜間</t>
  </si>
  <si>
    <t>2022/12/13 (火)
平日夜間</t>
  </si>
  <si>
    <t>2022/12/14 (水)
平日夜間</t>
  </si>
  <si>
    <t>2022/12/15 (木)
平日夜間</t>
  </si>
  <si>
    <t>2022/12/16 (金)
平日夜間</t>
  </si>
  <si>
    <t>2022/12/17 (土)
休日午前</t>
  </si>
  <si>
    <t>2022/12/17 (土)
休日午後</t>
  </si>
  <si>
    <t>2022/12/18 (日)
休日午前</t>
  </si>
  <si>
    <t>2022/12/18 (日)
休日午後</t>
  </si>
  <si>
    <t>2022/12/19 (月)
平日夜間</t>
  </si>
  <si>
    <t>2022/12/20 (火)
平日夜間</t>
  </si>
  <si>
    <t>2022/12/21 (水)
平日夜間</t>
  </si>
  <si>
    <t>2022/12/22 (木)
平日夜間</t>
  </si>
  <si>
    <t>2022/12/23 (金)
平日夜間</t>
  </si>
  <si>
    <t>2022/12/24 (土)
休日午前</t>
  </si>
  <si>
    <t>2022/12/24 (土)
休日午後</t>
  </si>
  <si>
    <t>2022/12/25 (日)
休日午前</t>
  </si>
  <si>
    <t>2022/12/25 (日)
休日午後</t>
  </si>
  <si>
    <t>2022/12/26 (月)
平日夜間</t>
  </si>
  <si>
    <t>2022/12/27 (火)
平日夜間</t>
  </si>
  <si>
    <t>2022/12/28 (水)
平日夜間</t>
  </si>
  <si>
    <t>2023/01/04 (水)
平日夜間</t>
  </si>
  <si>
    <t>2023/01/05 (木)
平日夜間</t>
  </si>
  <si>
    <t>2023/01/06 (金)
平日夜間</t>
  </si>
  <si>
    <t>2023/01/07 (土)
休日午前</t>
  </si>
  <si>
    <t>2023/01/07 (土)
休日午後</t>
  </si>
  <si>
    <t>2023/01/08 (日)
休日午前</t>
  </si>
  <si>
    <t>2023/01/08 (日)
休日午後</t>
  </si>
  <si>
    <t>2023/01/09 (月)
休日午前</t>
  </si>
  <si>
    <t>2023/01/09 (月)
休日午後</t>
  </si>
  <si>
    <t>2023/01/10 (火)
平日夜間</t>
  </si>
  <si>
    <t>2023/01/11 (水)
平日夜間</t>
  </si>
  <si>
    <t>2023/01/12 (木)
平日夜間</t>
  </si>
  <si>
    <t>2023/01/13 (金)
平日夜間</t>
  </si>
  <si>
    <t>2023/01/14 (土)
休日午前</t>
  </si>
  <si>
    <t>2023/01/14 (土)
休日午後</t>
  </si>
  <si>
    <t>2023/01/15 (日)
休日午前</t>
  </si>
  <si>
    <t>2023/01/15 (日)
休日午後</t>
  </si>
  <si>
    <t>2023/01/16 (月)
平日夜間</t>
  </si>
  <si>
    <t>2023/01/17 (火)
平日夜間</t>
  </si>
  <si>
    <t>2023/01/18 (水)
平日夜間</t>
  </si>
  <si>
    <t>2023/01/19 (木)
平日夜間</t>
  </si>
  <si>
    <t>2023/01/20 (金)
平日夜間</t>
  </si>
  <si>
    <t>2023/01/21 (土)
休日午前</t>
  </si>
  <si>
    <t>2023/01/21 (土)
休日午後</t>
  </si>
  <si>
    <t>2023/01/22 (日)
休日午前</t>
  </si>
  <si>
    <t>2023/01/22 (日)
休日午後</t>
  </si>
  <si>
    <t>2023/01/23 (月)
平日夜間</t>
  </si>
  <si>
    <t>2023/01/24 (火)
平日夜間</t>
  </si>
  <si>
    <t>2023/01/25 (水)
平日夜間</t>
  </si>
  <si>
    <t>2023/01/26 (木)
平日夜間</t>
  </si>
  <si>
    <t>2023/01/27 (金)
平日夜間</t>
  </si>
  <si>
    <t>2023/01/28 (土)
休日午前</t>
  </si>
  <si>
    <t>2023/01/28 (土)
休日午後</t>
  </si>
  <si>
    <t>2023/01/29 (日)
休日午前</t>
  </si>
  <si>
    <t>2023/01/29 (日)
休日午後</t>
  </si>
  <si>
    <t>2023/01/30 (月)
平日夜間</t>
  </si>
  <si>
    <t>2023/01/31 (火)
平日夜間</t>
  </si>
  <si>
    <t>2023/02/01 (水)
平日夜間</t>
  </si>
  <si>
    <t>2023/02/02 (木)
平日夜間</t>
  </si>
  <si>
    <t>2023/02/03 (金)
平日夜間</t>
  </si>
  <si>
    <t>2023/02/04 (土)
休日午前</t>
  </si>
  <si>
    <t>2023/02/04 (土)
休日午後</t>
  </si>
  <si>
    <t>2023/02/05 (日)
休日午前</t>
  </si>
  <si>
    <t>2023/02/05 (日)
休日午後</t>
  </si>
  <si>
    <t>2023/02/06 (月)
平日夜間</t>
  </si>
  <si>
    <t>2023/02/07 (火)
平日夜間</t>
  </si>
  <si>
    <t>2023/02/08 (水)
平日夜間</t>
  </si>
  <si>
    <t>2023/02/09 (木)
平日夜間</t>
  </si>
  <si>
    <t>2023/02/10 (金)
平日夜間</t>
  </si>
  <si>
    <t>2023/02/11 (土)
休日午前</t>
  </si>
  <si>
    <t>2023/02/11 (土)
休日午後</t>
  </si>
  <si>
    <t>2023/02/12 (日)
休日午前</t>
  </si>
  <si>
    <t>2023/02/12 (日)
休日午後</t>
  </si>
  <si>
    <t>2023/02/13 (月)
平日夜間</t>
  </si>
  <si>
    <t>2023/02/14 (火)
平日夜間</t>
  </si>
  <si>
    <t>2023/02/15 (水)
平日夜間</t>
  </si>
  <si>
    <t>2023/02/16 (木)
平日夜間</t>
  </si>
  <si>
    <t>2023/02/17 (金)
平日夜間</t>
  </si>
  <si>
    <t>2023/02/18 (土)
休日午前</t>
  </si>
  <si>
    <t>2023/02/18 (土)
休日午後</t>
  </si>
  <si>
    <t>2023/02/19 (日)
休日午前</t>
  </si>
  <si>
    <t>2023/02/19 (日)
休日午後</t>
  </si>
  <si>
    <t>2023/02/20 (月)
平日夜間</t>
  </si>
  <si>
    <t>2023/02/21 (火)
平日夜間</t>
  </si>
  <si>
    <t>2023/02/22 (水)
平日夜間</t>
  </si>
  <si>
    <t>2023/02/23 (木)
休日午前</t>
  </si>
  <si>
    <t>2023/02/23 (木)
休日午後</t>
  </si>
  <si>
    <t>2023/02/24 (金)
平日夜間</t>
  </si>
  <si>
    <t>2023/02/25 (土)
休日午前</t>
  </si>
  <si>
    <t>2023/02/25 (土)
休日午後</t>
  </si>
  <si>
    <t>2023/02/26 (日)
休日午前</t>
  </si>
  <si>
    <t>2023/02/26 (日)
休日午後</t>
  </si>
  <si>
    <t>2023/02/27 (月)
平日夜間</t>
  </si>
  <si>
    <t>2023/02/28 (火)
平日夜間</t>
  </si>
  <si>
    <t>2023/03/01 (水)
平日夜間</t>
  </si>
  <si>
    <t>2023/03/02 (木)
平日夜間</t>
  </si>
  <si>
    <t>2023/03/03 (金)
平日夜間</t>
  </si>
  <si>
    <t>2023/03/04 (土)
休日午前</t>
  </si>
  <si>
    <t>2023/03/04 (土)
休日午後</t>
  </si>
  <si>
    <t>2023/03/05 (日)
休日午前</t>
  </si>
  <si>
    <t>2023/03/05 (日)
休日午後</t>
  </si>
  <si>
    <t>2023/03/06 (月)
平日夜間</t>
  </si>
  <si>
    <t>2023/03/07 (火)
平日夜間</t>
  </si>
  <si>
    <t>2023/03/08 (水)
平日夜間</t>
  </si>
  <si>
    <t>2023/03/09 (木)
平日夜間</t>
  </si>
  <si>
    <t>2023/03/10 (金)
平日夜間</t>
  </si>
  <si>
    <t>2023/03/11 (土)
休日午前</t>
  </si>
  <si>
    <t>2023/03/11 (土)
休日午後</t>
  </si>
  <si>
    <t>2023/03/12 (日)
休日午前</t>
  </si>
  <si>
    <t>2023/03/12 (日)
休日午後</t>
  </si>
  <si>
    <t>2023/03/13 (月)
平日夜間</t>
  </si>
  <si>
    <t>2023/03/14 (火)
平日夜間</t>
  </si>
  <si>
    <t>2023/03/15 (水)
平日夜間</t>
  </si>
  <si>
    <t>2023/03/16 (木)
平日夜間</t>
  </si>
  <si>
    <t>2023/03/17 (金)
平日夜間</t>
  </si>
  <si>
    <t>2023/03/18 (土)
休日午前</t>
  </si>
  <si>
    <t>2023/03/18 (土)
休日午後</t>
  </si>
  <si>
    <t>2023/03/19 (日)
休日午前</t>
  </si>
  <si>
    <t>2023/03/19 (日)
休日午後</t>
  </si>
  <si>
    <t>2023/03/20 (月)
平日夜間</t>
  </si>
  <si>
    <t>2023/03/21 (火)
休日午前</t>
  </si>
  <si>
    <t>2023/03/21 (火)
休日午後</t>
  </si>
  <si>
    <t>2023/03/22 (水)
平日夜間</t>
  </si>
  <si>
    <t>2023/03/23 (木)
平日夜間</t>
  </si>
  <si>
    <t>2023/03/24 (金)
平日夜間</t>
  </si>
  <si>
    <t>2023/03/25 (土)
休日午前</t>
  </si>
  <si>
    <t>2023/03/25 (土)
休日午後</t>
  </si>
  <si>
    <t>2023/03/26 (日)
休日午前</t>
  </si>
  <si>
    <t>2023/03/26 (日)
休日午後</t>
  </si>
  <si>
    <t>2023/03/27 (月)
平日夜間</t>
  </si>
  <si>
    <t>2023/03/28 (火)
平日夜間</t>
  </si>
  <si>
    <t>2023/03/29 (水)
平日夜間</t>
  </si>
  <si>
    <t>2023/03/30 (木)
平日夜間</t>
  </si>
  <si>
    <t>2023/03/31 (金)
平日夜間</t>
  </si>
  <si>
    <t>シフト名称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</si>
</sst>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yyyy/mm"/>
    <numFmt numFmtId="178" formatCode="m/d/yyyy\ h:mm:ss"/>
  </numFmts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000000"/>
      <name val="Inconsolata"/>
    </font>
    <font>
      <sz val="11"/>
      <color rgb="FF000000"/>
      <name val="Arial"/>
      <family val="2"/>
      <scheme val="minor"/>
    </font>
    <font>
      <sz val="11"/>
      <color theme="1"/>
      <name val="Inconsolata"/>
    </font>
    <font>
      <sz val="10"/>
      <color rgb="FF666666"/>
      <name val="Arial"/>
      <family val="2"/>
      <scheme val="minor"/>
    </font>
    <font>
      <b/>
      <sz val="10"/>
      <color rgb="FF666666"/>
      <name val="Arial"/>
      <family val="2"/>
      <scheme val="minor"/>
    </font>
    <font>
      <sz val="10"/>
      <color rgb="FFB7B7B7"/>
      <name val="Arial"/>
      <family val="2"/>
      <scheme val="minor"/>
    </font>
    <font>
      <u/>
      <sz val="11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666666"/>
      <name val="Arial"/>
      <family val="2"/>
    </font>
    <font>
      <b/>
      <sz val="10"/>
      <color rgb="FF0000FF"/>
      <name val="Arial"/>
      <family val="2"/>
      <scheme val="minor"/>
    </font>
    <font>
      <b/>
      <sz val="10"/>
      <color theme="7"/>
      <name val="Arial"/>
      <family val="2"/>
      <scheme val="minor"/>
    </font>
    <font>
      <b/>
      <sz val="10"/>
      <color rgb="FF34A853"/>
      <name val="Arial"/>
      <family val="2"/>
      <scheme val="minor"/>
    </font>
    <font>
      <sz val="11"/>
      <color rgb="FF000000"/>
      <name val="Inconsolata"/>
    </font>
    <font>
      <sz val="6"/>
      <name val="Arial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F0F0F0"/>
        <bgColor rgb="FFF0F0F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1" fillId="0" borderId="0" xfId="0" applyFont="1"/>
    <xf numFmtId="1" fontId="2" fillId="3" borderId="0" xfId="0" applyNumberFormat="1" applyFont="1" applyFill="1" applyAlignment="1">
      <alignment horizontal="center"/>
    </xf>
    <xf numFmtId="1" fontId="3" fillId="3" borderId="0" xfId="0" applyNumberFormat="1" applyFont="1" applyFill="1"/>
    <xf numFmtId="1" fontId="4" fillId="3" borderId="0" xfId="0" applyNumberFormat="1" applyFont="1" applyFill="1"/>
    <xf numFmtId="1" fontId="5" fillId="3" borderId="0" xfId="0" applyNumberFormat="1" applyFont="1" applyFill="1"/>
    <xf numFmtId="1" fontId="4" fillId="3" borderId="0" xfId="0" applyNumberFormat="1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76" fontId="2" fillId="3" borderId="0" xfId="0" applyNumberFormat="1" applyFont="1" applyFill="1"/>
    <xf numFmtId="2" fontId="3" fillId="3" borderId="0" xfId="0" applyNumberFormat="1" applyFont="1" applyFill="1"/>
    <xf numFmtId="2" fontId="4" fillId="3" borderId="0" xfId="0" applyNumberFormat="1" applyFont="1" applyFill="1"/>
    <xf numFmtId="2" fontId="2" fillId="3" borderId="0" xfId="0" applyNumberFormat="1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0" fontId="6" fillId="3" borderId="0" xfId="0" applyFont="1" applyFill="1"/>
    <xf numFmtId="176" fontId="6" fillId="3" borderId="0" xfId="0" applyNumberFormat="1" applyFont="1" applyFill="1"/>
    <xf numFmtId="2" fontId="7" fillId="4" borderId="0" xfId="0" applyNumberFormat="1" applyFont="1" applyFill="1"/>
    <xf numFmtId="0" fontId="8" fillId="0" borderId="0" xfId="0" applyFont="1"/>
    <xf numFmtId="2" fontId="8" fillId="0" borderId="0" xfId="0" applyNumberFormat="1" applyFont="1"/>
    <xf numFmtId="2" fontId="9" fillId="0" borderId="0" xfId="0" applyNumberFormat="1" applyFont="1"/>
    <xf numFmtId="2" fontId="6" fillId="3" borderId="0" xfId="0" applyNumberFormat="1" applyFont="1" applyFill="1" applyAlignment="1">
      <alignment horizontal="center"/>
    </xf>
    <xf numFmtId="2" fontId="10" fillId="3" borderId="0" xfId="0" applyNumberFormat="1" applyFont="1" applyFill="1" applyAlignment="1">
      <alignment horizontal="center"/>
    </xf>
    <xf numFmtId="2" fontId="8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11" fillId="3" borderId="0" xfId="0" applyFont="1" applyFill="1"/>
    <xf numFmtId="2" fontId="8" fillId="5" borderId="0" xfId="0" applyNumberFormat="1" applyFont="1" applyFill="1"/>
    <xf numFmtId="0" fontId="1" fillId="5" borderId="0" xfId="0" applyFont="1" applyFill="1"/>
    <xf numFmtId="2" fontId="9" fillId="5" borderId="0" xfId="0" applyNumberFormat="1" applyFont="1" applyFill="1"/>
    <xf numFmtId="2" fontId="3" fillId="6" borderId="0" xfId="0" applyNumberFormat="1" applyFont="1" applyFill="1"/>
    <xf numFmtId="0" fontId="9" fillId="5" borderId="0" xfId="0" applyFont="1" applyFill="1"/>
    <xf numFmtId="2" fontId="1" fillId="0" borderId="0" xfId="0" applyNumberFormat="1" applyFont="1"/>
    <xf numFmtId="2" fontId="12" fillId="5" borderId="0" xfId="0" applyNumberFormat="1" applyFont="1" applyFill="1" applyAlignment="1">
      <alignment horizontal="left"/>
    </xf>
    <xf numFmtId="2" fontId="1" fillId="6" borderId="0" xfId="0" applyNumberFormat="1" applyFont="1" applyFill="1"/>
    <xf numFmtId="0" fontId="12" fillId="5" borderId="0" xfId="0" applyFont="1" applyFill="1" applyAlignment="1">
      <alignment horizontal="left"/>
    </xf>
    <xf numFmtId="2" fontId="13" fillId="5" borderId="0" xfId="0" applyNumberFormat="1" applyFont="1" applyFill="1" applyAlignment="1">
      <alignment horizontal="left"/>
    </xf>
    <xf numFmtId="0" fontId="14" fillId="5" borderId="0" xfId="0" applyFont="1" applyFill="1"/>
    <xf numFmtId="2" fontId="14" fillId="5" borderId="0" xfId="0" applyNumberFormat="1" applyFont="1" applyFill="1"/>
    <xf numFmtId="0" fontId="1" fillId="7" borderId="0" xfId="0" applyFont="1" applyFill="1"/>
    <xf numFmtId="2" fontId="15" fillId="5" borderId="0" xfId="0" applyNumberFormat="1" applyFont="1" applyFill="1"/>
    <xf numFmtId="2" fontId="8" fillId="8" borderId="0" xfId="0" applyNumberFormat="1" applyFont="1" applyFill="1"/>
    <xf numFmtId="2" fontId="16" fillId="5" borderId="0" xfId="0" applyNumberFormat="1" applyFont="1" applyFill="1"/>
    <xf numFmtId="0" fontId="1" fillId="9" borderId="0" xfId="0" applyFont="1" applyFill="1"/>
    <xf numFmtId="2" fontId="8" fillId="9" borderId="0" xfId="0" applyNumberFormat="1" applyFont="1" applyFill="1"/>
    <xf numFmtId="0" fontId="1" fillId="3" borderId="0" xfId="0" applyFont="1" applyFill="1" applyAlignment="1">
      <alignment horizontal="center"/>
    </xf>
    <xf numFmtId="2" fontId="4" fillId="5" borderId="0" xfId="0" applyNumberFormat="1" applyFont="1" applyFill="1"/>
    <xf numFmtId="0" fontId="17" fillId="4" borderId="0" xfId="0" applyFont="1" applyFill="1"/>
    <xf numFmtId="177" fontId="1" fillId="0" borderId="0" xfId="0" applyNumberFormat="1" applyFont="1"/>
    <xf numFmtId="178" fontId="1" fillId="3" borderId="0" xfId="0" applyNumberFormat="1" applyFont="1" applyFill="1"/>
    <xf numFmtId="0" fontId="1" fillId="3" borderId="0" xfId="0" applyFont="1" applyFill="1"/>
    <xf numFmtId="0" fontId="7" fillId="3" borderId="0" xfId="0" applyFont="1" applyFill="1"/>
    <xf numFmtId="0" fontId="1" fillId="3" borderId="1" xfId="0" applyFont="1" applyFill="1" applyBorder="1"/>
    <xf numFmtId="0" fontId="17" fillId="3" borderId="1" xfId="0" applyFont="1" applyFill="1" applyBorder="1"/>
    <xf numFmtId="0" fontId="17" fillId="3" borderId="0" xfId="0" applyFont="1" applyFill="1"/>
    <xf numFmtId="1" fontId="2" fillId="3" borderId="0" xfId="0" applyNumberFormat="1" applyFont="1" applyFill="1" applyAlignment="1">
      <alignment horizontal="center"/>
    </xf>
    <xf numFmtId="0" fontId="0" fillId="0" borderId="0" xfId="0"/>
  </cellXfs>
  <cellStyles count="1">
    <cellStyle name="標準" xfId="0" builtinId="0"/>
  </cellStyles>
  <dxfs count="9">
    <dxf>
      <font>
        <color rgb="FFCCCCCC"/>
      </font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46BDC6"/>
      </font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EA9999"/>
          <bgColor rgb="FFEA9999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CFE2F3"/>
          <bgColor rgb="FFCFE2F3"/>
        </patternFill>
      </fill>
    </dxf>
    <dxf>
      <font>
        <color rgb="FFFFFFFF"/>
      </font>
      <fill>
        <patternFill patternType="solid">
          <fgColor rgb="FF3D85C6"/>
          <bgColor rgb="FF3D85C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0"/>
  <sheetViews>
    <sheetView workbookViewId="0"/>
  </sheetViews>
  <sheetFormatPr defaultColWidth="12.59765625" defaultRowHeight="15.75" customHeight="1" x14ac:dyDescent="0.35"/>
  <cols>
    <col min="1" max="1" width="8.597656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</sheetData>
  <phoneticPr fontId="18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06"/>
  <sheetViews>
    <sheetView workbookViewId="0">
      <pane xSplit="10" ySplit="8" topLeftCell="K9" activePane="bottomRight" state="frozen"/>
      <selection pane="topRight" activeCell="K1" sqref="K1"/>
      <selection pane="bottomLeft" activeCell="A9" sqref="A9"/>
      <selection pane="bottomRight" activeCell="K9" sqref="K9"/>
    </sheetView>
  </sheetViews>
  <sheetFormatPr defaultColWidth="12.59765625" defaultRowHeight="15.75" customHeight="1" x14ac:dyDescent="0.35"/>
  <cols>
    <col min="1" max="1" width="6.86328125" customWidth="1"/>
    <col min="2" max="2" width="5.3984375" customWidth="1"/>
    <col min="3" max="3" width="14.46484375" customWidth="1"/>
    <col min="4" max="4" width="11.265625" customWidth="1"/>
    <col min="5" max="5" width="10.265625" customWidth="1"/>
    <col min="6" max="6" width="15.3984375" customWidth="1"/>
    <col min="7" max="7" width="6.265625" customWidth="1"/>
    <col min="8" max="8" width="9.46484375" customWidth="1"/>
    <col min="9" max="9" width="6.1328125" customWidth="1"/>
    <col min="10" max="10" width="26" customWidth="1"/>
    <col min="11" max="11" width="9.59765625" customWidth="1"/>
    <col min="12" max="12" width="9" customWidth="1"/>
    <col min="13" max="45" width="6.3984375" customWidth="1"/>
  </cols>
  <sheetData>
    <row r="1" spans="1:45" ht="27.75" customHeight="1" x14ac:dyDescent="0.7">
      <c r="A1" s="3"/>
      <c r="B1" s="3"/>
      <c r="C1" s="3"/>
      <c r="D1" s="3"/>
      <c r="E1" s="3"/>
      <c r="F1" s="3"/>
      <c r="G1" s="4"/>
      <c r="H1" s="5"/>
      <c r="I1" s="5"/>
      <c r="J1" s="6" t="str">
        <f ca="1">IFERROR(__xludf.DUMMYFUNCTION("QUERY('暫定シフト表'!A8:K1006,""select D, K, count(K) where H is not null and H MATCHES '^(""&amp; JOIN(""|"",'オンコール名簿'!A2:A30)&amp;"")$' group by D,K pivot H"" ,1) "),"シフト種類")</f>
        <v>シフト種類</v>
      </c>
      <c r="K1" s="3" t="str">
        <f ca="1">IFERROR(__xludf.DUMMYFUNCTION("""COMPUTED_VALUE"""),"当直同時")</f>
        <v>当直同時</v>
      </c>
      <c r="L1" s="7" t="str">
        <f ca="1">IFERROR(__xludf.DUMMYFUNCTION("""COMPUTED_VALUE"""),"中瀬")</f>
        <v>中瀬</v>
      </c>
      <c r="M1" s="7" t="str">
        <f ca="1">IFERROR(__xludf.DUMMYFUNCTION("""COMPUTED_VALUE"""),"井上")</f>
        <v>井上</v>
      </c>
      <c r="N1" s="7" t="str">
        <f ca="1">IFERROR(__xludf.DUMMYFUNCTION("""COMPUTED_VALUE"""),"伊藤")</f>
        <v>伊藤</v>
      </c>
      <c r="O1" s="7" t="str">
        <f ca="1">IFERROR(__xludf.DUMMYFUNCTION("""COMPUTED_VALUE"""),"佐藤")</f>
        <v>佐藤</v>
      </c>
      <c r="P1" s="7" t="str">
        <f ca="1">IFERROR(__xludf.DUMMYFUNCTION("""COMPUTED_VALUE"""),"勝俣")</f>
        <v>勝俣</v>
      </c>
      <c r="Q1" s="7" t="str">
        <f ca="1">IFERROR(__xludf.DUMMYFUNCTION("""COMPUTED_VALUE"""),"吉田")</f>
        <v>吉田</v>
      </c>
      <c r="R1" s="7" t="str">
        <f ca="1">IFERROR(__xludf.DUMMYFUNCTION("""COMPUTED_VALUE"""),"太良")</f>
        <v>太良</v>
      </c>
      <c r="S1" s="7" t="str">
        <f ca="1">IFERROR(__xludf.DUMMYFUNCTION("""COMPUTED_VALUE"""),"宗")</f>
        <v>宗</v>
      </c>
      <c r="T1" s="7" t="str">
        <f ca="1">IFERROR(__xludf.DUMMYFUNCTION("""COMPUTED_VALUE"""),"宮坂")</f>
        <v>宮坂</v>
      </c>
      <c r="U1" s="7" t="str">
        <f ca="1">IFERROR(__xludf.DUMMYFUNCTION("""COMPUTED_VALUE"""),"尾田")</f>
        <v>尾田</v>
      </c>
      <c r="V1" s="7" t="str">
        <f ca="1">IFERROR(__xludf.DUMMYFUNCTION("""COMPUTED_VALUE"""),"山口")</f>
        <v>山口</v>
      </c>
      <c r="W1" s="7" t="str">
        <f ca="1">IFERROR(__xludf.DUMMYFUNCTION("""COMPUTED_VALUE"""),"新美")</f>
        <v>新美</v>
      </c>
      <c r="X1" s="7" t="str">
        <f ca="1">IFERROR(__xludf.DUMMYFUNCTION("""COMPUTED_VALUE"""),"林哲")</f>
        <v>林哲</v>
      </c>
      <c r="Y1" s="7" t="str">
        <f ca="1">IFERROR(__xludf.DUMMYFUNCTION("""COMPUTED_VALUE"""),"林智")</f>
        <v>林智</v>
      </c>
      <c r="Z1" s="7" t="str">
        <f ca="1">IFERROR(__xludf.DUMMYFUNCTION("""COMPUTED_VALUE"""),"福井")</f>
        <v>福井</v>
      </c>
      <c r="AA1" s="7" t="str">
        <f ca="1">IFERROR(__xludf.DUMMYFUNCTION("""COMPUTED_VALUE"""),"竹藤")</f>
        <v>竹藤</v>
      </c>
      <c r="AB1" s="7" t="str">
        <f ca="1">IFERROR(__xludf.DUMMYFUNCTION("""COMPUTED_VALUE"""),"菊野")</f>
        <v>菊野</v>
      </c>
      <c r="AC1" s="7" t="str">
        <f ca="1">IFERROR(__xludf.DUMMYFUNCTION("""COMPUTED_VALUE"""),"西谷")</f>
        <v>西谷</v>
      </c>
      <c r="AD1" s="7" t="str">
        <f ca="1">IFERROR(__xludf.DUMMYFUNCTION("""COMPUTED_VALUE"""),"高口")</f>
        <v>高口</v>
      </c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27.75" customHeight="1" x14ac:dyDescent="0.4">
      <c r="A2" s="3"/>
      <c r="B2" s="3"/>
      <c r="C2" s="3"/>
      <c r="D2" s="3"/>
      <c r="E2" s="3"/>
      <c r="F2" s="3"/>
      <c r="G2" s="4"/>
      <c r="H2" s="5"/>
      <c r="I2" s="5"/>
      <c r="J2" s="5" t="str">
        <f ca="1">IFERROR(__xludf.DUMMYFUNCTION("""COMPUTED_VALUE"""),"休日午前")</f>
        <v>休日午前</v>
      </c>
      <c r="K2" s="7" t="b">
        <f ca="1">IFERROR(__xludf.DUMMYFUNCTION("""COMPUTED_VALUE"""),FALSE)</f>
        <v>0</v>
      </c>
      <c r="L2" s="7">
        <f ca="1">IFERROR(__xludf.DUMMYFUNCTION("""COMPUTED_VALUE"""),6)</f>
        <v>6</v>
      </c>
      <c r="M2" s="7">
        <f ca="1">IFERROR(__xludf.DUMMYFUNCTION("""COMPUTED_VALUE"""),7)</f>
        <v>7</v>
      </c>
      <c r="N2" s="7">
        <f ca="1">IFERROR(__xludf.DUMMYFUNCTION("""COMPUTED_VALUE"""),3)</f>
        <v>3</v>
      </c>
      <c r="O2" s="7">
        <f ca="1">IFERROR(__xludf.DUMMYFUNCTION("""COMPUTED_VALUE"""),2)</f>
        <v>2</v>
      </c>
      <c r="P2" s="7">
        <f ca="1">IFERROR(__xludf.DUMMYFUNCTION("""COMPUTED_VALUE"""),5)</f>
        <v>5</v>
      </c>
      <c r="Q2" s="7">
        <f ca="1">IFERROR(__xludf.DUMMYFUNCTION("""COMPUTED_VALUE"""),3)</f>
        <v>3</v>
      </c>
      <c r="R2" s="7">
        <f ca="1">IFERROR(__xludf.DUMMYFUNCTION("""COMPUTED_VALUE"""),2)</f>
        <v>2</v>
      </c>
      <c r="S2" s="7">
        <f ca="1">IFERROR(__xludf.DUMMYFUNCTION("""COMPUTED_VALUE"""),2)</f>
        <v>2</v>
      </c>
      <c r="T2" s="7">
        <f ca="1">IFERROR(__xludf.DUMMYFUNCTION("""COMPUTED_VALUE"""),5)</f>
        <v>5</v>
      </c>
      <c r="U2" s="7"/>
      <c r="V2" s="7">
        <f ca="1">IFERROR(__xludf.DUMMYFUNCTION("""COMPUTED_VALUE"""),2)</f>
        <v>2</v>
      </c>
      <c r="W2" s="7">
        <f ca="1">IFERROR(__xludf.DUMMYFUNCTION("""COMPUTED_VALUE"""),6)</f>
        <v>6</v>
      </c>
      <c r="X2" s="7"/>
      <c r="Y2" s="7">
        <f ca="1">IFERROR(__xludf.DUMMYFUNCTION("""COMPUTED_VALUE"""),2)</f>
        <v>2</v>
      </c>
      <c r="Z2" s="7">
        <f ca="1">IFERROR(__xludf.DUMMYFUNCTION("""COMPUTED_VALUE"""),5)</f>
        <v>5</v>
      </c>
      <c r="AA2" s="7">
        <f ca="1">IFERROR(__xludf.DUMMYFUNCTION("""COMPUTED_VALUE"""),3)</f>
        <v>3</v>
      </c>
      <c r="AB2" s="7">
        <f ca="1">IFERROR(__xludf.DUMMYFUNCTION("""COMPUTED_VALUE"""),2)</f>
        <v>2</v>
      </c>
      <c r="AC2" s="7">
        <f ca="1">IFERROR(__xludf.DUMMYFUNCTION("""COMPUTED_VALUE"""),2)</f>
        <v>2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ht="27.75" customHeight="1" x14ac:dyDescent="0.4">
      <c r="A3" s="3"/>
      <c r="B3" s="3"/>
      <c r="C3" s="3"/>
      <c r="D3" s="3"/>
      <c r="E3" s="3"/>
      <c r="F3" s="3"/>
      <c r="G3" s="4"/>
      <c r="H3" s="5"/>
      <c r="I3" s="5"/>
      <c r="J3" s="5" t="str">
        <f ca="1">IFERROR(__xludf.DUMMYFUNCTION("""COMPUTED_VALUE"""),"休日午前")</f>
        <v>休日午前</v>
      </c>
      <c r="K3" s="7" t="b">
        <f ca="1">IFERROR(__xludf.DUMMYFUNCTION("""COMPUTED_VALUE"""),TRUE)</f>
        <v>1</v>
      </c>
      <c r="L3" s="7">
        <f ca="1">IFERROR(__xludf.DUMMYFUNCTION("""COMPUTED_VALUE"""),1)</f>
        <v>1</v>
      </c>
      <c r="M3" s="7">
        <f ca="1">IFERROR(__xludf.DUMMYFUNCTION("""COMPUTED_VALUE"""),1)</f>
        <v>1</v>
      </c>
      <c r="N3" s="7">
        <f ca="1">IFERROR(__xludf.DUMMYFUNCTION("""COMPUTED_VALUE"""),1)</f>
        <v>1</v>
      </c>
      <c r="O3" s="7">
        <f ca="1">IFERROR(__xludf.DUMMYFUNCTION("""COMPUTED_VALUE"""),5)</f>
        <v>5</v>
      </c>
      <c r="P3" s="7">
        <f ca="1">IFERROR(__xludf.DUMMYFUNCTION("""COMPUTED_VALUE"""),1)</f>
        <v>1</v>
      </c>
      <c r="Q3" s="7"/>
      <c r="R3" s="7">
        <f ca="1">IFERROR(__xludf.DUMMYFUNCTION("""COMPUTED_VALUE"""),2)</f>
        <v>2</v>
      </c>
      <c r="S3" s="7">
        <f ca="1">IFERROR(__xludf.DUMMYFUNCTION("""COMPUTED_VALUE"""),2)</f>
        <v>2</v>
      </c>
      <c r="T3" s="7">
        <f ca="1">IFERROR(__xludf.DUMMYFUNCTION("""COMPUTED_VALUE"""),1)</f>
        <v>1</v>
      </c>
      <c r="U3" s="7"/>
      <c r="V3" s="7"/>
      <c r="W3" s="7"/>
      <c r="X3" s="7"/>
      <c r="Y3" s="7">
        <f ca="1">IFERROR(__xludf.DUMMYFUNCTION("""COMPUTED_VALUE"""),1)</f>
        <v>1</v>
      </c>
      <c r="Z3" s="7">
        <f ca="1">IFERROR(__xludf.DUMMYFUNCTION("""COMPUTED_VALUE"""),2)</f>
        <v>2</v>
      </c>
      <c r="AA3" s="7"/>
      <c r="AB3" s="7">
        <f ca="1">IFERROR(__xludf.DUMMYFUNCTION("""COMPUTED_VALUE"""),2)</f>
        <v>2</v>
      </c>
      <c r="AC3" s="7">
        <f ca="1">IFERROR(__xludf.DUMMYFUNCTION("""COMPUTED_VALUE"""),1)</f>
        <v>1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27.75" customHeight="1" x14ac:dyDescent="0.4">
      <c r="A4" s="3"/>
      <c r="B4" s="3"/>
      <c r="C4" s="3"/>
      <c r="D4" s="3"/>
      <c r="E4" s="3"/>
      <c r="F4" s="3"/>
      <c r="G4" s="4"/>
      <c r="H4" s="5"/>
      <c r="I4" s="5"/>
      <c r="J4" s="5" t="str">
        <f ca="1">IFERROR(__xludf.DUMMYFUNCTION("""COMPUTED_VALUE"""),"休日午後")</f>
        <v>休日午後</v>
      </c>
      <c r="K4" s="3" t="b">
        <f ca="1">IFERROR(__xludf.DUMMYFUNCTION("""COMPUTED_VALUE"""),FALSE)</f>
        <v>0</v>
      </c>
      <c r="L4" s="7">
        <f ca="1">IFERROR(__xludf.DUMMYFUNCTION("""COMPUTED_VALUE"""),1)</f>
        <v>1</v>
      </c>
      <c r="M4" s="7">
        <f ca="1">IFERROR(__xludf.DUMMYFUNCTION("""COMPUTED_VALUE"""),1)</f>
        <v>1</v>
      </c>
      <c r="N4" s="7">
        <f ca="1">IFERROR(__xludf.DUMMYFUNCTION("""COMPUTED_VALUE"""),2)</f>
        <v>2</v>
      </c>
      <c r="O4" s="7"/>
      <c r="P4" s="7"/>
      <c r="Q4" s="7"/>
      <c r="R4" s="7"/>
      <c r="S4" s="7"/>
      <c r="T4" s="7">
        <f ca="1">IFERROR(__xludf.DUMMYFUNCTION("""COMPUTED_VALUE"""),1)</f>
        <v>1</v>
      </c>
      <c r="U4" s="7"/>
      <c r="V4" s="7">
        <f ca="1">IFERROR(__xludf.DUMMYFUNCTION("""COMPUTED_VALUE"""),2)</f>
        <v>2</v>
      </c>
      <c r="W4" s="7"/>
      <c r="X4" s="7"/>
      <c r="Y4" s="7"/>
      <c r="Z4" s="7">
        <f ca="1">IFERROR(__xludf.DUMMYFUNCTION("""COMPUTED_VALUE"""),4)</f>
        <v>4</v>
      </c>
      <c r="AA4" s="7">
        <f ca="1">IFERROR(__xludf.DUMMYFUNCTION("""COMPUTED_VALUE"""),3)</f>
        <v>3</v>
      </c>
      <c r="AB4" s="7">
        <f ca="1">IFERROR(__xludf.DUMMYFUNCTION("""COMPUTED_VALUE"""),4)</f>
        <v>4</v>
      </c>
      <c r="AC4" s="7">
        <f ca="1">IFERROR(__xludf.DUMMYFUNCTION("""COMPUTED_VALUE"""),1)</f>
        <v>1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27.75" customHeight="1" x14ac:dyDescent="0.4">
      <c r="A5" s="3"/>
      <c r="B5" s="3"/>
      <c r="C5" s="3"/>
      <c r="D5" s="3"/>
      <c r="E5" s="3"/>
      <c r="F5" s="3"/>
      <c r="G5" s="4"/>
      <c r="H5" s="5"/>
      <c r="I5" s="5"/>
      <c r="J5" s="5" t="str">
        <f ca="1">IFERROR(__xludf.DUMMYFUNCTION("""COMPUTED_VALUE"""),"休日午後")</f>
        <v>休日午後</v>
      </c>
      <c r="K5" s="7" t="b">
        <f ca="1">IFERROR(__xludf.DUMMYFUNCTION("""COMPUTED_VALUE"""),TRUE)</f>
        <v>1</v>
      </c>
      <c r="L5" s="7">
        <f ca="1">IFERROR(__xludf.DUMMYFUNCTION("""COMPUTED_VALUE"""),2)</f>
        <v>2</v>
      </c>
      <c r="M5" s="7">
        <f ca="1">IFERROR(__xludf.DUMMYFUNCTION("""COMPUTED_VALUE"""),1)</f>
        <v>1</v>
      </c>
      <c r="N5" s="7">
        <f ca="1">IFERROR(__xludf.DUMMYFUNCTION("""COMPUTED_VALUE"""),1)</f>
        <v>1</v>
      </c>
      <c r="O5" s="7">
        <f ca="1">IFERROR(__xludf.DUMMYFUNCTION("""COMPUTED_VALUE"""),1)</f>
        <v>1</v>
      </c>
      <c r="P5" s="7">
        <f ca="1">IFERROR(__xludf.DUMMYFUNCTION("""COMPUTED_VALUE"""),4)</f>
        <v>4</v>
      </c>
      <c r="Q5" s="7">
        <f ca="1">IFERROR(__xludf.DUMMYFUNCTION("""COMPUTED_VALUE"""),7)</f>
        <v>7</v>
      </c>
      <c r="R5" s="7">
        <f ca="1">IFERROR(__xludf.DUMMYFUNCTION("""COMPUTED_VALUE"""),8)</f>
        <v>8</v>
      </c>
      <c r="S5" s="7">
        <f ca="1">IFERROR(__xludf.DUMMYFUNCTION("""COMPUTED_VALUE"""),5)</f>
        <v>5</v>
      </c>
      <c r="T5" s="7">
        <f ca="1">IFERROR(__xludf.DUMMYFUNCTION("""COMPUTED_VALUE"""),1)</f>
        <v>1</v>
      </c>
      <c r="U5" s="7">
        <f ca="1">IFERROR(__xludf.DUMMYFUNCTION("""COMPUTED_VALUE"""),1)</f>
        <v>1</v>
      </c>
      <c r="V5" s="7"/>
      <c r="W5" s="7">
        <f ca="1">IFERROR(__xludf.DUMMYFUNCTION("""COMPUTED_VALUE"""),3)</f>
        <v>3</v>
      </c>
      <c r="X5" s="7">
        <f ca="1">IFERROR(__xludf.DUMMYFUNCTION("""COMPUTED_VALUE"""),11)</f>
        <v>11</v>
      </c>
      <c r="Y5" s="7">
        <f ca="1">IFERROR(__xludf.DUMMYFUNCTION("""COMPUTED_VALUE"""),4)</f>
        <v>4</v>
      </c>
      <c r="Z5" s="7">
        <f ca="1">IFERROR(__xludf.DUMMYFUNCTION("""COMPUTED_VALUE"""),2)</f>
        <v>2</v>
      </c>
      <c r="AA5" s="7">
        <f ca="1">IFERROR(__xludf.DUMMYFUNCTION("""COMPUTED_VALUE"""),1)</f>
        <v>1</v>
      </c>
      <c r="AB5" s="7">
        <f ca="1">IFERROR(__xludf.DUMMYFUNCTION("""COMPUTED_VALUE"""),1)</f>
        <v>1</v>
      </c>
      <c r="AC5" s="7">
        <f ca="1">IFERROR(__xludf.DUMMYFUNCTION("""COMPUTED_VALUE"""),1)</f>
        <v>1</v>
      </c>
      <c r="AD5" s="7">
        <f ca="1">IFERROR(__xludf.DUMMYFUNCTION("""COMPUTED_VALUE"""),1)</f>
        <v>1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ht="27.75" customHeight="1" x14ac:dyDescent="0.4">
      <c r="A6" s="3"/>
      <c r="B6" s="3"/>
      <c r="C6" s="3"/>
      <c r="D6" s="3"/>
      <c r="E6" s="3"/>
      <c r="F6" s="3"/>
      <c r="G6" s="4"/>
      <c r="H6" s="5"/>
      <c r="I6" s="5"/>
      <c r="J6" s="5" t="str">
        <f ca="1">IFERROR(__xludf.DUMMYFUNCTION("""COMPUTED_VALUE"""),"平日夜間")</f>
        <v>平日夜間</v>
      </c>
      <c r="K6" s="7" t="b">
        <f ca="1">IFERROR(__xludf.DUMMYFUNCTION("""COMPUTED_VALUE"""),FALSE)</f>
        <v>0</v>
      </c>
      <c r="L6" s="7">
        <f ca="1">IFERROR(__xludf.DUMMYFUNCTION("""COMPUTED_VALUE"""),3)</f>
        <v>3</v>
      </c>
      <c r="M6" s="7">
        <f ca="1">IFERROR(__xludf.DUMMYFUNCTION("""COMPUTED_VALUE"""),8)</f>
        <v>8</v>
      </c>
      <c r="N6" s="7">
        <f ca="1">IFERROR(__xludf.DUMMYFUNCTION("""COMPUTED_VALUE"""),5)</f>
        <v>5</v>
      </c>
      <c r="O6" s="7">
        <f ca="1">IFERROR(__xludf.DUMMYFUNCTION("""COMPUTED_VALUE"""),4)</f>
        <v>4</v>
      </c>
      <c r="P6" s="7">
        <f ca="1">IFERROR(__xludf.DUMMYFUNCTION("""COMPUTED_VALUE"""),6)</f>
        <v>6</v>
      </c>
      <c r="Q6" s="7">
        <f ca="1">IFERROR(__xludf.DUMMYFUNCTION("""COMPUTED_VALUE"""),1)</f>
        <v>1</v>
      </c>
      <c r="R6" s="7">
        <f ca="1">IFERROR(__xludf.DUMMYFUNCTION("""COMPUTED_VALUE"""),2)</f>
        <v>2</v>
      </c>
      <c r="S6" s="7">
        <f ca="1">IFERROR(__xludf.DUMMYFUNCTION("""COMPUTED_VALUE"""),5)</f>
        <v>5</v>
      </c>
      <c r="T6" s="7">
        <f ca="1">IFERROR(__xludf.DUMMYFUNCTION("""COMPUTED_VALUE"""),2)</f>
        <v>2</v>
      </c>
      <c r="U6" s="7">
        <f ca="1">IFERROR(__xludf.DUMMYFUNCTION("""COMPUTED_VALUE"""),2)</f>
        <v>2</v>
      </c>
      <c r="V6" s="7">
        <f ca="1">IFERROR(__xludf.DUMMYFUNCTION("""COMPUTED_VALUE"""),4)</f>
        <v>4</v>
      </c>
      <c r="W6" s="7">
        <f ca="1">IFERROR(__xludf.DUMMYFUNCTION("""COMPUTED_VALUE"""),1)</f>
        <v>1</v>
      </c>
      <c r="X6" s="7"/>
      <c r="Y6" s="7">
        <f ca="1">IFERROR(__xludf.DUMMYFUNCTION("""COMPUTED_VALUE"""),1)</f>
        <v>1</v>
      </c>
      <c r="Z6" s="7">
        <f ca="1">IFERROR(__xludf.DUMMYFUNCTION("""COMPUTED_VALUE"""),7)</f>
        <v>7</v>
      </c>
      <c r="AA6" s="7">
        <f ca="1">IFERROR(__xludf.DUMMYFUNCTION("""COMPUTED_VALUE"""),3)</f>
        <v>3</v>
      </c>
      <c r="AB6" s="7">
        <f ca="1">IFERROR(__xludf.DUMMYFUNCTION("""COMPUTED_VALUE"""),9)</f>
        <v>9</v>
      </c>
      <c r="AC6" s="7">
        <f ca="1">IFERROR(__xludf.DUMMYFUNCTION("""COMPUTED_VALUE"""),7)</f>
        <v>7</v>
      </c>
      <c r="AD6" s="7">
        <f ca="1">IFERROR(__xludf.DUMMYFUNCTION("""COMPUTED_VALUE"""),1)</f>
        <v>1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ht="27.75" customHeight="1" x14ac:dyDescent="0.4">
      <c r="A7" s="3"/>
      <c r="B7" s="3"/>
      <c r="C7" s="55" t="s">
        <v>20</v>
      </c>
      <c r="D7" s="56"/>
      <c r="E7" s="56"/>
      <c r="F7" s="56"/>
      <c r="G7" s="4"/>
      <c r="H7" s="5"/>
      <c r="I7" s="5"/>
      <c r="J7" s="5" t="str">
        <f ca="1">IFERROR(__xludf.DUMMYFUNCTION("""COMPUTED_VALUE"""),"平日夜間")</f>
        <v>平日夜間</v>
      </c>
      <c r="K7" s="7" t="b">
        <f ca="1">IFERROR(__xludf.DUMMYFUNCTION("""COMPUTED_VALUE"""),TRUE)</f>
        <v>1</v>
      </c>
      <c r="L7" s="7">
        <f ca="1">IFERROR(__xludf.DUMMYFUNCTION("""COMPUTED_VALUE"""),4)</f>
        <v>4</v>
      </c>
      <c r="M7" s="7">
        <f ca="1">IFERROR(__xludf.DUMMYFUNCTION("""COMPUTED_VALUE"""),10)</f>
        <v>10</v>
      </c>
      <c r="N7" s="7">
        <f ca="1">IFERROR(__xludf.DUMMYFUNCTION("""COMPUTED_VALUE"""),3)</f>
        <v>3</v>
      </c>
      <c r="O7" s="7">
        <f ca="1">IFERROR(__xludf.DUMMYFUNCTION("""COMPUTED_VALUE"""),5)</f>
        <v>5</v>
      </c>
      <c r="P7" s="7">
        <f ca="1">IFERROR(__xludf.DUMMYFUNCTION("""COMPUTED_VALUE"""),7)</f>
        <v>7</v>
      </c>
      <c r="Q7" s="7">
        <f ca="1">IFERROR(__xludf.DUMMYFUNCTION("""COMPUTED_VALUE"""),4)</f>
        <v>4</v>
      </c>
      <c r="R7" s="7"/>
      <c r="S7" s="7">
        <f ca="1">IFERROR(__xludf.DUMMYFUNCTION("""COMPUTED_VALUE"""),2)</f>
        <v>2</v>
      </c>
      <c r="T7" s="7">
        <f ca="1">IFERROR(__xludf.DUMMYFUNCTION("""COMPUTED_VALUE"""),9)</f>
        <v>9</v>
      </c>
      <c r="U7" s="7">
        <f ca="1">IFERROR(__xludf.DUMMYFUNCTION("""COMPUTED_VALUE"""),9)</f>
        <v>9</v>
      </c>
      <c r="V7" s="7">
        <f ca="1">IFERROR(__xludf.DUMMYFUNCTION("""COMPUTED_VALUE"""),5)</f>
        <v>5</v>
      </c>
      <c r="W7" s="7">
        <f ca="1">IFERROR(__xludf.DUMMYFUNCTION("""COMPUTED_VALUE"""),6)</f>
        <v>6</v>
      </c>
      <c r="X7" s="7"/>
      <c r="Y7" s="7">
        <f ca="1">IFERROR(__xludf.DUMMYFUNCTION("""COMPUTED_VALUE"""),8)</f>
        <v>8</v>
      </c>
      <c r="Z7" s="7">
        <f ca="1">IFERROR(__xludf.DUMMYFUNCTION("""COMPUTED_VALUE"""),7)</f>
        <v>7</v>
      </c>
      <c r="AA7" s="7">
        <f ca="1">IFERROR(__xludf.DUMMYFUNCTION("""COMPUTED_VALUE"""),2)</f>
        <v>2</v>
      </c>
      <c r="AB7" s="7">
        <f ca="1">IFERROR(__xludf.DUMMYFUNCTION("""COMPUTED_VALUE"""),5)</f>
        <v>5</v>
      </c>
      <c r="AC7" s="7">
        <f ca="1">IFERROR(__xludf.DUMMYFUNCTION("""COMPUTED_VALUE"""),3)</f>
        <v>3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ht="27.75" customHeight="1" x14ac:dyDescent="0.4">
      <c r="A8" s="8"/>
      <c r="B8" s="8"/>
      <c r="C8" s="8" t="str">
        <f ca="1">IFERROR(__xludf.DUMMYFUNCTION("query('フォーム回答'!A:G,""select C,D,max(F) where F is not null group by C,D label C 'シフト名称', D 'シフト種類', max(F) '最大スコア'"",1)"),"シフト名称")</f>
        <v>シフト名称</v>
      </c>
      <c r="D8" s="9" t="str">
        <f ca="1">IFERROR(__xludf.DUMMYFUNCTION("""COMPUTED_VALUE"""),"シフト種類")</f>
        <v>シフト種類</v>
      </c>
      <c r="E8" s="10" t="str">
        <f ca="1">IFERROR(__xludf.DUMMYFUNCTION("""COMPUTED_VALUE"""),"最大スコア")</f>
        <v>最大スコア</v>
      </c>
      <c r="F8" s="8" t="s">
        <v>21</v>
      </c>
      <c r="G8" s="11" t="s">
        <v>22</v>
      </c>
      <c r="H8" s="12" t="s">
        <v>23</v>
      </c>
      <c r="I8" s="12" t="s">
        <v>24</v>
      </c>
      <c r="J8" s="12" t="s">
        <v>25</v>
      </c>
      <c r="K8" s="3" t="s">
        <v>26</v>
      </c>
      <c r="L8" s="13" t="str">
        <f ca="1">IFERROR(__xludf.DUMMYFUNCTION("QUERY('フォーム回答'!A:G,""select min(F) where B MATCHES '^(""&amp; JOIN(""|"",'オンコール名簿'!A2:A30)&amp;"")$' group by C pivot B"")"),"中瀬")</f>
        <v>中瀬</v>
      </c>
      <c r="M8" s="14" t="str">
        <f ca="1">IFERROR(__xludf.DUMMYFUNCTION("""COMPUTED_VALUE"""),"井上")</f>
        <v>井上</v>
      </c>
      <c r="N8" s="14" t="str">
        <f ca="1">IFERROR(__xludf.DUMMYFUNCTION("""COMPUTED_VALUE"""),"伊藤")</f>
        <v>伊藤</v>
      </c>
      <c r="O8" s="14" t="str">
        <f ca="1">IFERROR(__xludf.DUMMYFUNCTION("""COMPUTED_VALUE"""),"佐藤")</f>
        <v>佐藤</v>
      </c>
      <c r="P8" s="14" t="str">
        <f ca="1">IFERROR(__xludf.DUMMYFUNCTION("""COMPUTED_VALUE"""),"勝俣")</f>
        <v>勝俣</v>
      </c>
      <c r="Q8" s="14" t="str">
        <f ca="1">IFERROR(__xludf.DUMMYFUNCTION("""COMPUTED_VALUE"""),"吉田")</f>
        <v>吉田</v>
      </c>
      <c r="R8" s="14" t="str">
        <f ca="1">IFERROR(__xludf.DUMMYFUNCTION("""COMPUTED_VALUE"""),"太良")</f>
        <v>太良</v>
      </c>
      <c r="S8" s="14" t="str">
        <f ca="1">IFERROR(__xludf.DUMMYFUNCTION("""COMPUTED_VALUE"""),"宗")</f>
        <v>宗</v>
      </c>
      <c r="T8" s="14" t="str">
        <f ca="1">IFERROR(__xludf.DUMMYFUNCTION("""COMPUTED_VALUE"""),"宮坂")</f>
        <v>宮坂</v>
      </c>
      <c r="U8" s="14" t="str">
        <f ca="1">IFERROR(__xludf.DUMMYFUNCTION("""COMPUTED_VALUE"""),"尾田")</f>
        <v>尾田</v>
      </c>
      <c r="V8" s="14" t="str">
        <f ca="1">IFERROR(__xludf.DUMMYFUNCTION("""COMPUTED_VALUE"""),"山口")</f>
        <v>山口</v>
      </c>
      <c r="W8" s="14" t="str">
        <f ca="1">IFERROR(__xludf.DUMMYFUNCTION("""COMPUTED_VALUE"""),"新美")</f>
        <v>新美</v>
      </c>
      <c r="X8" s="14" t="str">
        <f ca="1">IFERROR(__xludf.DUMMYFUNCTION("""COMPUTED_VALUE"""),"林哲")</f>
        <v>林哲</v>
      </c>
      <c r="Y8" s="14" t="str">
        <f ca="1">IFERROR(__xludf.DUMMYFUNCTION("""COMPUTED_VALUE"""),"林智")</f>
        <v>林智</v>
      </c>
      <c r="Z8" s="14" t="str">
        <f ca="1">IFERROR(__xludf.DUMMYFUNCTION("""COMPUTED_VALUE"""),"福井")</f>
        <v>福井</v>
      </c>
      <c r="AA8" s="14" t="str">
        <f ca="1">IFERROR(__xludf.DUMMYFUNCTION("""COMPUTED_VALUE"""),"竹藤")</f>
        <v>竹藤</v>
      </c>
      <c r="AB8" s="14" t="str">
        <f ca="1">IFERROR(__xludf.DUMMYFUNCTION("""COMPUTED_VALUE"""),"菊野")</f>
        <v>菊野</v>
      </c>
      <c r="AC8" s="14" t="str">
        <f ca="1">IFERROR(__xludf.DUMMYFUNCTION("""COMPUTED_VALUE"""),"西谷")</f>
        <v>西谷</v>
      </c>
      <c r="AD8" s="14" t="str">
        <f ca="1">IFERROR(__xludf.DUMMYFUNCTION("""COMPUTED_VALUE"""),"高口")</f>
        <v>高口</v>
      </c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ht="27.75" customHeight="1" x14ac:dyDescent="0.7">
      <c r="A9" s="15" t="s">
        <v>27</v>
      </c>
      <c r="B9" s="15" t="s">
        <v>28</v>
      </c>
      <c r="C9" s="15" t="str">
        <f ca="1">IFERROR(__xludf.DUMMYFUNCTION("""COMPUTED_VALUE"""),"2022/04/01 (金)
平日夜間")</f>
        <v>2022/04/01 (金)
平日夜間</v>
      </c>
      <c r="D9" s="15" t="str">
        <f ca="1">IFERROR(__xludf.DUMMYFUNCTION("""COMPUTED_VALUE"""),"平日夜間")</f>
        <v>平日夜間</v>
      </c>
      <c r="E9" s="16">
        <f ca="1">IFERROR(__xludf.DUMMYFUNCTION("""COMPUTED_VALUE"""),1.5354399001484)</f>
        <v>1.5354399001484</v>
      </c>
      <c r="F9" s="15" t="s">
        <v>31</v>
      </c>
      <c r="G9" s="17" t="s">
        <v>257</v>
      </c>
      <c r="H9" s="18"/>
      <c r="I9" s="19"/>
      <c r="J9" s="20"/>
      <c r="K9" s="21" t="str">
        <f ca="1">IFERROR(__xludf.DUMMYFUNCTION("ARRAYFORMULA(IF(ISBLANK(H9:H1006),"""",IFERROR(REGEXMATCH(J9:J1006,H9:H1006))))"),"")</f>
        <v/>
      </c>
      <c r="L9" s="22"/>
      <c r="M9" s="23">
        <f ca="1">IFERROR(__xludf.DUMMYFUNCTION("""COMPUTED_VALUE"""),-0.736776187367107)</f>
        <v>-0.73677618736710704</v>
      </c>
      <c r="N9" s="23"/>
      <c r="O9" s="23"/>
      <c r="P9" s="23"/>
      <c r="Q9" s="24">
        <f ca="1">IFERROR(__xludf.DUMMYFUNCTION("""COMPUTED_VALUE"""),0.317039661249097)</f>
        <v>0.31703966124909699</v>
      </c>
      <c r="R9" s="23">
        <f ca="1">IFERROR(__xludf.DUMMYFUNCTION("""COMPUTED_VALUE"""),-0.284152540227026)</f>
        <v>-0.28415254022702602</v>
      </c>
      <c r="S9" s="23"/>
      <c r="T9" s="23"/>
      <c r="U9" s="23">
        <f ca="1">IFERROR(__xludf.DUMMYFUNCTION("""COMPUTED_VALUE"""),-0.501067629329902)</f>
        <v>-0.50106762932990201</v>
      </c>
      <c r="V9" s="23"/>
      <c r="W9" s="23">
        <f ca="1">IFERROR(__xludf.DUMMYFUNCTION("""COMPUTED_VALUE"""),0.520842321280625)</f>
        <v>0.52084232128062502</v>
      </c>
      <c r="X9" s="23"/>
      <c r="Y9" s="23">
        <f ca="1">IFERROR(__xludf.DUMMYFUNCTION("""COMPUTED_VALUE"""),0.80689673906459)</f>
        <v>0.80689673906459003</v>
      </c>
      <c r="Z9" s="23">
        <f ca="1">IFERROR(__xludf.DUMMYFUNCTION("""COMPUTED_VALUE"""),0.512685584059887)</f>
        <v>0.51268558405988696</v>
      </c>
      <c r="AA9" s="23"/>
      <c r="AB9" s="23">
        <f ca="1">IFERROR(__xludf.DUMMYFUNCTION("""COMPUTED_VALUE"""),0.479202907594195)</f>
        <v>0.47920290759419498</v>
      </c>
      <c r="AC9" s="22"/>
      <c r="AD9" s="23"/>
      <c r="AE9" s="23"/>
      <c r="AF9" s="22"/>
      <c r="AG9" s="22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</row>
    <row r="10" spans="1:45" ht="27.75" customHeight="1" x14ac:dyDescent="0.7">
      <c r="A10" s="15" t="s">
        <v>27</v>
      </c>
      <c r="B10" s="15" t="s">
        <v>28</v>
      </c>
      <c r="C10" s="15" t="str">
        <f ca="1">IFERROR(__xludf.DUMMYFUNCTION("""COMPUTED_VALUE"""),"2022/04/02 (土)
休日午前")</f>
        <v>2022/04/02 (土)
休日午前</v>
      </c>
      <c r="D10" s="15" t="str">
        <f ca="1">IFERROR(__xludf.DUMMYFUNCTION("""COMPUTED_VALUE"""),"休日午前")</f>
        <v>休日午前</v>
      </c>
      <c r="E10" s="16">
        <f ca="1">IFERROR(__xludf.DUMMYFUNCTION("""COMPUTED_VALUE"""),0.730691817322473)</f>
        <v>0.73069181732247301</v>
      </c>
      <c r="F10" s="15" t="s">
        <v>16</v>
      </c>
      <c r="G10" s="17" t="s">
        <v>257</v>
      </c>
      <c r="H10" s="18"/>
      <c r="I10" s="19"/>
      <c r="J10" s="20"/>
      <c r="K10" s="23" t="str">
        <f ca="1">IFERROR(__xludf.DUMMYFUNCTION("""COMPUTED_VALUE"""),"")</f>
        <v/>
      </c>
      <c r="L10" s="22"/>
      <c r="M10" s="23">
        <f ca="1">IFERROR(__xludf.DUMMYFUNCTION("""COMPUTED_VALUE"""),-0.382224946227001)</f>
        <v>-0.38222494622700098</v>
      </c>
      <c r="N10" s="23"/>
      <c r="O10" s="23"/>
      <c r="P10" s="23"/>
      <c r="Q10" s="24">
        <f ca="1">IFERROR(__xludf.DUMMYFUNCTION("""COMPUTED_VALUE"""),0.730691817322473)</f>
        <v>0.73069181732247301</v>
      </c>
      <c r="R10" s="23">
        <f ca="1">IFERROR(__xludf.DUMMYFUNCTION("""COMPUTED_VALUE"""),-0.332896724852721)</f>
        <v>-0.33289672485272098</v>
      </c>
      <c r="S10" s="23"/>
      <c r="T10" s="23"/>
      <c r="U10" s="23">
        <f ca="1">IFERROR(__xludf.DUMMYFUNCTION("""COMPUTED_VALUE"""),-0.249887279708533)</f>
        <v>-0.249887279708533</v>
      </c>
      <c r="V10" s="23"/>
      <c r="W10" s="23">
        <f ca="1">IFERROR(__xludf.DUMMYFUNCTION("""COMPUTED_VALUE"""),0.0187394818882582)</f>
        <v>1.8739481888258198E-2</v>
      </c>
      <c r="X10" s="23"/>
      <c r="Y10" s="23">
        <f ca="1">IFERROR(__xludf.DUMMYFUNCTION("""COMPUTED_VALUE"""),-0.345307873246525)</f>
        <v>-0.34530787324652501</v>
      </c>
      <c r="Z10" s="23">
        <f ca="1">IFERROR(__xludf.DUMMYFUNCTION("""COMPUTED_VALUE"""),-0.181023809337451)</f>
        <v>-0.18102380933745099</v>
      </c>
      <c r="AA10" s="23"/>
      <c r="AB10" s="23">
        <f ca="1">IFERROR(__xludf.DUMMYFUNCTION("""COMPUTED_VALUE"""),0.465578693711145)</f>
        <v>0.46557869371114502</v>
      </c>
      <c r="AC10" s="22"/>
      <c r="AD10" s="23"/>
      <c r="AE10" s="23"/>
      <c r="AF10" s="22"/>
      <c r="AG10" s="22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</row>
    <row r="11" spans="1:45" ht="27.75" customHeight="1" x14ac:dyDescent="0.7">
      <c r="A11" s="15" t="s">
        <v>27</v>
      </c>
      <c r="B11" s="15" t="s">
        <v>28</v>
      </c>
      <c r="C11" s="15" t="str">
        <f ca="1">IFERROR(__xludf.DUMMYFUNCTION("""COMPUTED_VALUE"""),"2022/04/02 (土)
休日午後")</f>
        <v>2022/04/02 (土)
休日午後</v>
      </c>
      <c r="D11" s="15" t="str">
        <f ca="1">IFERROR(__xludf.DUMMYFUNCTION("""COMPUTED_VALUE"""),"休日午後")</f>
        <v>休日午後</v>
      </c>
      <c r="E11" s="16">
        <f ca="1">IFERROR(__xludf.DUMMYFUNCTION("""COMPUTED_VALUE"""),2.17144471102225)</f>
        <v>2.1714447110222501</v>
      </c>
      <c r="F11" s="15" t="s">
        <v>10</v>
      </c>
      <c r="G11" s="17" t="s">
        <v>257</v>
      </c>
      <c r="H11" s="18"/>
      <c r="I11" s="19"/>
      <c r="J11" s="19"/>
      <c r="K11" s="23" t="str">
        <f ca="1">IFERROR(__xludf.DUMMYFUNCTION("""COMPUTED_VALUE"""),"")</f>
        <v/>
      </c>
      <c r="L11" s="22"/>
      <c r="M11" s="23">
        <f ca="1">IFERROR(__xludf.DUMMYFUNCTION("""COMPUTED_VALUE"""),-0.317951982900928)</f>
        <v>-0.31795198290092802</v>
      </c>
      <c r="N11" s="23"/>
      <c r="O11" s="23"/>
      <c r="P11" s="23"/>
      <c r="Q11" s="24">
        <f ca="1">IFERROR(__xludf.DUMMYFUNCTION("""COMPUTED_VALUE"""),0.30475612177377)</f>
        <v>0.30475612177376998</v>
      </c>
      <c r="R11" s="23">
        <f ca="1">IFERROR(__xludf.DUMMYFUNCTION("""COMPUTED_VALUE"""),-0.775913578990721)</f>
        <v>-0.775913578990721</v>
      </c>
      <c r="S11" s="23"/>
      <c r="T11" s="23"/>
      <c r="U11" s="23">
        <f ca="1">IFERROR(__xludf.DUMMYFUNCTION("""COMPUTED_VALUE"""),-0.379711254750797)</f>
        <v>-0.37971125475079698</v>
      </c>
      <c r="V11" s="23"/>
      <c r="W11" s="23">
        <f ca="1">IFERROR(__xludf.DUMMYFUNCTION("""COMPUTED_VALUE"""),0.232114038908958)</f>
        <v>0.23211403890895799</v>
      </c>
      <c r="X11" s="23"/>
      <c r="Y11" s="23">
        <f ca="1">IFERROR(__xludf.DUMMYFUNCTION("""COMPUTED_VALUE"""),-0.619986530274137)</f>
        <v>-0.61998653027413697</v>
      </c>
      <c r="Z11" s="23">
        <f ca="1">IFERROR(__xludf.DUMMYFUNCTION("""COMPUTED_VALUE"""),2.17144471102225)</f>
        <v>2.1714447110222501</v>
      </c>
      <c r="AA11" s="23"/>
      <c r="AB11" s="23">
        <f ca="1">IFERROR(__xludf.DUMMYFUNCTION("""COMPUTED_VALUE"""),0.111637838667619)</f>
        <v>0.111637838667619</v>
      </c>
      <c r="AC11" s="22"/>
      <c r="AD11" s="23"/>
      <c r="AE11" s="23"/>
      <c r="AF11" s="22"/>
      <c r="AG11" s="22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</row>
    <row r="12" spans="1:45" ht="27.75" customHeight="1" x14ac:dyDescent="0.7">
      <c r="A12" s="25" t="s">
        <v>27</v>
      </c>
      <c r="B12" s="25" t="s">
        <v>28</v>
      </c>
      <c r="C12" s="25" t="str">
        <f ca="1">IFERROR(__xludf.DUMMYFUNCTION("""COMPUTED_VALUE"""),"2022/04/03 (日)
休日午前")</f>
        <v>2022/04/03 (日)
休日午前</v>
      </c>
      <c r="D12" s="15" t="str">
        <f ca="1">IFERROR(__xludf.DUMMYFUNCTION("""COMPUTED_VALUE"""),"休日午前")</f>
        <v>休日午前</v>
      </c>
      <c r="E12" s="16">
        <f ca="1">IFERROR(__xludf.DUMMYFUNCTION("""COMPUTED_VALUE"""),0.931702318194486)</f>
        <v>0.93170231819448601</v>
      </c>
      <c r="F12" s="15" t="s">
        <v>1</v>
      </c>
      <c r="G12" s="17" t="s">
        <v>257</v>
      </c>
      <c r="H12" s="18"/>
      <c r="I12" s="19"/>
      <c r="J12" s="20"/>
      <c r="K12" s="23" t="str">
        <f ca="1">IFERROR(__xludf.DUMMYFUNCTION("""COMPUTED_VALUE"""),"")</f>
        <v/>
      </c>
      <c r="L12" s="22"/>
      <c r="M12" s="23">
        <f ca="1">IFERROR(__xludf.DUMMYFUNCTION("""COMPUTED_VALUE"""),-0.501191460036796)</f>
        <v>-0.50119146003679604</v>
      </c>
      <c r="N12" s="23"/>
      <c r="O12" s="23"/>
      <c r="P12" s="23"/>
      <c r="Q12" s="24">
        <f ca="1">IFERROR(__xludf.DUMMYFUNCTION("""COMPUTED_VALUE"""),0.649391332270348)</f>
        <v>0.64939133227034795</v>
      </c>
      <c r="R12" s="23">
        <f ca="1">IFERROR(__xludf.DUMMYFUNCTION("""COMPUTED_VALUE"""),-0.674319535134602)</f>
        <v>-0.67431953513460197</v>
      </c>
      <c r="S12" s="23"/>
      <c r="T12" s="23"/>
      <c r="U12" s="23">
        <f ca="1">IFERROR(__xludf.DUMMYFUNCTION("""COMPUTED_VALUE"""),-0.535190325139933)</f>
        <v>-0.53519032513993303</v>
      </c>
      <c r="V12" s="23"/>
      <c r="W12" s="23">
        <f ca="1">IFERROR(__xludf.DUMMYFUNCTION("""COMPUTED_VALUE"""),0.0627189229798097)</f>
        <v>6.2718922979809702E-2</v>
      </c>
      <c r="X12" s="23"/>
      <c r="Y12" s="23">
        <f ca="1">IFERROR(__xludf.DUMMYFUNCTION("""COMPUTED_VALUE"""),-0.515282186316858)</f>
        <v>-0.51528218631685796</v>
      </c>
      <c r="Z12" s="23">
        <f ca="1">IFERROR(__xludf.DUMMYFUNCTION("""COMPUTED_VALUE"""),-0.99805736811582)</f>
        <v>-0.99805736811582002</v>
      </c>
      <c r="AA12" s="23"/>
      <c r="AB12" s="23">
        <f ca="1">IFERROR(__xludf.DUMMYFUNCTION("""COMPUTED_VALUE"""),0.931702318194486)</f>
        <v>0.93170231819448601</v>
      </c>
      <c r="AC12" s="22"/>
      <c r="AD12" s="23"/>
      <c r="AE12" s="23"/>
      <c r="AF12" s="22"/>
      <c r="AG12" s="22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</row>
    <row r="13" spans="1:45" ht="27.75" customHeight="1" x14ac:dyDescent="0.7">
      <c r="A13" s="26" t="s">
        <v>27</v>
      </c>
      <c r="B13" s="26" t="s">
        <v>28</v>
      </c>
      <c r="C13" s="26" t="str">
        <f ca="1">IFERROR(__xludf.DUMMYFUNCTION("""COMPUTED_VALUE"""),"2022/04/03 (日)
休日午後")</f>
        <v>2022/04/03 (日)
休日午後</v>
      </c>
      <c r="D13" s="15" t="str">
        <f ca="1">IFERROR(__xludf.DUMMYFUNCTION("""COMPUTED_VALUE"""),"休日午後")</f>
        <v>休日午後</v>
      </c>
      <c r="E13" s="16">
        <f ca="1">IFERROR(__xludf.DUMMYFUNCTION("""COMPUTED_VALUE"""),0.918081117007621)</f>
        <v>0.91808111700762096</v>
      </c>
      <c r="F13" s="15" t="s">
        <v>13</v>
      </c>
      <c r="G13" s="17" t="s">
        <v>257</v>
      </c>
      <c r="H13" s="18"/>
      <c r="I13" s="19"/>
      <c r="J13" s="19"/>
      <c r="K13" s="23" t="str">
        <f ca="1">IFERROR(__xludf.DUMMYFUNCTION("""COMPUTED_VALUE"""),"")</f>
        <v/>
      </c>
      <c r="L13" s="22"/>
      <c r="M13" s="23">
        <f ca="1">IFERROR(__xludf.DUMMYFUNCTION("""COMPUTED_VALUE"""),-0.824049951449985)</f>
        <v>-0.82404995144998505</v>
      </c>
      <c r="N13" s="23"/>
      <c r="O13" s="23"/>
      <c r="P13" s="23"/>
      <c r="Q13" s="24">
        <f ca="1">IFERROR(__xludf.DUMMYFUNCTION("""COMPUTED_VALUE"""),0.520048192286431)</f>
        <v>0.52004819228643095</v>
      </c>
      <c r="R13" s="23">
        <f ca="1">IFERROR(__xludf.DUMMYFUNCTION("""COMPUTED_VALUE"""),-0.0851363538699427)</f>
        <v>-8.5136353869942699E-2</v>
      </c>
      <c r="S13" s="23"/>
      <c r="T13" s="23"/>
      <c r="U13" s="23">
        <f ca="1">IFERROR(__xludf.DUMMYFUNCTION("""COMPUTED_VALUE"""),-0.729826965783095)</f>
        <v>-0.72982696578309503</v>
      </c>
      <c r="V13" s="23"/>
      <c r="W13" s="23">
        <f ca="1">IFERROR(__xludf.DUMMYFUNCTION("""COMPUTED_VALUE"""),0.144094703495616)</f>
        <v>0.14409470349561601</v>
      </c>
      <c r="X13" s="23"/>
      <c r="Y13" s="23">
        <f ca="1">IFERROR(__xludf.DUMMYFUNCTION("""COMPUTED_VALUE"""),-0.953274120269583)</f>
        <v>-0.95327412026958303</v>
      </c>
      <c r="Z13" s="23">
        <f ca="1">IFERROR(__xludf.DUMMYFUNCTION("""COMPUTED_VALUE"""),0.110085155673208)</f>
        <v>0.11008515567320799</v>
      </c>
      <c r="AA13" s="23"/>
      <c r="AB13" s="23">
        <f ca="1">IFERROR(__xludf.DUMMYFUNCTION("""COMPUTED_VALUE"""),0.425400450344036)</f>
        <v>0.42540045034403601</v>
      </c>
      <c r="AC13" s="22"/>
      <c r="AD13" s="23"/>
      <c r="AE13" s="23"/>
      <c r="AF13" s="22"/>
      <c r="AG13" s="22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</row>
    <row r="14" spans="1:45" ht="27.75" customHeight="1" x14ac:dyDescent="0.7">
      <c r="A14" s="15" t="s">
        <v>27</v>
      </c>
      <c r="B14" s="15" t="s">
        <v>28</v>
      </c>
      <c r="C14" s="15" t="str">
        <f ca="1">IFERROR(__xludf.DUMMYFUNCTION("""COMPUTED_VALUE"""),"2022/04/04 (月)
平日夜間")</f>
        <v>2022/04/04 (月)
平日夜間</v>
      </c>
      <c r="D14" s="15" t="str">
        <f ca="1">IFERROR(__xludf.DUMMYFUNCTION("""COMPUTED_VALUE"""),"平日夜間")</f>
        <v>平日夜間</v>
      </c>
      <c r="E14" s="16">
        <f ca="1">IFERROR(__xludf.DUMMYFUNCTION("""COMPUTED_VALUE"""),2.20754078004753)</f>
        <v>2.20754078004753</v>
      </c>
      <c r="F14" s="15" t="s">
        <v>29</v>
      </c>
      <c r="G14" s="17" t="s">
        <v>257</v>
      </c>
      <c r="H14" s="18"/>
      <c r="I14" s="19"/>
      <c r="J14" s="19"/>
      <c r="K14" s="23" t="str">
        <f ca="1">IFERROR(__xludf.DUMMYFUNCTION("""COMPUTED_VALUE"""),"")</f>
        <v/>
      </c>
      <c r="L14" s="22"/>
      <c r="M14" s="23">
        <f ca="1">IFERROR(__xludf.DUMMYFUNCTION("""COMPUTED_VALUE"""),0.981332738655193)</f>
        <v>0.98133273865519299</v>
      </c>
      <c r="N14" s="23"/>
      <c r="O14" s="23"/>
      <c r="P14" s="23"/>
      <c r="Q14" s="24">
        <f ca="1">IFERROR(__xludf.DUMMYFUNCTION("""COMPUTED_VALUE"""),-0.408442770859944)</f>
        <v>-0.40844277085994402</v>
      </c>
      <c r="R14" s="23">
        <f ca="1">IFERROR(__xludf.DUMMYFUNCTION("""COMPUTED_VALUE"""),0.279701232417962)</f>
        <v>0.27970123241796202</v>
      </c>
      <c r="S14" s="23"/>
      <c r="T14" s="23"/>
      <c r="U14" s="23">
        <f ca="1">IFERROR(__xludf.DUMMYFUNCTION("""COMPUTED_VALUE"""),0.247632509423133)</f>
        <v>0.247632509423133</v>
      </c>
      <c r="V14" s="23"/>
      <c r="W14" s="23">
        <f ca="1">IFERROR(__xludf.DUMMYFUNCTION("""COMPUTED_VALUE"""),0.593914907840802)</f>
        <v>0.59391490784080203</v>
      </c>
      <c r="X14" s="23"/>
      <c r="Y14" s="23">
        <f ca="1">IFERROR(__xludf.DUMMYFUNCTION("""COMPUTED_VALUE"""),0.661619886173163)</f>
        <v>0.66161988617316303</v>
      </c>
      <c r="Z14" s="23">
        <f ca="1">IFERROR(__xludf.DUMMYFUNCTION("""COMPUTED_VALUE"""),0.50838430153944)</f>
        <v>0.50838430153944003</v>
      </c>
      <c r="AA14" s="23"/>
      <c r="AB14" s="23">
        <f ca="1">IFERROR(__xludf.DUMMYFUNCTION("""COMPUTED_VALUE"""),0.827648796846089)</f>
        <v>0.82764879684608905</v>
      </c>
      <c r="AC14" s="22"/>
      <c r="AD14" s="23"/>
      <c r="AE14" s="23"/>
      <c r="AF14" s="22"/>
      <c r="AG14" s="22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</row>
    <row r="15" spans="1:45" ht="27.75" customHeight="1" x14ac:dyDescent="0.7">
      <c r="A15" s="15" t="s">
        <v>27</v>
      </c>
      <c r="B15" s="15" t="s">
        <v>28</v>
      </c>
      <c r="C15" s="15" t="str">
        <f ca="1">IFERROR(__xludf.DUMMYFUNCTION("""COMPUTED_VALUE"""),"2022/04/05 (火)
平日夜間")</f>
        <v>2022/04/05 (火)
平日夜間</v>
      </c>
      <c r="D15" s="15" t="str">
        <f ca="1">IFERROR(__xludf.DUMMYFUNCTION("""COMPUTED_VALUE"""),"平日夜間")</f>
        <v>平日夜間</v>
      </c>
      <c r="E15" s="16">
        <f ca="1">IFERROR(__xludf.DUMMYFUNCTION("""COMPUTED_VALUE"""),2.80694189653914)</f>
        <v>2.8069418965391399</v>
      </c>
      <c r="F15" s="15" t="s">
        <v>30</v>
      </c>
      <c r="G15" s="17" t="s">
        <v>257</v>
      </c>
      <c r="H15" s="18"/>
      <c r="I15" s="19"/>
      <c r="J15" s="19"/>
      <c r="K15" s="23" t="str">
        <f ca="1">IFERROR(__xludf.DUMMYFUNCTION("""COMPUTED_VALUE"""),"")</f>
        <v/>
      </c>
      <c r="L15" s="22"/>
      <c r="M15" s="23">
        <f ca="1">IFERROR(__xludf.DUMMYFUNCTION("""COMPUTED_VALUE"""),-0.626283223929728)</f>
        <v>-0.62628322392972802</v>
      </c>
      <c r="N15" s="23"/>
      <c r="O15" s="23"/>
      <c r="P15" s="23"/>
      <c r="Q15" s="24">
        <f ca="1">IFERROR(__xludf.DUMMYFUNCTION("""COMPUTED_VALUE"""),-0.145476009428029)</f>
        <v>-0.14547600942802899</v>
      </c>
      <c r="R15" s="23">
        <f ca="1">IFERROR(__xludf.DUMMYFUNCTION("""COMPUTED_VALUE"""),0.246193238839943)</f>
        <v>0.24619323883994301</v>
      </c>
      <c r="S15" s="23"/>
      <c r="T15" s="23"/>
      <c r="U15" s="23">
        <f ca="1">IFERROR(__xludf.DUMMYFUNCTION("""COMPUTED_VALUE"""),0.389333737034649)</f>
        <v>0.38933373703464902</v>
      </c>
      <c r="V15" s="23"/>
      <c r="W15" s="23">
        <f ca="1">IFERROR(__xludf.DUMMYFUNCTION("""COMPUTED_VALUE"""),0.182611516901694)</f>
        <v>0.182611516901694</v>
      </c>
      <c r="X15" s="23"/>
      <c r="Y15" s="23">
        <f ca="1">IFERROR(__xludf.DUMMYFUNCTION("""COMPUTED_VALUE"""),-0.192794272653314)</f>
        <v>-0.192794272653314</v>
      </c>
      <c r="Z15" s="23">
        <f ca="1">IFERROR(__xludf.DUMMYFUNCTION("""COMPUTED_VALUE"""),0.977327393472682)</f>
        <v>0.97732739347268205</v>
      </c>
      <c r="AA15" s="23"/>
      <c r="AB15" s="23">
        <f ca="1">IFERROR(__xludf.DUMMYFUNCTION("""COMPUTED_VALUE"""),0.461104605837005)</f>
        <v>0.46110460583700502</v>
      </c>
      <c r="AC15" s="22"/>
      <c r="AD15" s="23"/>
      <c r="AE15" s="23"/>
      <c r="AF15" s="22"/>
      <c r="AG15" s="22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</row>
    <row r="16" spans="1:45" ht="27.75" customHeight="1" x14ac:dyDescent="0.7">
      <c r="A16" s="15" t="s">
        <v>27</v>
      </c>
      <c r="B16" s="15" t="s">
        <v>28</v>
      </c>
      <c r="C16" s="15" t="str">
        <f ca="1">IFERROR(__xludf.DUMMYFUNCTION("""COMPUTED_VALUE"""),"2022/04/06 (水)
平日夜間")</f>
        <v>2022/04/06 (水)
平日夜間</v>
      </c>
      <c r="D16" s="15" t="str">
        <f ca="1">IFERROR(__xludf.DUMMYFUNCTION("""COMPUTED_VALUE"""),"平日夜間")</f>
        <v>平日夜間</v>
      </c>
      <c r="E16" s="16">
        <f ca="1">IFERROR(__xludf.DUMMYFUNCTION("""COMPUTED_VALUE"""),0.929548178519244)</f>
        <v>0.92954817851924398</v>
      </c>
      <c r="F16" s="15" t="s">
        <v>4</v>
      </c>
      <c r="G16" s="17" t="s">
        <v>257</v>
      </c>
      <c r="H16" s="18"/>
      <c r="I16" s="19"/>
      <c r="J16" s="20"/>
      <c r="K16" s="23" t="str">
        <f ca="1">IFERROR(__xludf.DUMMYFUNCTION("""COMPUTED_VALUE"""),"")</f>
        <v/>
      </c>
      <c r="L16" s="22"/>
      <c r="M16" s="23">
        <f ca="1">IFERROR(__xludf.DUMMYFUNCTION("""COMPUTED_VALUE"""),0.929548178519244)</f>
        <v>0.92954817851924398</v>
      </c>
      <c r="N16" s="23"/>
      <c r="O16" s="23"/>
      <c r="P16" s="23"/>
      <c r="Q16" s="24">
        <f ca="1">IFERROR(__xludf.DUMMYFUNCTION("""COMPUTED_VALUE"""),-0.892804105410897)</f>
        <v>-0.89280410541089705</v>
      </c>
      <c r="R16" s="23">
        <f ca="1">IFERROR(__xludf.DUMMYFUNCTION("""COMPUTED_VALUE"""),0.199134146050156)</f>
        <v>0.199134146050156</v>
      </c>
      <c r="S16" s="23"/>
      <c r="T16" s="23"/>
      <c r="U16" s="23">
        <f ca="1">IFERROR(__xludf.DUMMYFUNCTION("""COMPUTED_VALUE"""),0.611220330333664)</f>
        <v>0.61122033033366396</v>
      </c>
      <c r="V16" s="23"/>
      <c r="W16" s="23">
        <f ca="1">IFERROR(__xludf.DUMMYFUNCTION("""COMPUTED_VALUE"""),-0.875194477586973)</f>
        <v>-0.875194477586973</v>
      </c>
      <c r="X16" s="23"/>
      <c r="Y16" s="23">
        <f ca="1">IFERROR(__xludf.DUMMYFUNCTION("""COMPUTED_VALUE"""),0.35809412428147)</f>
        <v>0.35809412428147003</v>
      </c>
      <c r="Z16" s="23">
        <f ca="1">IFERROR(__xludf.DUMMYFUNCTION("""COMPUTED_VALUE"""),-0.267250089203839)</f>
        <v>-0.26725008920383903</v>
      </c>
      <c r="AA16" s="23"/>
      <c r="AB16" s="23">
        <f ca="1">IFERROR(__xludf.DUMMYFUNCTION("""COMPUTED_VALUE"""),-0.719861640425178)</f>
        <v>-0.71986164042517797</v>
      </c>
      <c r="AC16" s="22"/>
      <c r="AD16" s="23"/>
      <c r="AE16" s="23"/>
      <c r="AF16" s="22"/>
      <c r="AG16" s="22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</row>
    <row r="17" spans="1:45" ht="27.75" customHeight="1" x14ac:dyDescent="0.7">
      <c r="A17" s="15" t="s">
        <v>27</v>
      </c>
      <c r="B17" s="15" t="s">
        <v>28</v>
      </c>
      <c r="C17" s="15" t="str">
        <f ca="1">IFERROR(__xludf.DUMMYFUNCTION("""COMPUTED_VALUE"""),"2022/04/07 (木)
平日夜間")</f>
        <v>2022/04/07 (木)
平日夜間</v>
      </c>
      <c r="D17" s="15" t="str">
        <f ca="1">IFERROR(__xludf.DUMMYFUNCTION("""COMPUTED_VALUE"""),"平日夜間")</f>
        <v>平日夜間</v>
      </c>
      <c r="E17" s="16">
        <f ca="1">IFERROR(__xludf.DUMMYFUNCTION("""COMPUTED_VALUE"""),2.77760600609486)</f>
        <v>2.7776060060948602</v>
      </c>
      <c r="F17" s="15" t="s">
        <v>1</v>
      </c>
      <c r="G17" s="17" t="s">
        <v>257</v>
      </c>
      <c r="H17" s="18"/>
      <c r="I17" s="19"/>
      <c r="J17" s="20"/>
      <c r="K17" s="23" t="str">
        <f ca="1">IFERROR(__xludf.DUMMYFUNCTION("""COMPUTED_VALUE"""),"")</f>
        <v/>
      </c>
      <c r="L17" s="22"/>
      <c r="M17" s="23">
        <f ca="1">IFERROR(__xludf.DUMMYFUNCTION("""COMPUTED_VALUE"""),0.618358036535644)</f>
        <v>0.61835803653564403</v>
      </c>
      <c r="N17" s="23"/>
      <c r="O17" s="23"/>
      <c r="P17" s="23"/>
      <c r="Q17" s="24">
        <f ca="1">IFERROR(__xludf.DUMMYFUNCTION("""COMPUTED_VALUE"""),0.546694074887237)</f>
        <v>0.54669407488723698</v>
      </c>
      <c r="R17" s="23">
        <f ca="1">IFERROR(__xludf.DUMMYFUNCTION("""COMPUTED_VALUE"""),-0.969662303933082)</f>
        <v>-0.96966230393308195</v>
      </c>
      <c r="S17" s="23"/>
      <c r="T17" s="23"/>
      <c r="U17" s="23">
        <f ca="1">IFERROR(__xludf.DUMMYFUNCTION("""COMPUTED_VALUE"""),-0.531410153885293)</f>
        <v>-0.531410153885293</v>
      </c>
      <c r="V17" s="23"/>
      <c r="W17" s="23">
        <f ca="1">IFERROR(__xludf.DUMMYFUNCTION("""COMPUTED_VALUE"""),0.240312378259453)</f>
        <v>0.24031237825945301</v>
      </c>
      <c r="X17" s="23"/>
      <c r="Y17" s="23">
        <f ca="1">IFERROR(__xludf.DUMMYFUNCTION("""COMPUTED_VALUE"""),0.273877599781567)</f>
        <v>0.273877599781567</v>
      </c>
      <c r="Z17" s="23">
        <f ca="1">IFERROR(__xludf.DUMMYFUNCTION("""COMPUTED_VALUE"""),0.349429738160818)</f>
        <v>0.34942973816081802</v>
      </c>
      <c r="AA17" s="23"/>
      <c r="AB17" s="23">
        <f ca="1">IFERROR(__xludf.DUMMYFUNCTION("""COMPUTED_VALUE"""),2.77760600609486)</f>
        <v>2.7776060060948602</v>
      </c>
      <c r="AC17" s="22"/>
      <c r="AD17" s="23"/>
      <c r="AE17" s="23"/>
      <c r="AF17" s="22"/>
      <c r="AG17" s="22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</row>
    <row r="18" spans="1:45" ht="27.75" customHeight="1" x14ac:dyDescent="0.7">
      <c r="A18" s="15" t="s">
        <v>27</v>
      </c>
      <c r="B18" s="15" t="s">
        <v>28</v>
      </c>
      <c r="C18" s="15" t="str">
        <f ca="1">IFERROR(__xludf.DUMMYFUNCTION("""COMPUTED_VALUE"""),"2022/04/08 (金)
平日夜間")</f>
        <v>2022/04/08 (金)
平日夜間</v>
      </c>
      <c r="D18" s="15" t="str">
        <f ca="1">IFERROR(__xludf.DUMMYFUNCTION("""COMPUTED_VALUE"""),"平日夜間")</f>
        <v>平日夜間</v>
      </c>
      <c r="E18" s="16">
        <f ca="1">IFERROR(__xludf.DUMMYFUNCTION("""COMPUTED_VALUE"""),2.63595280027421)</f>
        <v>2.6359528002742101</v>
      </c>
      <c r="F18" s="15" t="s">
        <v>14</v>
      </c>
      <c r="G18" s="17" t="s">
        <v>257</v>
      </c>
      <c r="H18" s="18"/>
      <c r="I18" s="19"/>
      <c r="J18" s="20"/>
      <c r="K18" s="23" t="str">
        <f ca="1">IFERROR(__xludf.DUMMYFUNCTION("""COMPUTED_VALUE"""),"")</f>
        <v/>
      </c>
      <c r="L18" s="22"/>
      <c r="M18" s="23">
        <f ca="1">IFERROR(__xludf.DUMMYFUNCTION("""COMPUTED_VALUE"""),0.641192059788356)</f>
        <v>0.64119205978835603</v>
      </c>
      <c r="N18" s="23"/>
      <c r="O18" s="23"/>
      <c r="P18" s="23"/>
      <c r="Q18" s="24">
        <f ca="1">IFERROR(__xludf.DUMMYFUNCTION("""COMPUTED_VALUE"""),0.220209557961389)</f>
        <v>0.220209557961389</v>
      </c>
      <c r="R18" s="23">
        <f ca="1">IFERROR(__xludf.DUMMYFUNCTION("""COMPUTED_VALUE"""),-0.773202292997311)</f>
        <v>-0.77320229299731102</v>
      </c>
      <c r="S18" s="23"/>
      <c r="T18" s="23"/>
      <c r="U18" s="23">
        <f ca="1">IFERROR(__xludf.DUMMYFUNCTION("""COMPUTED_VALUE"""),-0.712696953673613)</f>
        <v>-0.71269695367361297</v>
      </c>
      <c r="V18" s="23"/>
      <c r="W18" s="23">
        <f ca="1">IFERROR(__xludf.DUMMYFUNCTION("""COMPUTED_VALUE"""),0.499085495843878)</f>
        <v>0.49908549584387801</v>
      </c>
      <c r="X18" s="23"/>
      <c r="Y18" s="23">
        <f ca="1">IFERROR(__xludf.DUMMYFUNCTION("""COMPUTED_VALUE"""),2.63595280027421)</f>
        <v>2.6359528002742101</v>
      </c>
      <c r="Z18" s="23">
        <f ca="1">IFERROR(__xludf.DUMMYFUNCTION("""COMPUTED_VALUE"""),0.78086997802561)</f>
        <v>0.78086997802560998</v>
      </c>
      <c r="AA18" s="23"/>
      <c r="AB18" s="23">
        <f ca="1">IFERROR(__xludf.DUMMYFUNCTION("""COMPUTED_VALUE"""),-0.440348498575813)</f>
        <v>-0.44034849857581299</v>
      </c>
      <c r="AC18" s="22"/>
      <c r="AD18" s="23"/>
      <c r="AE18" s="23"/>
      <c r="AF18" s="22"/>
      <c r="AG18" s="22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</row>
    <row r="19" spans="1:45" ht="27.75" customHeight="1" x14ac:dyDescent="0.7">
      <c r="A19" s="15" t="s">
        <v>27</v>
      </c>
      <c r="B19" s="15" t="s">
        <v>28</v>
      </c>
      <c r="C19" s="15" t="str">
        <f ca="1">IFERROR(__xludf.DUMMYFUNCTION("""COMPUTED_VALUE"""),"2022/04/09 (土)
休日午前")</f>
        <v>2022/04/09 (土)
休日午前</v>
      </c>
      <c r="D19" s="15" t="str">
        <f ca="1">IFERROR(__xludf.DUMMYFUNCTION("""COMPUTED_VALUE"""),"休日午前")</f>
        <v>休日午前</v>
      </c>
      <c r="E19" s="16">
        <f ca="1">IFERROR(__xludf.DUMMYFUNCTION("""COMPUTED_VALUE"""),0.991638444475771)</f>
        <v>0.99163844447577099</v>
      </c>
      <c r="F19" s="15" t="s">
        <v>29</v>
      </c>
      <c r="G19" s="17" t="s">
        <v>257</v>
      </c>
      <c r="H19" s="18"/>
      <c r="I19" s="19"/>
      <c r="J19" s="20"/>
      <c r="K19" s="23" t="str">
        <f ca="1">IFERROR(__xludf.DUMMYFUNCTION("""COMPUTED_VALUE"""),"")</f>
        <v/>
      </c>
      <c r="L19" s="22"/>
      <c r="M19" s="23">
        <f ca="1">IFERROR(__xludf.DUMMYFUNCTION("""COMPUTED_VALUE"""),0.651869965967206)</f>
        <v>0.65186996596720603</v>
      </c>
      <c r="N19" s="23"/>
      <c r="O19" s="23"/>
      <c r="P19" s="23"/>
      <c r="Q19" s="24">
        <f ca="1">IFERROR(__xludf.DUMMYFUNCTION("""COMPUTED_VALUE"""),0.180506898844051)</f>
        <v>0.18050689884405099</v>
      </c>
      <c r="R19" s="23">
        <f ca="1">IFERROR(__xludf.DUMMYFUNCTION("""COMPUTED_VALUE"""),-0.620950417239965)</f>
        <v>-0.62095041723996502</v>
      </c>
      <c r="S19" s="23"/>
      <c r="T19" s="23"/>
      <c r="U19" s="23">
        <f ca="1">IFERROR(__xludf.DUMMYFUNCTION("""COMPUTED_VALUE"""),-0.55787297369156)</f>
        <v>-0.55787297369155997</v>
      </c>
      <c r="V19" s="23"/>
      <c r="W19" s="23">
        <f ca="1">IFERROR(__xludf.DUMMYFUNCTION("""COMPUTED_VALUE"""),0.503424298724605)</f>
        <v>0.50342429872460503</v>
      </c>
      <c r="X19" s="23"/>
      <c r="Y19" s="23">
        <f ca="1">IFERROR(__xludf.DUMMYFUNCTION("""COMPUTED_VALUE"""),-0.393749773556248)</f>
        <v>-0.39374977355624802</v>
      </c>
      <c r="Z19" s="23">
        <f ca="1">IFERROR(__xludf.DUMMYFUNCTION("""COMPUTED_VALUE"""),0.419962401068537)</f>
        <v>0.41996240106853699</v>
      </c>
      <c r="AA19" s="23"/>
      <c r="AB19" s="23">
        <f ca="1">IFERROR(__xludf.DUMMYFUNCTION("""COMPUTED_VALUE"""),0.407378450090033)</f>
        <v>0.40737845009003298</v>
      </c>
      <c r="AC19" s="22"/>
      <c r="AD19" s="23"/>
      <c r="AE19" s="23"/>
      <c r="AF19" s="22"/>
      <c r="AG19" s="22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</row>
    <row r="20" spans="1:45" ht="27.75" customHeight="1" x14ac:dyDescent="0.7">
      <c r="A20" s="15" t="s">
        <v>27</v>
      </c>
      <c r="B20" s="15" t="s">
        <v>28</v>
      </c>
      <c r="C20" s="15" t="str">
        <f ca="1">IFERROR(__xludf.DUMMYFUNCTION("""COMPUTED_VALUE"""),"2022/04/09 (土)
休日午後")</f>
        <v>2022/04/09 (土)
休日午後</v>
      </c>
      <c r="D20" s="15" t="str">
        <f ca="1">IFERROR(__xludf.DUMMYFUNCTION("""COMPUTED_VALUE"""),"休日午後")</f>
        <v>休日午後</v>
      </c>
      <c r="E20" s="16">
        <f ca="1">IFERROR(__xludf.DUMMYFUNCTION("""COMPUTED_VALUE"""),0.978014633836981)</f>
        <v>0.97801463383698095</v>
      </c>
      <c r="F20" s="15" t="s">
        <v>31</v>
      </c>
      <c r="G20" s="17" t="s">
        <v>257</v>
      </c>
      <c r="H20" s="18"/>
      <c r="I20" s="19"/>
      <c r="J20" s="20"/>
      <c r="K20" s="23" t="str">
        <f ca="1">IFERROR(__xludf.DUMMYFUNCTION("""COMPUTED_VALUE"""),"")</f>
        <v/>
      </c>
      <c r="L20" s="22"/>
      <c r="M20" s="23">
        <f ca="1">IFERROR(__xludf.DUMMYFUNCTION("""COMPUTED_VALUE"""),0.837974289549723)</f>
        <v>0.83797428954972297</v>
      </c>
      <c r="N20" s="23"/>
      <c r="O20" s="23"/>
      <c r="P20" s="23"/>
      <c r="Q20" s="24">
        <f ca="1">IFERROR(__xludf.DUMMYFUNCTION("""COMPUTED_VALUE"""),0.0943859882021433)</f>
        <v>9.4385988202143306E-2</v>
      </c>
      <c r="R20" s="23">
        <f ca="1">IFERROR(__xludf.DUMMYFUNCTION("""COMPUTED_VALUE"""),-0.796354957324696)</f>
        <v>-0.79635495732469597</v>
      </c>
      <c r="S20" s="23"/>
      <c r="T20" s="23"/>
      <c r="U20" s="23">
        <f ca="1">IFERROR(__xludf.DUMMYFUNCTION("""COMPUTED_VALUE"""),-0.834184041797046)</f>
        <v>-0.83418404179704597</v>
      </c>
      <c r="V20" s="23"/>
      <c r="W20" s="23">
        <f ca="1">IFERROR(__xludf.DUMMYFUNCTION("""COMPUTED_VALUE"""),0.376079263104357)</f>
        <v>0.37607926310435702</v>
      </c>
      <c r="X20" s="23"/>
      <c r="Y20" s="23">
        <f ca="1">IFERROR(__xludf.DUMMYFUNCTION("""COMPUTED_VALUE"""),-0.0732715331233397)</f>
        <v>-7.3271533123339699E-2</v>
      </c>
      <c r="Z20" s="23">
        <f ca="1">IFERROR(__xludf.DUMMYFUNCTION("""COMPUTED_VALUE"""),0.158111156946805)</f>
        <v>0.158111156946805</v>
      </c>
      <c r="AA20" s="23"/>
      <c r="AB20" s="23">
        <f ca="1">IFERROR(__xludf.DUMMYFUNCTION("""COMPUTED_VALUE"""),0.772429363193136)</f>
        <v>0.77242936319313604</v>
      </c>
      <c r="AC20" s="22"/>
      <c r="AD20" s="23"/>
      <c r="AE20" s="23"/>
      <c r="AF20" s="22"/>
      <c r="AG20" s="22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</row>
    <row r="21" spans="1:45" ht="27.75" customHeight="1" x14ac:dyDescent="0.7">
      <c r="A21" s="15" t="s">
        <v>27</v>
      </c>
      <c r="B21" s="15" t="s">
        <v>28</v>
      </c>
      <c r="C21" s="15" t="str">
        <f ca="1">IFERROR(__xludf.DUMMYFUNCTION("""COMPUTED_VALUE"""),"2022/04/10 (日)
休日午前")</f>
        <v>2022/04/10 (日)
休日午前</v>
      </c>
      <c r="D21" s="15" t="str">
        <f ca="1">IFERROR(__xludf.DUMMYFUNCTION("""COMPUTED_VALUE"""),"休日午前")</f>
        <v>休日午前</v>
      </c>
      <c r="E21" s="16">
        <f ca="1">IFERROR(__xludf.DUMMYFUNCTION("""COMPUTED_VALUE"""),0.976028270026011)</f>
        <v>0.976028270026011</v>
      </c>
      <c r="F21" s="15" t="s">
        <v>29</v>
      </c>
      <c r="G21" s="17" t="s">
        <v>257</v>
      </c>
      <c r="H21" s="18"/>
      <c r="I21" s="19"/>
      <c r="J21" s="20"/>
      <c r="K21" s="23" t="str">
        <f ca="1">IFERROR(__xludf.DUMMYFUNCTION("""COMPUTED_VALUE"""),"")</f>
        <v/>
      </c>
      <c r="L21" s="22"/>
      <c r="M21" s="23">
        <f ca="1">IFERROR(__xludf.DUMMYFUNCTION("""COMPUTED_VALUE"""),-0.438206911225084)</f>
        <v>-0.43820691122508398</v>
      </c>
      <c r="N21" s="23"/>
      <c r="O21" s="23"/>
      <c r="P21" s="23"/>
      <c r="Q21" s="24">
        <f ca="1">IFERROR(__xludf.DUMMYFUNCTION("""COMPUTED_VALUE"""),0.00360682184764193)</f>
        <v>3.6068218476419298E-3</v>
      </c>
      <c r="R21" s="23">
        <f ca="1">IFERROR(__xludf.DUMMYFUNCTION("""COMPUTED_VALUE"""),-0.658623336670324)</f>
        <v>-0.65862333667032402</v>
      </c>
      <c r="S21" s="23"/>
      <c r="T21" s="23"/>
      <c r="U21" s="23">
        <f ca="1">IFERROR(__xludf.DUMMYFUNCTION("""COMPUTED_VALUE"""),-0.312495598864737)</f>
        <v>-0.31249559886473699</v>
      </c>
      <c r="V21" s="23"/>
      <c r="W21" s="23">
        <f ca="1">IFERROR(__xludf.DUMMYFUNCTION("""COMPUTED_VALUE"""),0.157590964950334)</f>
        <v>0.15759096495033401</v>
      </c>
      <c r="X21" s="23"/>
      <c r="Y21" s="23">
        <f ca="1">IFERROR(__xludf.DUMMYFUNCTION("""COMPUTED_VALUE"""),-0.738736366418024)</f>
        <v>-0.73873636641802398</v>
      </c>
      <c r="Z21" s="23">
        <f ca="1">IFERROR(__xludf.DUMMYFUNCTION("""COMPUTED_VALUE"""),0.851793241665974)</f>
        <v>0.85179324166597403</v>
      </c>
      <c r="AA21" s="23"/>
      <c r="AB21" s="23">
        <f ca="1">IFERROR(__xludf.DUMMYFUNCTION("""COMPUTED_VALUE"""),0.947068497319097)</f>
        <v>0.94706849731909704</v>
      </c>
      <c r="AC21" s="22"/>
      <c r="AD21" s="23"/>
      <c r="AE21" s="23"/>
      <c r="AF21" s="22"/>
      <c r="AG21" s="22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</row>
    <row r="22" spans="1:45" ht="27.75" customHeight="1" x14ac:dyDescent="0.7">
      <c r="A22" s="15" t="s">
        <v>27</v>
      </c>
      <c r="B22" s="15" t="s">
        <v>28</v>
      </c>
      <c r="C22" s="15" t="str">
        <f ca="1">IFERROR(__xludf.DUMMYFUNCTION("""COMPUTED_VALUE"""),"2022/04/10 (日)
休日午後")</f>
        <v>2022/04/10 (日)
休日午後</v>
      </c>
      <c r="D22" s="15" t="str">
        <f ca="1">IFERROR(__xludf.DUMMYFUNCTION("""COMPUTED_VALUE"""),"休日午後")</f>
        <v>休日午後</v>
      </c>
      <c r="E22" s="16">
        <f ca="1">IFERROR(__xludf.DUMMYFUNCTION("""COMPUTED_VALUE"""),0.894983171413286)</f>
        <v>0.89498317141328598</v>
      </c>
      <c r="F22" s="15" t="s">
        <v>16</v>
      </c>
      <c r="G22" s="17" t="s">
        <v>257</v>
      </c>
      <c r="H22" s="18"/>
      <c r="I22" s="19"/>
      <c r="J22" s="19"/>
      <c r="K22" s="23" t="str">
        <f ca="1">IFERROR(__xludf.DUMMYFUNCTION("""COMPUTED_VALUE"""),"")</f>
        <v/>
      </c>
      <c r="L22" s="22"/>
      <c r="M22" s="23">
        <f ca="1">IFERROR(__xludf.DUMMYFUNCTION("""COMPUTED_VALUE"""),-0.204093626430264)</f>
        <v>-0.20409362643026399</v>
      </c>
      <c r="N22" s="23"/>
      <c r="O22" s="23"/>
      <c r="P22" s="23"/>
      <c r="Q22" s="24">
        <f ca="1">IFERROR(__xludf.DUMMYFUNCTION("""COMPUTED_VALUE"""),0.894983171413286)</f>
        <v>0.89498317141328598</v>
      </c>
      <c r="R22" s="23">
        <f ca="1">IFERROR(__xludf.DUMMYFUNCTION("""COMPUTED_VALUE"""),-0.260584012583316)</f>
        <v>-0.26058401258331598</v>
      </c>
      <c r="S22" s="23"/>
      <c r="T22" s="23"/>
      <c r="U22" s="23">
        <f ca="1">IFERROR(__xludf.DUMMYFUNCTION("""COMPUTED_VALUE"""),-0.98295073295644)</f>
        <v>-0.98295073295643998</v>
      </c>
      <c r="V22" s="23"/>
      <c r="W22" s="23">
        <f ca="1">IFERROR(__xludf.DUMMYFUNCTION("""COMPUTED_VALUE"""),0.046212585537263)</f>
        <v>4.6212585537262998E-2</v>
      </c>
      <c r="X22" s="23"/>
      <c r="Y22" s="23">
        <f ca="1">IFERROR(__xludf.DUMMYFUNCTION("""COMPUTED_VALUE"""),-0.164445581739437)</f>
        <v>-0.16444558173943699</v>
      </c>
      <c r="Z22" s="23">
        <f ca="1">IFERROR(__xludf.DUMMYFUNCTION("""COMPUTED_VALUE"""),0.0428658689195255)</f>
        <v>4.2865868919525499E-2</v>
      </c>
      <c r="AA22" s="23"/>
      <c r="AB22" s="23">
        <f ca="1">IFERROR(__xludf.DUMMYFUNCTION("""COMPUTED_VALUE"""),0.152597912060237)</f>
        <v>0.15259791206023701</v>
      </c>
      <c r="AC22" s="22"/>
      <c r="AD22" s="23"/>
      <c r="AE22" s="23"/>
      <c r="AF22" s="22"/>
      <c r="AG22" s="22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</row>
    <row r="23" spans="1:45" ht="27.75" customHeight="1" x14ac:dyDescent="0.7">
      <c r="A23" s="15" t="s">
        <v>27</v>
      </c>
      <c r="B23" s="15" t="s">
        <v>28</v>
      </c>
      <c r="C23" s="15" t="str">
        <f ca="1">IFERROR(__xludf.DUMMYFUNCTION("""COMPUTED_VALUE"""),"2022/04/11 (月)
平日夜間")</f>
        <v>2022/04/11 (月)
平日夜間</v>
      </c>
      <c r="D23" s="15" t="str">
        <f ca="1">IFERROR(__xludf.DUMMYFUNCTION("""COMPUTED_VALUE"""),"平日夜間")</f>
        <v>平日夜間</v>
      </c>
      <c r="E23" s="16">
        <f ca="1">IFERROR(__xludf.DUMMYFUNCTION("""COMPUTED_VALUE"""),0.913700913274023)</f>
        <v>0.91370091327402303</v>
      </c>
      <c r="F23" s="15" t="s">
        <v>13</v>
      </c>
      <c r="G23" s="17" t="s">
        <v>257</v>
      </c>
      <c r="H23" s="18"/>
      <c r="I23" s="19"/>
      <c r="J23" s="19"/>
      <c r="K23" s="23" t="str">
        <f ca="1">IFERROR(__xludf.DUMMYFUNCTION("""COMPUTED_VALUE"""),"")</f>
        <v/>
      </c>
      <c r="L23" s="22"/>
      <c r="M23" s="23">
        <f ca="1">IFERROR(__xludf.DUMMYFUNCTION("""COMPUTED_VALUE"""),-0.8362003052611)</f>
        <v>-0.83620030526110001</v>
      </c>
      <c r="N23" s="23"/>
      <c r="O23" s="23"/>
      <c r="P23" s="23"/>
      <c r="Q23" s="24">
        <f ca="1">IFERROR(__xludf.DUMMYFUNCTION("""COMPUTED_VALUE"""),0.744545979154508)</f>
        <v>0.74454597915450804</v>
      </c>
      <c r="R23" s="23">
        <f ca="1">IFERROR(__xludf.DUMMYFUNCTION("""COMPUTED_VALUE"""),0.480542608148494)</f>
        <v>0.48054260814849398</v>
      </c>
      <c r="S23" s="23"/>
      <c r="T23" s="23"/>
      <c r="U23" s="23">
        <f ca="1">IFERROR(__xludf.DUMMYFUNCTION("""COMPUTED_VALUE"""),0.526955866596499)</f>
        <v>0.52695586659649896</v>
      </c>
      <c r="V23" s="23"/>
      <c r="W23" s="23">
        <f ca="1">IFERROR(__xludf.DUMMYFUNCTION("""COMPUTED_VALUE"""),0.723520899582821)</f>
        <v>0.72352089958282095</v>
      </c>
      <c r="X23" s="23"/>
      <c r="Y23" s="23">
        <f ca="1">IFERROR(__xludf.DUMMYFUNCTION("""COMPUTED_VALUE"""),0.480936756405135)</f>
        <v>0.480936756405135</v>
      </c>
      <c r="Z23" s="23">
        <f ca="1">IFERROR(__xludf.DUMMYFUNCTION("""COMPUTED_VALUE"""),0.533814352177103)</f>
        <v>0.53381435217710305</v>
      </c>
      <c r="AA23" s="23"/>
      <c r="AB23" s="23">
        <f ca="1">IFERROR(__xludf.DUMMYFUNCTION("""COMPUTED_VALUE"""),0.183664080874776)</f>
        <v>0.18366408087477601</v>
      </c>
      <c r="AC23" s="22"/>
      <c r="AD23" s="23"/>
      <c r="AE23" s="23"/>
      <c r="AF23" s="22"/>
      <c r="AG23" s="22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</row>
    <row r="24" spans="1:45" ht="27.75" customHeight="1" x14ac:dyDescent="0.7">
      <c r="A24" s="15" t="s">
        <v>27</v>
      </c>
      <c r="B24" s="15" t="s">
        <v>28</v>
      </c>
      <c r="C24" s="15" t="str">
        <f ca="1">IFERROR(__xludf.DUMMYFUNCTION("""COMPUTED_VALUE"""),"2022/04/12 (火)
平日夜間")</f>
        <v>2022/04/12 (火)
平日夜間</v>
      </c>
      <c r="D24" s="15" t="str">
        <f ca="1">IFERROR(__xludf.DUMMYFUNCTION("""COMPUTED_VALUE"""),"平日夜間")</f>
        <v>平日夜間</v>
      </c>
      <c r="E24" s="16">
        <f ca="1">IFERROR(__xludf.DUMMYFUNCTION("""COMPUTED_VALUE"""),2.57290643987397)</f>
        <v>2.5729064398739698</v>
      </c>
      <c r="F24" s="15" t="s">
        <v>29</v>
      </c>
      <c r="G24" s="17" t="s">
        <v>257</v>
      </c>
      <c r="H24" s="18"/>
      <c r="I24" s="19"/>
      <c r="J24" s="20"/>
      <c r="K24" s="23" t="str">
        <f ca="1">IFERROR(__xludf.DUMMYFUNCTION("""COMPUTED_VALUE"""),"")</f>
        <v/>
      </c>
      <c r="L24" s="22"/>
      <c r="M24" s="23">
        <f ca="1">IFERROR(__xludf.DUMMYFUNCTION("""COMPUTED_VALUE"""),-0.590841228810717)</f>
        <v>-0.59084122881071699</v>
      </c>
      <c r="N24" s="23"/>
      <c r="O24" s="23"/>
      <c r="P24" s="23"/>
      <c r="Q24" s="24">
        <f ca="1">IFERROR(__xludf.DUMMYFUNCTION("""COMPUTED_VALUE"""),0.182756120946992)</f>
        <v>0.18275612094699201</v>
      </c>
      <c r="R24" s="23">
        <f ca="1">IFERROR(__xludf.DUMMYFUNCTION("""COMPUTED_VALUE"""),0.131879675922763)</f>
        <v>0.13187967592276301</v>
      </c>
      <c r="S24" s="23"/>
      <c r="T24" s="23"/>
      <c r="U24" s="23">
        <f ca="1">IFERROR(__xludf.DUMMYFUNCTION("""COMPUTED_VALUE"""),0.754942925633163)</f>
        <v>0.75494292563316301</v>
      </c>
      <c r="V24" s="23"/>
      <c r="W24" s="23">
        <f ca="1">IFERROR(__xludf.DUMMYFUNCTION("""COMPUTED_VALUE"""),0.405676665669995)</f>
        <v>0.405676665669995</v>
      </c>
      <c r="X24" s="23"/>
      <c r="Y24" s="23">
        <f ca="1">IFERROR(__xludf.DUMMYFUNCTION("""COMPUTED_VALUE"""),0.974216144353952)</f>
        <v>0.97421614435395198</v>
      </c>
      <c r="Z24" s="23">
        <f ca="1">IFERROR(__xludf.DUMMYFUNCTION("""COMPUTED_VALUE"""),0.294776652545734)</f>
        <v>0.29477665254573399</v>
      </c>
      <c r="AA24" s="23"/>
      <c r="AB24" s="23">
        <f ca="1">IFERROR(__xludf.DUMMYFUNCTION("""COMPUTED_VALUE"""),0.629453022600291)</f>
        <v>0.62945302260029101</v>
      </c>
      <c r="AC24" s="22"/>
      <c r="AD24" s="23"/>
      <c r="AE24" s="23"/>
      <c r="AF24" s="22"/>
      <c r="AG24" s="22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</row>
    <row r="25" spans="1:45" ht="27.75" customHeight="1" x14ac:dyDescent="0.7">
      <c r="A25" s="15" t="s">
        <v>27</v>
      </c>
      <c r="B25" s="15" t="s">
        <v>28</v>
      </c>
      <c r="C25" s="15" t="str">
        <f ca="1">IFERROR(__xludf.DUMMYFUNCTION("""COMPUTED_VALUE"""),"2022/04/13 (水)
平日夜間")</f>
        <v>2022/04/13 (水)
平日夜間</v>
      </c>
      <c r="D25" s="15" t="str">
        <f ca="1">IFERROR(__xludf.DUMMYFUNCTION("""COMPUTED_VALUE"""),"平日夜間")</f>
        <v>平日夜間</v>
      </c>
      <c r="E25" s="16">
        <f ca="1">IFERROR(__xludf.DUMMYFUNCTION("""COMPUTED_VALUE"""),0.750554743923402)</f>
        <v>0.75055474392340205</v>
      </c>
      <c r="F25" s="15" t="s">
        <v>17</v>
      </c>
      <c r="G25" s="17" t="s">
        <v>257</v>
      </c>
      <c r="H25" s="18"/>
      <c r="I25" s="19"/>
      <c r="J25" s="19"/>
      <c r="K25" s="23" t="str">
        <f ca="1">IFERROR(__xludf.DUMMYFUNCTION("""COMPUTED_VALUE"""),"")</f>
        <v/>
      </c>
      <c r="L25" s="22"/>
      <c r="M25" s="23">
        <f ca="1">IFERROR(__xludf.DUMMYFUNCTION("""COMPUTED_VALUE"""),-0.427469870190045)</f>
        <v>-0.42746987019004501</v>
      </c>
      <c r="N25" s="23"/>
      <c r="O25" s="23"/>
      <c r="P25" s="23"/>
      <c r="Q25" s="24">
        <f ca="1">IFERROR(__xludf.DUMMYFUNCTION("""COMPUTED_VALUE"""),0.0926148332188847)</f>
        <v>9.2614833218884696E-2</v>
      </c>
      <c r="R25" s="23">
        <f ca="1">IFERROR(__xludf.DUMMYFUNCTION("""COMPUTED_VALUE"""),0.397558241617445)</f>
        <v>0.39755824161744502</v>
      </c>
      <c r="S25" s="23"/>
      <c r="T25" s="23"/>
      <c r="U25" s="23">
        <f ca="1">IFERROR(__xludf.DUMMYFUNCTION("""COMPUTED_VALUE"""),0.750554743923402)</f>
        <v>0.75055474392340205</v>
      </c>
      <c r="V25" s="23"/>
      <c r="W25" s="23">
        <f ca="1">IFERROR(__xludf.DUMMYFUNCTION("""COMPUTED_VALUE"""),-0.935237234612417)</f>
        <v>-0.93523723461241703</v>
      </c>
      <c r="X25" s="23"/>
      <c r="Y25" s="23">
        <f ca="1">IFERROR(__xludf.DUMMYFUNCTION("""COMPUTED_VALUE"""),0.736984282185972)</f>
        <v>0.73698428218597201</v>
      </c>
      <c r="Z25" s="23">
        <f ca="1">IFERROR(__xludf.DUMMYFUNCTION("""COMPUTED_VALUE"""),0.0959797926702024)</f>
        <v>9.5979792670202402E-2</v>
      </c>
      <c r="AA25" s="23"/>
      <c r="AB25" s="23">
        <f ca="1">IFERROR(__xludf.DUMMYFUNCTION("""COMPUTED_VALUE"""),-0.928440378762938)</f>
        <v>-0.92844037876293795</v>
      </c>
      <c r="AC25" s="22"/>
      <c r="AD25" s="23"/>
      <c r="AE25" s="23"/>
      <c r="AF25" s="22"/>
      <c r="AG25" s="22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</row>
    <row r="26" spans="1:45" ht="27.75" customHeight="1" x14ac:dyDescent="0.7">
      <c r="A26" s="15" t="s">
        <v>27</v>
      </c>
      <c r="B26" s="15" t="s">
        <v>28</v>
      </c>
      <c r="C26" s="15" t="str">
        <f ca="1">IFERROR(__xludf.DUMMYFUNCTION("""COMPUTED_VALUE"""),"2022/04/14 (木)
平日夜間")</f>
        <v>2022/04/14 (木)
平日夜間</v>
      </c>
      <c r="D26" s="15" t="str">
        <f ca="1">IFERROR(__xludf.DUMMYFUNCTION("""COMPUTED_VALUE"""),"平日夜間")</f>
        <v>平日夜間</v>
      </c>
      <c r="E26" s="16">
        <f ca="1">IFERROR(__xludf.DUMMYFUNCTION("""COMPUTED_VALUE"""),2.10738213735625)</f>
        <v>2.1073821373562498</v>
      </c>
      <c r="F26" s="15" t="s">
        <v>1</v>
      </c>
      <c r="G26" s="17" t="s">
        <v>257</v>
      </c>
      <c r="H26" s="18"/>
      <c r="I26" s="19"/>
      <c r="J26" s="20"/>
      <c r="K26" s="23" t="str">
        <f ca="1">IFERROR(__xludf.DUMMYFUNCTION("""COMPUTED_VALUE"""),"")</f>
        <v/>
      </c>
      <c r="L26" s="22"/>
      <c r="M26" s="23">
        <f ca="1">IFERROR(__xludf.DUMMYFUNCTION("""COMPUTED_VALUE"""),0.805275106819038)</f>
        <v>0.80527510681903802</v>
      </c>
      <c r="N26" s="23"/>
      <c r="O26" s="23"/>
      <c r="P26" s="23"/>
      <c r="Q26" s="24">
        <f ca="1">IFERROR(__xludf.DUMMYFUNCTION("""COMPUTED_VALUE"""),0.396802587857165)</f>
        <v>0.39680258785716499</v>
      </c>
      <c r="R26" s="23">
        <f ca="1">IFERROR(__xludf.DUMMYFUNCTION("""COMPUTED_VALUE"""),-0.897376374223163)</f>
        <v>-0.89737637422316296</v>
      </c>
      <c r="S26" s="23"/>
      <c r="T26" s="23"/>
      <c r="U26" s="23">
        <f ca="1">IFERROR(__xludf.DUMMYFUNCTION("""COMPUTED_VALUE"""),-0.972136732995473)</f>
        <v>-0.97213673299547299</v>
      </c>
      <c r="V26" s="23"/>
      <c r="W26" s="23">
        <f ca="1">IFERROR(__xludf.DUMMYFUNCTION("""COMPUTED_VALUE"""),0.820281399148832)</f>
        <v>0.82028139914883202</v>
      </c>
      <c r="X26" s="23"/>
      <c r="Y26" s="23">
        <f ca="1">IFERROR(__xludf.DUMMYFUNCTION("""COMPUTED_VALUE"""),-0.637809026306824)</f>
        <v>-0.63780902630682401</v>
      </c>
      <c r="Z26" s="23">
        <f ca="1">IFERROR(__xludf.DUMMYFUNCTION("""COMPUTED_VALUE"""),-0.117515361840669)</f>
        <v>-0.11751536184066901</v>
      </c>
      <c r="AA26" s="23"/>
      <c r="AB26" s="23">
        <f ca="1">IFERROR(__xludf.DUMMYFUNCTION("""COMPUTED_VALUE"""),2.10738213735625)</f>
        <v>2.1073821373562498</v>
      </c>
      <c r="AC26" s="22"/>
      <c r="AD26" s="23"/>
      <c r="AE26" s="23"/>
      <c r="AF26" s="22"/>
      <c r="AG26" s="22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</row>
    <row r="27" spans="1:45" ht="27.75" customHeight="1" x14ac:dyDescent="0.7">
      <c r="A27" s="15" t="s">
        <v>27</v>
      </c>
      <c r="B27" s="15" t="s">
        <v>28</v>
      </c>
      <c r="C27" s="15" t="str">
        <f ca="1">IFERROR(__xludf.DUMMYFUNCTION("""COMPUTED_VALUE"""),"2022/04/15 (金)
平日夜間")</f>
        <v>2022/04/15 (金)
平日夜間</v>
      </c>
      <c r="D27" s="15" t="str">
        <f ca="1">IFERROR(__xludf.DUMMYFUNCTION("""COMPUTED_VALUE"""),"平日夜間")</f>
        <v>平日夜間</v>
      </c>
      <c r="E27" s="16">
        <f ca="1">IFERROR(__xludf.DUMMYFUNCTION("""COMPUTED_VALUE"""),0.991539204567893)</f>
        <v>0.99153920456789302</v>
      </c>
      <c r="F27" s="15" t="s">
        <v>31</v>
      </c>
      <c r="G27" s="17" t="s">
        <v>257</v>
      </c>
      <c r="H27" s="18"/>
      <c r="I27" s="19"/>
      <c r="J27" s="20"/>
      <c r="K27" s="23" t="str">
        <f ca="1">IFERROR(__xludf.DUMMYFUNCTION("""COMPUTED_VALUE"""),"")</f>
        <v/>
      </c>
      <c r="L27" s="22"/>
      <c r="M27" s="23">
        <f ca="1">IFERROR(__xludf.DUMMYFUNCTION("""COMPUTED_VALUE"""),0.797559328659421)</f>
        <v>0.79755932865942103</v>
      </c>
      <c r="N27" s="23"/>
      <c r="O27" s="23"/>
      <c r="P27" s="23"/>
      <c r="Q27" s="24">
        <f ca="1">IFERROR(__xludf.DUMMYFUNCTION("""COMPUTED_VALUE"""),0.209218177795564)</f>
        <v>0.20921817779556401</v>
      </c>
      <c r="R27" s="23">
        <f ca="1">IFERROR(__xludf.DUMMYFUNCTION("""COMPUTED_VALUE"""),-0.379471316305833)</f>
        <v>-0.37947131630583297</v>
      </c>
      <c r="S27" s="23"/>
      <c r="T27" s="23"/>
      <c r="U27" s="23">
        <f ca="1">IFERROR(__xludf.DUMMYFUNCTION("""COMPUTED_VALUE"""),-0.091851331536682)</f>
        <v>-9.1851331536681999E-2</v>
      </c>
      <c r="V27" s="23"/>
      <c r="W27" s="23">
        <f ca="1">IFERROR(__xludf.DUMMYFUNCTION("""COMPUTED_VALUE"""),0.284127824735161)</f>
        <v>0.28412782473516102</v>
      </c>
      <c r="X27" s="23"/>
      <c r="Y27" s="23">
        <f ca="1">IFERROR(__xludf.DUMMYFUNCTION("""COMPUTED_VALUE"""),0.159293983518194)</f>
        <v>0.15929398351819399</v>
      </c>
      <c r="Z27" s="23">
        <f ca="1">IFERROR(__xludf.DUMMYFUNCTION("""COMPUTED_VALUE"""),-0.153249844100627)</f>
        <v>-0.153249844100627</v>
      </c>
      <c r="AA27" s="23"/>
      <c r="AB27" s="23">
        <f ca="1">IFERROR(__xludf.DUMMYFUNCTION("""COMPUTED_VALUE"""),-0.775502659226826)</f>
        <v>-0.77550265922682604</v>
      </c>
      <c r="AC27" s="22"/>
      <c r="AD27" s="23"/>
      <c r="AE27" s="23"/>
      <c r="AF27" s="22"/>
      <c r="AG27" s="22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</row>
    <row r="28" spans="1:45" ht="27.75" customHeight="1" x14ac:dyDescent="0.7">
      <c r="A28" s="15" t="s">
        <v>27</v>
      </c>
      <c r="B28" s="15" t="s">
        <v>28</v>
      </c>
      <c r="C28" s="15" t="str">
        <f ca="1">IFERROR(__xludf.DUMMYFUNCTION("""COMPUTED_VALUE"""),"2022/04/16 (土)
休日午前")</f>
        <v>2022/04/16 (土)
休日午前</v>
      </c>
      <c r="D28" s="15" t="str">
        <f ca="1">IFERROR(__xludf.DUMMYFUNCTION("""COMPUTED_VALUE"""),"休日午前")</f>
        <v>休日午前</v>
      </c>
      <c r="E28" s="16">
        <f ca="1">IFERROR(__xludf.DUMMYFUNCTION("""COMPUTED_VALUE"""),0.970012066116279)</f>
        <v>0.97001206611627899</v>
      </c>
      <c r="F28" s="15" t="s">
        <v>4</v>
      </c>
      <c r="G28" s="17" t="s">
        <v>257</v>
      </c>
      <c r="H28" s="18"/>
      <c r="I28" s="19"/>
      <c r="J28" s="19"/>
      <c r="K28" s="23" t="str">
        <f ca="1">IFERROR(__xludf.DUMMYFUNCTION("""COMPUTED_VALUE"""),"")</f>
        <v/>
      </c>
      <c r="L28" s="22"/>
      <c r="M28" s="23">
        <f ca="1">IFERROR(__xludf.DUMMYFUNCTION("""COMPUTED_VALUE"""),0.970012066116279)</f>
        <v>0.97001206611627899</v>
      </c>
      <c r="N28" s="23"/>
      <c r="O28" s="23"/>
      <c r="P28" s="23"/>
      <c r="Q28" s="24">
        <f ca="1">IFERROR(__xludf.DUMMYFUNCTION("""COMPUTED_VALUE"""),0.311739578765881)</f>
        <v>0.31173957876588099</v>
      </c>
      <c r="R28" s="23">
        <f ca="1">IFERROR(__xludf.DUMMYFUNCTION("""COMPUTED_VALUE"""),-0.654719130610056)</f>
        <v>-0.65471913061005604</v>
      </c>
      <c r="S28" s="23"/>
      <c r="T28" s="23"/>
      <c r="U28" s="23">
        <f ca="1">IFERROR(__xludf.DUMMYFUNCTION("""COMPUTED_VALUE"""),-0.0927569833020116)</f>
        <v>-9.2756983302011597E-2</v>
      </c>
      <c r="V28" s="23"/>
      <c r="W28" s="23">
        <f ca="1">IFERROR(__xludf.DUMMYFUNCTION("""COMPUTED_VALUE"""),0.147735311158355)</f>
        <v>0.147735311158355</v>
      </c>
      <c r="X28" s="23"/>
      <c r="Y28" s="23">
        <f ca="1">IFERROR(__xludf.DUMMYFUNCTION("""COMPUTED_VALUE"""),-0.749628757869459)</f>
        <v>-0.74962875786945904</v>
      </c>
      <c r="Z28" s="23">
        <f ca="1">IFERROR(__xludf.DUMMYFUNCTION("""COMPUTED_VALUE"""),-0.483459265404214)</f>
        <v>-0.48345926540421402</v>
      </c>
      <c r="AA28" s="23"/>
      <c r="AB28" s="23">
        <f ca="1">IFERROR(__xludf.DUMMYFUNCTION("""COMPUTED_VALUE"""),0.208002458898548)</f>
        <v>0.20800245889854799</v>
      </c>
      <c r="AC28" s="22"/>
      <c r="AD28" s="23"/>
      <c r="AE28" s="23"/>
      <c r="AF28" s="22"/>
      <c r="AG28" s="22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</row>
    <row r="29" spans="1:45" ht="27.75" customHeight="1" x14ac:dyDescent="0.7">
      <c r="A29" s="15" t="s">
        <v>27</v>
      </c>
      <c r="B29" s="15" t="s">
        <v>28</v>
      </c>
      <c r="C29" s="15" t="str">
        <f ca="1">IFERROR(__xludf.DUMMYFUNCTION("""COMPUTED_VALUE"""),"2022/04/16 (土)
休日午後")</f>
        <v>2022/04/16 (土)
休日午後</v>
      </c>
      <c r="D29" s="15" t="str">
        <f ca="1">IFERROR(__xludf.DUMMYFUNCTION("""COMPUTED_VALUE"""),"休日午後")</f>
        <v>休日午後</v>
      </c>
      <c r="E29" s="16">
        <f ca="1">IFERROR(__xludf.DUMMYFUNCTION("""COMPUTED_VALUE"""),0.502359380923574)</f>
        <v>0.50235938092357402</v>
      </c>
      <c r="F29" s="15" t="s">
        <v>13</v>
      </c>
      <c r="G29" s="17" t="s">
        <v>257</v>
      </c>
      <c r="H29" s="18"/>
      <c r="I29" s="19"/>
      <c r="J29" s="20"/>
      <c r="K29" s="23" t="str">
        <f ca="1">IFERROR(__xludf.DUMMYFUNCTION("""COMPUTED_VALUE"""),"")</f>
        <v/>
      </c>
      <c r="L29" s="22"/>
      <c r="M29" s="23">
        <f ca="1">IFERROR(__xludf.DUMMYFUNCTION("""COMPUTED_VALUE"""),0.0736404837306039)</f>
        <v>7.3640483730603903E-2</v>
      </c>
      <c r="N29" s="23"/>
      <c r="O29" s="23"/>
      <c r="P29" s="23"/>
      <c r="Q29" s="24">
        <f ca="1">IFERROR(__xludf.DUMMYFUNCTION("""COMPUTED_VALUE"""),0.438217167943133)</f>
        <v>0.43821716794313298</v>
      </c>
      <c r="R29" s="23">
        <f ca="1">IFERROR(__xludf.DUMMYFUNCTION("""COMPUTED_VALUE"""),-0.907488844793927)</f>
        <v>-0.907488844793927</v>
      </c>
      <c r="S29" s="23"/>
      <c r="T29" s="23"/>
      <c r="U29" s="23">
        <f ca="1">IFERROR(__xludf.DUMMYFUNCTION("""COMPUTED_VALUE"""),-0.510103286555672)</f>
        <v>-0.51010328655567205</v>
      </c>
      <c r="V29" s="23"/>
      <c r="W29" s="23">
        <f ca="1">IFERROR(__xludf.DUMMYFUNCTION("""COMPUTED_VALUE"""),0.00676207842204745)</f>
        <v>6.7620784220474503E-3</v>
      </c>
      <c r="X29" s="23"/>
      <c r="Y29" s="23">
        <f ca="1">IFERROR(__xludf.DUMMYFUNCTION("""COMPUTED_VALUE"""),-0.813237633991398)</f>
        <v>-0.81323763399139803</v>
      </c>
      <c r="Z29" s="23">
        <f ca="1">IFERROR(__xludf.DUMMYFUNCTION("""COMPUTED_VALUE"""),-0.824872441506872)</f>
        <v>-0.824872441506872</v>
      </c>
      <c r="AA29" s="23"/>
      <c r="AB29" s="23">
        <f ca="1">IFERROR(__xludf.DUMMYFUNCTION("""COMPUTED_VALUE"""),0.0981357197022438)</f>
        <v>9.8135719702243801E-2</v>
      </c>
      <c r="AC29" s="22"/>
      <c r="AD29" s="23"/>
      <c r="AE29" s="23"/>
      <c r="AF29" s="22"/>
      <c r="AG29" s="22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</row>
    <row r="30" spans="1:45" ht="27.75" customHeight="1" x14ac:dyDescent="0.7">
      <c r="A30" s="15" t="s">
        <v>27</v>
      </c>
      <c r="B30" s="15" t="s">
        <v>28</v>
      </c>
      <c r="C30" s="15" t="str">
        <f ca="1">IFERROR(__xludf.DUMMYFUNCTION("""COMPUTED_VALUE"""),"2022/04/17 (日)
休日午前")</f>
        <v>2022/04/17 (日)
休日午前</v>
      </c>
      <c r="D30" s="15" t="str">
        <f ca="1">IFERROR(__xludf.DUMMYFUNCTION("""COMPUTED_VALUE"""),"休日午前")</f>
        <v>休日午前</v>
      </c>
      <c r="E30" s="16">
        <f ca="1">IFERROR(__xludf.DUMMYFUNCTION("""COMPUTED_VALUE"""),0.946711584730236)</f>
        <v>0.94671158473023598</v>
      </c>
      <c r="F30" s="15" t="s">
        <v>29</v>
      </c>
      <c r="G30" s="17" t="s">
        <v>257</v>
      </c>
      <c r="H30" s="18"/>
      <c r="I30" s="19"/>
      <c r="J30" s="20"/>
      <c r="K30" s="23" t="str">
        <f ca="1">IFERROR(__xludf.DUMMYFUNCTION("""COMPUTED_VALUE"""),"")</f>
        <v/>
      </c>
      <c r="L30" s="22"/>
      <c r="M30" s="23">
        <f ca="1">IFERROR(__xludf.DUMMYFUNCTION("""COMPUTED_VALUE"""),0.623949343898843)</f>
        <v>0.62394934389884305</v>
      </c>
      <c r="N30" s="23"/>
      <c r="O30" s="23"/>
      <c r="P30" s="23"/>
      <c r="Q30" s="24">
        <f ca="1">IFERROR(__xludf.DUMMYFUNCTION("""COMPUTED_VALUE"""),0.933584906681733)</f>
        <v>0.933584906681733</v>
      </c>
      <c r="R30" s="23">
        <f ca="1">IFERROR(__xludf.DUMMYFUNCTION("""COMPUTED_VALUE"""),0.233169133066006)</f>
        <v>0.23316913306600601</v>
      </c>
      <c r="S30" s="23"/>
      <c r="T30" s="23"/>
      <c r="U30" s="23">
        <f ca="1">IFERROR(__xludf.DUMMYFUNCTION("""COMPUTED_VALUE"""),-0.909522949716109)</f>
        <v>-0.90952294971610903</v>
      </c>
      <c r="V30" s="23"/>
      <c r="W30" s="23">
        <f ca="1">IFERROR(__xludf.DUMMYFUNCTION("""COMPUTED_VALUE"""),0.0788523014548976)</f>
        <v>7.8852301454897605E-2</v>
      </c>
      <c r="X30" s="23"/>
      <c r="Y30" s="23">
        <f ca="1">IFERROR(__xludf.DUMMYFUNCTION("""COMPUTED_VALUE"""),-0.249922432087499)</f>
        <v>-0.24992243208749901</v>
      </c>
      <c r="Z30" s="23">
        <f ca="1">IFERROR(__xludf.DUMMYFUNCTION("""COMPUTED_VALUE"""),-0.161258996291926)</f>
        <v>-0.161258996291926</v>
      </c>
      <c r="AA30" s="23"/>
      <c r="AB30" s="23">
        <f ca="1">IFERROR(__xludf.DUMMYFUNCTION("""COMPUTED_VALUE"""),0.586580959168652)</f>
        <v>0.58658095916865205</v>
      </c>
      <c r="AC30" s="22"/>
      <c r="AD30" s="23"/>
      <c r="AE30" s="23"/>
      <c r="AF30" s="22"/>
      <c r="AG30" s="22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</row>
    <row r="31" spans="1:45" ht="27.75" customHeight="1" x14ac:dyDescent="0.7">
      <c r="A31" s="15" t="s">
        <v>27</v>
      </c>
      <c r="B31" s="15" t="s">
        <v>28</v>
      </c>
      <c r="C31" s="15" t="str">
        <f ca="1">IFERROR(__xludf.DUMMYFUNCTION("""COMPUTED_VALUE"""),"2022/04/17 (日)
休日午後")</f>
        <v>2022/04/17 (日)
休日午後</v>
      </c>
      <c r="D31" s="15" t="str">
        <f ca="1">IFERROR(__xludf.DUMMYFUNCTION("""COMPUTED_VALUE"""),"休日午後")</f>
        <v>休日午後</v>
      </c>
      <c r="E31" s="16">
        <f ca="1">IFERROR(__xludf.DUMMYFUNCTION("""COMPUTED_VALUE"""),2.63967747235396)</f>
        <v>2.6396774723539602</v>
      </c>
      <c r="F31" s="15" t="s">
        <v>15</v>
      </c>
      <c r="G31" s="17" t="s">
        <v>257</v>
      </c>
      <c r="H31" s="18"/>
      <c r="I31" s="19"/>
      <c r="J31" s="19"/>
      <c r="K31" s="23" t="str">
        <f ca="1">IFERROR(__xludf.DUMMYFUNCTION("""COMPUTED_VALUE"""),"")</f>
        <v/>
      </c>
      <c r="L31" s="22"/>
      <c r="M31" s="23">
        <f ca="1">IFERROR(__xludf.DUMMYFUNCTION("""COMPUTED_VALUE"""),-0.433265553574571)</f>
        <v>-0.43326555357457103</v>
      </c>
      <c r="N31" s="23"/>
      <c r="O31" s="23"/>
      <c r="P31" s="23"/>
      <c r="Q31" s="24">
        <f ca="1">IFERROR(__xludf.DUMMYFUNCTION("""COMPUTED_VALUE"""),0.0262248033660612)</f>
        <v>2.62248033660612E-2</v>
      </c>
      <c r="R31" s="23">
        <f ca="1">IFERROR(__xludf.DUMMYFUNCTION("""COMPUTED_VALUE"""),2.63967747235396)</f>
        <v>2.6396774723539602</v>
      </c>
      <c r="S31" s="23"/>
      <c r="T31" s="23"/>
      <c r="U31" s="23">
        <f ca="1">IFERROR(__xludf.DUMMYFUNCTION("""COMPUTED_VALUE"""),-0.470668205172593)</f>
        <v>-0.470668205172593</v>
      </c>
      <c r="V31" s="23"/>
      <c r="W31" s="23">
        <f ca="1">IFERROR(__xludf.DUMMYFUNCTION("""COMPUTED_VALUE"""),0.111789885987011)</f>
        <v>0.11178988598701101</v>
      </c>
      <c r="X31" s="23"/>
      <c r="Y31" s="23">
        <f ca="1">IFERROR(__xludf.DUMMYFUNCTION("""COMPUTED_VALUE"""),-0.450748278146358)</f>
        <v>-0.45074827814635798</v>
      </c>
      <c r="Z31" s="23">
        <f ca="1">IFERROR(__xludf.DUMMYFUNCTION("""COMPUTED_VALUE"""),-0.435058544035315)</f>
        <v>-0.43505854403531502</v>
      </c>
      <c r="AA31" s="23"/>
      <c r="AB31" s="23">
        <f ca="1">IFERROR(__xludf.DUMMYFUNCTION("""COMPUTED_VALUE"""),0.919794963794047)</f>
        <v>0.91979496379404702</v>
      </c>
      <c r="AC31" s="22"/>
      <c r="AD31" s="23"/>
      <c r="AE31" s="23"/>
      <c r="AF31" s="22"/>
      <c r="AG31" s="22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</row>
    <row r="32" spans="1:45" ht="27.75" customHeight="1" x14ac:dyDescent="0.7">
      <c r="A32" s="15" t="s">
        <v>27</v>
      </c>
      <c r="B32" s="15" t="s">
        <v>28</v>
      </c>
      <c r="C32" s="15" t="str">
        <f ca="1">IFERROR(__xludf.DUMMYFUNCTION("""COMPUTED_VALUE"""),"2022/04/18 (月)
平日夜間")</f>
        <v>2022/04/18 (月)
平日夜間</v>
      </c>
      <c r="D32" s="15" t="str">
        <f ca="1">IFERROR(__xludf.DUMMYFUNCTION("""COMPUTED_VALUE"""),"平日夜間")</f>
        <v>平日夜間</v>
      </c>
      <c r="E32" s="16">
        <f ca="1">IFERROR(__xludf.DUMMYFUNCTION("""COMPUTED_VALUE"""),2.48784460895253)</f>
        <v>2.4878446089525301</v>
      </c>
      <c r="F32" s="15" t="s">
        <v>14</v>
      </c>
      <c r="G32" s="17" t="s">
        <v>257</v>
      </c>
      <c r="H32" s="18"/>
      <c r="I32" s="19"/>
      <c r="J32" s="19"/>
      <c r="K32" s="23" t="str">
        <f ca="1">IFERROR(__xludf.DUMMYFUNCTION("""COMPUTED_VALUE"""),"")</f>
        <v/>
      </c>
      <c r="L32" s="22"/>
      <c r="M32" s="23">
        <f ca="1">IFERROR(__xludf.DUMMYFUNCTION("""COMPUTED_VALUE"""),0.763465738791383)</f>
        <v>0.76346573879138302</v>
      </c>
      <c r="N32" s="23"/>
      <c r="O32" s="23"/>
      <c r="P32" s="23"/>
      <c r="Q32" s="24">
        <f ca="1">IFERROR(__xludf.DUMMYFUNCTION("""COMPUTED_VALUE"""),0.157735675647765)</f>
        <v>0.157735675647765</v>
      </c>
      <c r="R32" s="23">
        <f ca="1">IFERROR(__xludf.DUMMYFUNCTION("""COMPUTED_VALUE"""),-0.641325740312365)</f>
        <v>-0.641325740312365</v>
      </c>
      <c r="S32" s="23"/>
      <c r="T32" s="23"/>
      <c r="U32" s="23">
        <f ca="1">IFERROR(__xludf.DUMMYFUNCTION("""COMPUTED_VALUE"""),-0.930675446483735)</f>
        <v>-0.93067544648373501</v>
      </c>
      <c r="V32" s="23"/>
      <c r="W32" s="23">
        <f ca="1">IFERROR(__xludf.DUMMYFUNCTION("""COMPUTED_VALUE"""),0.390511085878454)</f>
        <v>0.39051108587845401</v>
      </c>
      <c r="X32" s="23"/>
      <c r="Y32" s="23">
        <f ca="1">IFERROR(__xludf.DUMMYFUNCTION("""COMPUTED_VALUE"""),2.48784460895253)</f>
        <v>2.4878446089525301</v>
      </c>
      <c r="Z32" s="23">
        <f ca="1">IFERROR(__xludf.DUMMYFUNCTION("""COMPUTED_VALUE"""),0.475646167914273)</f>
        <v>0.475646167914273</v>
      </c>
      <c r="AA32" s="23"/>
      <c r="AB32" s="23">
        <f ca="1">IFERROR(__xludf.DUMMYFUNCTION("""COMPUTED_VALUE"""),0.689168787184646)</f>
        <v>0.68916878718464603</v>
      </c>
      <c r="AC32" s="22"/>
      <c r="AD32" s="23"/>
      <c r="AE32" s="23"/>
      <c r="AF32" s="22"/>
      <c r="AG32" s="22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</row>
    <row r="33" spans="1:45" ht="27.75" customHeight="1" x14ac:dyDescent="0.7">
      <c r="A33" s="15" t="s">
        <v>27</v>
      </c>
      <c r="B33" s="15" t="s">
        <v>28</v>
      </c>
      <c r="C33" s="15" t="str">
        <f ca="1">IFERROR(__xludf.DUMMYFUNCTION("""COMPUTED_VALUE"""),"2022/04/19 (火)
平日夜間")</f>
        <v>2022/04/19 (火)
平日夜間</v>
      </c>
      <c r="D33" s="15" t="str">
        <f ca="1">IFERROR(__xludf.DUMMYFUNCTION("""COMPUTED_VALUE"""),"平日夜間")</f>
        <v>平日夜間</v>
      </c>
      <c r="E33" s="16">
        <f ca="1">IFERROR(__xludf.DUMMYFUNCTION("""COMPUTED_VALUE"""),0.922659346523824)</f>
        <v>0.92265934652382398</v>
      </c>
      <c r="F33" s="15" t="s">
        <v>13</v>
      </c>
      <c r="G33" s="17" t="s">
        <v>257</v>
      </c>
      <c r="H33" s="18"/>
      <c r="I33" s="19"/>
      <c r="J33" s="20"/>
      <c r="K33" s="23" t="str">
        <f ca="1">IFERROR(__xludf.DUMMYFUNCTION("""COMPUTED_VALUE"""),"")</f>
        <v/>
      </c>
      <c r="L33" s="22"/>
      <c r="M33" s="23">
        <f ca="1">IFERROR(__xludf.DUMMYFUNCTION("""COMPUTED_VALUE"""),0.805737925757068)</f>
        <v>0.80573792575706804</v>
      </c>
      <c r="N33" s="23"/>
      <c r="O33" s="23"/>
      <c r="P33" s="23"/>
      <c r="Q33" s="24">
        <f ca="1">IFERROR(__xludf.DUMMYFUNCTION("""COMPUTED_VALUE"""),0.257035784006753)</f>
        <v>0.25703578400675298</v>
      </c>
      <c r="R33" s="23">
        <f ca="1">IFERROR(__xludf.DUMMYFUNCTION("""COMPUTED_VALUE"""),0.37835199794817)</f>
        <v>0.37835199794816998</v>
      </c>
      <c r="S33" s="23"/>
      <c r="T33" s="23"/>
      <c r="U33" s="23">
        <f ca="1">IFERROR(__xludf.DUMMYFUNCTION("""COMPUTED_VALUE"""),0.373035047789886)</f>
        <v>0.373035047789886</v>
      </c>
      <c r="V33" s="23"/>
      <c r="W33" s="23">
        <f ca="1">IFERROR(__xludf.DUMMYFUNCTION("""COMPUTED_VALUE"""),0.450266115679689)</f>
        <v>0.45026611567968899</v>
      </c>
      <c r="X33" s="23"/>
      <c r="Y33" s="23">
        <f ca="1">IFERROR(__xludf.DUMMYFUNCTION("""COMPUTED_VALUE"""),0.619934968091615)</f>
        <v>0.61993496809161497</v>
      </c>
      <c r="Z33" s="23">
        <f ca="1">IFERROR(__xludf.DUMMYFUNCTION("""COMPUTED_VALUE"""),0.148166513328274)</f>
        <v>0.14816651332827399</v>
      </c>
      <c r="AA33" s="23"/>
      <c r="AB33" s="23">
        <f ca="1">IFERROR(__xludf.DUMMYFUNCTION("""COMPUTED_VALUE"""),0.767799451751441)</f>
        <v>0.76779945175144104</v>
      </c>
      <c r="AC33" s="22"/>
      <c r="AD33" s="23"/>
      <c r="AE33" s="23"/>
      <c r="AF33" s="22"/>
      <c r="AG33" s="22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</row>
    <row r="34" spans="1:45" ht="27.75" customHeight="1" x14ac:dyDescent="0.7">
      <c r="A34" s="15" t="s">
        <v>27</v>
      </c>
      <c r="B34" s="15" t="s">
        <v>28</v>
      </c>
      <c r="C34" s="15" t="str">
        <f ca="1">IFERROR(__xludf.DUMMYFUNCTION("""COMPUTED_VALUE"""),"2022/04/20 (水)
平日夜間")</f>
        <v>2022/04/20 (水)
平日夜間</v>
      </c>
      <c r="D34" s="15" t="str">
        <f ca="1">IFERROR(__xludf.DUMMYFUNCTION("""COMPUTED_VALUE"""),"平日夜間")</f>
        <v>平日夜間</v>
      </c>
      <c r="E34" s="16">
        <f ca="1">IFERROR(__xludf.DUMMYFUNCTION("""COMPUTED_VALUE"""),0.950128170430576)</f>
        <v>0.95012817043057596</v>
      </c>
      <c r="F34" s="15" t="s">
        <v>30</v>
      </c>
      <c r="G34" s="17" t="s">
        <v>257</v>
      </c>
      <c r="H34" s="18"/>
      <c r="I34" s="19"/>
      <c r="J34" s="19"/>
      <c r="K34" s="23" t="str">
        <f ca="1">IFERROR(__xludf.DUMMYFUNCTION("""COMPUTED_VALUE"""),"")</f>
        <v/>
      </c>
      <c r="L34" s="22"/>
      <c r="M34" s="23">
        <f ca="1">IFERROR(__xludf.DUMMYFUNCTION("""COMPUTED_VALUE"""),0.801729768530133)</f>
        <v>0.801729768530133</v>
      </c>
      <c r="N34" s="23"/>
      <c r="O34" s="23"/>
      <c r="P34" s="23"/>
      <c r="Q34" s="24">
        <f ca="1">IFERROR(__xludf.DUMMYFUNCTION("""COMPUTED_VALUE"""),0.194925587760431)</f>
        <v>0.19492558776043101</v>
      </c>
      <c r="R34" s="23">
        <f ca="1">IFERROR(__xludf.DUMMYFUNCTION("""COMPUTED_VALUE"""),-0.186642060431758)</f>
        <v>-0.18664206043175799</v>
      </c>
      <c r="S34" s="23"/>
      <c r="T34" s="23"/>
      <c r="U34" s="23">
        <f ca="1">IFERROR(__xludf.DUMMYFUNCTION("""COMPUTED_VALUE"""),0.202575384223828)</f>
        <v>0.20257538422382801</v>
      </c>
      <c r="V34" s="23"/>
      <c r="W34" s="23">
        <f ca="1">IFERROR(__xludf.DUMMYFUNCTION("""COMPUTED_VALUE"""),-0.670139687263019)</f>
        <v>-0.67013968726301898</v>
      </c>
      <c r="X34" s="23"/>
      <c r="Y34" s="23">
        <f ca="1">IFERROR(__xludf.DUMMYFUNCTION("""COMPUTED_VALUE"""),0.100089428845253)</f>
        <v>0.100089428845253</v>
      </c>
      <c r="Z34" s="23">
        <f ca="1">IFERROR(__xludf.DUMMYFUNCTION("""COMPUTED_VALUE"""),0.174843363899363)</f>
        <v>0.174843363899363</v>
      </c>
      <c r="AA34" s="23"/>
      <c r="AB34" s="23">
        <f ca="1">IFERROR(__xludf.DUMMYFUNCTION("""COMPUTED_VALUE"""),0.100787571250863)</f>
        <v>0.100787571250863</v>
      </c>
      <c r="AC34" s="22"/>
      <c r="AD34" s="23"/>
      <c r="AE34" s="23"/>
      <c r="AF34" s="22"/>
      <c r="AG34" s="22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</row>
    <row r="35" spans="1:45" ht="27.75" customHeight="1" x14ac:dyDescent="0.7">
      <c r="A35" s="15" t="s">
        <v>27</v>
      </c>
      <c r="B35" s="15" t="s">
        <v>28</v>
      </c>
      <c r="C35" s="15" t="str">
        <f ca="1">IFERROR(__xludf.DUMMYFUNCTION("""COMPUTED_VALUE"""),"2022/04/21 (木)
平日夜間")</f>
        <v>2022/04/21 (木)
平日夜間</v>
      </c>
      <c r="D35" s="15" t="str">
        <f ca="1">IFERROR(__xludf.DUMMYFUNCTION("""COMPUTED_VALUE"""),"平日夜間")</f>
        <v>平日夜間</v>
      </c>
      <c r="E35" s="16">
        <f ca="1">IFERROR(__xludf.DUMMYFUNCTION("""COMPUTED_VALUE"""),0.938165724277762)</f>
        <v>0.93816572427776201</v>
      </c>
      <c r="F35" s="15" t="s">
        <v>16</v>
      </c>
      <c r="G35" s="17" t="s">
        <v>257</v>
      </c>
      <c r="H35" s="18"/>
      <c r="I35" s="19"/>
      <c r="J35" s="20"/>
      <c r="K35" s="23" t="str">
        <f ca="1">IFERROR(__xludf.DUMMYFUNCTION("""COMPUTED_VALUE"""),"")</f>
        <v/>
      </c>
      <c r="L35" s="22"/>
      <c r="M35" s="23">
        <f ca="1">IFERROR(__xludf.DUMMYFUNCTION("""COMPUTED_VALUE"""),-0.229744699628009)</f>
        <v>-0.229744699628009</v>
      </c>
      <c r="N35" s="23"/>
      <c r="O35" s="23"/>
      <c r="P35" s="23"/>
      <c r="Q35" s="24">
        <f ca="1">IFERROR(__xludf.DUMMYFUNCTION("""COMPUTED_VALUE"""),0.938165724277762)</f>
        <v>0.93816572427776201</v>
      </c>
      <c r="R35" s="23">
        <f ca="1">IFERROR(__xludf.DUMMYFUNCTION("""COMPUTED_VALUE"""),-0.394869069550502)</f>
        <v>-0.39486906955050199</v>
      </c>
      <c r="S35" s="23"/>
      <c r="T35" s="23"/>
      <c r="U35" s="23">
        <f ca="1">IFERROR(__xludf.DUMMYFUNCTION("""COMPUTED_VALUE"""),-0.774816950314874)</f>
        <v>-0.77481695031487396</v>
      </c>
      <c r="V35" s="23"/>
      <c r="W35" s="23">
        <f ca="1">IFERROR(__xludf.DUMMYFUNCTION("""COMPUTED_VALUE"""),0.397414150403636)</f>
        <v>0.39741415040363598</v>
      </c>
      <c r="X35" s="23"/>
      <c r="Y35" s="23">
        <f ca="1">IFERROR(__xludf.DUMMYFUNCTION("""COMPUTED_VALUE"""),-0.289702987769041)</f>
        <v>-0.28970298776904102</v>
      </c>
      <c r="Z35" s="23">
        <f ca="1">IFERROR(__xludf.DUMMYFUNCTION("""COMPUTED_VALUE"""),0.509411519052228)</f>
        <v>0.50941151905222803</v>
      </c>
      <c r="AA35" s="23"/>
      <c r="AB35" s="23">
        <f ca="1">IFERROR(__xludf.DUMMYFUNCTION("""COMPUTED_VALUE"""),0.708787966608678)</f>
        <v>0.70878796660867804</v>
      </c>
      <c r="AC35" s="22"/>
      <c r="AD35" s="23"/>
      <c r="AE35" s="23"/>
      <c r="AF35" s="22"/>
      <c r="AG35" s="22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</row>
    <row r="36" spans="1:45" ht="27.75" customHeight="1" x14ac:dyDescent="0.7">
      <c r="A36" s="15" t="s">
        <v>27</v>
      </c>
      <c r="B36" s="15" t="s">
        <v>28</v>
      </c>
      <c r="C36" s="15" t="str">
        <f ca="1">IFERROR(__xludf.DUMMYFUNCTION("""COMPUTED_VALUE"""),"2022/04/22 (金)
平日夜間")</f>
        <v>2022/04/22 (金)
平日夜間</v>
      </c>
      <c r="D36" s="15" t="str">
        <f ca="1">IFERROR(__xludf.DUMMYFUNCTION("""COMPUTED_VALUE"""),"平日夜間")</f>
        <v>平日夜間</v>
      </c>
      <c r="E36" s="16">
        <f ca="1">IFERROR(__xludf.DUMMYFUNCTION("""COMPUTED_VALUE"""),2.09907461018458)</f>
        <v>2.0990746101845801</v>
      </c>
      <c r="F36" s="15" t="s">
        <v>4</v>
      </c>
      <c r="G36" s="17" t="s">
        <v>257</v>
      </c>
      <c r="H36" s="18"/>
      <c r="I36" s="19"/>
      <c r="J36" s="19"/>
      <c r="K36" s="23" t="str">
        <f ca="1">IFERROR(__xludf.DUMMYFUNCTION("""COMPUTED_VALUE"""),"")</f>
        <v/>
      </c>
      <c r="L36" s="22"/>
      <c r="M36" s="23">
        <f ca="1">IFERROR(__xludf.DUMMYFUNCTION("""COMPUTED_VALUE"""),2.09907461018458)</f>
        <v>2.0990746101845801</v>
      </c>
      <c r="N36" s="23"/>
      <c r="O36" s="23"/>
      <c r="P36" s="23"/>
      <c r="Q36" s="24">
        <f ca="1">IFERROR(__xludf.DUMMYFUNCTION("""COMPUTED_VALUE"""),-0.942428849896494)</f>
        <v>-0.942428849896494</v>
      </c>
      <c r="R36" s="23">
        <f ca="1">IFERROR(__xludf.DUMMYFUNCTION("""COMPUTED_VALUE"""),0.410282270912848)</f>
        <v>0.41028227091284802</v>
      </c>
      <c r="S36" s="23"/>
      <c r="T36" s="23"/>
      <c r="U36" s="23">
        <f ca="1">IFERROR(__xludf.DUMMYFUNCTION("""COMPUTED_VALUE"""),-0.636069972379319)</f>
        <v>-0.63606997237931895</v>
      </c>
      <c r="V36" s="23"/>
      <c r="W36" s="23">
        <f ca="1">IFERROR(__xludf.DUMMYFUNCTION("""COMPUTED_VALUE"""),0.241843671108982)</f>
        <v>0.241843671108982</v>
      </c>
      <c r="X36" s="23"/>
      <c r="Y36" s="23">
        <f ca="1">IFERROR(__xludf.DUMMYFUNCTION("""COMPUTED_VALUE"""),0.230481456634043)</f>
        <v>0.23048145663404301</v>
      </c>
      <c r="Z36" s="23">
        <f ca="1">IFERROR(__xludf.DUMMYFUNCTION("""COMPUTED_VALUE"""),0.951335831139049)</f>
        <v>0.95133583113904896</v>
      </c>
      <c r="AA36" s="23"/>
      <c r="AB36" s="23">
        <f ca="1">IFERROR(__xludf.DUMMYFUNCTION("""COMPUTED_VALUE"""),0.262379877074775)</f>
        <v>0.262379877074775</v>
      </c>
      <c r="AC36" s="22"/>
      <c r="AD36" s="23"/>
      <c r="AE36" s="23"/>
      <c r="AF36" s="22"/>
      <c r="AG36" s="22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</row>
    <row r="37" spans="1:45" ht="27.75" customHeight="1" x14ac:dyDescent="0.7">
      <c r="A37" s="15" t="s">
        <v>27</v>
      </c>
      <c r="B37" s="15" t="s">
        <v>28</v>
      </c>
      <c r="C37" s="15" t="str">
        <f ca="1">IFERROR(__xludf.DUMMYFUNCTION("""COMPUTED_VALUE"""),"2022/04/23 (土)
休日午前")</f>
        <v>2022/04/23 (土)
休日午前</v>
      </c>
      <c r="D37" s="15" t="str">
        <f ca="1">IFERROR(__xludf.DUMMYFUNCTION("""COMPUTED_VALUE"""),"休日午前")</f>
        <v>休日午前</v>
      </c>
      <c r="E37" s="16">
        <f ca="1">IFERROR(__xludf.DUMMYFUNCTION("""COMPUTED_VALUE"""),2.71155861427463)</f>
        <v>2.71155861427463</v>
      </c>
      <c r="F37" s="15" t="s">
        <v>16</v>
      </c>
      <c r="G37" s="17" t="s">
        <v>257</v>
      </c>
      <c r="H37" s="18"/>
      <c r="I37" s="19"/>
      <c r="J37" s="20"/>
      <c r="K37" s="23" t="str">
        <f ca="1">IFERROR(__xludf.DUMMYFUNCTION("""COMPUTED_VALUE"""),"")</f>
        <v/>
      </c>
      <c r="L37" s="22"/>
      <c r="M37" s="23">
        <f ca="1">IFERROR(__xludf.DUMMYFUNCTION("""COMPUTED_VALUE"""),0.196784368751851)</f>
        <v>0.19678436875185101</v>
      </c>
      <c r="N37" s="23"/>
      <c r="O37" s="23"/>
      <c r="P37" s="23"/>
      <c r="Q37" s="24">
        <f ca="1">IFERROR(__xludf.DUMMYFUNCTION("""COMPUTED_VALUE"""),2.71155861427463)</f>
        <v>2.71155861427463</v>
      </c>
      <c r="R37" s="23">
        <f ca="1">IFERROR(__xludf.DUMMYFUNCTION("""COMPUTED_VALUE"""),-0.785156039110202)</f>
        <v>-0.78515603911020204</v>
      </c>
      <c r="S37" s="23"/>
      <c r="T37" s="23"/>
      <c r="U37" s="23">
        <f ca="1">IFERROR(__xludf.DUMMYFUNCTION("""COMPUTED_VALUE"""),-0.36154332384686)</f>
        <v>-0.36154332384686</v>
      </c>
      <c r="V37" s="23"/>
      <c r="W37" s="23">
        <f ca="1">IFERROR(__xludf.DUMMYFUNCTION("""COMPUTED_VALUE"""),0.764022390800815)</f>
        <v>0.76402239080081502</v>
      </c>
      <c r="X37" s="23"/>
      <c r="Y37" s="23">
        <f ca="1">IFERROR(__xludf.DUMMYFUNCTION("""COMPUTED_VALUE"""),-0.86055306466665)</f>
        <v>-0.86055306466665005</v>
      </c>
      <c r="Z37" s="23">
        <f ca="1">IFERROR(__xludf.DUMMYFUNCTION("""COMPUTED_VALUE"""),-0.567774638875339)</f>
        <v>-0.56777463887533897</v>
      </c>
      <c r="AA37" s="23"/>
      <c r="AB37" s="23">
        <f ca="1">IFERROR(__xludf.DUMMYFUNCTION("""COMPUTED_VALUE"""),0.719661987568178)</f>
        <v>0.71966198756817801</v>
      </c>
      <c r="AC37" s="22"/>
      <c r="AD37" s="23"/>
      <c r="AE37" s="23"/>
      <c r="AF37" s="22"/>
      <c r="AG37" s="22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</row>
    <row r="38" spans="1:45" ht="27.75" customHeight="1" x14ac:dyDescent="0.7">
      <c r="A38" s="15" t="s">
        <v>27</v>
      </c>
      <c r="B38" s="15" t="s">
        <v>28</v>
      </c>
      <c r="C38" s="15" t="str">
        <f ca="1">IFERROR(__xludf.DUMMYFUNCTION("""COMPUTED_VALUE"""),"2022/04/23 (土)
休日午後")</f>
        <v>2022/04/23 (土)
休日午後</v>
      </c>
      <c r="D38" s="15" t="str">
        <f ca="1">IFERROR(__xludf.DUMMYFUNCTION("""COMPUTED_VALUE"""),"休日午後")</f>
        <v>休日午後</v>
      </c>
      <c r="E38" s="16">
        <f ca="1">IFERROR(__xludf.DUMMYFUNCTION("""COMPUTED_VALUE"""),0.963931328538585)</f>
        <v>0.96393132853858499</v>
      </c>
      <c r="F38" s="15" t="s">
        <v>1</v>
      </c>
      <c r="G38" s="17" t="s">
        <v>257</v>
      </c>
      <c r="H38" s="18"/>
      <c r="I38" s="19"/>
      <c r="J38" s="19"/>
      <c r="K38" s="23" t="str">
        <f ca="1">IFERROR(__xludf.DUMMYFUNCTION("""COMPUTED_VALUE"""),"")</f>
        <v/>
      </c>
      <c r="L38" s="22"/>
      <c r="M38" s="23">
        <f ca="1">IFERROR(__xludf.DUMMYFUNCTION("""COMPUTED_VALUE"""),-0.124119306439496)</f>
        <v>-0.12411930643949599</v>
      </c>
      <c r="N38" s="23"/>
      <c r="O38" s="23"/>
      <c r="P38" s="23"/>
      <c r="Q38" s="24">
        <f ca="1">IFERROR(__xludf.DUMMYFUNCTION("""COMPUTED_VALUE"""),-0.375803929114659)</f>
        <v>-0.37580392911465899</v>
      </c>
      <c r="R38" s="23">
        <f ca="1">IFERROR(__xludf.DUMMYFUNCTION("""COMPUTED_VALUE"""),-0.468628306844782)</f>
        <v>-0.46862830684478202</v>
      </c>
      <c r="S38" s="23"/>
      <c r="T38" s="23"/>
      <c r="U38" s="23">
        <f ca="1">IFERROR(__xludf.DUMMYFUNCTION("""COMPUTED_VALUE"""),-0.756244450695038)</f>
        <v>-0.75624445069503798</v>
      </c>
      <c r="V38" s="23"/>
      <c r="W38" s="23">
        <f ca="1">IFERROR(__xludf.DUMMYFUNCTION("""COMPUTED_VALUE"""),0.17582222398103)</f>
        <v>0.17582222398103001</v>
      </c>
      <c r="X38" s="23"/>
      <c r="Y38" s="23">
        <f ca="1">IFERROR(__xludf.DUMMYFUNCTION("""COMPUTED_VALUE"""),-0.0917254759865517)</f>
        <v>-9.1725475986551702E-2</v>
      </c>
      <c r="Z38" s="23">
        <f ca="1">IFERROR(__xludf.DUMMYFUNCTION("""COMPUTED_VALUE"""),0.187055551822577)</f>
        <v>0.18705555182257699</v>
      </c>
      <c r="AA38" s="23"/>
      <c r="AB38" s="23">
        <f ca="1">IFERROR(__xludf.DUMMYFUNCTION("""COMPUTED_VALUE"""),0.963931328538585)</f>
        <v>0.96393132853858499</v>
      </c>
      <c r="AC38" s="22"/>
      <c r="AD38" s="23"/>
      <c r="AE38" s="23"/>
      <c r="AF38" s="22"/>
      <c r="AG38" s="22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</row>
    <row r="39" spans="1:45" ht="27.75" customHeight="1" x14ac:dyDescent="0.7">
      <c r="A39" s="15" t="s">
        <v>27</v>
      </c>
      <c r="B39" s="15" t="s">
        <v>28</v>
      </c>
      <c r="C39" s="15" t="str">
        <f ca="1">IFERROR(__xludf.DUMMYFUNCTION("""COMPUTED_VALUE"""),"2022/04/24 (日)
休日午前")</f>
        <v>2022/04/24 (日)
休日午前</v>
      </c>
      <c r="D39" s="15" t="str">
        <f ca="1">IFERROR(__xludf.DUMMYFUNCTION("""COMPUTED_VALUE"""),"休日午前")</f>
        <v>休日午前</v>
      </c>
      <c r="E39" s="16">
        <f ca="1">IFERROR(__xludf.DUMMYFUNCTION("""COMPUTED_VALUE"""),0.876701534359208)</f>
        <v>0.87670153435920795</v>
      </c>
      <c r="F39" s="15" t="s">
        <v>29</v>
      </c>
      <c r="G39" s="17" t="s">
        <v>257</v>
      </c>
      <c r="H39" s="18"/>
      <c r="I39" s="19"/>
      <c r="J39" s="19"/>
      <c r="K39" s="23" t="str">
        <f ca="1">IFERROR(__xludf.DUMMYFUNCTION("""COMPUTED_VALUE"""),"")</f>
        <v/>
      </c>
      <c r="L39" s="22"/>
      <c r="M39" s="23">
        <f ca="1">IFERROR(__xludf.DUMMYFUNCTION("""COMPUTED_VALUE"""),-0.994175574210892)</f>
        <v>-0.99417557421089198</v>
      </c>
      <c r="N39" s="23"/>
      <c r="O39" s="23"/>
      <c r="P39" s="23"/>
      <c r="Q39" s="24">
        <f ca="1">IFERROR(__xludf.DUMMYFUNCTION("""COMPUTED_VALUE"""),0.125050191710628)</f>
        <v>0.12505019171062801</v>
      </c>
      <c r="R39" s="23">
        <f ca="1">IFERROR(__xludf.DUMMYFUNCTION("""COMPUTED_VALUE"""),-0.0796503626703699)</f>
        <v>-7.9650362670369901E-2</v>
      </c>
      <c r="S39" s="23"/>
      <c r="T39" s="23"/>
      <c r="U39" s="23">
        <f ca="1">IFERROR(__xludf.DUMMYFUNCTION("""COMPUTED_VALUE"""),-0.334872935282555)</f>
        <v>-0.33487293528255502</v>
      </c>
      <c r="V39" s="23"/>
      <c r="W39" s="23">
        <f ca="1">IFERROR(__xludf.DUMMYFUNCTION("""COMPUTED_VALUE"""),0.28627594222207)</f>
        <v>0.28627594222206998</v>
      </c>
      <c r="X39" s="23"/>
      <c r="Y39" s="23">
        <f ca="1">IFERROR(__xludf.DUMMYFUNCTION("""COMPUTED_VALUE"""),-0.310013713509847)</f>
        <v>-0.31001371350984702</v>
      </c>
      <c r="Z39" s="23">
        <f ca="1">IFERROR(__xludf.DUMMYFUNCTION("""COMPUTED_VALUE"""),0.00203183375110027)</f>
        <v>2.0318337511002699E-3</v>
      </c>
      <c r="AA39" s="23"/>
      <c r="AB39" s="23">
        <f ca="1">IFERROR(__xludf.DUMMYFUNCTION("""COMPUTED_VALUE"""),0.390517374979293)</f>
        <v>0.39051737497929301</v>
      </c>
      <c r="AC39" s="22"/>
      <c r="AD39" s="23"/>
      <c r="AE39" s="23"/>
      <c r="AF39" s="22"/>
      <c r="AG39" s="22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</row>
    <row r="40" spans="1:45" ht="27.75" customHeight="1" x14ac:dyDescent="0.7">
      <c r="A40" s="15" t="s">
        <v>27</v>
      </c>
      <c r="B40" s="15" t="s">
        <v>28</v>
      </c>
      <c r="C40" s="15" t="str">
        <f ca="1">IFERROR(__xludf.DUMMYFUNCTION("""COMPUTED_VALUE"""),"2022/04/24 (日)
休日午後")</f>
        <v>2022/04/24 (日)
休日午後</v>
      </c>
      <c r="D40" s="15" t="str">
        <f ca="1">IFERROR(__xludf.DUMMYFUNCTION("""COMPUTED_VALUE"""),"休日午後")</f>
        <v>休日午後</v>
      </c>
      <c r="E40" s="16">
        <f ca="1">IFERROR(__xludf.DUMMYFUNCTION("""COMPUTED_VALUE"""),0.910536725026445)</f>
        <v>0.910536725026445</v>
      </c>
      <c r="F40" s="15" t="s">
        <v>13</v>
      </c>
      <c r="G40" s="17" t="s">
        <v>257</v>
      </c>
      <c r="H40" s="18"/>
      <c r="I40" s="19"/>
      <c r="J40" s="19"/>
      <c r="K40" s="23" t="str">
        <f ca="1">IFERROR(__xludf.DUMMYFUNCTION("""COMPUTED_VALUE"""),"")</f>
        <v/>
      </c>
      <c r="L40" s="22"/>
      <c r="M40" s="23">
        <f ca="1">IFERROR(__xludf.DUMMYFUNCTION("""COMPUTED_VALUE"""),-0.781915803177645)</f>
        <v>-0.78191580317764497</v>
      </c>
      <c r="N40" s="23"/>
      <c r="O40" s="23"/>
      <c r="P40" s="23"/>
      <c r="Q40" s="24">
        <f ca="1">IFERROR(__xludf.DUMMYFUNCTION("""COMPUTED_VALUE"""),0.45190772994917)</f>
        <v>0.45190772994917</v>
      </c>
      <c r="R40" s="23">
        <f ca="1">IFERROR(__xludf.DUMMYFUNCTION("""COMPUTED_VALUE"""),-0.0363955995034654)</f>
        <v>-3.6395599503465402E-2</v>
      </c>
      <c r="S40" s="23"/>
      <c r="T40" s="23"/>
      <c r="U40" s="23">
        <f ca="1">IFERROR(__xludf.DUMMYFUNCTION("""COMPUTED_VALUE"""),-0.852848923981606)</f>
        <v>-0.85284892398160606</v>
      </c>
      <c r="V40" s="23"/>
      <c r="W40" s="23">
        <f ca="1">IFERROR(__xludf.DUMMYFUNCTION("""COMPUTED_VALUE"""),0.523498640541204)</f>
        <v>0.52349864054120399</v>
      </c>
      <c r="X40" s="23"/>
      <c r="Y40" s="23">
        <f ca="1">IFERROR(__xludf.DUMMYFUNCTION("""COMPUTED_VALUE"""),-0.135388789026648)</f>
        <v>-0.135388789026648</v>
      </c>
      <c r="Z40" s="23">
        <f ca="1">IFERROR(__xludf.DUMMYFUNCTION("""COMPUTED_VALUE"""),0.229017744668514)</f>
        <v>0.22901774466851399</v>
      </c>
      <c r="AA40" s="23"/>
      <c r="AB40" s="23">
        <f ca="1">IFERROR(__xludf.DUMMYFUNCTION("""COMPUTED_VALUE"""),0.50152731935774)</f>
        <v>0.50152731935773998</v>
      </c>
      <c r="AC40" s="22"/>
      <c r="AD40" s="23"/>
      <c r="AE40" s="23"/>
      <c r="AF40" s="22"/>
      <c r="AG40" s="22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</row>
    <row r="41" spans="1:45" ht="27.75" customHeight="1" x14ac:dyDescent="0.7">
      <c r="A41" s="15" t="s">
        <v>27</v>
      </c>
      <c r="B41" s="15" t="s">
        <v>28</v>
      </c>
      <c r="C41" s="15" t="str">
        <f ca="1">IFERROR(__xludf.DUMMYFUNCTION("""COMPUTED_VALUE"""),"2022/04/25 (月)
平日夜間")</f>
        <v>2022/04/25 (月)
平日夜間</v>
      </c>
      <c r="D41" s="15" t="str">
        <f ca="1">IFERROR(__xludf.DUMMYFUNCTION("""COMPUTED_VALUE"""),"平日夜間")</f>
        <v>平日夜間</v>
      </c>
      <c r="E41" s="16">
        <f ca="1">IFERROR(__xludf.DUMMYFUNCTION("""COMPUTED_VALUE"""),0.914296968211935)</f>
        <v>0.91429696821193496</v>
      </c>
      <c r="F41" s="15" t="s">
        <v>4</v>
      </c>
      <c r="G41" s="17" t="s">
        <v>257</v>
      </c>
      <c r="H41" s="18"/>
      <c r="I41" s="19"/>
      <c r="J41" s="19"/>
      <c r="K41" s="23" t="str">
        <f ca="1">IFERROR(__xludf.DUMMYFUNCTION("""COMPUTED_VALUE"""),"")</f>
        <v/>
      </c>
      <c r="L41" s="22"/>
      <c r="M41" s="23">
        <f ca="1">IFERROR(__xludf.DUMMYFUNCTION("""COMPUTED_VALUE"""),0.914296968211935)</f>
        <v>0.91429696821193496</v>
      </c>
      <c r="N41" s="23"/>
      <c r="O41" s="23"/>
      <c r="P41" s="23"/>
      <c r="Q41" s="24">
        <f ca="1">IFERROR(__xludf.DUMMYFUNCTION("""COMPUTED_VALUE"""),0.229538489803094)</f>
        <v>0.22953848980309399</v>
      </c>
      <c r="R41" s="23">
        <f ca="1">IFERROR(__xludf.DUMMYFUNCTION("""COMPUTED_VALUE"""),0.453849483801121)</f>
        <v>0.453849483801121</v>
      </c>
      <c r="S41" s="23"/>
      <c r="T41" s="23"/>
      <c r="U41" s="23">
        <f ca="1">IFERROR(__xludf.DUMMYFUNCTION("""COMPUTED_VALUE"""),0.691912203472572)</f>
        <v>0.69191220347257198</v>
      </c>
      <c r="V41" s="23"/>
      <c r="W41" s="23">
        <f ca="1">IFERROR(__xludf.DUMMYFUNCTION("""COMPUTED_VALUE"""),0.476370300512602)</f>
        <v>0.47637030051260199</v>
      </c>
      <c r="X41" s="23"/>
      <c r="Y41" s="23">
        <f ca="1">IFERROR(__xludf.DUMMYFUNCTION("""COMPUTED_VALUE"""),0.559611187649828)</f>
        <v>0.55961118764982798</v>
      </c>
      <c r="Z41" s="23">
        <f ca="1">IFERROR(__xludf.DUMMYFUNCTION("""COMPUTED_VALUE"""),0.423753778622974)</f>
        <v>0.42375377862297398</v>
      </c>
      <c r="AA41" s="23"/>
      <c r="AB41" s="23">
        <f ca="1">IFERROR(__xludf.DUMMYFUNCTION("""COMPUTED_VALUE"""),0.790970702600289)</f>
        <v>0.79097070260028901</v>
      </c>
      <c r="AC41" s="22"/>
      <c r="AD41" s="23"/>
      <c r="AE41" s="23"/>
      <c r="AF41" s="22"/>
      <c r="AG41" s="22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</row>
    <row r="42" spans="1:45" ht="27.75" customHeight="1" x14ac:dyDescent="0.7">
      <c r="A42" s="15" t="s">
        <v>27</v>
      </c>
      <c r="B42" s="15" t="s">
        <v>28</v>
      </c>
      <c r="C42" s="15" t="str">
        <f ca="1">IFERROR(__xludf.DUMMYFUNCTION("""COMPUTED_VALUE"""),"2022/04/26 (火)
平日夜間")</f>
        <v>2022/04/26 (火)
平日夜間</v>
      </c>
      <c r="D42" s="15" t="str">
        <f ca="1">IFERROR(__xludf.DUMMYFUNCTION("""COMPUTED_VALUE"""),"平日夜間")</f>
        <v>平日夜間</v>
      </c>
      <c r="E42" s="16">
        <f ca="1">IFERROR(__xludf.DUMMYFUNCTION("""COMPUTED_VALUE"""),0.974084500810101)</f>
        <v>0.97408450081010101</v>
      </c>
      <c r="F42" s="15" t="s">
        <v>29</v>
      </c>
      <c r="G42" s="17" t="s">
        <v>257</v>
      </c>
      <c r="H42" s="18"/>
      <c r="I42" s="19"/>
      <c r="J42" s="19"/>
      <c r="K42" s="23" t="str">
        <f ca="1">IFERROR(__xludf.DUMMYFUNCTION("""COMPUTED_VALUE"""),"")</f>
        <v/>
      </c>
      <c r="L42" s="22"/>
      <c r="M42" s="23">
        <f ca="1">IFERROR(__xludf.DUMMYFUNCTION("""COMPUTED_VALUE"""),0.901416090827031)</f>
        <v>0.901416090827031</v>
      </c>
      <c r="N42" s="23"/>
      <c r="O42" s="23"/>
      <c r="P42" s="23"/>
      <c r="Q42" s="24">
        <f ca="1">IFERROR(__xludf.DUMMYFUNCTION("""COMPUTED_VALUE"""),0.769937819062199)</f>
        <v>0.76993781906219905</v>
      </c>
      <c r="R42" s="23">
        <f ca="1">IFERROR(__xludf.DUMMYFUNCTION("""COMPUTED_VALUE"""),0.871498509127335)</f>
        <v>0.87149850912733495</v>
      </c>
      <c r="S42" s="23"/>
      <c r="T42" s="23"/>
      <c r="U42" s="23">
        <f ca="1">IFERROR(__xludf.DUMMYFUNCTION("""COMPUTED_VALUE"""),0.254200796410478)</f>
        <v>0.25420079641047799</v>
      </c>
      <c r="V42" s="23"/>
      <c r="W42" s="23">
        <f ca="1">IFERROR(__xludf.DUMMYFUNCTION("""COMPUTED_VALUE"""),0.458446209631136)</f>
        <v>0.45844620963113603</v>
      </c>
      <c r="X42" s="23"/>
      <c r="Y42" s="23">
        <f ca="1">IFERROR(__xludf.DUMMYFUNCTION("""COMPUTED_VALUE"""),0.779588411341526)</f>
        <v>0.77958841134152601</v>
      </c>
      <c r="Z42" s="23">
        <f ca="1">IFERROR(__xludf.DUMMYFUNCTION("""COMPUTED_VALUE"""),0.172825751312622)</f>
        <v>0.17282575131262201</v>
      </c>
      <c r="AA42" s="23"/>
      <c r="AB42" s="23">
        <f ca="1">IFERROR(__xludf.DUMMYFUNCTION("""COMPUTED_VALUE"""),0.446289207948561)</f>
        <v>0.44628920794856097</v>
      </c>
      <c r="AC42" s="22"/>
      <c r="AD42" s="23"/>
      <c r="AE42" s="23"/>
      <c r="AF42" s="22"/>
      <c r="AG42" s="22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</row>
    <row r="43" spans="1:45" ht="27.75" customHeight="1" x14ac:dyDescent="0.7">
      <c r="A43" s="15" t="s">
        <v>27</v>
      </c>
      <c r="B43" s="15" t="s">
        <v>28</v>
      </c>
      <c r="C43" s="15" t="str">
        <f ca="1">IFERROR(__xludf.DUMMYFUNCTION("""COMPUTED_VALUE"""),"2022/04/27 (水)
平日夜間")</f>
        <v>2022/04/27 (水)
平日夜間</v>
      </c>
      <c r="D43" s="15" t="str">
        <f ca="1">IFERROR(__xludf.DUMMYFUNCTION("""COMPUTED_VALUE"""),"平日夜間")</f>
        <v>平日夜間</v>
      </c>
      <c r="E43" s="16">
        <f ca="1">IFERROR(__xludf.DUMMYFUNCTION("""COMPUTED_VALUE"""),2.51085350034195)</f>
        <v>2.5108535003419501</v>
      </c>
      <c r="F43" s="15" t="s">
        <v>10</v>
      </c>
      <c r="G43" s="17" t="s">
        <v>257</v>
      </c>
      <c r="H43" s="18"/>
      <c r="I43" s="19"/>
      <c r="J43" s="20"/>
      <c r="K43" s="23" t="str">
        <f ca="1">IFERROR(__xludf.DUMMYFUNCTION("""COMPUTED_VALUE"""),"")</f>
        <v/>
      </c>
      <c r="L43" s="22"/>
      <c r="M43" s="23">
        <f ca="1">IFERROR(__xludf.DUMMYFUNCTION("""COMPUTED_VALUE"""),0.701902001811894)</f>
        <v>0.70190200181189399</v>
      </c>
      <c r="N43" s="23"/>
      <c r="O43" s="23"/>
      <c r="P43" s="23"/>
      <c r="Q43" s="24">
        <f ca="1">IFERROR(__xludf.DUMMYFUNCTION("""COMPUTED_VALUE"""),0.416544030179375)</f>
        <v>0.41654403017937502</v>
      </c>
      <c r="R43" s="23">
        <f ca="1">IFERROR(__xludf.DUMMYFUNCTION("""COMPUTED_VALUE"""),0.33176481717078)</f>
        <v>0.33176481717077999</v>
      </c>
      <c r="S43" s="23"/>
      <c r="T43" s="23"/>
      <c r="U43" s="23">
        <f ca="1">IFERROR(__xludf.DUMMYFUNCTION("""COMPUTED_VALUE"""),0.0662541244020793)</f>
        <v>6.6254124402079298E-2</v>
      </c>
      <c r="V43" s="23"/>
      <c r="W43" s="23">
        <f ca="1">IFERROR(__xludf.DUMMYFUNCTION("""COMPUTED_VALUE"""),-0.561393953081144)</f>
        <v>-0.56139395308114404</v>
      </c>
      <c r="X43" s="23"/>
      <c r="Y43" s="23">
        <f ca="1">IFERROR(__xludf.DUMMYFUNCTION("""COMPUTED_VALUE"""),0.329233659710059)</f>
        <v>0.32923365971005902</v>
      </c>
      <c r="Z43" s="23">
        <f ca="1">IFERROR(__xludf.DUMMYFUNCTION("""COMPUTED_VALUE"""),2.51085350034195)</f>
        <v>2.5108535003419501</v>
      </c>
      <c r="AA43" s="23"/>
      <c r="AB43" s="23">
        <f ca="1">IFERROR(__xludf.DUMMYFUNCTION("""COMPUTED_VALUE"""),0.858627127461068)</f>
        <v>0.85862712746106795</v>
      </c>
      <c r="AC43" s="22"/>
      <c r="AD43" s="23"/>
      <c r="AE43" s="23"/>
      <c r="AF43" s="22"/>
      <c r="AG43" s="22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</row>
    <row r="44" spans="1:45" ht="27.75" customHeight="1" x14ac:dyDescent="0.7">
      <c r="A44" s="15" t="s">
        <v>27</v>
      </c>
      <c r="B44" s="15" t="s">
        <v>28</v>
      </c>
      <c r="C44" s="15" t="str">
        <f ca="1">IFERROR(__xludf.DUMMYFUNCTION("""COMPUTED_VALUE"""),"2022/04/28 (木)
平日夜間")</f>
        <v>2022/04/28 (木)
平日夜間</v>
      </c>
      <c r="D44" s="15" t="str">
        <f ca="1">IFERROR(__xludf.DUMMYFUNCTION("""COMPUTED_VALUE"""),"平日夜間")</f>
        <v>平日夜間</v>
      </c>
      <c r="E44" s="16">
        <f ca="1">IFERROR(__xludf.DUMMYFUNCTION("""COMPUTED_VALUE"""),0.94480773865471)</f>
        <v>0.94480773865471002</v>
      </c>
      <c r="F44" s="15" t="s">
        <v>31</v>
      </c>
      <c r="G44" s="17" t="s">
        <v>257</v>
      </c>
      <c r="H44" s="18"/>
      <c r="I44" s="18"/>
      <c r="J44" s="18"/>
      <c r="K44" s="23" t="str">
        <f ca="1">IFERROR(__xludf.DUMMYFUNCTION("""COMPUTED_VALUE"""),"")</f>
        <v/>
      </c>
      <c r="L44" s="22"/>
      <c r="M44" s="23">
        <f ca="1">IFERROR(__xludf.DUMMYFUNCTION("""COMPUTED_VALUE"""),-0.58627388043314)</f>
        <v>-0.58627388043313999</v>
      </c>
      <c r="N44" s="23"/>
      <c r="O44" s="23"/>
      <c r="P44" s="23"/>
      <c r="Q44" s="24">
        <f ca="1">IFERROR(__xludf.DUMMYFUNCTION("""COMPUTED_VALUE"""),0.24838597335914)</f>
        <v>0.24838597335914001</v>
      </c>
      <c r="R44" s="23">
        <f ca="1">IFERROR(__xludf.DUMMYFUNCTION("""COMPUTED_VALUE"""),-0.872716227833948)</f>
        <v>-0.87271622783394798</v>
      </c>
      <c r="S44" s="23"/>
      <c r="T44" s="23"/>
      <c r="U44" s="23">
        <f ca="1">IFERROR(__xludf.DUMMYFUNCTION("""COMPUTED_VALUE"""),-0.482791801211283)</f>
        <v>-0.48279180121128301</v>
      </c>
      <c r="V44" s="23"/>
      <c r="W44" s="23">
        <f ca="1">IFERROR(__xludf.DUMMYFUNCTION("""COMPUTED_VALUE"""),-0.405839796796366)</f>
        <v>-0.405839796796366</v>
      </c>
      <c r="X44" s="23"/>
      <c r="Y44" s="23">
        <f ca="1">IFERROR(__xludf.DUMMYFUNCTION("""COMPUTED_VALUE"""),-0.879553252339264)</f>
        <v>-0.87955325233926396</v>
      </c>
      <c r="Z44" s="23">
        <f ca="1">IFERROR(__xludf.DUMMYFUNCTION("""COMPUTED_VALUE"""),0.886086976242571)</f>
        <v>0.88608697624257104</v>
      </c>
      <c r="AA44" s="23"/>
      <c r="AB44" s="23">
        <f ca="1">IFERROR(__xludf.DUMMYFUNCTION("""COMPUTED_VALUE"""),0.438624960266821)</f>
        <v>0.43862496026682102</v>
      </c>
      <c r="AC44" s="22"/>
      <c r="AD44" s="23"/>
      <c r="AE44" s="23"/>
      <c r="AF44" s="22"/>
      <c r="AG44" s="22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</row>
    <row r="45" spans="1:45" ht="27.75" customHeight="1" x14ac:dyDescent="0.7">
      <c r="A45" s="15" t="s">
        <v>27</v>
      </c>
      <c r="B45" s="15" t="s">
        <v>32</v>
      </c>
      <c r="C45" s="15" t="str">
        <f ca="1">IFERROR(__xludf.DUMMYFUNCTION("""COMPUTED_VALUE"""),"2022/05/09 (月)
平日夜間")</f>
        <v>2022/05/09 (月)
平日夜間</v>
      </c>
      <c r="D45" s="15" t="str">
        <f ca="1">IFERROR(__xludf.DUMMYFUNCTION("""COMPUTED_VALUE"""),"平日夜間")</f>
        <v>平日夜間</v>
      </c>
      <c r="E45" s="16">
        <f ca="1">IFERROR(__xludf.DUMMYFUNCTION("""COMPUTED_VALUE"""),0.999844956804963)</f>
        <v>0.99984495680496299</v>
      </c>
      <c r="F45" s="15" t="s">
        <v>29</v>
      </c>
      <c r="G45" s="17">
        <v>0</v>
      </c>
      <c r="H45" s="27" t="s">
        <v>29</v>
      </c>
      <c r="I45" s="28" t="s">
        <v>33</v>
      </c>
      <c r="J45" s="28"/>
      <c r="K45" s="23" t="b">
        <f ca="1">IFERROR(__xludf.DUMMYFUNCTION("""COMPUTED_VALUE"""),FALSE)</f>
        <v>0</v>
      </c>
      <c r="L45" s="22">
        <f ca="1">IFERROR(__xludf.DUMMYFUNCTION("""COMPUTED_VALUE"""),0.452374582286364)</f>
        <v>0.45237458228636401</v>
      </c>
      <c r="M45" s="23">
        <f ca="1">IFERROR(__xludf.DUMMYFUNCTION("""COMPUTED_VALUE"""),-0.468243999255514)</f>
        <v>-0.46824399925551402</v>
      </c>
      <c r="N45" s="23">
        <f ca="1">IFERROR(__xludf.DUMMYFUNCTION("""COMPUTED_VALUE"""),0.411975174169388)</f>
        <v>0.411975174169388</v>
      </c>
      <c r="O45" s="23">
        <f ca="1">IFERROR(__xludf.DUMMYFUNCTION("""COMPUTED_VALUE"""),0.0202855877401919)</f>
        <v>2.0285587740191902E-2</v>
      </c>
      <c r="P45" s="23"/>
      <c r="Q45" s="24">
        <f ca="1">IFERROR(__xludf.DUMMYFUNCTION("""COMPUTED_VALUE"""),0.156029788677414)</f>
        <v>0.15602978867741399</v>
      </c>
      <c r="R45" s="23">
        <f ca="1">IFERROR(__xludf.DUMMYFUNCTION("""COMPUTED_VALUE"""),-0.854043465199833)</f>
        <v>-0.85404346519983299</v>
      </c>
      <c r="S45" s="23"/>
      <c r="T45" s="23">
        <f ca="1">IFERROR(__xludf.DUMMYFUNCTION("""COMPUTED_VALUE"""),0.920586226796303)</f>
        <v>0.92058622679630298</v>
      </c>
      <c r="U45" s="23"/>
      <c r="V45" s="23"/>
      <c r="W45" s="23">
        <f ca="1">IFERROR(__xludf.DUMMYFUNCTION("""COMPUTED_VALUE"""),0.679586261227799)</f>
        <v>0.67958626122779897</v>
      </c>
      <c r="X45" s="23"/>
      <c r="Y45" s="23">
        <f ca="1">IFERROR(__xludf.DUMMYFUNCTION("""COMPUTED_VALUE"""),0.842385159890937)</f>
        <v>0.84238515989093699</v>
      </c>
      <c r="Z45" s="23">
        <f ca="1">IFERROR(__xludf.DUMMYFUNCTION("""COMPUTED_VALUE"""),0.836868071036719)</f>
        <v>0.83686807103671901</v>
      </c>
      <c r="AA45" s="23"/>
      <c r="AB45" s="23">
        <f ca="1">IFERROR(__xludf.DUMMYFUNCTION("""COMPUTED_VALUE"""),0.966059760967984)</f>
        <v>0.96605976096798396</v>
      </c>
      <c r="AC45" s="22"/>
      <c r="AD45" s="23"/>
      <c r="AE45" s="23"/>
      <c r="AF45" s="22"/>
      <c r="AG45" s="22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</row>
    <row r="46" spans="1:45" ht="27.75" customHeight="1" x14ac:dyDescent="0.7">
      <c r="A46" s="15" t="s">
        <v>27</v>
      </c>
      <c r="B46" s="15" t="s">
        <v>32</v>
      </c>
      <c r="C46" s="15" t="str">
        <f ca="1">IFERROR(__xludf.DUMMYFUNCTION("""COMPUTED_VALUE"""),"2022/05/10 (火)
平日夜間")</f>
        <v>2022/05/10 (火)
平日夜間</v>
      </c>
      <c r="D46" s="15" t="str">
        <f ca="1">IFERROR(__xludf.DUMMYFUNCTION("""COMPUTED_VALUE"""),"平日夜間")</f>
        <v>平日夜間</v>
      </c>
      <c r="E46" s="16">
        <f ca="1">IFERROR(__xludf.DUMMYFUNCTION("""COMPUTED_VALUE"""),1.65236185828415)</f>
        <v>1.6523618582841499</v>
      </c>
      <c r="F46" s="15" t="s">
        <v>19</v>
      </c>
      <c r="G46" s="17"/>
      <c r="H46" s="29" t="s">
        <v>5</v>
      </c>
      <c r="I46" s="29" t="s">
        <v>33</v>
      </c>
      <c r="J46" s="27" t="s">
        <v>34</v>
      </c>
      <c r="K46" s="23" t="b">
        <f ca="1">IFERROR(__xludf.DUMMYFUNCTION("""COMPUTED_VALUE"""),TRUE)</f>
        <v>1</v>
      </c>
      <c r="L46" s="22">
        <f ca="1">IFERROR(__xludf.DUMMYFUNCTION("""COMPUTED_VALUE"""),0.556719962705038)</f>
        <v>0.55671996270503799</v>
      </c>
      <c r="M46" s="23">
        <f ca="1">IFERROR(__xludf.DUMMYFUNCTION("""COMPUTED_VALUE"""),-0.688482833775606)</f>
        <v>-0.68848283377560604</v>
      </c>
      <c r="N46" s="23">
        <f ca="1">IFERROR(__xludf.DUMMYFUNCTION("""COMPUTED_VALUE"""),0.0318240139215646)</f>
        <v>3.1824013921564601E-2</v>
      </c>
      <c r="O46" s="23">
        <f ca="1">IFERROR(__xludf.DUMMYFUNCTION("""COMPUTED_VALUE"""),1.65236185828415)</f>
        <v>1.6523618582841499</v>
      </c>
      <c r="P46" s="23"/>
      <c r="Q46" s="24">
        <f ca="1">IFERROR(__xludf.DUMMYFUNCTION("""COMPUTED_VALUE"""),-0.201466235515768)</f>
        <v>-0.20146623551576801</v>
      </c>
      <c r="R46" s="23">
        <f ca="1">IFERROR(__xludf.DUMMYFUNCTION("""COMPUTED_VALUE"""),0.106728232554353)</f>
        <v>0.106728232554353</v>
      </c>
      <c r="S46" s="23"/>
      <c r="T46" s="23">
        <f ca="1">IFERROR(__xludf.DUMMYFUNCTION("""COMPUTED_VALUE"""),0.293416743025845)</f>
        <v>0.29341674302584497</v>
      </c>
      <c r="U46" s="23"/>
      <c r="V46" s="23"/>
      <c r="W46" s="23">
        <f ca="1">IFERROR(__xludf.DUMMYFUNCTION("""COMPUTED_VALUE"""),0.817219509556413)</f>
        <v>0.81721950955641298</v>
      </c>
      <c r="X46" s="23"/>
      <c r="Y46" s="23">
        <f ca="1">IFERROR(__xludf.DUMMYFUNCTION("""COMPUTED_VALUE"""),0.143536711764114)</f>
        <v>0.14353671176411401</v>
      </c>
      <c r="Z46" s="23">
        <f ca="1">IFERROR(__xludf.DUMMYFUNCTION("""COMPUTED_VALUE"""),0.971958657439682)</f>
        <v>0.97195865743968202</v>
      </c>
      <c r="AA46" s="23"/>
      <c r="AB46" s="23">
        <f ca="1">IFERROR(__xludf.DUMMYFUNCTION("""COMPUTED_VALUE"""),0.462498882051275)</f>
        <v>0.46249888205127498</v>
      </c>
      <c r="AC46" s="22"/>
      <c r="AD46" s="23"/>
      <c r="AE46" s="23"/>
      <c r="AF46" s="22"/>
      <c r="AG46" s="22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</row>
    <row r="47" spans="1:45" ht="27.75" customHeight="1" x14ac:dyDescent="0.7">
      <c r="A47" s="15" t="s">
        <v>27</v>
      </c>
      <c r="B47" s="15" t="s">
        <v>32</v>
      </c>
      <c r="C47" s="15" t="str">
        <f ca="1">IFERROR(__xludf.DUMMYFUNCTION("""COMPUTED_VALUE"""),"2022/05/11 (水)
平日夜間")</f>
        <v>2022/05/11 (水)
平日夜間</v>
      </c>
      <c r="D47" s="15" t="str">
        <f ca="1">IFERROR(__xludf.DUMMYFUNCTION("""COMPUTED_VALUE"""),"平日夜間")</f>
        <v>平日夜間</v>
      </c>
      <c r="E47" s="16">
        <f ca="1">IFERROR(__xludf.DUMMYFUNCTION("""COMPUTED_VALUE"""),1.02844353274851)</f>
        <v>1.02844353274851</v>
      </c>
      <c r="F47" s="15" t="s">
        <v>19</v>
      </c>
      <c r="G47" s="17">
        <v>1</v>
      </c>
      <c r="H47" s="27" t="s">
        <v>19</v>
      </c>
      <c r="I47" s="27" t="s">
        <v>35</v>
      </c>
      <c r="J47" s="27"/>
      <c r="K47" s="23" t="b">
        <f ca="1">IFERROR(__xludf.DUMMYFUNCTION("""COMPUTED_VALUE"""),FALSE)</f>
        <v>0</v>
      </c>
      <c r="L47" s="22">
        <f ca="1">IFERROR(__xludf.DUMMYFUNCTION("""COMPUTED_VALUE"""),0.886910810264522)</f>
        <v>0.88691081026452201</v>
      </c>
      <c r="M47" s="23">
        <f ca="1">IFERROR(__xludf.DUMMYFUNCTION("""COMPUTED_VALUE"""),0.400778010967308)</f>
        <v>0.40077801096730797</v>
      </c>
      <c r="N47" s="23">
        <f ca="1">IFERROR(__xludf.DUMMYFUNCTION("""COMPUTED_VALUE"""),0.94956285612005)</f>
        <v>0.94956285612004998</v>
      </c>
      <c r="O47" s="23">
        <f ca="1">IFERROR(__xludf.DUMMYFUNCTION("""COMPUTED_VALUE"""),1.02844353274851)</f>
        <v>1.02844353274851</v>
      </c>
      <c r="P47" s="23"/>
      <c r="Q47" s="24">
        <f ca="1">IFERROR(__xludf.DUMMYFUNCTION("""COMPUTED_VALUE"""),0.454390838654296)</f>
        <v>0.45439083865429603</v>
      </c>
      <c r="R47" s="23">
        <f ca="1">IFERROR(__xludf.DUMMYFUNCTION("""COMPUTED_VALUE"""),0.595625954893056)</f>
        <v>0.59562595489305603</v>
      </c>
      <c r="S47" s="23"/>
      <c r="T47" s="23">
        <f ca="1">IFERROR(__xludf.DUMMYFUNCTION("""COMPUTED_VALUE"""),0.974253696328027)</f>
        <v>0.97425369632802705</v>
      </c>
      <c r="U47" s="23"/>
      <c r="V47" s="23"/>
      <c r="W47" s="23">
        <f ca="1">IFERROR(__xludf.DUMMYFUNCTION("""COMPUTED_VALUE"""),-0.332966704826285)</f>
        <v>-0.33296670482628499</v>
      </c>
      <c r="X47" s="23"/>
      <c r="Y47" s="23">
        <f ca="1">IFERROR(__xludf.DUMMYFUNCTION("""COMPUTED_VALUE"""),0.86505927817166)</f>
        <v>0.86505927817165995</v>
      </c>
      <c r="Z47" s="23">
        <f ca="1">IFERROR(__xludf.DUMMYFUNCTION("""COMPUTED_VALUE"""),0.731890032860109)</f>
        <v>0.73189003286010901</v>
      </c>
      <c r="AA47" s="23"/>
      <c r="AB47" s="23">
        <f ca="1">IFERROR(__xludf.DUMMYFUNCTION("""COMPUTED_VALUE"""),0.340564231400248)</f>
        <v>0.340564231400248</v>
      </c>
      <c r="AC47" s="22"/>
      <c r="AD47" s="23"/>
      <c r="AE47" s="23"/>
      <c r="AF47" s="22"/>
      <c r="AG47" s="22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</row>
    <row r="48" spans="1:45" ht="27.75" customHeight="1" x14ac:dyDescent="0.7">
      <c r="A48" s="15" t="s">
        <v>27</v>
      </c>
      <c r="B48" s="15" t="s">
        <v>32</v>
      </c>
      <c r="C48" s="15" t="str">
        <f ca="1">IFERROR(__xludf.DUMMYFUNCTION("""COMPUTED_VALUE"""),"2022/05/12 (木)
平日夜間")</f>
        <v>2022/05/12 (木)
平日夜間</v>
      </c>
      <c r="D48" s="15" t="str">
        <f ca="1">IFERROR(__xludf.DUMMYFUNCTION("""COMPUTED_VALUE"""),"平日夜間")</f>
        <v>平日夜間</v>
      </c>
      <c r="E48" s="16">
        <f ca="1">IFERROR(__xludf.DUMMYFUNCTION("""COMPUTED_VALUE"""),1.18534428590616)</f>
        <v>1.18534428590616</v>
      </c>
      <c r="F48" s="15" t="s">
        <v>19</v>
      </c>
      <c r="G48" s="17"/>
      <c r="H48" s="29" t="s">
        <v>5</v>
      </c>
      <c r="I48" s="29" t="s">
        <v>8</v>
      </c>
      <c r="J48" s="27" t="s">
        <v>36</v>
      </c>
      <c r="K48" s="23" t="b">
        <f ca="1">IFERROR(__xludf.DUMMYFUNCTION("""COMPUTED_VALUE"""),FALSE)</f>
        <v>0</v>
      </c>
      <c r="L48" s="22">
        <f ca="1">IFERROR(__xludf.DUMMYFUNCTION("""COMPUTED_VALUE"""),0.306322472116715)</f>
        <v>0.30632247211671498</v>
      </c>
      <c r="M48" s="23">
        <f ca="1">IFERROR(__xludf.DUMMYFUNCTION("""COMPUTED_VALUE"""),0.121863628775069)</f>
        <v>0.121863628775069</v>
      </c>
      <c r="N48" s="23">
        <f ca="1">IFERROR(__xludf.DUMMYFUNCTION("""COMPUTED_VALUE"""),0.803157593430702)</f>
        <v>0.80315759343070203</v>
      </c>
      <c r="O48" s="23">
        <f ca="1">IFERROR(__xludf.DUMMYFUNCTION("""COMPUTED_VALUE"""),1.18534428590616)</f>
        <v>1.18534428590616</v>
      </c>
      <c r="P48" s="23"/>
      <c r="Q48" s="24">
        <f ca="1">IFERROR(__xludf.DUMMYFUNCTION("""COMPUTED_VALUE"""),-0.433766942102507)</f>
        <v>-0.43376694210250699</v>
      </c>
      <c r="R48" s="23">
        <f ca="1">IFERROR(__xludf.DUMMYFUNCTION("""COMPUTED_VALUE"""),0.19466873397679)</f>
        <v>0.19466873397678999</v>
      </c>
      <c r="S48" s="23"/>
      <c r="T48" s="23">
        <f ca="1">IFERROR(__xludf.DUMMYFUNCTION("""COMPUTED_VALUE"""),0.285746929852396)</f>
        <v>0.28574692985239603</v>
      </c>
      <c r="U48" s="23"/>
      <c r="V48" s="23"/>
      <c r="W48" s="23">
        <f ca="1">IFERROR(__xludf.DUMMYFUNCTION("""COMPUTED_VALUE"""),0.582852355557517)</f>
        <v>0.58285235555751702</v>
      </c>
      <c r="X48" s="23"/>
      <c r="Y48" s="23">
        <f ca="1">IFERROR(__xludf.DUMMYFUNCTION("""COMPUTED_VALUE"""),0.293229186374855)</f>
        <v>0.29322918637485501</v>
      </c>
      <c r="Z48" s="23">
        <f ca="1">IFERROR(__xludf.DUMMYFUNCTION("""COMPUTED_VALUE"""),-0.851444793150262)</f>
        <v>-0.851444793150262</v>
      </c>
      <c r="AA48" s="23"/>
      <c r="AB48" s="23">
        <f ca="1">IFERROR(__xludf.DUMMYFUNCTION("""COMPUTED_VALUE"""),0.0229116848586197)</f>
        <v>2.2911684858619701E-2</v>
      </c>
      <c r="AC48" s="22"/>
      <c r="AD48" s="23"/>
      <c r="AE48" s="23"/>
      <c r="AF48" s="22"/>
      <c r="AG48" s="22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</row>
    <row r="49" spans="1:45" ht="27.75" customHeight="1" x14ac:dyDescent="0.7">
      <c r="A49" s="15" t="s">
        <v>27</v>
      </c>
      <c r="B49" s="15" t="s">
        <v>32</v>
      </c>
      <c r="C49" s="15" t="str">
        <f ca="1">IFERROR(__xludf.DUMMYFUNCTION("""COMPUTED_VALUE"""),"2022/05/13 (金)
平日夜間")</f>
        <v>2022/05/13 (金)
平日夜間</v>
      </c>
      <c r="D49" s="15" t="str">
        <f ca="1">IFERROR(__xludf.DUMMYFUNCTION("""COMPUTED_VALUE"""),"平日夜間")</f>
        <v>平日夜間</v>
      </c>
      <c r="E49" s="16">
        <f ca="1">IFERROR(__xludf.DUMMYFUNCTION("""COMPUTED_VALUE"""),0.976480637540588)</f>
        <v>0.976480637540588</v>
      </c>
      <c r="F49" s="15" t="s">
        <v>11</v>
      </c>
      <c r="G49" s="17">
        <v>0</v>
      </c>
      <c r="H49" s="27" t="s">
        <v>10</v>
      </c>
      <c r="I49" s="27" t="s">
        <v>33</v>
      </c>
      <c r="J49" s="27"/>
      <c r="K49" s="23" t="b">
        <f ca="1">IFERROR(__xludf.DUMMYFUNCTION("""COMPUTED_VALUE"""),FALSE)</f>
        <v>0</v>
      </c>
      <c r="L49" s="22">
        <f ca="1">IFERROR(__xludf.DUMMYFUNCTION("""COMPUTED_VALUE"""),-0.17097801279091)</f>
        <v>-0.17097801279090999</v>
      </c>
      <c r="M49" s="23">
        <f ca="1">IFERROR(__xludf.DUMMYFUNCTION("""COMPUTED_VALUE"""),0.468214995445776)</f>
        <v>0.46821499544577599</v>
      </c>
      <c r="N49" s="23">
        <f ca="1">IFERROR(__xludf.DUMMYFUNCTION("""COMPUTED_VALUE"""),0.933987834296186)</f>
        <v>0.93398783429618604</v>
      </c>
      <c r="O49" s="23">
        <f ca="1">IFERROR(__xludf.DUMMYFUNCTION("""COMPUTED_VALUE"""),0.0419949456019139)</f>
        <v>4.1994945601913899E-2</v>
      </c>
      <c r="P49" s="23"/>
      <c r="Q49" s="24">
        <f ca="1">IFERROR(__xludf.DUMMYFUNCTION("""COMPUTED_VALUE"""),-0.73033635239963)</f>
        <v>-0.73033635239963002</v>
      </c>
      <c r="R49" s="23">
        <f ca="1">IFERROR(__xludf.DUMMYFUNCTION("""COMPUTED_VALUE"""),-0.312449085678531)</f>
        <v>-0.31244908567853102</v>
      </c>
      <c r="S49" s="23"/>
      <c r="T49" s="23">
        <f ca="1">IFERROR(__xludf.DUMMYFUNCTION("""COMPUTED_VALUE"""),0.976480637540588)</f>
        <v>0.976480637540588</v>
      </c>
      <c r="U49" s="23"/>
      <c r="V49" s="23"/>
      <c r="W49" s="23">
        <f ca="1">IFERROR(__xludf.DUMMYFUNCTION("""COMPUTED_VALUE"""),0.410871665389116)</f>
        <v>0.41087166538911601</v>
      </c>
      <c r="X49" s="23"/>
      <c r="Y49" s="23">
        <f ca="1">IFERROR(__xludf.DUMMYFUNCTION("""COMPUTED_VALUE"""),0.34957323181241)</f>
        <v>0.34957323181241001</v>
      </c>
      <c r="Z49" s="23">
        <f ca="1">IFERROR(__xludf.DUMMYFUNCTION("""COMPUTED_VALUE"""),0.777443331834291)</f>
        <v>0.77744333183429104</v>
      </c>
      <c r="AA49" s="23"/>
      <c r="AB49" s="23">
        <f ca="1">IFERROR(__xludf.DUMMYFUNCTION("""COMPUTED_VALUE"""),0.503672220748265)</f>
        <v>0.50367222074826501</v>
      </c>
      <c r="AC49" s="22"/>
      <c r="AD49" s="23"/>
      <c r="AE49" s="23"/>
      <c r="AF49" s="22"/>
      <c r="AG49" s="22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</row>
    <row r="50" spans="1:45" ht="27.75" customHeight="1" x14ac:dyDescent="0.7">
      <c r="A50" s="15" t="s">
        <v>27</v>
      </c>
      <c r="B50" s="15" t="s">
        <v>32</v>
      </c>
      <c r="C50" s="15" t="str">
        <f ca="1">IFERROR(__xludf.DUMMYFUNCTION("""COMPUTED_VALUE"""),"2022/05/14 (土)
休日午前")</f>
        <v>2022/05/14 (土)
休日午前</v>
      </c>
      <c r="D50" s="15" t="str">
        <f ca="1">IFERROR(__xludf.DUMMYFUNCTION("""COMPUTED_VALUE"""),"休日午前")</f>
        <v>休日午前</v>
      </c>
      <c r="E50" s="16">
        <f ca="1">IFERROR(__xludf.DUMMYFUNCTION("""COMPUTED_VALUE"""),1.88988125454854)</f>
        <v>1.8898812545485399</v>
      </c>
      <c r="F50" s="15" t="s">
        <v>10</v>
      </c>
      <c r="G50" s="17"/>
      <c r="H50" s="29" t="s">
        <v>5</v>
      </c>
      <c r="I50" s="29" t="s">
        <v>33</v>
      </c>
      <c r="J50" s="27" t="s">
        <v>37</v>
      </c>
      <c r="K50" s="23" t="b">
        <f ca="1">IFERROR(__xludf.DUMMYFUNCTION("""COMPUTED_VALUE"""),TRUE)</f>
        <v>1</v>
      </c>
      <c r="L50" s="22">
        <f ca="1">IFERROR(__xludf.DUMMYFUNCTION("""COMPUTED_VALUE"""),-0.960448555441583)</f>
        <v>-0.96044855544158303</v>
      </c>
      <c r="M50" s="23">
        <f ca="1">IFERROR(__xludf.DUMMYFUNCTION("""COMPUTED_VALUE"""),-0.56407320151932)</f>
        <v>-0.56407320151932006</v>
      </c>
      <c r="N50" s="23">
        <f ca="1">IFERROR(__xludf.DUMMYFUNCTION("""COMPUTED_VALUE"""),0.275535987711865)</f>
        <v>0.27553598771186499</v>
      </c>
      <c r="O50" s="23">
        <f ca="1">IFERROR(__xludf.DUMMYFUNCTION("""COMPUTED_VALUE"""),0.827803011213066)</f>
        <v>0.82780301121306599</v>
      </c>
      <c r="P50" s="23"/>
      <c r="Q50" s="24">
        <f ca="1">IFERROR(__xludf.DUMMYFUNCTION("""COMPUTED_VALUE"""),-0.582306057648363)</f>
        <v>-0.58230605764836296</v>
      </c>
      <c r="R50" s="23">
        <f ca="1">IFERROR(__xludf.DUMMYFUNCTION("""COMPUTED_VALUE"""),-0.0604229637560291)</f>
        <v>-6.0422963756029097E-2</v>
      </c>
      <c r="S50" s="23"/>
      <c r="T50" s="23">
        <f ca="1">IFERROR(__xludf.DUMMYFUNCTION("""COMPUTED_VALUE"""),0.41036472926844)</f>
        <v>0.41036472926843998</v>
      </c>
      <c r="U50" s="23"/>
      <c r="V50" s="23"/>
      <c r="W50" s="23">
        <f ca="1">IFERROR(__xludf.DUMMYFUNCTION("""COMPUTED_VALUE"""),0.824689529380586)</f>
        <v>0.82468952938058604</v>
      </c>
      <c r="X50" s="23"/>
      <c r="Y50" s="23">
        <f ca="1">IFERROR(__xludf.DUMMYFUNCTION("""COMPUTED_VALUE"""),-0.415466364561731)</f>
        <v>-0.41546636456173103</v>
      </c>
      <c r="Z50" s="23">
        <f ca="1">IFERROR(__xludf.DUMMYFUNCTION("""COMPUTED_VALUE"""),1.88988125454854)</f>
        <v>1.8898812545485399</v>
      </c>
      <c r="AA50" s="23"/>
      <c r="AB50" s="23">
        <f ca="1">IFERROR(__xludf.DUMMYFUNCTION("""COMPUTED_VALUE"""),0.134119111798554)</f>
        <v>0.13411911179855401</v>
      </c>
      <c r="AC50" s="22"/>
      <c r="AD50" s="23"/>
      <c r="AE50" s="23"/>
      <c r="AF50" s="22"/>
      <c r="AG50" s="22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</row>
    <row r="51" spans="1:45" ht="27.75" customHeight="1" x14ac:dyDescent="0.4">
      <c r="A51" s="15" t="s">
        <v>27</v>
      </c>
      <c r="B51" s="15" t="s">
        <v>32</v>
      </c>
      <c r="C51" s="15" t="str">
        <f ca="1">IFERROR(__xludf.DUMMYFUNCTION("""COMPUTED_VALUE"""),"2022/05/14 (土)
休日午後")</f>
        <v>2022/05/14 (土)
休日午後</v>
      </c>
      <c r="D51" s="15" t="str">
        <f ca="1">IFERROR(__xludf.DUMMYFUNCTION("""COMPUTED_VALUE"""),"休日午後")</f>
        <v>休日午後</v>
      </c>
      <c r="E51" s="16">
        <f ca="1">IFERROR(__xludf.DUMMYFUNCTION("""COMPUTED_VALUE"""),2.62421959590795)</f>
        <v>2.6242195959079502</v>
      </c>
      <c r="F51" s="15" t="s">
        <v>29</v>
      </c>
      <c r="G51" s="30"/>
      <c r="H51" s="31" t="s">
        <v>12</v>
      </c>
      <c r="I51" s="29" t="s">
        <v>33</v>
      </c>
      <c r="J51" s="27" t="s">
        <v>37</v>
      </c>
      <c r="K51" s="23" t="b">
        <f ca="1">IFERROR(__xludf.DUMMYFUNCTION("""COMPUTED_VALUE"""),TRUE)</f>
        <v>1</v>
      </c>
      <c r="L51" s="22">
        <f ca="1">IFERROR(__xludf.DUMMYFUNCTION("""COMPUTED_VALUE"""),-0.113908977807223)</f>
        <v>-0.11390897780722301</v>
      </c>
      <c r="M51" s="23">
        <f ca="1">IFERROR(__xludf.DUMMYFUNCTION("""COMPUTED_VALUE"""),-0.0846747224734671)</f>
        <v>-8.4674722473467107E-2</v>
      </c>
      <c r="N51" s="23">
        <f ca="1">IFERROR(__xludf.DUMMYFUNCTION("""COMPUTED_VALUE"""),0.742230903158724)</f>
        <v>0.74223090315872398</v>
      </c>
      <c r="O51" s="23">
        <f ca="1">IFERROR(__xludf.DUMMYFUNCTION("""COMPUTED_VALUE"""),0.170235270048912)</f>
        <v>0.17023527004891201</v>
      </c>
      <c r="P51" s="23"/>
      <c r="Q51" s="24">
        <f ca="1">IFERROR(__xludf.DUMMYFUNCTION("""COMPUTED_VALUE"""),-0.177442671050171)</f>
        <v>-0.177442671050171</v>
      </c>
      <c r="R51" s="23">
        <f ca="1">IFERROR(__xludf.DUMMYFUNCTION("""COMPUTED_VALUE"""),-0.822017976498824)</f>
        <v>-0.82201797649882402</v>
      </c>
      <c r="S51" s="23"/>
      <c r="T51" s="23">
        <f ca="1">IFERROR(__xludf.DUMMYFUNCTION("""COMPUTED_VALUE"""),0.237655600594252)</f>
        <v>0.237655600594252</v>
      </c>
      <c r="U51" s="23"/>
      <c r="V51" s="23"/>
      <c r="W51" s="23">
        <f ca="1">IFERROR(__xludf.DUMMYFUNCTION("""COMPUTED_VALUE"""),0.0170137576849827)</f>
        <v>1.70137576849827E-2</v>
      </c>
      <c r="X51" s="23"/>
      <c r="Y51" s="23">
        <f ca="1">IFERROR(__xludf.DUMMYFUNCTION("""COMPUTED_VALUE"""),-0.487777076663048)</f>
        <v>-0.48777707666304798</v>
      </c>
      <c r="Z51" s="23">
        <f ca="1">IFERROR(__xludf.DUMMYFUNCTION("""COMPUTED_VALUE"""),1.28207950899293)</f>
        <v>1.28207950899293</v>
      </c>
      <c r="AA51" s="23"/>
      <c r="AB51" s="23">
        <f ca="1">IFERROR(__xludf.DUMMYFUNCTION("""COMPUTED_VALUE"""),0.880916388310461)</f>
        <v>0.88091638831046104</v>
      </c>
      <c r="AC51" s="22"/>
      <c r="AD51" s="23"/>
      <c r="AE51" s="23"/>
      <c r="AF51" s="22"/>
      <c r="AG51" s="22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</row>
    <row r="52" spans="1:45" ht="27.75" customHeight="1" x14ac:dyDescent="0.35">
      <c r="A52" s="15" t="s">
        <v>27</v>
      </c>
      <c r="B52" s="15" t="s">
        <v>32</v>
      </c>
      <c r="C52" s="15" t="str">
        <f ca="1">IFERROR(__xludf.DUMMYFUNCTION("""COMPUTED_VALUE"""),"2022/05/15 (日)
休日午前")</f>
        <v>2022/05/15 (日)
休日午前</v>
      </c>
      <c r="D52" s="15" t="str">
        <f ca="1">IFERROR(__xludf.DUMMYFUNCTION("""COMPUTED_VALUE"""),"休日午前")</f>
        <v>休日午前</v>
      </c>
      <c r="E52" s="16">
        <f ca="1">IFERROR(__xludf.DUMMYFUNCTION("""COMPUTED_VALUE"""),2.99521434162978)</f>
        <v>2.9952143416297798</v>
      </c>
      <c r="F52" s="15" t="s">
        <v>38</v>
      </c>
      <c r="G52" s="32">
        <v>2</v>
      </c>
      <c r="H52" s="33" t="s">
        <v>38</v>
      </c>
      <c r="I52" s="27" t="s">
        <v>8</v>
      </c>
      <c r="J52" s="27" t="s">
        <v>39</v>
      </c>
      <c r="K52" s="23" t="b">
        <f ca="1">IFERROR(__xludf.DUMMYFUNCTION("""COMPUTED_VALUE"""),FALSE)</f>
        <v>0</v>
      </c>
      <c r="L52" s="22">
        <f ca="1">IFERROR(__xludf.DUMMYFUNCTION("""COMPUTED_VALUE"""),-0.0937515427189836)</f>
        <v>-9.3751542718983602E-2</v>
      </c>
      <c r="M52" s="23">
        <f ca="1">IFERROR(__xludf.DUMMYFUNCTION("""COMPUTED_VALUE"""),-0.748085168322911)</f>
        <v>-0.74808516832291105</v>
      </c>
      <c r="N52" s="23">
        <f ca="1">IFERROR(__xludf.DUMMYFUNCTION("""COMPUTED_VALUE"""),0.406390853462835)</f>
        <v>0.40639085346283499</v>
      </c>
      <c r="O52" s="23">
        <f ca="1">IFERROR(__xludf.DUMMYFUNCTION("""COMPUTED_VALUE"""),0.736892732258757)</f>
        <v>0.73689273225875696</v>
      </c>
      <c r="P52" s="23"/>
      <c r="Q52" s="24">
        <f ca="1">IFERROR(__xludf.DUMMYFUNCTION("""COMPUTED_VALUE"""),-0.434040408297684)</f>
        <v>-0.43404040829768398</v>
      </c>
      <c r="R52" s="23">
        <f ca="1">IFERROR(__xludf.DUMMYFUNCTION("""COMPUTED_VALUE"""),-0.661942059372921)</f>
        <v>-0.66194205937292105</v>
      </c>
      <c r="S52" s="23"/>
      <c r="T52" s="23">
        <f ca="1">IFERROR(__xludf.DUMMYFUNCTION("""COMPUTED_VALUE"""),0.773994157089015)</f>
        <v>0.77399415708901498</v>
      </c>
      <c r="U52" s="23"/>
      <c r="V52" s="23"/>
      <c r="W52" s="23">
        <f ca="1">IFERROR(__xludf.DUMMYFUNCTION("""COMPUTED_VALUE"""),0.310193847947514)</f>
        <v>0.31019384794751398</v>
      </c>
      <c r="X52" s="23"/>
      <c r="Y52" s="23">
        <f ca="1">IFERROR(__xludf.DUMMYFUNCTION("""COMPUTED_VALUE"""),0.708787398387199)</f>
        <v>0.70878739838719895</v>
      </c>
      <c r="Z52" s="23">
        <f ca="1">IFERROR(__xludf.DUMMYFUNCTION("""COMPUTED_VALUE"""),1.85026579458337)</f>
        <v>1.85026579458337</v>
      </c>
      <c r="AA52" s="23"/>
      <c r="AB52" s="23">
        <f ca="1">IFERROR(__xludf.DUMMYFUNCTION("""COMPUTED_VALUE"""),0.921850700004286)</f>
        <v>0.92185070000428604</v>
      </c>
      <c r="AC52" s="22"/>
      <c r="AD52" s="23"/>
      <c r="AE52" s="23"/>
      <c r="AF52" s="22"/>
      <c r="AG52" s="22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</row>
    <row r="53" spans="1:45" ht="27.75" customHeight="1" x14ac:dyDescent="0.4">
      <c r="A53" s="15" t="s">
        <v>27</v>
      </c>
      <c r="B53" s="15" t="s">
        <v>32</v>
      </c>
      <c r="C53" s="15" t="str">
        <f ca="1">IFERROR(__xludf.DUMMYFUNCTION("""COMPUTED_VALUE"""),"2022/05/15 (日)
休日午後")</f>
        <v>2022/05/15 (日)
休日午後</v>
      </c>
      <c r="D53" s="15" t="str">
        <f ca="1">IFERROR(__xludf.DUMMYFUNCTION("""COMPUTED_VALUE"""),"休日午後")</f>
        <v>休日午後</v>
      </c>
      <c r="E53" s="16">
        <f ca="1">IFERROR(__xludf.DUMMYFUNCTION("""COMPUTED_VALUE"""),1.9823077222783)</f>
        <v>1.9823077222783001</v>
      </c>
      <c r="F53" s="15" t="s">
        <v>10</v>
      </c>
      <c r="G53" s="30">
        <v>-1</v>
      </c>
      <c r="H53" s="31" t="s">
        <v>29</v>
      </c>
      <c r="I53" s="29" t="s">
        <v>33</v>
      </c>
      <c r="J53" s="27" t="s">
        <v>39</v>
      </c>
      <c r="K53" s="23" t="b">
        <f ca="1">IFERROR(__xludf.DUMMYFUNCTION("""COMPUTED_VALUE"""),TRUE)</f>
        <v>1</v>
      </c>
      <c r="L53" s="22">
        <f ca="1">IFERROR(__xludf.DUMMYFUNCTION("""COMPUTED_VALUE"""),-0.450023467706189)</f>
        <v>-0.45002346770618901</v>
      </c>
      <c r="M53" s="23">
        <f ca="1">IFERROR(__xludf.DUMMYFUNCTION("""COMPUTED_VALUE"""),-0.581438093895095)</f>
        <v>-0.58143809389509504</v>
      </c>
      <c r="N53" s="23">
        <f ca="1">IFERROR(__xludf.DUMMYFUNCTION("""COMPUTED_VALUE"""),0.284662916710908)</f>
        <v>0.28466291671090799</v>
      </c>
      <c r="O53" s="23">
        <f ca="1">IFERROR(__xludf.DUMMYFUNCTION("""COMPUTED_VALUE"""),0.743685383967946)</f>
        <v>0.74368538396794603</v>
      </c>
      <c r="P53" s="23"/>
      <c r="Q53" s="24">
        <f ca="1">IFERROR(__xludf.DUMMYFUNCTION("""COMPUTED_VALUE"""),-0.867681456878653)</f>
        <v>-0.86768145687865295</v>
      </c>
      <c r="R53" s="23">
        <f ca="1">IFERROR(__xludf.DUMMYFUNCTION("""COMPUTED_VALUE"""),-0.543211691119919)</f>
        <v>-0.54321169111991896</v>
      </c>
      <c r="S53" s="23"/>
      <c r="T53" s="23">
        <f ca="1">IFERROR(__xludf.DUMMYFUNCTION("""COMPUTED_VALUE"""),0.631961864991762)</f>
        <v>0.63196186499176199</v>
      </c>
      <c r="U53" s="23"/>
      <c r="V53" s="23"/>
      <c r="W53" s="23">
        <f ca="1">IFERROR(__xludf.DUMMYFUNCTION("""COMPUTED_VALUE"""),0.154096176966299)</f>
        <v>0.15409617696629899</v>
      </c>
      <c r="X53" s="23"/>
      <c r="Y53" s="23">
        <f ca="1">IFERROR(__xludf.DUMMYFUNCTION("""COMPUTED_VALUE"""),-0.635638663973068)</f>
        <v>-0.63563866397306801</v>
      </c>
      <c r="Z53" s="23">
        <f ca="1">IFERROR(__xludf.DUMMYFUNCTION("""COMPUTED_VALUE"""),1.9823077222783)</f>
        <v>1.9823077222783001</v>
      </c>
      <c r="AA53" s="23"/>
      <c r="AB53" s="23">
        <f ca="1">IFERROR(__xludf.DUMMYFUNCTION("""COMPUTED_VALUE"""),0.600434848943741)</f>
        <v>0.600434848943741</v>
      </c>
      <c r="AC53" s="22"/>
      <c r="AD53" s="23"/>
      <c r="AE53" s="23"/>
      <c r="AF53" s="22"/>
      <c r="AG53" s="22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</row>
    <row r="54" spans="1:45" ht="27.75" customHeight="1" x14ac:dyDescent="0.4">
      <c r="A54" s="15" t="s">
        <v>27</v>
      </c>
      <c r="B54" s="15" t="s">
        <v>32</v>
      </c>
      <c r="C54" s="15" t="str">
        <f ca="1">IFERROR(__xludf.DUMMYFUNCTION("""COMPUTED_VALUE"""),"2022/05/16 (月)
平日夜間")</f>
        <v>2022/05/16 (月)
平日夜間</v>
      </c>
      <c r="D54" s="15" t="str">
        <f ca="1">IFERROR(__xludf.DUMMYFUNCTION("""COMPUTED_VALUE"""),"平日夜間")</f>
        <v>平日夜間</v>
      </c>
      <c r="E54" s="16">
        <f ca="1">IFERROR(__xludf.DUMMYFUNCTION("""COMPUTED_VALUE"""),0.986720213979607)</f>
        <v>0.98672021397960696</v>
      </c>
      <c r="F54" s="15" t="s">
        <v>14</v>
      </c>
      <c r="G54" s="30">
        <v>0</v>
      </c>
      <c r="H54" s="29" t="s">
        <v>4</v>
      </c>
      <c r="I54" s="29" t="s">
        <v>35</v>
      </c>
      <c r="J54" s="27" t="s">
        <v>40</v>
      </c>
      <c r="K54" s="23" t="b">
        <f ca="1">IFERROR(__xludf.DUMMYFUNCTION("""COMPUTED_VALUE"""),FALSE)</f>
        <v>0</v>
      </c>
      <c r="L54" s="22">
        <f ca="1">IFERROR(__xludf.DUMMYFUNCTION("""COMPUTED_VALUE"""),0.980719275839842)</f>
        <v>0.98071927583984198</v>
      </c>
      <c r="M54" s="23">
        <f ca="1">IFERROR(__xludf.DUMMYFUNCTION("""COMPUTED_VALUE"""),0.921183437358381)</f>
        <v>0.92118343735838104</v>
      </c>
      <c r="N54" s="23">
        <f ca="1">IFERROR(__xludf.DUMMYFUNCTION("""COMPUTED_VALUE"""),0.354009089276293)</f>
        <v>0.35400908927629299</v>
      </c>
      <c r="O54" s="23">
        <f ca="1">IFERROR(__xludf.DUMMYFUNCTION("""COMPUTED_VALUE"""),0.57001037298159)</f>
        <v>0.57001037298158996</v>
      </c>
      <c r="P54" s="23"/>
      <c r="Q54" s="24">
        <f ca="1">IFERROR(__xludf.DUMMYFUNCTION("""COMPUTED_VALUE"""),0.986264622432973)</f>
        <v>0.98626462243297297</v>
      </c>
      <c r="R54" s="23">
        <f ca="1">IFERROR(__xludf.DUMMYFUNCTION("""COMPUTED_VALUE"""),0.562757694355364)</f>
        <v>0.56275769435536405</v>
      </c>
      <c r="S54" s="23"/>
      <c r="T54" s="23">
        <f ca="1">IFERROR(__xludf.DUMMYFUNCTION("""COMPUTED_VALUE"""),0.886854948892315)</f>
        <v>0.88685494889231498</v>
      </c>
      <c r="U54" s="23"/>
      <c r="V54" s="23"/>
      <c r="W54" s="23">
        <f ca="1">IFERROR(__xludf.DUMMYFUNCTION("""COMPUTED_VALUE"""),0.78014930322738)</f>
        <v>0.78014930322737996</v>
      </c>
      <c r="X54" s="23"/>
      <c r="Y54" s="23">
        <f ca="1">IFERROR(__xludf.DUMMYFUNCTION("""COMPUTED_VALUE"""),0.986720213979607)</f>
        <v>0.98672021397960696</v>
      </c>
      <c r="Z54" s="23">
        <f ca="1">IFERROR(__xludf.DUMMYFUNCTION("""COMPUTED_VALUE"""),0.939846255951712)</f>
        <v>0.93984625595171201</v>
      </c>
      <c r="AA54" s="23"/>
      <c r="AB54" s="23">
        <f ca="1">IFERROR(__xludf.DUMMYFUNCTION("""COMPUTED_VALUE"""),0.20363298357008)</f>
        <v>0.20363298357008</v>
      </c>
      <c r="AC54" s="22"/>
      <c r="AD54" s="23"/>
      <c r="AE54" s="23"/>
      <c r="AF54" s="22"/>
      <c r="AG54" s="22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</row>
    <row r="55" spans="1:45" ht="27.75" customHeight="1" x14ac:dyDescent="0.4">
      <c r="A55" s="15" t="s">
        <v>27</v>
      </c>
      <c r="B55" s="15" t="s">
        <v>32</v>
      </c>
      <c r="C55" s="15" t="str">
        <f ca="1">IFERROR(__xludf.DUMMYFUNCTION("""COMPUTED_VALUE"""),"2022/05/17 (火)
平日夜間")</f>
        <v>2022/05/17 (火)
平日夜間</v>
      </c>
      <c r="D55" s="15" t="str">
        <f ca="1">IFERROR(__xludf.DUMMYFUNCTION("""COMPUTED_VALUE"""),"平日夜間")</f>
        <v>平日夜間</v>
      </c>
      <c r="E55" s="16">
        <f ca="1">IFERROR(__xludf.DUMMYFUNCTION("""COMPUTED_VALUE"""),2.04404681763427)</f>
        <v>2.0440468176342699</v>
      </c>
      <c r="F55" s="15" t="s">
        <v>18</v>
      </c>
      <c r="G55" s="30"/>
      <c r="H55" s="29" t="s">
        <v>5</v>
      </c>
      <c r="I55" s="29" t="s">
        <v>18</v>
      </c>
      <c r="J55" s="27" t="s">
        <v>41</v>
      </c>
      <c r="K55" s="23" t="b">
        <f ca="1">IFERROR(__xludf.DUMMYFUNCTION("""COMPUTED_VALUE"""),FALSE)</f>
        <v>0</v>
      </c>
      <c r="L55" s="22">
        <f ca="1">IFERROR(__xludf.DUMMYFUNCTION("""COMPUTED_VALUE"""),2.04404681763427)</f>
        <v>2.0440468176342699</v>
      </c>
      <c r="M55" s="23">
        <f ca="1">IFERROR(__xludf.DUMMYFUNCTION("""COMPUTED_VALUE"""),-0.56917405931988)</f>
        <v>-0.56917405931987997</v>
      </c>
      <c r="N55" s="23">
        <f ca="1">IFERROR(__xludf.DUMMYFUNCTION("""COMPUTED_VALUE"""),-0.181763438958971)</f>
        <v>-0.18176343895897101</v>
      </c>
      <c r="O55" s="23">
        <f ca="1">IFERROR(__xludf.DUMMYFUNCTION("""COMPUTED_VALUE"""),1.73411352391272)</f>
        <v>1.7341135239127199</v>
      </c>
      <c r="P55" s="23"/>
      <c r="Q55" s="24">
        <f ca="1">IFERROR(__xludf.DUMMYFUNCTION("""COMPUTED_VALUE"""),-0.495323376456525)</f>
        <v>-0.49532337645652502</v>
      </c>
      <c r="R55" s="23">
        <f ca="1">IFERROR(__xludf.DUMMYFUNCTION("""COMPUTED_VALUE"""),0.182989572278321)</f>
        <v>0.18298957227832099</v>
      </c>
      <c r="S55" s="23"/>
      <c r="T55" s="23">
        <f ca="1">IFERROR(__xludf.DUMMYFUNCTION("""COMPUTED_VALUE"""),0.395919102990722)</f>
        <v>0.39591910299072203</v>
      </c>
      <c r="U55" s="23"/>
      <c r="V55" s="23"/>
      <c r="W55" s="23">
        <f ca="1">IFERROR(__xludf.DUMMYFUNCTION("""COMPUTED_VALUE"""),-0.405995074270769)</f>
        <v>-0.40599507427076897</v>
      </c>
      <c r="X55" s="23"/>
      <c r="Y55" s="23">
        <f ca="1">IFERROR(__xludf.DUMMYFUNCTION("""COMPUTED_VALUE"""),0.700431832375514)</f>
        <v>0.70043183237551399</v>
      </c>
      <c r="Z55" s="23">
        <f ca="1">IFERROR(__xludf.DUMMYFUNCTION("""COMPUTED_VALUE"""),0.738766874649754)</f>
        <v>0.73876687464975399</v>
      </c>
      <c r="AA55" s="23"/>
      <c r="AB55" s="23">
        <f ca="1">IFERROR(__xludf.DUMMYFUNCTION("""COMPUTED_VALUE"""),0.0476568497910545)</f>
        <v>4.7656849791054501E-2</v>
      </c>
      <c r="AC55" s="22"/>
      <c r="AD55" s="23"/>
      <c r="AE55" s="23"/>
      <c r="AF55" s="22"/>
      <c r="AG55" s="22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</row>
    <row r="56" spans="1:45" ht="27.75" customHeight="1" x14ac:dyDescent="0.35">
      <c r="A56" s="15" t="s">
        <v>27</v>
      </c>
      <c r="B56" s="15" t="s">
        <v>32</v>
      </c>
      <c r="C56" s="15" t="str">
        <f ca="1">IFERROR(__xludf.DUMMYFUNCTION("""COMPUTED_VALUE"""),"2022/05/18 (水)
平日夜間")</f>
        <v>2022/05/18 (水)
平日夜間</v>
      </c>
      <c r="D56" s="15" t="str">
        <f ca="1">IFERROR(__xludf.DUMMYFUNCTION("""COMPUTED_VALUE"""),"平日夜間")</f>
        <v>平日夜間</v>
      </c>
      <c r="E56" s="16">
        <f ca="1">IFERROR(__xludf.DUMMYFUNCTION("""COMPUTED_VALUE"""),1.80156539715534)</f>
        <v>1.80156539715534</v>
      </c>
      <c r="F56" s="15" t="s">
        <v>19</v>
      </c>
      <c r="G56" s="34">
        <v>0</v>
      </c>
      <c r="H56" s="27" t="s">
        <v>31</v>
      </c>
      <c r="I56" s="27" t="s">
        <v>11</v>
      </c>
      <c r="J56" s="27"/>
      <c r="K56" s="23" t="b">
        <f ca="1">IFERROR(__xludf.DUMMYFUNCTION("""COMPUTED_VALUE"""),FALSE)</f>
        <v>0</v>
      </c>
      <c r="L56" s="22">
        <f ca="1">IFERROR(__xludf.DUMMYFUNCTION("""COMPUTED_VALUE"""),0.242417550808841)</f>
        <v>0.242417550808841</v>
      </c>
      <c r="M56" s="23">
        <f ca="1">IFERROR(__xludf.DUMMYFUNCTION("""COMPUTED_VALUE"""),0.834636129531206)</f>
        <v>0.83463612953120603</v>
      </c>
      <c r="N56" s="23">
        <f ca="1">IFERROR(__xludf.DUMMYFUNCTION("""COMPUTED_VALUE"""),0.705187111774228)</f>
        <v>0.70518711177422799</v>
      </c>
      <c r="O56" s="23">
        <f ca="1">IFERROR(__xludf.DUMMYFUNCTION("""COMPUTED_VALUE"""),1.80156539715534)</f>
        <v>1.80156539715534</v>
      </c>
      <c r="P56" s="23"/>
      <c r="Q56" s="24">
        <f ca="1">IFERROR(__xludf.DUMMYFUNCTION("""COMPUTED_VALUE"""),-0.71769699964245)</f>
        <v>-0.71769699964245004</v>
      </c>
      <c r="R56" s="23">
        <f ca="1">IFERROR(__xludf.DUMMYFUNCTION("""COMPUTED_VALUE"""),-0.889201923001388)</f>
        <v>-0.88920192300138801</v>
      </c>
      <c r="S56" s="23"/>
      <c r="T56" s="23">
        <f ca="1">IFERROR(__xludf.DUMMYFUNCTION("""COMPUTED_VALUE"""),0.867821019368184)</f>
        <v>0.86782101936818401</v>
      </c>
      <c r="U56" s="23"/>
      <c r="V56" s="23"/>
      <c r="W56" s="23">
        <f ca="1">IFERROR(__xludf.DUMMYFUNCTION("""COMPUTED_VALUE"""),-0.387509612636806)</f>
        <v>-0.387509612636806</v>
      </c>
      <c r="X56" s="23"/>
      <c r="Y56" s="23">
        <f ca="1">IFERROR(__xludf.DUMMYFUNCTION("""COMPUTED_VALUE"""),-0.985799515407611)</f>
        <v>-0.98579951540761102</v>
      </c>
      <c r="Z56" s="23">
        <f ca="1">IFERROR(__xludf.DUMMYFUNCTION("""COMPUTED_VALUE"""),0.27360952438437)</f>
        <v>0.27360952438436997</v>
      </c>
      <c r="AA56" s="23"/>
      <c r="AB56" s="23">
        <f ca="1">IFERROR(__xludf.DUMMYFUNCTION("""COMPUTED_VALUE"""),0.81814240356411)</f>
        <v>0.81814240356411005</v>
      </c>
      <c r="AC56" s="22"/>
      <c r="AD56" s="23"/>
      <c r="AE56" s="23"/>
      <c r="AF56" s="22"/>
      <c r="AG56" s="22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</row>
    <row r="57" spans="1:45" ht="27.75" customHeight="1" x14ac:dyDescent="0.4">
      <c r="A57" s="15" t="s">
        <v>27</v>
      </c>
      <c r="B57" s="15" t="s">
        <v>32</v>
      </c>
      <c r="C57" s="15" t="str">
        <f ca="1">IFERROR(__xludf.DUMMYFUNCTION("""COMPUTED_VALUE"""),"2022/05/19 (木)
平日夜間")</f>
        <v>2022/05/19 (木)
平日夜間</v>
      </c>
      <c r="D57" s="15" t="str">
        <f ca="1">IFERROR(__xludf.DUMMYFUNCTION("""COMPUTED_VALUE"""),"平日夜間")</f>
        <v>平日夜間</v>
      </c>
      <c r="E57" s="16">
        <f ca="1">IFERROR(__xludf.DUMMYFUNCTION("""COMPUTED_VALUE"""),2.35206296154736)</f>
        <v>2.3520629615473601</v>
      </c>
      <c r="F57" s="15" t="s">
        <v>19</v>
      </c>
      <c r="G57" s="30">
        <v>2</v>
      </c>
      <c r="H57" s="29" t="s">
        <v>19</v>
      </c>
      <c r="I57" s="29" t="s">
        <v>33</v>
      </c>
      <c r="J57" s="27" t="s">
        <v>42</v>
      </c>
      <c r="K57" s="23" t="b">
        <f ca="1">IFERROR(__xludf.DUMMYFUNCTION("""COMPUTED_VALUE"""),TRUE)</f>
        <v>1</v>
      </c>
      <c r="L57" s="22">
        <f ca="1">IFERROR(__xludf.DUMMYFUNCTION("""COMPUTED_VALUE"""),0.54181942343168)</f>
        <v>0.54181942343167999</v>
      </c>
      <c r="M57" s="23">
        <f ca="1">IFERROR(__xludf.DUMMYFUNCTION("""COMPUTED_VALUE"""),0.367655026724289)</f>
        <v>0.36765502672428901</v>
      </c>
      <c r="N57" s="23">
        <f ca="1">IFERROR(__xludf.DUMMYFUNCTION("""COMPUTED_VALUE"""),0.821465100968312)</f>
        <v>0.82146510096831205</v>
      </c>
      <c r="O57" s="23">
        <f ca="1">IFERROR(__xludf.DUMMYFUNCTION("""COMPUTED_VALUE"""),2.35206296154736)</f>
        <v>2.3520629615473601</v>
      </c>
      <c r="P57" s="23"/>
      <c r="Q57" s="24">
        <f ca="1">IFERROR(__xludf.DUMMYFUNCTION("""COMPUTED_VALUE"""),0.897855183427595)</f>
        <v>0.89785518342759496</v>
      </c>
      <c r="R57" s="23">
        <f ca="1">IFERROR(__xludf.DUMMYFUNCTION("""COMPUTED_VALUE"""),0.399933496910699)</f>
        <v>0.39993349691069902</v>
      </c>
      <c r="S57" s="23"/>
      <c r="T57" s="23">
        <f ca="1">IFERROR(__xludf.DUMMYFUNCTION("""COMPUTED_VALUE"""),0.267084598156618)</f>
        <v>0.267084598156618</v>
      </c>
      <c r="U57" s="23"/>
      <c r="V57" s="23"/>
      <c r="W57" s="23">
        <f ca="1">IFERROR(__xludf.DUMMYFUNCTION("""COMPUTED_VALUE"""),0.624915791280543)</f>
        <v>0.62491579128054298</v>
      </c>
      <c r="X57" s="23"/>
      <c r="Y57" s="23">
        <f ca="1">IFERROR(__xludf.DUMMYFUNCTION("""COMPUTED_VALUE"""),0.264259451672822)</f>
        <v>0.264259451672822</v>
      </c>
      <c r="Z57" s="23">
        <f ca="1">IFERROR(__xludf.DUMMYFUNCTION("""COMPUTED_VALUE"""),-0.774343876720299)</f>
        <v>-0.77434387672029903</v>
      </c>
      <c r="AA57" s="23"/>
      <c r="AB57" s="23">
        <f ca="1">IFERROR(__xludf.DUMMYFUNCTION("""COMPUTED_VALUE"""),0.179576509039505)</f>
        <v>0.17957650903950501</v>
      </c>
      <c r="AC57" s="22"/>
      <c r="AD57" s="23"/>
      <c r="AE57" s="23"/>
      <c r="AF57" s="22"/>
      <c r="AG57" s="22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</row>
    <row r="58" spans="1:45" ht="27.75" customHeight="1" x14ac:dyDescent="0.35">
      <c r="A58" s="15" t="s">
        <v>27</v>
      </c>
      <c r="B58" s="15" t="s">
        <v>32</v>
      </c>
      <c r="C58" s="15" t="str">
        <f ca="1">IFERROR(__xludf.DUMMYFUNCTION("""COMPUTED_VALUE"""),"2022/05/20 (金)
平日夜間")</f>
        <v>2022/05/20 (金)
平日夜間</v>
      </c>
      <c r="D58" s="15" t="str">
        <f ca="1">IFERROR(__xludf.DUMMYFUNCTION("""COMPUTED_VALUE"""),"平日夜間")</f>
        <v>平日夜間</v>
      </c>
      <c r="E58" s="16">
        <f ca="1">IFERROR(__xludf.DUMMYFUNCTION("""COMPUTED_VALUE"""),0.970185711315092)</f>
        <v>0.97018571131509201</v>
      </c>
      <c r="F58" s="15" t="s">
        <v>2</v>
      </c>
      <c r="G58" s="32">
        <v>0</v>
      </c>
      <c r="H58" s="27" t="s">
        <v>30</v>
      </c>
      <c r="I58" s="27" t="s">
        <v>33</v>
      </c>
      <c r="J58" s="27"/>
      <c r="K58" s="23" t="b">
        <f ca="1">IFERROR(__xludf.DUMMYFUNCTION("""COMPUTED_VALUE"""),FALSE)</f>
        <v>0</v>
      </c>
      <c r="L58" s="22">
        <f ca="1">IFERROR(__xludf.DUMMYFUNCTION("""COMPUTED_VALUE"""),-0.245167558300931)</f>
        <v>-0.24516755830093101</v>
      </c>
      <c r="M58" s="23">
        <f ca="1">IFERROR(__xludf.DUMMYFUNCTION("""COMPUTED_VALUE"""),0.558131935696882)</f>
        <v>0.55813193569688202</v>
      </c>
      <c r="N58" s="23">
        <f ca="1">IFERROR(__xludf.DUMMYFUNCTION("""COMPUTED_VALUE"""),0.970185711315092)</f>
        <v>0.97018571131509201</v>
      </c>
      <c r="O58" s="23">
        <f ca="1">IFERROR(__xludf.DUMMYFUNCTION("""COMPUTED_VALUE"""),-0.201699333588218)</f>
        <v>-0.20169933358821801</v>
      </c>
      <c r="P58" s="23"/>
      <c r="Q58" s="24">
        <f ca="1">IFERROR(__xludf.DUMMYFUNCTION("""COMPUTED_VALUE"""),0.324734925636798)</f>
        <v>0.32473492563679801</v>
      </c>
      <c r="R58" s="23">
        <f ca="1">IFERROR(__xludf.DUMMYFUNCTION("""COMPUTED_VALUE"""),-0.943094199206683)</f>
        <v>-0.94309419920668303</v>
      </c>
      <c r="S58" s="23"/>
      <c r="T58" s="23">
        <f ca="1">IFERROR(__xludf.DUMMYFUNCTION("""COMPUTED_VALUE"""),0.386250969297588)</f>
        <v>0.38625096929758801</v>
      </c>
      <c r="U58" s="23"/>
      <c r="V58" s="23"/>
      <c r="W58" s="23">
        <f ca="1">IFERROR(__xludf.DUMMYFUNCTION("""COMPUTED_VALUE"""),0.332818428996287)</f>
        <v>0.332818428996287</v>
      </c>
      <c r="X58" s="23"/>
      <c r="Y58" s="23">
        <f ca="1">IFERROR(__xludf.DUMMYFUNCTION("""COMPUTED_VALUE"""),0.272312286168523)</f>
        <v>0.27231228616852299</v>
      </c>
      <c r="Z58" s="23">
        <f ca="1">IFERROR(__xludf.DUMMYFUNCTION("""COMPUTED_VALUE"""),-0.913506696969217)</f>
        <v>-0.91350669696921705</v>
      </c>
      <c r="AA58" s="23"/>
      <c r="AB58" s="23">
        <f ca="1">IFERROR(__xludf.DUMMYFUNCTION("""COMPUTED_VALUE"""),0.173309900257733)</f>
        <v>0.17330990025773299</v>
      </c>
      <c r="AC58" s="22"/>
      <c r="AD58" s="23"/>
      <c r="AE58" s="23"/>
      <c r="AF58" s="22"/>
      <c r="AG58" s="22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</row>
    <row r="59" spans="1:45" ht="27.75" customHeight="1" x14ac:dyDescent="0.35">
      <c r="A59" s="15" t="s">
        <v>27</v>
      </c>
      <c r="B59" s="15" t="s">
        <v>32</v>
      </c>
      <c r="C59" s="15" t="str">
        <f ca="1">IFERROR(__xludf.DUMMYFUNCTION("""COMPUTED_VALUE"""),"2022/05/21 (土)
休日午前")</f>
        <v>2022/05/21 (土)
休日午前</v>
      </c>
      <c r="D59" s="15" t="str">
        <f ca="1">IFERROR(__xludf.DUMMYFUNCTION("""COMPUTED_VALUE"""),"休日午前")</f>
        <v>休日午前</v>
      </c>
      <c r="E59" s="16">
        <f ca="1">IFERROR(__xludf.DUMMYFUNCTION("""COMPUTED_VALUE"""),0.988421690097038)</f>
        <v>0.98842169009703795</v>
      </c>
      <c r="F59" s="15" t="s">
        <v>29</v>
      </c>
      <c r="G59" s="32">
        <v>0</v>
      </c>
      <c r="H59" s="27" t="s">
        <v>4</v>
      </c>
      <c r="I59" s="27" t="s">
        <v>33</v>
      </c>
      <c r="J59" s="27"/>
      <c r="K59" s="23" t="b">
        <f ca="1">IFERROR(__xludf.DUMMYFUNCTION("""COMPUTED_VALUE"""),FALSE)</f>
        <v>0</v>
      </c>
      <c r="L59" s="22">
        <f ca="1">IFERROR(__xludf.DUMMYFUNCTION("""COMPUTED_VALUE"""),-0.864709805154499)</f>
        <v>-0.86470980515449902</v>
      </c>
      <c r="M59" s="23">
        <f ca="1">IFERROR(__xludf.DUMMYFUNCTION("""COMPUTED_VALUE"""),0.608659302434596)</f>
        <v>0.60865930243459598</v>
      </c>
      <c r="N59" s="23">
        <f ca="1">IFERROR(__xludf.DUMMYFUNCTION("""COMPUTED_VALUE"""),0.644126243396374)</f>
        <v>0.64412624339637403</v>
      </c>
      <c r="O59" s="23">
        <f ca="1">IFERROR(__xludf.DUMMYFUNCTION("""COMPUTED_VALUE"""),-0.552612317271111)</f>
        <v>-0.55261231727111104</v>
      </c>
      <c r="P59" s="23"/>
      <c r="Q59" s="24">
        <f ca="1">IFERROR(__xludf.DUMMYFUNCTION("""COMPUTED_VALUE"""),0.977360403536439)</f>
        <v>0.97736040353643905</v>
      </c>
      <c r="R59" s="23">
        <f ca="1">IFERROR(__xludf.DUMMYFUNCTION("""COMPUTED_VALUE"""),-0.284040466077829)</f>
        <v>-0.28404046607782901</v>
      </c>
      <c r="S59" s="23"/>
      <c r="T59" s="23">
        <f ca="1">IFERROR(__xludf.DUMMYFUNCTION("""COMPUTED_VALUE"""),0.403120548253438)</f>
        <v>0.40312054825343802</v>
      </c>
      <c r="U59" s="23"/>
      <c r="V59" s="23"/>
      <c r="W59" s="23">
        <f ca="1">IFERROR(__xludf.DUMMYFUNCTION("""COMPUTED_VALUE"""),0.46951111544406)</f>
        <v>0.46951111544405999</v>
      </c>
      <c r="X59" s="23"/>
      <c r="Y59" s="23">
        <f ca="1">IFERROR(__xludf.DUMMYFUNCTION("""COMPUTED_VALUE"""),-0.0997610239304607)</f>
        <v>-9.9761023930460699E-2</v>
      </c>
      <c r="Z59" s="23">
        <f ca="1">IFERROR(__xludf.DUMMYFUNCTION("""COMPUTED_VALUE"""),-0.856403703273196)</f>
        <v>-0.85640370327319604</v>
      </c>
      <c r="AA59" s="23"/>
      <c r="AB59" s="23">
        <f ca="1">IFERROR(__xludf.DUMMYFUNCTION("""COMPUTED_VALUE"""),0.848654967222978)</f>
        <v>0.84865496722297795</v>
      </c>
      <c r="AC59" s="22"/>
      <c r="AD59" s="23"/>
      <c r="AE59" s="23"/>
      <c r="AF59" s="22"/>
      <c r="AG59" s="22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</row>
    <row r="60" spans="1:45" ht="27.75" customHeight="1" x14ac:dyDescent="0.35">
      <c r="A60" s="15" t="s">
        <v>27</v>
      </c>
      <c r="B60" s="15" t="s">
        <v>32</v>
      </c>
      <c r="C60" s="15" t="str">
        <f ca="1">IFERROR(__xludf.DUMMYFUNCTION("""COMPUTED_VALUE"""),"2022/05/21 (土)
休日午後")</f>
        <v>2022/05/21 (土)
休日午後</v>
      </c>
      <c r="D60" s="15" t="str">
        <f ca="1">IFERROR(__xludf.DUMMYFUNCTION("""COMPUTED_VALUE"""),"休日午後")</f>
        <v>休日午後</v>
      </c>
      <c r="E60" s="16">
        <f ca="1">IFERROR(__xludf.DUMMYFUNCTION("""COMPUTED_VALUE"""),0.838684933105575)</f>
        <v>0.83868493310557501</v>
      </c>
      <c r="F60" s="15" t="s">
        <v>1</v>
      </c>
      <c r="G60" s="32">
        <v>0</v>
      </c>
      <c r="H60" s="27" t="s">
        <v>1</v>
      </c>
      <c r="I60" s="27" t="s">
        <v>33</v>
      </c>
      <c r="J60" s="27"/>
      <c r="K60" s="23" t="b">
        <f ca="1">IFERROR(__xludf.DUMMYFUNCTION("""COMPUTED_VALUE"""),FALSE)</f>
        <v>0</v>
      </c>
      <c r="L60" s="22">
        <f ca="1">IFERROR(__xludf.DUMMYFUNCTION("""COMPUTED_VALUE"""),-0.345934120504356)</f>
        <v>-0.34593412050435601</v>
      </c>
      <c r="M60" s="23">
        <f ca="1">IFERROR(__xludf.DUMMYFUNCTION("""COMPUTED_VALUE"""),0.079098105924289)</f>
        <v>7.9098105924288994E-2</v>
      </c>
      <c r="N60" s="23">
        <f ca="1">IFERROR(__xludf.DUMMYFUNCTION("""COMPUTED_VALUE"""),0.182071738947433)</f>
        <v>0.182071738947433</v>
      </c>
      <c r="O60" s="23">
        <f ca="1">IFERROR(__xludf.DUMMYFUNCTION("""COMPUTED_VALUE"""),-0.146771503277927)</f>
        <v>-0.14677150327792701</v>
      </c>
      <c r="P60" s="23"/>
      <c r="Q60" s="24">
        <f ca="1">IFERROR(__xludf.DUMMYFUNCTION("""COMPUTED_VALUE"""),0.311744082187431)</f>
        <v>0.31174408218743099</v>
      </c>
      <c r="R60" s="23">
        <f ca="1">IFERROR(__xludf.DUMMYFUNCTION("""COMPUTED_VALUE"""),0.716876036656824)</f>
        <v>0.71687603665682398</v>
      </c>
      <c r="S60" s="23"/>
      <c r="T60" s="23">
        <f ca="1">IFERROR(__xludf.DUMMYFUNCTION("""COMPUTED_VALUE"""),0.15406336013086)</f>
        <v>0.15406336013086</v>
      </c>
      <c r="U60" s="23"/>
      <c r="V60" s="23"/>
      <c r="W60" s="23">
        <f ca="1">IFERROR(__xludf.DUMMYFUNCTION("""COMPUTED_VALUE"""),0.374803954242961)</f>
        <v>0.37480395424296098</v>
      </c>
      <c r="X60" s="23"/>
      <c r="Y60" s="23">
        <f ca="1">IFERROR(__xludf.DUMMYFUNCTION("""COMPUTED_VALUE"""),-0.779726909641246)</f>
        <v>-0.77972690964124602</v>
      </c>
      <c r="Z60" s="23">
        <f ca="1">IFERROR(__xludf.DUMMYFUNCTION("""COMPUTED_VALUE"""),-0.271844681092853)</f>
        <v>-0.27184468109285298</v>
      </c>
      <c r="AA60" s="23"/>
      <c r="AB60" s="23">
        <f ca="1">IFERROR(__xludf.DUMMYFUNCTION("""COMPUTED_VALUE"""),0.838684933105575)</f>
        <v>0.83868493310557501</v>
      </c>
      <c r="AC60" s="22"/>
      <c r="AD60" s="23"/>
      <c r="AE60" s="23"/>
      <c r="AF60" s="22"/>
      <c r="AG60" s="22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</row>
    <row r="61" spans="1:45" ht="27.75" customHeight="1" x14ac:dyDescent="0.35">
      <c r="A61" s="15" t="s">
        <v>27</v>
      </c>
      <c r="B61" s="15" t="s">
        <v>32</v>
      </c>
      <c r="C61" s="15" t="str">
        <f ca="1">IFERROR(__xludf.DUMMYFUNCTION("""COMPUTED_VALUE"""),"2022/05/22 (日)
休日午前")</f>
        <v>2022/05/22 (日)
休日午前</v>
      </c>
      <c r="D61" s="15" t="str">
        <f ca="1">IFERROR(__xludf.DUMMYFUNCTION("""COMPUTED_VALUE"""),"休日午前")</f>
        <v>休日午前</v>
      </c>
      <c r="E61" s="16">
        <f ca="1">IFERROR(__xludf.DUMMYFUNCTION("""COMPUTED_VALUE"""),0.958105201618863)</f>
        <v>0.95810520161886303</v>
      </c>
      <c r="F61" s="15" t="s">
        <v>15</v>
      </c>
      <c r="G61" s="32">
        <v>0</v>
      </c>
      <c r="H61" s="27" t="s">
        <v>15</v>
      </c>
      <c r="I61" s="27" t="s">
        <v>33</v>
      </c>
      <c r="J61" s="27" t="s">
        <v>43</v>
      </c>
      <c r="K61" s="23" t="b">
        <f ca="1">IFERROR(__xludf.DUMMYFUNCTION("""COMPUTED_VALUE"""),FALSE)</f>
        <v>0</v>
      </c>
      <c r="L61" s="22">
        <f ca="1">IFERROR(__xludf.DUMMYFUNCTION("""COMPUTED_VALUE"""),-0.47078859682261)</f>
        <v>-0.47078859682260998</v>
      </c>
      <c r="M61" s="23">
        <f ca="1">IFERROR(__xludf.DUMMYFUNCTION("""COMPUTED_VALUE"""),0.0362510116122394)</f>
        <v>3.6251011612239398E-2</v>
      </c>
      <c r="N61" s="23">
        <f ca="1">IFERROR(__xludf.DUMMYFUNCTION("""COMPUTED_VALUE"""),0.315635306156831)</f>
        <v>0.315635306156831</v>
      </c>
      <c r="O61" s="23">
        <f ca="1">IFERROR(__xludf.DUMMYFUNCTION("""COMPUTED_VALUE"""),-0.0165172427968807)</f>
        <v>-1.6517242796880698E-2</v>
      </c>
      <c r="P61" s="23"/>
      <c r="Q61" s="24">
        <f ca="1">IFERROR(__xludf.DUMMYFUNCTION("""COMPUTED_VALUE"""),0.303316708822054)</f>
        <v>0.30331670882205403</v>
      </c>
      <c r="R61" s="23">
        <f ca="1">IFERROR(__xludf.DUMMYFUNCTION("""COMPUTED_VALUE"""),0.958105201618863)</f>
        <v>0.95810520161886303</v>
      </c>
      <c r="S61" s="23"/>
      <c r="T61" s="23">
        <f ca="1">IFERROR(__xludf.DUMMYFUNCTION("""COMPUTED_VALUE"""),0.760766209343116)</f>
        <v>0.76076620934311601</v>
      </c>
      <c r="U61" s="23"/>
      <c r="V61" s="23"/>
      <c r="W61" s="23">
        <f ca="1">IFERROR(__xludf.DUMMYFUNCTION("""COMPUTED_VALUE"""),0.737407875720402)</f>
        <v>0.73740787572040201</v>
      </c>
      <c r="X61" s="23"/>
      <c r="Y61" s="23">
        <f ca="1">IFERROR(__xludf.DUMMYFUNCTION("""COMPUTED_VALUE"""),0.332564657188902)</f>
        <v>0.33256465718890199</v>
      </c>
      <c r="Z61" s="23">
        <f ca="1">IFERROR(__xludf.DUMMYFUNCTION("""COMPUTED_VALUE"""),-0.947514465185752)</f>
        <v>-0.947514465185752</v>
      </c>
      <c r="AA61" s="23"/>
      <c r="AB61" s="23">
        <f ca="1">IFERROR(__xludf.DUMMYFUNCTION("""COMPUTED_VALUE"""),0.147136231127223)</f>
        <v>0.14713623112722299</v>
      </c>
      <c r="AC61" s="22"/>
      <c r="AD61" s="23"/>
      <c r="AE61" s="23"/>
      <c r="AF61" s="22"/>
      <c r="AG61" s="22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</row>
    <row r="62" spans="1:45" ht="27.75" customHeight="1" x14ac:dyDescent="0.4">
      <c r="A62" s="15" t="s">
        <v>27</v>
      </c>
      <c r="B62" s="15" t="s">
        <v>32</v>
      </c>
      <c r="C62" s="15" t="str">
        <f ca="1">IFERROR(__xludf.DUMMYFUNCTION("""COMPUTED_VALUE"""),"2022/05/22 (日)
休日午後")</f>
        <v>2022/05/22 (日)
休日午後</v>
      </c>
      <c r="D62" s="15" t="str">
        <f ca="1">IFERROR(__xludf.DUMMYFUNCTION("""COMPUTED_VALUE"""),"休日午後")</f>
        <v>休日午後</v>
      </c>
      <c r="E62" s="16">
        <f ca="1">IFERROR(__xludf.DUMMYFUNCTION("""COMPUTED_VALUE"""),2.62645075104873)</f>
        <v>2.62645075104873</v>
      </c>
      <c r="F62" s="15" t="s">
        <v>30</v>
      </c>
      <c r="G62" s="30">
        <v>2</v>
      </c>
      <c r="H62" s="29" t="s">
        <v>30</v>
      </c>
      <c r="I62" s="29" t="s">
        <v>33</v>
      </c>
      <c r="J62" s="27" t="s">
        <v>43</v>
      </c>
      <c r="K62" s="23" t="b">
        <f ca="1">IFERROR(__xludf.DUMMYFUNCTION("""COMPUTED_VALUE"""),TRUE)</f>
        <v>1</v>
      </c>
      <c r="L62" s="22">
        <f ca="1">IFERROR(__xludf.DUMMYFUNCTION("""COMPUTED_VALUE"""),-0.124539643488779)</f>
        <v>-0.12453964348877899</v>
      </c>
      <c r="M62" s="23">
        <f ca="1">IFERROR(__xludf.DUMMYFUNCTION("""COMPUTED_VALUE"""),-0.795293669624087)</f>
        <v>-0.79529366962408699</v>
      </c>
      <c r="N62" s="23">
        <f ca="1">IFERROR(__xludf.DUMMYFUNCTION("""COMPUTED_VALUE"""),0.519141671581462)</f>
        <v>0.51914167158146196</v>
      </c>
      <c r="O62" s="23">
        <f ca="1">IFERROR(__xludf.DUMMYFUNCTION("""COMPUTED_VALUE"""),-0.828345651576096)</f>
        <v>-0.82834565157609596</v>
      </c>
      <c r="P62" s="23"/>
      <c r="Q62" s="24">
        <f ca="1">IFERROR(__xludf.DUMMYFUNCTION("""COMPUTED_VALUE"""),0.448946647590616)</f>
        <v>0.44894664759061598</v>
      </c>
      <c r="R62" s="23">
        <f ca="1">IFERROR(__xludf.DUMMYFUNCTION("""COMPUTED_VALUE"""),0.644554842152468)</f>
        <v>0.64455484215246805</v>
      </c>
      <c r="S62" s="23"/>
      <c r="T62" s="23">
        <f ca="1">IFERROR(__xludf.DUMMYFUNCTION("""COMPUTED_VALUE"""),0.112059470787687)</f>
        <v>0.11205947078768699</v>
      </c>
      <c r="U62" s="23"/>
      <c r="V62" s="23"/>
      <c r="W62" s="23">
        <f ca="1">IFERROR(__xludf.DUMMYFUNCTION("""COMPUTED_VALUE"""),0.346390096282569)</f>
        <v>0.346390096282569</v>
      </c>
      <c r="X62" s="23"/>
      <c r="Y62" s="23">
        <f ca="1">IFERROR(__xludf.DUMMYFUNCTION("""COMPUTED_VALUE"""),0.044492769118636)</f>
        <v>4.4492769118635998E-2</v>
      </c>
      <c r="Z62" s="23">
        <f ca="1">IFERROR(__xludf.DUMMYFUNCTION("""COMPUTED_VALUE"""),-0.728231793929692)</f>
        <v>-0.72823179392969195</v>
      </c>
      <c r="AA62" s="23"/>
      <c r="AB62" s="23">
        <f ca="1">IFERROR(__xludf.DUMMYFUNCTION("""COMPUTED_VALUE"""),0.257083022412181)</f>
        <v>0.25708302241218101</v>
      </c>
      <c r="AC62" s="22"/>
      <c r="AD62" s="23"/>
      <c r="AE62" s="23"/>
      <c r="AF62" s="22"/>
      <c r="AG62" s="22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</row>
    <row r="63" spans="1:45" ht="27.75" customHeight="1" x14ac:dyDescent="0.35">
      <c r="A63" s="15" t="s">
        <v>27</v>
      </c>
      <c r="B63" s="15" t="s">
        <v>32</v>
      </c>
      <c r="C63" s="15" t="str">
        <f ca="1">IFERROR(__xludf.DUMMYFUNCTION("""COMPUTED_VALUE"""),"2022/05/23 (月)
平日夜間")</f>
        <v>2022/05/23 (月)
平日夜間</v>
      </c>
      <c r="D63" s="15" t="str">
        <f ca="1">IFERROR(__xludf.DUMMYFUNCTION("""COMPUTED_VALUE"""),"平日夜間")</f>
        <v>平日夜間</v>
      </c>
      <c r="E63" s="16">
        <f ca="1">IFERROR(__xludf.DUMMYFUNCTION("""COMPUTED_VALUE"""),0.921812122978046)</f>
        <v>0.92181212297804604</v>
      </c>
      <c r="F63" s="15" t="s">
        <v>18</v>
      </c>
      <c r="G63" s="32">
        <v>0</v>
      </c>
      <c r="H63" s="27" t="s">
        <v>14</v>
      </c>
      <c r="I63" s="27" t="s">
        <v>2</v>
      </c>
      <c r="J63" s="27" t="s">
        <v>44</v>
      </c>
      <c r="K63" s="23" t="b">
        <f ca="1">IFERROR(__xludf.DUMMYFUNCTION("""COMPUTED_VALUE"""),FALSE)</f>
        <v>0</v>
      </c>
      <c r="L63" s="22">
        <f ca="1">IFERROR(__xludf.DUMMYFUNCTION("""COMPUTED_VALUE"""),0.921812122978046)</f>
        <v>0.92181212297804604</v>
      </c>
      <c r="M63" s="23">
        <f ca="1">IFERROR(__xludf.DUMMYFUNCTION("""COMPUTED_VALUE"""),-0.548310004869624)</f>
        <v>-0.548310004869624</v>
      </c>
      <c r="N63" s="23">
        <f ca="1">IFERROR(__xludf.DUMMYFUNCTION("""COMPUTED_VALUE"""),0.441433864257612)</f>
        <v>0.441433864257612</v>
      </c>
      <c r="O63" s="23">
        <f ca="1">IFERROR(__xludf.DUMMYFUNCTION("""COMPUTED_VALUE"""),0.868119007924922)</f>
        <v>0.86811900792492203</v>
      </c>
      <c r="P63" s="23"/>
      <c r="Q63" s="24">
        <f ca="1">IFERROR(__xludf.DUMMYFUNCTION("""COMPUTED_VALUE"""),0.239811421452633)</f>
        <v>0.23981142145263301</v>
      </c>
      <c r="R63" s="23">
        <f ca="1">IFERROR(__xludf.DUMMYFUNCTION("""COMPUTED_VALUE"""),0.555958612859396)</f>
        <v>0.55595861285939596</v>
      </c>
      <c r="S63" s="23"/>
      <c r="T63" s="23">
        <f ca="1">IFERROR(__xludf.DUMMYFUNCTION("""COMPUTED_VALUE"""),0.848038319249296)</f>
        <v>0.84803831924929596</v>
      </c>
      <c r="U63" s="23"/>
      <c r="V63" s="23"/>
      <c r="W63" s="23">
        <f ca="1">IFERROR(__xludf.DUMMYFUNCTION("""COMPUTED_VALUE"""),-0.0482591279742459)</f>
        <v>-4.8259127974245898E-2</v>
      </c>
      <c r="X63" s="23"/>
      <c r="Y63" s="23">
        <f ca="1">IFERROR(__xludf.DUMMYFUNCTION("""COMPUTED_VALUE"""),0.490902798212038)</f>
        <v>0.49090279821203803</v>
      </c>
      <c r="Z63" s="23">
        <f ca="1">IFERROR(__xludf.DUMMYFUNCTION("""COMPUTED_VALUE"""),0.673053967155847)</f>
        <v>0.67305396715584698</v>
      </c>
      <c r="AA63" s="23"/>
      <c r="AB63" s="23">
        <f ca="1">IFERROR(__xludf.DUMMYFUNCTION("""COMPUTED_VALUE"""),0.20309869550145)</f>
        <v>0.20309869550144999</v>
      </c>
      <c r="AC63" s="22"/>
      <c r="AD63" s="23"/>
      <c r="AE63" s="23"/>
      <c r="AF63" s="22"/>
      <c r="AG63" s="22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</row>
    <row r="64" spans="1:45" ht="27.75" customHeight="1" x14ac:dyDescent="0.35">
      <c r="A64" s="15" t="s">
        <v>27</v>
      </c>
      <c r="B64" s="15" t="s">
        <v>32</v>
      </c>
      <c r="C64" s="15" t="str">
        <f ca="1">IFERROR(__xludf.DUMMYFUNCTION("""COMPUTED_VALUE"""),"2022/05/24 (火)
平日夜間")</f>
        <v>2022/05/24 (火)
平日夜間</v>
      </c>
      <c r="D64" s="15" t="str">
        <f ca="1">IFERROR(__xludf.DUMMYFUNCTION("""COMPUTED_VALUE"""),"平日夜間")</f>
        <v>平日夜間</v>
      </c>
      <c r="E64" s="16">
        <f ca="1">IFERROR(__xludf.DUMMYFUNCTION("""COMPUTED_VALUE"""),1.39491946289045)</f>
        <v>1.39491946289045</v>
      </c>
      <c r="F64" s="15" t="s">
        <v>19</v>
      </c>
      <c r="G64" s="32">
        <v>0</v>
      </c>
      <c r="H64" s="27" t="s">
        <v>16</v>
      </c>
      <c r="I64" s="27" t="s">
        <v>45</v>
      </c>
      <c r="J64" s="27" t="s">
        <v>46</v>
      </c>
      <c r="K64" s="23" t="b">
        <f ca="1">IFERROR(__xludf.DUMMYFUNCTION("""COMPUTED_VALUE"""),FALSE)</f>
        <v>0</v>
      </c>
      <c r="L64" s="22">
        <f ca="1">IFERROR(__xludf.DUMMYFUNCTION("""COMPUTED_VALUE"""),0.547675672834361)</f>
        <v>0.54767567283436103</v>
      </c>
      <c r="M64" s="23">
        <f ca="1">IFERROR(__xludf.DUMMYFUNCTION("""COMPUTED_VALUE"""),-0.165975264148414)</f>
        <v>-0.16597526414841399</v>
      </c>
      <c r="N64" s="23">
        <f ca="1">IFERROR(__xludf.DUMMYFUNCTION("""COMPUTED_VALUE"""),0.411170317161516)</f>
        <v>0.41117031716151597</v>
      </c>
      <c r="O64" s="23">
        <f ca="1">IFERROR(__xludf.DUMMYFUNCTION("""COMPUTED_VALUE"""),1.39491946289045)</f>
        <v>1.39491946289045</v>
      </c>
      <c r="P64" s="23"/>
      <c r="Q64" s="24">
        <f ca="1">IFERROR(__xludf.DUMMYFUNCTION("""COMPUTED_VALUE"""),0.0886061606663701)</f>
        <v>8.8606160666370101E-2</v>
      </c>
      <c r="R64" s="23">
        <f ca="1">IFERROR(__xludf.DUMMYFUNCTION("""COMPUTED_VALUE"""),0.364955003488625)</f>
        <v>0.36495500348862497</v>
      </c>
      <c r="S64" s="23"/>
      <c r="T64" s="23">
        <f ca="1">IFERROR(__xludf.DUMMYFUNCTION("""COMPUTED_VALUE"""),0.119304997490421)</f>
        <v>0.11930499749042101</v>
      </c>
      <c r="U64" s="23"/>
      <c r="V64" s="23"/>
      <c r="W64" s="23">
        <f ca="1">IFERROR(__xludf.DUMMYFUNCTION("""COMPUTED_VALUE"""),0.870863254169293)</f>
        <v>0.870863254169293</v>
      </c>
      <c r="X64" s="23"/>
      <c r="Y64" s="23">
        <f ca="1">IFERROR(__xludf.DUMMYFUNCTION("""COMPUTED_VALUE"""),0.0284208588100445)</f>
        <v>2.84208588100445E-2</v>
      </c>
      <c r="Z64" s="23">
        <f ca="1">IFERROR(__xludf.DUMMYFUNCTION("""COMPUTED_VALUE"""),0.169397563910119)</f>
        <v>0.16939756391011901</v>
      </c>
      <c r="AA64" s="23"/>
      <c r="AB64" s="23">
        <f ca="1">IFERROR(__xludf.DUMMYFUNCTION("""COMPUTED_VALUE"""),0.970137660603994)</f>
        <v>0.97013766060399398</v>
      </c>
      <c r="AC64" s="22"/>
      <c r="AD64" s="23"/>
      <c r="AE64" s="23"/>
      <c r="AF64" s="22"/>
      <c r="AG64" s="22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</row>
    <row r="65" spans="1:45" ht="27.75" customHeight="1" x14ac:dyDescent="0.4">
      <c r="A65" s="15" t="s">
        <v>27</v>
      </c>
      <c r="B65" s="15" t="s">
        <v>32</v>
      </c>
      <c r="C65" s="15" t="str">
        <f ca="1">IFERROR(__xludf.DUMMYFUNCTION("""COMPUTED_VALUE"""),"2022/05/25 (水)
平日夜間")</f>
        <v>2022/05/25 (水)
平日夜間</v>
      </c>
      <c r="D65" s="15" t="str">
        <f ca="1">IFERROR(__xludf.DUMMYFUNCTION("""COMPUTED_VALUE"""),"平日夜間")</f>
        <v>平日夜間</v>
      </c>
      <c r="E65" s="16">
        <f ca="1">IFERROR(__xludf.DUMMYFUNCTION("""COMPUTED_VALUE"""),2.18520777238376)</f>
        <v>2.1852077723837602</v>
      </c>
      <c r="F65" s="15" t="s">
        <v>38</v>
      </c>
      <c r="G65" s="30">
        <v>2</v>
      </c>
      <c r="H65" s="33" t="s">
        <v>38</v>
      </c>
      <c r="I65" s="29" t="s">
        <v>33</v>
      </c>
      <c r="J65" s="27" t="s">
        <v>47</v>
      </c>
      <c r="K65" s="23" t="b">
        <f ca="1">IFERROR(__xludf.DUMMYFUNCTION("""COMPUTED_VALUE"""),TRUE)</f>
        <v>1</v>
      </c>
      <c r="L65" s="22">
        <f ca="1">IFERROR(__xludf.DUMMYFUNCTION("""COMPUTED_VALUE"""),0.948894093346232)</f>
        <v>0.94889409334623198</v>
      </c>
      <c r="M65" s="23">
        <f ca="1">IFERROR(__xludf.DUMMYFUNCTION("""COMPUTED_VALUE"""),-0.304140677674093)</f>
        <v>-0.30414067767409297</v>
      </c>
      <c r="N65" s="23">
        <f ca="1">IFERROR(__xludf.DUMMYFUNCTION("""COMPUTED_VALUE"""),0.338519490750519)</f>
        <v>0.33851949075051901</v>
      </c>
      <c r="O65" s="23">
        <f ca="1">IFERROR(__xludf.DUMMYFUNCTION("""COMPUTED_VALUE"""),1.55013694984136)</f>
        <v>1.55013694984136</v>
      </c>
      <c r="P65" s="23"/>
      <c r="Q65" s="24">
        <f ca="1">IFERROR(__xludf.DUMMYFUNCTION("""COMPUTED_VALUE"""),0.560020761839468)</f>
        <v>0.56002076183946803</v>
      </c>
      <c r="R65" s="23">
        <f ca="1">IFERROR(__xludf.DUMMYFUNCTION("""COMPUTED_VALUE"""),-0.0210842892326146)</f>
        <v>-2.10842892326146E-2</v>
      </c>
      <c r="S65" s="23"/>
      <c r="T65" s="23">
        <f ca="1">IFERROR(__xludf.DUMMYFUNCTION("""COMPUTED_VALUE"""),0.800521021471229)</f>
        <v>0.80052102147122906</v>
      </c>
      <c r="U65" s="23"/>
      <c r="V65" s="23"/>
      <c r="W65" s="23">
        <f ca="1">IFERROR(__xludf.DUMMYFUNCTION("""COMPUTED_VALUE"""),0.30310742594482)</f>
        <v>0.30310742594481999</v>
      </c>
      <c r="X65" s="23"/>
      <c r="Y65" s="23">
        <f ca="1">IFERROR(__xludf.DUMMYFUNCTION("""COMPUTED_VALUE"""),-0.631497127594559)</f>
        <v>-0.631497127594559</v>
      </c>
      <c r="Z65" s="23">
        <f ca="1">IFERROR(__xludf.DUMMYFUNCTION("""COMPUTED_VALUE"""),0.502516154062091)</f>
        <v>0.50251615406209105</v>
      </c>
      <c r="AA65" s="23"/>
      <c r="AB65" s="23">
        <f ca="1">IFERROR(__xludf.DUMMYFUNCTION("""COMPUTED_VALUE"""),0.224920027977601)</f>
        <v>0.22492002797760099</v>
      </c>
      <c r="AC65" s="22"/>
      <c r="AD65" s="23"/>
      <c r="AE65" s="23"/>
      <c r="AF65" s="22"/>
      <c r="AG65" s="22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</row>
    <row r="66" spans="1:45" ht="27.75" customHeight="1" x14ac:dyDescent="0.35">
      <c r="A66" s="15" t="s">
        <v>27</v>
      </c>
      <c r="B66" s="15" t="s">
        <v>32</v>
      </c>
      <c r="C66" s="15" t="str">
        <f ca="1">IFERROR(__xludf.DUMMYFUNCTION("""COMPUTED_VALUE"""),"2022/05/26 (木)
平日夜間")</f>
        <v>2022/05/26 (木)
平日夜間</v>
      </c>
      <c r="D66" s="15" t="str">
        <f ca="1">IFERROR(__xludf.DUMMYFUNCTION("""COMPUTED_VALUE"""),"平日夜間")</f>
        <v>平日夜間</v>
      </c>
      <c r="E66" s="16">
        <f ca="1">IFERROR(__xludf.DUMMYFUNCTION("""COMPUTED_VALUE"""),1.7257682457697)</f>
        <v>1.7257682457696999</v>
      </c>
      <c r="F66" s="15" t="s">
        <v>19</v>
      </c>
      <c r="G66" s="32">
        <v>0</v>
      </c>
      <c r="H66" s="27" t="s">
        <v>13</v>
      </c>
      <c r="I66" s="27" t="s">
        <v>18</v>
      </c>
      <c r="J66" s="27"/>
      <c r="K66" s="23" t="b">
        <f ca="1">IFERROR(__xludf.DUMMYFUNCTION("""COMPUTED_VALUE"""),FALSE)</f>
        <v>0</v>
      </c>
      <c r="L66" s="22">
        <f ca="1">IFERROR(__xludf.DUMMYFUNCTION("""COMPUTED_VALUE"""),0.756692021809485)</f>
        <v>0.75669202180948503</v>
      </c>
      <c r="M66" s="23">
        <f ca="1">IFERROR(__xludf.DUMMYFUNCTION("""COMPUTED_VALUE"""),0.226181193382688)</f>
        <v>0.226181193382688</v>
      </c>
      <c r="N66" s="23">
        <f ca="1">IFERROR(__xludf.DUMMYFUNCTION("""COMPUTED_VALUE"""),0.224420312138592)</f>
        <v>0.22442031213859201</v>
      </c>
      <c r="O66" s="23">
        <f ca="1">IFERROR(__xludf.DUMMYFUNCTION("""COMPUTED_VALUE"""),1.7257682457697)</f>
        <v>1.7257682457696999</v>
      </c>
      <c r="P66" s="23"/>
      <c r="Q66" s="24">
        <f ca="1">IFERROR(__xludf.DUMMYFUNCTION("""COMPUTED_VALUE"""),0.720654026401272)</f>
        <v>0.72065402640127196</v>
      </c>
      <c r="R66" s="23">
        <f ca="1">IFERROR(__xludf.DUMMYFUNCTION("""COMPUTED_VALUE"""),-0.877062950023016)</f>
        <v>-0.87706295002301604</v>
      </c>
      <c r="S66" s="23"/>
      <c r="T66" s="23">
        <f ca="1">IFERROR(__xludf.DUMMYFUNCTION("""COMPUTED_VALUE"""),-0.0517355051612691)</f>
        <v>-5.1735505161269103E-2</v>
      </c>
      <c r="U66" s="23"/>
      <c r="V66" s="23"/>
      <c r="W66" s="23">
        <f ca="1">IFERROR(__xludf.DUMMYFUNCTION("""COMPUTED_VALUE"""),0.609886534179804)</f>
        <v>0.60988653417980399</v>
      </c>
      <c r="X66" s="23"/>
      <c r="Y66" s="23">
        <f ca="1">IFERROR(__xludf.DUMMYFUNCTION("""COMPUTED_VALUE"""),-0.0433793449963573)</f>
        <v>-4.3379344996357302E-2</v>
      </c>
      <c r="Z66" s="23">
        <f ca="1">IFERROR(__xludf.DUMMYFUNCTION("""COMPUTED_VALUE"""),0.436905952228712)</f>
        <v>0.43690595222871198</v>
      </c>
      <c r="AA66" s="23"/>
      <c r="AB66" s="23">
        <f ca="1">IFERROR(__xludf.DUMMYFUNCTION("""COMPUTED_VALUE"""),0.474364366675639)</f>
        <v>0.47436436667563903</v>
      </c>
      <c r="AC66" s="22"/>
      <c r="AD66" s="23"/>
      <c r="AE66" s="23"/>
      <c r="AF66" s="22"/>
      <c r="AG66" s="22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</row>
    <row r="67" spans="1:45" ht="27.75" customHeight="1" x14ac:dyDescent="0.4">
      <c r="A67" s="15" t="s">
        <v>27</v>
      </c>
      <c r="B67" s="15" t="s">
        <v>32</v>
      </c>
      <c r="C67" s="15" t="str">
        <f ca="1">IFERROR(__xludf.DUMMYFUNCTION("""COMPUTED_VALUE"""),"2022/05/27 (金)
平日夜間")</f>
        <v>2022/05/27 (金)
平日夜間</v>
      </c>
      <c r="D67" s="15" t="str">
        <f ca="1">IFERROR(__xludf.DUMMYFUNCTION("""COMPUTED_VALUE"""),"平日夜間")</f>
        <v>平日夜間</v>
      </c>
      <c r="E67" s="16">
        <f ca="1">IFERROR(__xludf.DUMMYFUNCTION("""COMPUTED_VALUE"""),2.24069762401955)</f>
        <v>2.2406976240195502</v>
      </c>
      <c r="F67" s="15" t="s">
        <v>11</v>
      </c>
      <c r="G67" s="30">
        <v>0</v>
      </c>
      <c r="H67" s="29" t="s">
        <v>4</v>
      </c>
      <c r="I67" s="29" t="s">
        <v>11</v>
      </c>
      <c r="J67" s="27" t="s">
        <v>48</v>
      </c>
      <c r="K67" s="23" t="b">
        <f ca="1">IFERROR(__xludf.DUMMYFUNCTION("""COMPUTED_VALUE"""),FALSE)</f>
        <v>0</v>
      </c>
      <c r="L67" s="22">
        <f ca="1">IFERROR(__xludf.DUMMYFUNCTION("""COMPUTED_VALUE"""),0.891737799663789)</f>
        <v>0.89173779966378897</v>
      </c>
      <c r="M67" s="23">
        <f ca="1">IFERROR(__xludf.DUMMYFUNCTION("""COMPUTED_VALUE"""),0.466727851307783)</f>
        <v>0.46672785130778299</v>
      </c>
      <c r="N67" s="23">
        <f ca="1">IFERROR(__xludf.DUMMYFUNCTION("""COMPUTED_VALUE"""),0.149851952457878)</f>
        <v>0.149851952457878</v>
      </c>
      <c r="O67" s="23">
        <f ca="1">IFERROR(__xludf.DUMMYFUNCTION("""COMPUTED_VALUE"""),-0.998636459336111)</f>
        <v>-0.998636459336111</v>
      </c>
      <c r="P67" s="23"/>
      <c r="Q67" s="24">
        <f ca="1">IFERROR(__xludf.DUMMYFUNCTION("""COMPUTED_VALUE"""),-0.222381837577491)</f>
        <v>-0.222381837577491</v>
      </c>
      <c r="R67" s="23">
        <f ca="1">IFERROR(__xludf.DUMMYFUNCTION("""COMPUTED_VALUE"""),-0.992354286791694)</f>
        <v>-0.99235428679169402</v>
      </c>
      <c r="S67" s="23"/>
      <c r="T67" s="23">
        <f ca="1">IFERROR(__xludf.DUMMYFUNCTION("""COMPUTED_VALUE"""),2.24069762401955)</f>
        <v>2.2406976240195502</v>
      </c>
      <c r="U67" s="23"/>
      <c r="V67" s="23"/>
      <c r="W67" s="23">
        <f ca="1">IFERROR(__xludf.DUMMYFUNCTION("""COMPUTED_VALUE"""),0.743880681619735)</f>
        <v>0.74388068161973497</v>
      </c>
      <c r="X67" s="23"/>
      <c r="Y67" s="23">
        <f ca="1">IFERROR(__xludf.DUMMYFUNCTION("""COMPUTED_VALUE"""),0.366092796923507)</f>
        <v>0.36609279692350699</v>
      </c>
      <c r="Z67" s="23">
        <f ca="1">IFERROR(__xludf.DUMMYFUNCTION("""COMPUTED_VALUE"""),-0.333268252282446)</f>
        <v>-0.333268252282446</v>
      </c>
      <c r="AA67" s="23"/>
      <c r="AB67" s="23">
        <f ca="1">IFERROR(__xludf.DUMMYFUNCTION("""COMPUTED_VALUE"""),0.58824513406706)</f>
        <v>0.58824513406706003</v>
      </c>
      <c r="AC67" s="22"/>
      <c r="AD67" s="23"/>
      <c r="AE67" s="23"/>
      <c r="AF67" s="22"/>
      <c r="AG67" s="22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</row>
    <row r="68" spans="1:45" ht="27.75" customHeight="1" x14ac:dyDescent="0.4">
      <c r="A68" s="15" t="s">
        <v>27</v>
      </c>
      <c r="B68" s="15" t="s">
        <v>32</v>
      </c>
      <c r="C68" s="15" t="str">
        <f ca="1">IFERROR(__xludf.DUMMYFUNCTION("""COMPUTED_VALUE"""),"2022/05/28 (土)
休日午前")</f>
        <v>2022/05/28 (土)
休日午前</v>
      </c>
      <c r="D68" s="15" t="str">
        <f ca="1">IFERROR(__xludf.DUMMYFUNCTION("""COMPUTED_VALUE"""),"休日午前")</f>
        <v>休日午前</v>
      </c>
      <c r="E68" s="16">
        <f ca="1">IFERROR(__xludf.DUMMYFUNCTION("""COMPUTED_VALUE"""),0.925587670724991)</f>
        <v>0.92558767072499104</v>
      </c>
      <c r="F68" s="15" t="s">
        <v>11</v>
      </c>
      <c r="G68" s="32">
        <v>0</v>
      </c>
      <c r="H68" s="29" t="s">
        <v>14</v>
      </c>
      <c r="I68" s="27" t="s">
        <v>33</v>
      </c>
      <c r="J68" s="27" t="s">
        <v>49</v>
      </c>
      <c r="K68" s="23" t="b">
        <f ca="1">IFERROR(__xludf.DUMMYFUNCTION("""COMPUTED_VALUE"""),FALSE)</f>
        <v>0</v>
      </c>
      <c r="L68" s="22">
        <f ca="1">IFERROR(__xludf.DUMMYFUNCTION("""COMPUTED_VALUE"""),0.101150779103437)</f>
        <v>0.10115077910343701</v>
      </c>
      <c r="M68" s="23">
        <f ca="1">IFERROR(__xludf.DUMMYFUNCTION("""COMPUTED_VALUE"""),0.486535810897752)</f>
        <v>0.486535810897752</v>
      </c>
      <c r="N68" s="23">
        <f ca="1">IFERROR(__xludf.DUMMYFUNCTION("""COMPUTED_VALUE"""),0.398011741598068)</f>
        <v>0.39801174159806801</v>
      </c>
      <c r="O68" s="23">
        <f ca="1">IFERROR(__xludf.DUMMYFUNCTION("""COMPUTED_VALUE"""),-0.4189818887109)</f>
        <v>-0.41898188871089997</v>
      </c>
      <c r="P68" s="23"/>
      <c r="Q68" s="24">
        <f ca="1">IFERROR(__xludf.DUMMYFUNCTION("""COMPUTED_VALUE"""),0.310610913164497)</f>
        <v>0.31061091316449702</v>
      </c>
      <c r="R68" s="23">
        <f ca="1">IFERROR(__xludf.DUMMYFUNCTION("""COMPUTED_VALUE"""),-0.989607917077835)</f>
        <v>-0.98960791707783502</v>
      </c>
      <c r="S68" s="23"/>
      <c r="T68" s="23">
        <f ca="1">IFERROR(__xludf.DUMMYFUNCTION("""COMPUTED_VALUE"""),0.925587670724991)</f>
        <v>0.92558767072499104</v>
      </c>
      <c r="U68" s="23"/>
      <c r="V68" s="23"/>
      <c r="W68" s="23">
        <f ca="1">IFERROR(__xludf.DUMMYFUNCTION("""COMPUTED_VALUE"""),0.240505114137476)</f>
        <v>0.24050511413747599</v>
      </c>
      <c r="X68" s="23"/>
      <c r="Y68" s="23">
        <f ca="1">IFERROR(__xludf.DUMMYFUNCTION("""COMPUTED_VALUE"""),0.284452901012441)</f>
        <v>0.28445290101244097</v>
      </c>
      <c r="Z68" s="23">
        <f ca="1">IFERROR(__xludf.DUMMYFUNCTION("""COMPUTED_VALUE"""),-0.939891125037618)</f>
        <v>-0.93989112503761796</v>
      </c>
      <c r="AA68" s="23"/>
      <c r="AB68" s="23">
        <f ca="1">IFERROR(__xludf.DUMMYFUNCTION("""COMPUTED_VALUE"""),0.259175381452083)</f>
        <v>0.25917538145208302</v>
      </c>
      <c r="AC68" s="22"/>
      <c r="AD68" s="23"/>
      <c r="AE68" s="23"/>
      <c r="AF68" s="22"/>
      <c r="AG68" s="22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</row>
    <row r="69" spans="1:45" ht="27.75" customHeight="1" x14ac:dyDescent="0.4">
      <c r="A69" s="15" t="s">
        <v>27</v>
      </c>
      <c r="B69" s="15" t="s">
        <v>32</v>
      </c>
      <c r="C69" s="15" t="str">
        <f ca="1">IFERROR(__xludf.DUMMYFUNCTION("""COMPUTED_VALUE"""),"2022/05/28 (土)
休日午後")</f>
        <v>2022/05/28 (土)
休日午後</v>
      </c>
      <c r="D69" s="15" t="str">
        <f ca="1">IFERROR(__xludf.DUMMYFUNCTION("""COMPUTED_VALUE"""),"休日午後")</f>
        <v>休日午後</v>
      </c>
      <c r="E69" s="16">
        <f ca="1">IFERROR(__xludf.DUMMYFUNCTION("""COMPUTED_VALUE"""),2.84715548916326)</f>
        <v>2.84715548916326</v>
      </c>
      <c r="F69" s="15" t="s">
        <v>16</v>
      </c>
      <c r="G69" s="30">
        <v>2</v>
      </c>
      <c r="H69" s="29" t="s">
        <v>16</v>
      </c>
      <c r="I69" s="29" t="s">
        <v>33</v>
      </c>
      <c r="J69" s="27" t="s">
        <v>49</v>
      </c>
      <c r="K69" s="23" t="b">
        <f ca="1">IFERROR(__xludf.DUMMYFUNCTION("""COMPUTED_VALUE"""),TRUE)</f>
        <v>1</v>
      </c>
      <c r="L69" s="22">
        <f ca="1">IFERROR(__xludf.DUMMYFUNCTION("""COMPUTED_VALUE"""),0.913505563727249)</f>
        <v>0.913505563727249</v>
      </c>
      <c r="M69" s="23">
        <f ca="1">IFERROR(__xludf.DUMMYFUNCTION("""COMPUTED_VALUE"""),0.660703973300806)</f>
        <v>0.66070397330080599</v>
      </c>
      <c r="N69" s="23">
        <f ca="1">IFERROR(__xludf.DUMMYFUNCTION("""COMPUTED_VALUE"""),0.387797728643348)</f>
        <v>0.38779772864334799</v>
      </c>
      <c r="O69" s="23">
        <f ca="1">IFERROR(__xludf.DUMMYFUNCTION("""COMPUTED_VALUE"""),-0.142910205033892)</f>
        <v>-0.14291020503389201</v>
      </c>
      <c r="P69" s="23"/>
      <c r="Q69" s="24">
        <f ca="1">IFERROR(__xludf.DUMMYFUNCTION("""COMPUTED_VALUE"""),2.84715548916326)</f>
        <v>2.84715548916326</v>
      </c>
      <c r="R69" s="23">
        <f ca="1">IFERROR(__xludf.DUMMYFUNCTION("""COMPUTED_VALUE"""),-0.0224168332661232)</f>
        <v>-2.24168332661232E-2</v>
      </c>
      <c r="S69" s="23"/>
      <c r="T69" s="23">
        <f ca="1">IFERROR(__xludf.DUMMYFUNCTION("""COMPUTED_VALUE"""),0.407923188527574)</f>
        <v>0.40792318852757398</v>
      </c>
      <c r="U69" s="23"/>
      <c r="V69" s="23"/>
      <c r="W69" s="23">
        <f ca="1">IFERROR(__xludf.DUMMYFUNCTION("""COMPUTED_VALUE"""),0.441056245512349)</f>
        <v>0.44105624551234901</v>
      </c>
      <c r="X69" s="23"/>
      <c r="Y69" s="23">
        <f ca="1">IFERROR(__xludf.DUMMYFUNCTION("""COMPUTED_VALUE"""),0.478956274668777)</f>
        <v>0.47895627466877699</v>
      </c>
      <c r="Z69" s="23">
        <f ca="1">IFERROR(__xludf.DUMMYFUNCTION("""COMPUTED_VALUE"""),-0.109930482652206)</f>
        <v>-0.10993048265220599</v>
      </c>
      <c r="AA69" s="23"/>
      <c r="AB69" s="23">
        <f ca="1">IFERROR(__xludf.DUMMYFUNCTION("""COMPUTED_VALUE"""),0.00894306158459667)</f>
        <v>8.9430615845966701E-3</v>
      </c>
      <c r="AC69" s="22"/>
      <c r="AD69" s="23"/>
      <c r="AE69" s="23"/>
      <c r="AF69" s="22"/>
      <c r="AG69" s="22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</row>
    <row r="70" spans="1:45" ht="27.75" customHeight="1" x14ac:dyDescent="0.35">
      <c r="A70" s="15" t="s">
        <v>27</v>
      </c>
      <c r="B70" s="15" t="s">
        <v>32</v>
      </c>
      <c r="C70" s="15" t="str">
        <f ca="1">IFERROR(__xludf.DUMMYFUNCTION("""COMPUTED_VALUE"""),"2022/05/29 (日)
休日午前")</f>
        <v>2022/05/29 (日)
休日午前</v>
      </c>
      <c r="D70" s="15" t="str">
        <f ca="1">IFERROR(__xludf.DUMMYFUNCTION("""COMPUTED_VALUE"""),"休日午前")</f>
        <v>休日午前</v>
      </c>
      <c r="E70" s="16">
        <f ca="1">IFERROR(__xludf.DUMMYFUNCTION("""COMPUTED_VALUE"""),0.961348546032846)</f>
        <v>0.96134854603284603</v>
      </c>
      <c r="F70" s="15" t="s">
        <v>10</v>
      </c>
      <c r="G70" s="32">
        <v>0</v>
      </c>
      <c r="H70" s="27" t="s">
        <v>13</v>
      </c>
      <c r="I70" s="27" t="s">
        <v>50</v>
      </c>
      <c r="J70" s="27" t="s">
        <v>51</v>
      </c>
      <c r="K70" s="23" t="b">
        <f ca="1">IFERROR(__xludf.DUMMYFUNCTION("""COMPUTED_VALUE"""),FALSE)</f>
        <v>0</v>
      </c>
      <c r="L70" s="22">
        <f ca="1">IFERROR(__xludf.DUMMYFUNCTION("""COMPUTED_VALUE"""),0.821421400859095)</f>
        <v>0.82142140085909499</v>
      </c>
      <c r="M70" s="23">
        <f ca="1">IFERROR(__xludf.DUMMYFUNCTION("""COMPUTED_VALUE"""),-0.680635629018419)</f>
        <v>-0.68063562901841901</v>
      </c>
      <c r="N70" s="23">
        <f ca="1">IFERROR(__xludf.DUMMYFUNCTION("""COMPUTED_VALUE"""),0.164485952222873)</f>
        <v>0.16448595222287299</v>
      </c>
      <c r="O70" s="23">
        <f ca="1">IFERROR(__xludf.DUMMYFUNCTION("""COMPUTED_VALUE"""),-0.680811391034061)</f>
        <v>-0.68081139103406096</v>
      </c>
      <c r="P70" s="23"/>
      <c r="Q70" s="24">
        <f ca="1">IFERROR(__xludf.DUMMYFUNCTION("""COMPUTED_VALUE"""),-0.915470539139403)</f>
        <v>-0.91547053913940302</v>
      </c>
      <c r="R70" s="23">
        <f ca="1">IFERROR(__xludf.DUMMYFUNCTION("""COMPUTED_VALUE"""),-0.908930905287232)</f>
        <v>-0.90893090528723197</v>
      </c>
      <c r="S70" s="23"/>
      <c r="T70" s="23">
        <f ca="1">IFERROR(__xludf.DUMMYFUNCTION("""COMPUTED_VALUE"""),0.311462854563977)</f>
        <v>0.31146285456397699</v>
      </c>
      <c r="U70" s="23"/>
      <c r="V70" s="23"/>
      <c r="W70" s="23">
        <f ca="1">IFERROR(__xludf.DUMMYFUNCTION("""COMPUTED_VALUE"""),0.702536701519239)</f>
        <v>0.70253670151923897</v>
      </c>
      <c r="X70" s="23"/>
      <c r="Y70" s="23">
        <f ca="1">IFERROR(__xludf.DUMMYFUNCTION("""COMPUTED_VALUE"""),0.481313858869702)</f>
        <v>0.48131385886970202</v>
      </c>
      <c r="Z70" s="23">
        <f ca="1">IFERROR(__xludf.DUMMYFUNCTION("""COMPUTED_VALUE"""),0.961348546032846)</f>
        <v>0.96134854603284603</v>
      </c>
      <c r="AA70" s="23"/>
      <c r="AB70" s="23">
        <f ca="1">IFERROR(__xludf.DUMMYFUNCTION("""COMPUTED_VALUE"""),0.0669689556662429)</f>
        <v>6.6968955666242905E-2</v>
      </c>
      <c r="AC70" s="22"/>
      <c r="AD70" s="23"/>
      <c r="AE70" s="23"/>
      <c r="AF70" s="22"/>
      <c r="AG70" s="22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</row>
    <row r="71" spans="1:45" ht="27.75" customHeight="1" x14ac:dyDescent="0.35">
      <c r="A71" s="15" t="s">
        <v>27</v>
      </c>
      <c r="B71" s="15" t="s">
        <v>32</v>
      </c>
      <c r="C71" s="15" t="str">
        <f ca="1">IFERROR(__xludf.DUMMYFUNCTION("""COMPUTED_VALUE"""),"2022/05/29 (日)
休日午後")</f>
        <v>2022/05/29 (日)
休日午後</v>
      </c>
      <c r="D71" s="15" t="str">
        <f ca="1">IFERROR(__xludf.DUMMYFUNCTION("""COMPUTED_VALUE"""),"休日午後")</f>
        <v>休日午後</v>
      </c>
      <c r="E71" s="16">
        <f ca="1">IFERROR(__xludf.DUMMYFUNCTION("""COMPUTED_VALUE"""),0.846782666364086)</f>
        <v>0.84678266636408595</v>
      </c>
      <c r="F71" s="15" t="s">
        <v>14</v>
      </c>
      <c r="G71" s="32">
        <v>0</v>
      </c>
      <c r="H71" s="27" t="s">
        <v>10</v>
      </c>
      <c r="I71" s="27" t="s">
        <v>33</v>
      </c>
      <c r="J71" s="27" t="s">
        <v>51</v>
      </c>
      <c r="K71" s="23" t="b">
        <f ca="1">IFERROR(__xludf.DUMMYFUNCTION("""COMPUTED_VALUE"""),FALSE)</f>
        <v>0</v>
      </c>
      <c r="L71" s="22">
        <f ca="1">IFERROR(__xludf.DUMMYFUNCTION("""COMPUTED_VALUE"""),-0.399737878597144)</f>
        <v>-0.39973787859714399</v>
      </c>
      <c r="M71" s="23">
        <f ca="1">IFERROR(__xludf.DUMMYFUNCTION("""COMPUTED_VALUE"""),-0.199768161296146)</f>
        <v>-0.199768161296146</v>
      </c>
      <c r="N71" s="23">
        <f ca="1">IFERROR(__xludf.DUMMYFUNCTION("""COMPUTED_VALUE"""),0.647851338851576)</f>
        <v>0.64785133885157598</v>
      </c>
      <c r="O71" s="23">
        <f ca="1">IFERROR(__xludf.DUMMYFUNCTION("""COMPUTED_VALUE"""),-0.751282369034323)</f>
        <v>-0.75128236903432299</v>
      </c>
      <c r="P71" s="23"/>
      <c r="Q71" s="24">
        <f ca="1">IFERROR(__xludf.DUMMYFUNCTION("""COMPUTED_VALUE"""),-0.441111772117909)</f>
        <v>-0.44111177211790897</v>
      </c>
      <c r="R71" s="23">
        <f ca="1">IFERROR(__xludf.DUMMYFUNCTION("""COMPUTED_VALUE"""),-0.347437347233607)</f>
        <v>-0.34743734723360697</v>
      </c>
      <c r="S71" s="23"/>
      <c r="T71" s="23">
        <f ca="1">IFERROR(__xludf.DUMMYFUNCTION("""COMPUTED_VALUE"""),0.60823854636003)</f>
        <v>0.60823854636003005</v>
      </c>
      <c r="U71" s="23"/>
      <c r="V71" s="23"/>
      <c r="W71" s="23">
        <f ca="1">IFERROR(__xludf.DUMMYFUNCTION("""COMPUTED_VALUE"""),0.753303172023874)</f>
        <v>0.75330317202387398</v>
      </c>
      <c r="X71" s="23"/>
      <c r="Y71" s="23">
        <f ca="1">IFERROR(__xludf.DUMMYFUNCTION("""COMPUTED_VALUE"""),0.846782666364086)</f>
        <v>0.84678266636408595</v>
      </c>
      <c r="Z71" s="23">
        <f ca="1">IFERROR(__xludf.DUMMYFUNCTION("""COMPUTED_VALUE"""),0.691270785971007)</f>
        <v>0.691270785971007</v>
      </c>
      <c r="AA71" s="23"/>
      <c r="AB71" s="23">
        <f ca="1">IFERROR(__xludf.DUMMYFUNCTION("""COMPUTED_VALUE"""),0.458143043401168)</f>
        <v>0.45814304340116802</v>
      </c>
      <c r="AC71" s="22"/>
      <c r="AD71" s="23"/>
      <c r="AE71" s="23"/>
      <c r="AF71" s="22"/>
      <c r="AG71" s="22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</row>
    <row r="72" spans="1:45" ht="27.75" customHeight="1" x14ac:dyDescent="0.4">
      <c r="A72" s="15" t="s">
        <v>27</v>
      </c>
      <c r="B72" s="15" t="s">
        <v>32</v>
      </c>
      <c r="C72" s="15" t="str">
        <f ca="1">IFERROR(__xludf.DUMMYFUNCTION("""COMPUTED_VALUE"""),"2022/05/30 (月)
平日夜間")</f>
        <v>2022/05/30 (月)
平日夜間</v>
      </c>
      <c r="D72" s="15" t="str">
        <f ca="1">IFERROR(__xludf.DUMMYFUNCTION("""COMPUTED_VALUE"""),"平日夜間")</f>
        <v>平日夜間</v>
      </c>
      <c r="E72" s="16">
        <f ca="1">IFERROR(__xludf.DUMMYFUNCTION("""COMPUTED_VALUE"""),0.967069995893776)</f>
        <v>0.96706999589377596</v>
      </c>
      <c r="F72" s="15" t="s">
        <v>29</v>
      </c>
      <c r="G72" s="30">
        <v>0</v>
      </c>
      <c r="H72" s="29" t="s">
        <v>15</v>
      </c>
      <c r="I72" s="29" t="s">
        <v>45</v>
      </c>
      <c r="J72" s="27" t="s">
        <v>52</v>
      </c>
      <c r="K72" s="23" t="b">
        <f ca="1">IFERROR(__xludf.DUMMYFUNCTION("""COMPUTED_VALUE"""),FALSE)</f>
        <v>0</v>
      </c>
      <c r="L72" s="22">
        <f ca="1">IFERROR(__xludf.DUMMYFUNCTION("""COMPUTED_VALUE"""),0.860309909969231)</f>
        <v>0.86030990996923096</v>
      </c>
      <c r="M72" s="23">
        <f ca="1">IFERROR(__xludf.DUMMYFUNCTION("""COMPUTED_VALUE"""),0.0447664961388691)</f>
        <v>4.47664961388691E-2</v>
      </c>
      <c r="N72" s="23">
        <f ca="1">IFERROR(__xludf.DUMMYFUNCTION("""COMPUTED_VALUE"""),0.587060463402924)</f>
        <v>0.58706046340292395</v>
      </c>
      <c r="O72" s="23">
        <f ca="1">IFERROR(__xludf.DUMMYFUNCTION("""COMPUTED_VALUE"""),-0.774837691464832)</f>
        <v>-0.77483769146483195</v>
      </c>
      <c r="P72" s="23"/>
      <c r="Q72" s="24">
        <f ca="1">IFERROR(__xludf.DUMMYFUNCTION("""COMPUTED_VALUE"""),0.608031988651909)</f>
        <v>0.60803198865190899</v>
      </c>
      <c r="R72" s="23">
        <f ca="1">IFERROR(__xludf.DUMMYFUNCTION("""COMPUTED_VALUE"""),0.122822366274732)</f>
        <v>0.122822366274732</v>
      </c>
      <c r="S72" s="23"/>
      <c r="T72" s="23">
        <f ca="1">IFERROR(__xludf.DUMMYFUNCTION("""COMPUTED_VALUE"""),0.248980512705707)</f>
        <v>0.24898051270570701</v>
      </c>
      <c r="U72" s="23"/>
      <c r="V72" s="23"/>
      <c r="W72" s="23">
        <f ca="1">IFERROR(__xludf.DUMMYFUNCTION("""COMPUTED_VALUE"""),0.154650489141423)</f>
        <v>0.15465048914142299</v>
      </c>
      <c r="X72" s="23"/>
      <c r="Y72" s="23">
        <f ca="1">IFERROR(__xludf.DUMMYFUNCTION("""COMPUTED_VALUE"""),0.210577081004755)</f>
        <v>0.210577081004755</v>
      </c>
      <c r="Z72" s="23">
        <f ca="1">IFERROR(__xludf.DUMMYFUNCTION("""COMPUTED_VALUE"""),0.176407745000254)</f>
        <v>0.176407745000254</v>
      </c>
      <c r="AA72" s="23"/>
      <c r="AB72" s="23">
        <f ca="1">IFERROR(__xludf.DUMMYFUNCTION("""COMPUTED_VALUE"""),0.19660000047667)</f>
        <v>0.19660000047667001</v>
      </c>
      <c r="AC72" s="22"/>
      <c r="AD72" s="23"/>
      <c r="AE72" s="23"/>
      <c r="AF72" s="22"/>
      <c r="AG72" s="22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</row>
    <row r="73" spans="1:45" ht="27.75" customHeight="1" x14ac:dyDescent="0.4">
      <c r="A73" s="15" t="s">
        <v>27</v>
      </c>
      <c r="B73" s="15" t="s">
        <v>32</v>
      </c>
      <c r="C73" s="15" t="str">
        <f ca="1">IFERROR(__xludf.DUMMYFUNCTION("""COMPUTED_VALUE"""),"2022/05/31 (火)
平日夜間")</f>
        <v>2022/05/31 (火)
平日夜間</v>
      </c>
      <c r="D73" s="15" t="str">
        <f ca="1">IFERROR(__xludf.DUMMYFUNCTION("""COMPUTED_VALUE"""),"平日夜間")</f>
        <v>平日夜間</v>
      </c>
      <c r="E73" s="16">
        <f ca="1">IFERROR(__xludf.DUMMYFUNCTION("""COMPUTED_VALUE"""),2.80029559109289)</f>
        <v>2.8002955910928899</v>
      </c>
      <c r="F73" s="15" t="s">
        <v>2</v>
      </c>
      <c r="G73" s="30">
        <v>0</v>
      </c>
      <c r="H73" s="29" t="s">
        <v>31</v>
      </c>
      <c r="I73" s="29" t="s">
        <v>2</v>
      </c>
      <c r="J73" s="27" t="s">
        <v>53</v>
      </c>
      <c r="K73" s="23" t="b">
        <f ca="1">IFERROR(__xludf.DUMMYFUNCTION("""COMPUTED_VALUE"""),FALSE)</f>
        <v>0</v>
      </c>
      <c r="L73" s="22">
        <f ca="1">IFERROR(__xludf.DUMMYFUNCTION("""COMPUTED_VALUE"""),0.157036832366772)</f>
        <v>0.15703683236677199</v>
      </c>
      <c r="M73" s="23">
        <f ca="1">IFERROR(__xludf.DUMMYFUNCTION("""COMPUTED_VALUE"""),-0.0693728730187164)</f>
        <v>-6.9372873018716405E-2</v>
      </c>
      <c r="N73" s="23">
        <f ca="1">IFERROR(__xludf.DUMMYFUNCTION("""COMPUTED_VALUE"""),2.80029559109289)</f>
        <v>2.8002955910928899</v>
      </c>
      <c r="O73" s="23">
        <f ca="1">IFERROR(__xludf.DUMMYFUNCTION("""COMPUTED_VALUE"""),1.05266261634192)</f>
        <v>1.0526626163419199</v>
      </c>
      <c r="P73" s="23"/>
      <c r="Q73" s="24">
        <f ca="1">IFERROR(__xludf.DUMMYFUNCTION("""COMPUTED_VALUE"""),0.31254974227335)</f>
        <v>0.31254974227334997</v>
      </c>
      <c r="R73" s="23">
        <f ca="1">IFERROR(__xludf.DUMMYFUNCTION("""COMPUTED_VALUE"""),0.516591815394474)</f>
        <v>0.51659181539447396</v>
      </c>
      <c r="S73" s="23"/>
      <c r="T73" s="23">
        <f ca="1">IFERROR(__xludf.DUMMYFUNCTION("""COMPUTED_VALUE"""),0.199638675468105)</f>
        <v>0.19963867546810499</v>
      </c>
      <c r="U73" s="23"/>
      <c r="V73" s="23"/>
      <c r="W73" s="23">
        <f ca="1">IFERROR(__xludf.DUMMYFUNCTION("""COMPUTED_VALUE"""),0.098708867117004)</f>
        <v>9.8708867117003996E-2</v>
      </c>
      <c r="X73" s="23"/>
      <c r="Y73" s="23">
        <f ca="1">IFERROR(__xludf.DUMMYFUNCTION("""COMPUTED_VALUE"""),0.118777626788172)</f>
        <v>0.118777626788172</v>
      </c>
      <c r="Z73" s="23">
        <f ca="1">IFERROR(__xludf.DUMMYFUNCTION("""COMPUTED_VALUE"""),0.0715655756871482)</f>
        <v>7.1565575687148206E-2</v>
      </c>
      <c r="AA73" s="23"/>
      <c r="AB73" s="23">
        <f ca="1">IFERROR(__xludf.DUMMYFUNCTION("""COMPUTED_VALUE"""),0.675467004984911)</f>
        <v>0.67546700498491097</v>
      </c>
      <c r="AC73" s="22"/>
      <c r="AD73" s="23"/>
      <c r="AE73" s="23"/>
      <c r="AF73" s="22"/>
      <c r="AG73" s="22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</row>
    <row r="74" spans="1:45" ht="27.75" customHeight="1" x14ac:dyDescent="0.35">
      <c r="A74" s="15" t="s">
        <v>27</v>
      </c>
      <c r="B74" s="15" t="s">
        <v>54</v>
      </c>
      <c r="C74" s="15" t="str">
        <f ca="1">IFERROR(__xludf.DUMMYFUNCTION("""COMPUTED_VALUE"""),"2022/06/01 (水)
平日夜間")</f>
        <v>2022/06/01 (水)
平日夜間</v>
      </c>
      <c r="D74" s="15" t="str">
        <f ca="1">IFERROR(__xludf.DUMMYFUNCTION("""COMPUTED_VALUE"""),"平日夜間")</f>
        <v>平日夜間</v>
      </c>
      <c r="E74" s="16">
        <f ca="1">IFERROR(__xludf.DUMMYFUNCTION("""COMPUTED_VALUE"""),1.71887924593831)</f>
        <v>1.71887924593831</v>
      </c>
      <c r="F74" s="15" t="s">
        <v>10</v>
      </c>
      <c r="G74" s="32">
        <v>1</v>
      </c>
      <c r="H74" s="27" t="s">
        <v>10</v>
      </c>
      <c r="I74" s="27"/>
      <c r="J74" s="27"/>
      <c r="K74" s="23" t="b">
        <f ca="1">IFERROR(__xludf.DUMMYFUNCTION("""COMPUTED_VALUE"""),FALSE)</f>
        <v>0</v>
      </c>
      <c r="L74" s="22">
        <f ca="1">IFERROR(__xludf.DUMMYFUNCTION("""COMPUTED_VALUE"""),0.67835313332151)</f>
        <v>0.67835313332151004</v>
      </c>
      <c r="M74" s="23">
        <f ca="1">IFERROR(__xludf.DUMMYFUNCTION("""COMPUTED_VALUE"""),0.267727802561307)</f>
        <v>0.26772780256130702</v>
      </c>
      <c r="N74" s="23">
        <f ca="1">IFERROR(__xludf.DUMMYFUNCTION("""COMPUTED_VALUE"""),0.12877215500147)</f>
        <v>0.12877215500146999</v>
      </c>
      <c r="O74" s="23">
        <f ca="1">IFERROR(__xludf.DUMMYFUNCTION("""COMPUTED_VALUE"""),-0.324322876970503)</f>
        <v>-0.32432287697050299</v>
      </c>
      <c r="P74" s="23"/>
      <c r="Q74" s="24"/>
      <c r="R74" s="23">
        <f ca="1">IFERROR(__xludf.DUMMYFUNCTION("""COMPUTED_VALUE"""),0.724579577367332)</f>
        <v>0.72457957736733203</v>
      </c>
      <c r="S74" s="23">
        <f ca="1">IFERROR(__xludf.DUMMYFUNCTION("""COMPUTED_VALUE"""),0.216121473964366)</f>
        <v>0.21612147396436601</v>
      </c>
      <c r="T74" s="23">
        <f ca="1">IFERROR(__xludf.DUMMYFUNCTION("""COMPUTED_VALUE"""),0.660020359389855)</f>
        <v>0.66002035938985504</v>
      </c>
      <c r="U74" s="23"/>
      <c r="V74" s="23"/>
      <c r="W74" s="23">
        <f ca="1">IFERROR(__xludf.DUMMYFUNCTION("""COMPUTED_VALUE"""),-0.607560506073883)</f>
        <v>-0.60756050607388301</v>
      </c>
      <c r="X74" s="23"/>
      <c r="Y74" s="23">
        <f ca="1">IFERROR(__xludf.DUMMYFUNCTION("""COMPUTED_VALUE"""),0.998936214663449)</f>
        <v>0.99893621466344895</v>
      </c>
      <c r="Z74" s="23">
        <f ca="1">IFERROR(__xludf.DUMMYFUNCTION("""COMPUTED_VALUE"""),1.71887924593831)</f>
        <v>1.71887924593831</v>
      </c>
      <c r="AA74" s="23"/>
      <c r="AB74" s="23">
        <f ca="1">IFERROR(__xludf.DUMMYFUNCTION("""COMPUTED_VALUE"""),0.038361592425028)</f>
        <v>3.8361592425027999E-2</v>
      </c>
      <c r="AC74" s="22"/>
      <c r="AD74" s="23"/>
      <c r="AE74" s="23"/>
      <c r="AF74" s="22"/>
      <c r="AG74" s="22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</row>
    <row r="75" spans="1:45" ht="27.75" customHeight="1" x14ac:dyDescent="0.35">
      <c r="A75" s="15" t="s">
        <v>27</v>
      </c>
      <c r="B75" s="15" t="s">
        <v>54</v>
      </c>
      <c r="C75" s="15" t="str">
        <f ca="1">IFERROR(__xludf.DUMMYFUNCTION("""COMPUTED_VALUE"""),"2022/06/02 (木)
平日夜間")</f>
        <v>2022/06/02 (木)
平日夜間</v>
      </c>
      <c r="D75" s="15" t="str">
        <f ca="1">IFERROR(__xludf.DUMMYFUNCTION("""COMPUTED_VALUE"""),"平日夜間")</f>
        <v>平日夜間</v>
      </c>
      <c r="E75" s="16">
        <f ca="1">IFERROR(__xludf.DUMMYFUNCTION("""COMPUTED_VALUE"""),0.941472378038483)</f>
        <v>0.94147237803848305</v>
      </c>
      <c r="F75" s="15" t="s">
        <v>55</v>
      </c>
      <c r="G75" s="32">
        <v>0</v>
      </c>
      <c r="H75" s="27" t="s">
        <v>1</v>
      </c>
      <c r="I75" s="27"/>
      <c r="J75" s="27"/>
      <c r="K75" s="23" t="b">
        <f ca="1">IFERROR(__xludf.DUMMYFUNCTION("""COMPUTED_VALUE"""),FALSE)</f>
        <v>0</v>
      </c>
      <c r="L75" s="22">
        <f ca="1">IFERROR(__xludf.DUMMYFUNCTION("""COMPUTED_VALUE"""),0.45513039389342)</f>
        <v>0.45513039389342003</v>
      </c>
      <c r="M75" s="23">
        <f ca="1">IFERROR(__xludf.DUMMYFUNCTION("""COMPUTED_VALUE"""),0.294475472301959)</f>
        <v>0.29447547230195897</v>
      </c>
      <c r="N75" s="23">
        <f ca="1">IFERROR(__xludf.DUMMYFUNCTION("""COMPUTED_VALUE"""),0.192318818726217)</f>
        <v>0.19231881872621701</v>
      </c>
      <c r="O75" s="23">
        <f ca="1">IFERROR(__xludf.DUMMYFUNCTION("""COMPUTED_VALUE"""),0.26013392353895)</f>
        <v>0.26013392353894998</v>
      </c>
      <c r="P75" s="23"/>
      <c r="Q75" s="24"/>
      <c r="R75" s="23">
        <f ca="1">IFERROR(__xludf.DUMMYFUNCTION("""COMPUTED_VALUE"""),-0.665511925621033)</f>
        <v>-0.66551192562103301</v>
      </c>
      <c r="S75" s="23">
        <f ca="1">IFERROR(__xludf.DUMMYFUNCTION("""COMPUTED_VALUE"""),0.853724349215703)</f>
        <v>0.85372434921570295</v>
      </c>
      <c r="T75" s="23">
        <f ca="1">IFERROR(__xludf.DUMMYFUNCTION("""COMPUTED_VALUE"""),0.376735926716316)</f>
        <v>0.37673592671631601</v>
      </c>
      <c r="U75" s="23"/>
      <c r="V75" s="23"/>
      <c r="W75" s="23">
        <f ca="1">IFERROR(__xludf.DUMMYFUNCTION("""COMPUTED_VALUE"""),0.110516957499667)</f>
        <v>0.110516957499667</v>
      </c>
      <c r="X75" s="23"/>
      <c r="Y75" s="23">
        <f ca="1">IFERROR(__xludf.DUMMYFUNCTION("""COMPUTED_VALUE"""),0.852875624193029)</f>
        <v>0.85287562419302898</v>
      </c>
      <c r="Z75" s="23">
        <f ca="1">IFERROR(__xludf.DUMMYFUNCTION("""COMPUTED_VALUE"""),0.1786859875898)</f>
        <v>0.1786859875898</v>
      </c>
      <c r="AA75" s="23"/>
      <c r="AB75" s="23">
        <f ca="1">IFERROR(__xludf.DUMMYFUNCTION("""COMPUTED_VALUE"""),0.181867259678778)</f>
        <v>0.18186725967877801</v>
      </c>
      <c r="AC75" s="22"/>
      <c r="AD75" s="23"/>
      <c r="AE75" s="23"/>
      <c r="AF75" s="22"/>
      <c r="AG75" s="22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</row>
    <row r="76" spans="1:45" ht="27.75" customHeight="1" x14ac:dyDescent="0.35">
      <c r="A76" s="15" t="s">
        <v>27</v>
      </c>
      <c r="B76" s="15" t="s">
        <v>54</v>
      </c>
      <c r="C76" s="15" t="str">
        <f ca="1">IFERROR(__xludf.DUMMYFUNCTION("""COMPUTED_VALUE"""),"2022/06/03 (金)
平日夜間")</f>
        <v>2022/06/03 (金)
平日夜間</v>
      </c>
      <c r="D76" s="15" t="str">
        <f ca="1">IFERROR(__xludf.DUMMYFUNCTION("""COMPUTED_VALUE"""),"平日夜間")</f>
        <v>平日夜間</v>
      </c>
      <c r="E76" s="16">
        <f ca="1">IFERROR(__xludf.DUMMYFUNCTION("""COMPUTED_VALUE"""),0.984452503352437)</f>
        <v>0.98445250335243695</v>
      </c>
      <c r="F76" s="15" t="s">
        <v>18</v>
      </c>
      <c r="G76" s="32">
        <v>0</v>
      </c>
      <c r="H76" s="27" t="s">
        <v>18</v>
      </c>
      <c r="I76" s="27"/>
      <c r="J76" s="27" t="s">
        <v>56</v>
      </c>
      <c r="K76" s="23" t="b">
        <f ca="1">IFERROR(__xludf.DUMMYFUNCTION("""COMPUTED_VALUE"""),FALSE)</f>
        <v>0</v>
      </c>
      <c r="L76" s="22">
        <f ca="1">IFERROR(__xludf.DUMMYFUNCTION("""COMPUTED_VALUE"""),0.984452503352437)</f>
        <v>0.98445250335243695</v>
      </c>
      <c r="M76" s="23">
        <f ca="1">IFERROR(__xludf.DUMMYFUNCTION("""COMPUTED_VALUE"""),-0.622995920755552)</f>
        <v>-0.62299592075555199</v>
      </c>
      <c r="N76" s="23">
        <f ca="1">IFERROR(__xludf.DUMMYFUNCTION("""COMPUTED_VALUE"""),-0.143996621045563)</f>
        <v>-0.14399662104556299</v>
      </c>
      <c r="O76" s="23">
        <f ca="1">IFERROR(__xludf.DUMMYFUNCTION("""COMPUTED_VALUE"""),0.08948015819137)</f>
        <v>8.9480158191369993E-2</v>
      </c>
      <c r="P76" s="23"/>
      <c r="Q76" s="24"/>
      <c r="R76" s="23">
        <f ca="1">IFERROR(__xludf.DUMMYFUNCTION("""COMPUTED_VALUE"""),-0.274275620892848)</f>
        <v>-0.27427562089284802</v>
      </c>
      <c r="S76" s="23">
        <f ca="1">IFERROR(__xludf.DUMMYFUNCTION("""COMPUTED_VALUE"""),0.250120124710014)</f>
        <v>0.25012012471001399</v>
      </c>
      <c r="T76" s="23">
        <f ca="1">IFERROR(__xludf.DUMMYFUNCTION("""COMPUTED_VALUE"""),0.150079600013026)</f>
        <v>0.150079600013026</v>
      </c>
      <c r="U76" s="23"/>
      <c r="V76" s="23"/>
      <c r="W76" s="23">
        <f ca="1">IFERROR(__xludf.DUMMYFUNCTION("""COMPUTED_VALUE"""),0.624074534604455)</f>
        <v>0.62407453460445494</v>
      </c>
      <c r="X76" s="23"/>
      <c r="Y76" s="23">
        <f ca="1">IFERROR(__xludf.DUMMYFUNCTION("""COMPUTED_VALUE"""),0.586464965626458)</f>
        <v>0.586464965626458</v>
      </c>
      <c r="Z76" s="23">
        <f ca="1">IFERROR(__xludf.DUMMYFUNCTION("""COMPUTED_VALUE"""),0.363199208537368)</f>
        <v>0.36319920853736798</v>
      </c>
      <c r="AA76" s="23"/>
      <c r="AB76" s="23">
        <f ca="1">IFERROR(__xludf.DUMMYFUNCTION("""COMPUTED_VALUE"""),0.265277313399448)</f>
        <v>0.26527731339944799</v>
      </c>
      <c r="AC76" s="22"/>
      <c r="AD76" s="23"/>
      <c r="AE76" s="23"/>
      <c r="AF76" s="22"/>
      <c r="AG76" s="22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</row>
    <row r="77" spans="1:45" ht="27.75" customHeight="1" x14ac:dyDescent="0.35">
      <c r="A77" s="15" t="s">
        <v>27</v>
      </c>
      <c r="B77" s="15" t="s">
        <v>54</v>
      </c>
      <c r="C77" s="15" t="str">
        <f ca="1">IFERROR(__xludf.DUMMYFUNCTION("""COMPUTED_VALUE"""),"2022/06/04 (土)
休日午前")</f>
        <v>2022/06/04 (土)
休日午前</v>
      </c>
      <c r="D77" s="15" t="str">
        <f ca="1">IFERROR(__xludf.DUMMYFUNCTION("""COMPUTED_VALUE"""),"休日午前")</f>
        <v>休日午前</v>
      </c>
      <c r="E77" s="16">
        <f ca="1">IFERROR(__xludf.DUMMYFUNCTION("""COMPUTED_VALUE"""),1.49549148522628)</f>
        <v>1.4954914852262799</v>
      </c>
      <c r="F77" s="15" t="s">
        <v>13</v>
      </c>
      <c r="G77" s="32">
        <v>0</v>
      </c>
      <c r="H77" s="27" t="s">
        <v>1</v>
      </c>
      <c r="I77" s="27"/>
      <c r="J77" s="27" t="s">
        <v>57</v>
      </c>
      <c r="K77" s="23" t="b">
        <f ca="1">IFERROR(__xludf.DUMMYFUNCTION("""COMPUTED_VALUE"""),TRUE)</f>
        <v>1</v>
      </c>
      <c r="L77" s="22">
        <f ca="1">IFERROR(__xludf.DUMMYFUNCTION("""COMPUTED_VALUE"""),0.811633739273065)</f>
        <v>0.81163373927306504</v>
      </c>
      <c r="M77" s="23">
        <f ca="1">IFERROR(__xludf.DUMMYFUNCTION("""COMPUTED_VALUE"""),-0.920994371247986)</f>
        <v>-0.920994371247986</v>
      </c>
      <c r="N77" s="23">
        <f ca="1">IFERROR(__xludf.DUMMYFUNCTION("""COMPUTED_VALUE"""),-0.967153920588009)</f>
        <v>-0.96715392058800898</v>
      </c>
      <c r="O77" s="23">
        <f ca="1">IFERROR(__xludf.DUMMYFUNCTION("""COMPUTED_VALUE"""),0.760331104897303)</f>
        <v>0.76033110489730305</v>
      </c>
      <c r="P77" s="23"/>
      <c r="Q77" s="24"/>
      <c r="R77" s="23">
        <f ca="1">IFERROR(__xludf.DUMMYFUNCTION("""COMPUTED_VALUE"""),-0.494317957614791)</f>
        <v>-0.49431795761479103</v>
      </c>
      <c r="S77" s="23">
        <f ca="1">IFERROR(__xludf.DUMMYFUNCTION("""COMPUTED_VALUE"""),0.333650208951712)</f>
        <v>0.33365020895171199</v>
      </c>
      <c r="T77" s="23">
        <f ca="1">IFERROR(__xludf.DUMMYFUNCTION("""COMPUTED_VALUE"""),0.185415078618732)</f>
        <v>0.18541507861873199</v>
      </c>
      <c r="U77" s="23"/>
      <c r="V77" s="23"/>
      <c r="W77" s="23">
        <f ca="1">IFERROR(__xludf.DUMMYFUNCTION("""COMPUTED_VALUE"""),1.04268998576067)</f>
        <v>1.04268998576067</v>
      </c>
      <c r="X77" s="23"/>
      <c r="Y77" s="23">
        <f ca="1">IFERROR(__xludf.DUMMYFUNCTION("""COMPUTED_VALUE"""),-0.426976338601745)</f>
        <v>-0.426976338601745</v>
      </c>
      <c r="Z77" s="23">
        <f ca="1">IFERROR(__xludf.DUMMYFUNCTION("""COMPUTED_VALUE"""),0.536140795805293)</f>
        <v>0.53614079580529295</v>
      </c>
      <c r="AA77" s="23"/>
      <c r="AB77" s="23">
        <f ca="1">IFERROR(__xludf.DUMMYFUNCTION("""COMPUTED_VALUE"""),0.436066568389137)</f>
        <v>0.43606656838913699</v>
      </c>
      <c r="AC77" s="22"/>
      <c r="AD77" s="23"/>
      <c r="AE77" s="23"/>
      <c r="AF77" s="22"/>
      <c r="AG77" s="22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</row>
    <row r="78" spans="1:45" ht="27.75" customHeight="1" x14ac:dyDescent="0.35">
      <c r="A78" s="15" t="s">
        <v>27</v>
      </c>
      <c r="B78" s="15" t="s">
        <v>54</v>
      </c>
      <c r="C78" s="15" t="str">
        <f ca="1">IFERROR(__xludf.DUMMYFUNCTION("""COMPUTED_VALUE"""),"2022/06/04 (土)
休日午後")</f>
        <v>2022/06/04 (土)
休日午後</v>
      </c>
      <c r="D78" s="15" t="str">
        <f ca="1">IFERROR(__xludf.DUMMYFUNCTION("""COMPUTED_VALUE"""),"休日午後")</f>
        <v>休日午後</v>
      </c>
      <c r="E78" s="16">
        <f ca="1">IFERROR(__xludf.DUMMYFUNCTION("""COMPUTED_VALUE"""),2.50164465132132)</f>
        <v>2.5016446513213202</v>
      </c>
      <c r="F78" s="15" t="s">
        <v>10</v>
      </c>
      <c r="G78" s="32">
        <v>2</v>
      </c>
      <c r="H78" s="27" t="s">
        <v>10</v>
      </c>
      <c r="I78" s="27"/>
      <c r="J78" s="27" t="s">
        <v>57</v>
      </c>
      <c r="K78" s="23" t="b">
        <f ca="1">IFERROR(__xludf.DUMMYFUNCTION("""COMPUTED_VALUE"""),TRUE)</f>
        <v>1</v>
      </c>
      <c r="L78" s="22">
        <f ca="1">IFERROR(__xludf.DUMMYFUNCTION("""COMPUTED_VALUE"""),0.432659788524671)</f>
        <v>0.43265978852467102</v>
      </c>
      <c r="M78" s="23">
        <f ca="1">IFERROR(__xludf.DUMMYFUNCTION("""COMPUTED_VALUE"""),-0.118591716001647)</f>
        <v>-0.118591716001647</v>
      </c>
      <c r="N78" s="23">
        <f ca="1">IFERROR(__xludf.DUMMYFUNCTION("""COMPUTED_VALUE"""),-0.733230282085082)</f>
        <v>-0.73323028208508201</v>
      </c>
      <c r="O78" s="23">
        <f ca="1">IFERROR(__xludf.DUMMYFUNCTION("""COMPUTED_VALUE"""),0.531538171867711)</f>
        <v>0.53153817186771102</v>
      </c>
      <c r="P78" s="23"/>
      <c r="Q78" s="24"/>
      <c r="R78" s="23">
        <f ca="1">IFERROR(__xludf.DUMMYFUNCTION("""COMPUTED_VALUE"""),0.730435193633887)</f>
        <v>0.73043519363388698</v>
      </c>
      <c r="S78" s="23">
        <f ca="1">IFERROR(__xludf.DUMMYFUNCTION("""COMPUTED_VALUE"""),0.111107353638121)</f>
        <v>0.11110735363812101</v>
      </c>
      <c r="T78" s="23">
        <f ca="1">IFERROR(__xludf.DUMMYFUNCTION("""COMPUTED_VALUE"""),0.50466245793594)</f>
        <v>0.50466245793594</v>
      </c>
      <c r="U78" s="23"/>
      <c r="V78" s="23"/>
      <c r="W78" s="23">
        <f ca="1">IFERROR(__xludf.DUMMYFUNCTION("""COMPUTED_VALUE"""),0.319420927033538)</f>
        <v>0.31942092703353803</v>
      </c>
      <c r="X78" s="23"/>
      <c r="Y78" s="23">
        <f ca="1">IFERROR(__xludf.DUMMYFUNCTION("""COMPUTED_VALUE"""),-0.486908491797679)</f>
        <v>-0.48690849179767898</v>
      </c>
      <c r="Z78" s="23">
        <f ca="1">IFERROR(__xludf.DUMMYFUNCTION("""COMPUTED_VALUE"""),2.50164465132132)</f>
        <v>2.5016446513213202</v>
      </c>
      <c r="AA78" s="23"/>
      <c r="AB78" s="23">
        <f ca="1">IFERROR(__xludf.DUMMYFUNCTION("""COMPUTED_VALUE"""),0.189836107927449)</f>
        <v>0.18983610792744901</v>
      </c>
      <c r="AC78" s="22"/>
      <c r="AD78" s="23"/>
      <c r="AE78" s="23"/>
      <c r="AF78" s="22"/>
      <c r="AG78" s="22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</row>
    <row r="79" spans="1:45" ht="27.75" customHeight="1" x14ac:dyDescent="0.35">
      <c r="A79" s="15" t="s">
        <v>27</v>
      </c>
      <c r="B79" s="15" t="s">
        <v>54</v>
      </c>
      <c r="C79" s="15" t="str">
        <f ca="1">IFERROR(__xludf.DUMMYFUNCTION("""COMPUTED_VALUE"""),"2022/06/05 (日)
休日午前")</f>
        <v>2022/06/05 (日)
休日午前</v>
      </c>
      <c r="D79" s="15" t="str">
        <f ca="1">IFERROR(__xludf.DUMMYFUNCTION("""COMPUTED_VALUE"""),"休日午前")</f>
        <v>休日午前</v>
      </c>
      <c r="E79" s="16">
        <f ca="1">IFERROR(__xludf.DUMMYFUNCTION("""COMPUTED_VALUE"""),1.43524789835603)</f>
        <v>1.4352478983560299</v>
      </c>
      <c r="F79" s="15" t="s">
        <v>13</v>
      </c>
      <c r="G79" s="32">
        <v>0</v>
      </c>
      <c r="H79" s="27" t="s">
        <v>19</v>
      </c>
      <c r="I79" s="27"/>
      <c r="J79" s="27" t="s">
        <v>58</v>
      </c>
      <c r="K79" s="23" t="b">
        <f ca="1">IFERROR(__xludf.DUMMYFUNCTION("""COMPUTED_VALUE"""),FALSE)</f>
        <v>0</v>
      </c>
      <c r="L79" s="22">
        <f ca="1">IFERROR(__xludf.DUMMYFUNCTION("""COMPUTED_VALUE"""),0.112612335858172)</f>
        <v>0.112612335858172</v>
      </c>
      <c r="M79" s="23">
        <f ca="1">IFERROR(__xludf.DUMMYFUNCTION("""COMPUTED_VALUE"""),-0.337519960473407)</f>
        <v>-0.33751996047340699</v>
      </c>
      <c r="N79" s="23">
        <f ca="1">IFERROR(__xludf.DUMMYFUNCTION("""COMPUTED_VALUE"""),-0.149315406615999)</f>
        <v>-0.14931540661599901</v>
      </c>
      <c r="O79" s="23">
        <f ca="1">IFERROR(__xludf.DUMMYFUNCTION("""COMPUTED_VALUE"""),0.263266448780363)</f>
        <v>0.26326644878036298</v>
      </c>
      <c r="P79" s="23"/>
      <c r="Q79" s="24"/>
      <c r="R79" s="23">
        <f ca="1">IFERROR(__xludf.DUMMYFUNCTION("""COMPUTED_VALUE"""),-0.451875601036012)</f>
        <v>-0.45187560103601199</v>
      </c>
      <c r="S79" s="23">
        <f ca="1">IFERROR(__xludf.DUMMYFUNCTION("""COMPUTED_VALUE"""),0.726465695017529)</f>
        <v>0.726465695017529</v>
      </c>
      <c r="T79" s="23">
        <f ca="1">IFERROR(__xludf.DUMMYFUNCTION("""COMPUTED_VALUE"""),0.268599142561335)</f>
        <v>0.26859914256133499</v>
      </c>
      <c r="U79" s="23"/>
      <c r="V79" s="23"/>
      <c r="W79" s="23">
        <f ca="1">IFERROR(__xludf.DUMMYFUNCTION("""COMPUTED_VALUE"""),1.24657658557171)</f>
        <v>1.2465765855717099</v>
      </c>
      <c r="X79" s="23"/>
      <c r="Y79" s="23">
        <f ca="1">IFERROR(__xludf.DUMMYFUNCTION("""COMPUTED_VALUE"""),-0.529328773922808)</f>
        <v>-0.52932877392280797</v>
      </c>
      <c r="Z79" s="23">
        <f ca="1">IFERROR(__xludf.DUMMYFUNCTION("""COMPUTED_VALUE"""),-0.552378835280215)</f>
        <v>-0.55237883528021503</v>
      </c>
      <c r="AA79" s="23"/>
      <c r="AB79" s="23">
        <f ca="1">IFERROR(__xludf.DUMMYFUNCTION("""COMPUTED_VALUE"""),0.401332061025656)</f>
        <v>0.401332061025656</v>
      </c>
      <c r="AC79" s="22"/>
      <c r="AD79" s="23"/>
      <c r="AE79" s="23"/>
      <c r="AF79" s="22"/>
      <c r="AG79" s="22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</row>
    <row r="80" spans="1:45" ht="27.75" customHeight="1" x14ac:dyDescent="0.4">
      <c r="A80" s="15" t="s">
        <v>27</v>
      </c>
      <c r="B80" s="15" t="s">
        <v>54</v>
      </c>
      <c r="C80" s="15" t="str">
        <f ca="1">IFERROR(__xludf.DUMMYFUNCTION("""COMPUTED_VALUE"""),"2022/06/05 (日)
休日午後")</f>
        <v>2022/06/05 (日)
休日午後</v>
      </c>
      <c r="D80" s="15" t="str">
        <f ca="1">IFERROR(__xludf.DUMMYFUNCTION("""COMPUTED_VALUE"""),"休日午後")</f>
        <v>休日午後</v>
      </c>
      <c r="E80" s="16">
        <f ca="1">IFERROR(__xludf.DUMMYFUNCTION("""COMPUTED_VALUE"""),0.938951551629299)</f>
        <v>0.938951551629299</v>
      </c>
      <c r="F80" s="15" t="s">
        <v>59</v>
      </c>
      <c r="G80" s="32"/>
      <c r="H80" s="29" t="s">
        <v>12</v>
      </c>
      <c r="I80" s="27"/>
      <c r="J80" s="27" t="s">
        <v>58</v>
      </c>
      <c r="K80" s="23" t="b">
        <f ca="1">IFERROR(__xludf.DUMMYFUNCTION("""COMPUTED_VALUE"""),TRUE)</f>
        <v>1</v>
      </c>
      <c r="L80" s="22">
        <f ca="1">IFERROR(__xludf.DUMMYFUNCTION("""COMPUTED_VALUE"""),0.00481181739725511)</f>
        <v>4.8118173972551102E-3</v>
      </c>
      <c r="M80" s="23">
        <f ca="1">IFERROR(__xludf.DUMMYFUNCTION("""COMPUTED_VALUE"""),-0.0938160793152962)</f>
        <v>-9.3816079315296202E-2</v>
      </c>
      <c r="N80" s="23">
        <f ca="1">IFERROR(__xludf.DUMMYFUNCTION("""COMPUTED_VALUE"""),-0.25955973565531)</f>
        <v>-0.25955973565530999</v>
      </c>
      <c r="O80" s="23">
        <f ca="1">IFERROR(__xludf.DUMMYFUNCTION("""COMPUTED_VALUE"""),0.914109126411682)</f>
        <v>0.91410912641168196</v>
      </c>
      <c r="P80" s="23"/>
      <c r="Q80" s="24"/>
      <c r="R80" s="23">
        <f ca="1">IFERROR(__xludf.DUMMYFUNCTION("""COMPUTED_VALUE"""),-0.749954287576131)</f>
        <v>-0.74995428757613103</v>
      </c>
      <c r="S80" s="23">
        <f ca="1">IFERROR(__xludf.DUMMYFUNCTION("""COMPUTED_VALUE"""),0.161218231918411)</f>
        <v>0.161218231918411</v>
      </c>
      <c r="T80" s="23">
        <f ca="1">IFERROR(__xludf.DUMMYFUNCTION("""COMPUTED_VALUE"""),0.208960883576663)</f>
        <v>0.20896088357666301</v>
      </c>
      <c r="U80" s="23"/>
      <c r="V80" s="23"/>
      <c r="W80" s="23">
        <f ca="1">IFERROR(__xludf.DUMMYFUNCTION("""COMPUTED_VALUE"""),0.0826500800008345)</f>
        <v>8.26500800008345E-2</v>
      </c>
      <c r="X80" s="23"/>
      <c r="Y80" s="23">
        <f ca="1">IFERROR(__xludf.DUMMYFUNCTION("""COMPUTED_VALUE"""),-0.207191920924556)</f>
        <v>-0.20719192092455599</v>
      </c>
      <c r="Z80" s="23">
        <f ca="1">IFERROR(__xludf.DUMMYFUNCTION("""COMPUTED_VALUE"""),-0.0426269732804827)</f>
        <v>-4.2626973280482698E-2</v>
      </c>
      <c r="AA80" s="23"/>
      <c r="AB80" s="23">
        <f ca="1">IFERROR(__xludf.DUMMYFUNCTION("""COMPUTED_VALUE"""),0.0941194823966764)</f>
        <v>9.4119482396676404E-2</v>
      </c>
      <c r="AC80" s="22"/>
      <c r="AD80" s="23"/>
      <c r="AE80" s="23"/>
      <c r="AF80" s="22"/>
      <c r="AG80" s="22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</row>
    <row r="81" spans="1:45" ht="27.75" customHeight="1" x14ac:dyDescent="0.4">
      <c r="A81" s="15" t="s">
        <v>27</v>
      </c>
      <c r="B81" s="15" t="s">
        <v>54</v>
      </c>
      <c r="C81" s="15" t="str">
        <f ca="1">IFERROR(__xludf.DUMMYFUNCTION("""COMPUTED_VALUE"""),"2022/06/06 (月)
平日夜間")</f>
        <v>2022/06/06 (月)
平日夜間</v>
      </c>
      <c r="D81" s="15" t="str">
        <f ca="1">IFERROR(__xludf.DUMMYFUNCTION("""COMPUTED_VALUE"""),"平日夜間")</f>
        <v>平日夜間</v>
      </c>
      <c r="E81" s="16">
        <f ca="1">IFERROR(__xludf.DUMMYFUNCTION("""COMPUTED_VALUE"""),2.5547415913903)</f>
        <v>2.5547415913903002</v>
      </c>
      <c r="F81" s="15" t="s">
        <v>4</v>
      </c>
      <c r="G81" s="32">
        <v>2</v>
      </c>
      <c r="H81" s="29" t="s">
        <v>4</v>
      </c>
      <c r="I81" s="27"/>
      <c r="J81" s="27" t="s">
        <v>60</v>
      </c>
      <c r="K81" s="23" t="b">
        <f ca="1">IFERROR(__xludf.DUMMYFUNCTION("""COMPUTED_VALUE"""),TRUE)</f>
        <v>1</v>
      </c>
      <c r="L81" s="22">
        <f ca="1">IFERROR(__xludf.DUMMYFUNCTION("""COMPUTED_VALUE"""),0.598877253359165)</f>
        <v>0.59887725335916497</v>
      </c>
      <c r="M81" s="23">
        <f ca="1">IFERROR(__xludf.DUMMYFUNCTION("""COMPUTED_VALUE"""),2.5547415913903)</f>
        <v>2.5547415913903002</v>
      </c>
      <c r="N81" s="23">
        <f ca="1">IFERROR(__xludf.DUMMYFUNCTION("""COMPUTED_VALUE"""),0.573282551148138)</f>
        <v>0.57328255114813798</v>
      </c>
      <c r="O81" s="23">
        <f ca="1">IFERROR(__xludf.DUMMYFUNCTION("""COMPUTED_VALUE"""),0.895040666814269)</f>
        <v>0.89504066681426897</v>
      </c>
      <c r="P81" s="23"/>
      <c r="Q81" s="24"/>
      <c r="R81" s="23">
        <f ca="1">IFERROR(__xludf.DUMMYFUNCTION("""COMPUTED_VALUE"""),0.753949171546378)</f>
        <v>0.75394917154637797</v>
      </c>
      <c r="S81" s="23">
        <f ca="1">IFERROR(__xludf.DUMMYFUNCTION("""COMPUTED_VALUE"""),0.636388325289195)</f>
        <v>0.63638832528919498</v>
      </c>
      <c r="T81" s="23">
        <f ca="1">IFERROR(__xludf.DUMMYFUNCTION("""COMPUTED_VALUE"""),0.827729181551458)</f>
        <v>0.82772918155145803</v>
      </c>
      <c r="U81" s="23"/>
      <c r="V81" s="23"/>
      <c r="W81" s="23">
        <f ca="1">IFERROR(__xludf.DUMMYFUNCTION("""COMPUTED_VALUE"""),0.182193239328983)</f>
        <v>0.18219323932898299</v>
      </c>
      <c r="X81" s="23"/>
      <c r="Y81" s="23">
        <f ca="1">IFERROR(__xludf.DUMMYFUNCTION("""COMPUTED_VALUE"""),0.370997896624417)</f>
        <v>0.37099789662441701</v>
      </c>
      <c r="Z81" s="23">
        <f ca="1">IFERROR(__xludf.DUMMYFUNCTION("""COMPUTED_VALUE"""),0.851726217915396)</f>
        <v>0.85172621791539604</v>
      </c>
      <c r="AA81" s="23"/>
      <c r="AB81" s="23">
        <f ca="1">IFERROR(__xludf.DUMMYFUNCTION("""COMPUTED_VALUE"""),0.400865652511675)</f>
        <v>0.400865652511675</v>
      </c>
      <c r="AC81" s="22"/>
      <c r="AD81" s="23"/>
      <c r="AE81" s="23"/>
      <c r="AF81" s="22"/>
      <c r="AG81" s="22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</row>
    <row r="82" spans="1:45" ht="27.75" customHeight="1" x14ac:dyDescent="0.4">
      <c r="A82" s="15" t="s">
        <v>27</v>
      </c>
      <c r="B82" s="15" t="s">
        <v>54</v>
      </c>
      <c r="C82" s="15" t="str">
        <f ca="1">IFERROR(__xludf.DUMMYFUNCTION("""COMPUTED_VALUE"""),"2022/06/07 (火)
平日夜間")</f>
        <v>2022/06/07 (火)
平日夜間</v>
      </c>
      <c r="D82" s="15" t="str">
        <f ca="1">IFERROR(__xludf.DUMMYFUNCTION("""COMPUTED_VALUE"""),"平日夜間")</f>
        <v>平日夜間</v>
      </c>
      <c r="E82" s="16">
        <f ca="1">IFERROR(__xludf.DUMMYFUNCTION("""COMPUTED_VALUE"""),0.999631044376968)</f>
        <v>0.99963104437696804</v>
      </c>
      <c r="F82" s="15" t="s">
        <v>29</v>
      </c>
      <c r="G82" s="32">
        <v>0</v>
      </c>
      <c r="H82" s="29" t="s">
        <v>18</v>
      </c>
      <c r="I82" s="27"/>
      <c r="J82" s="27" t="s">
        <v>61</v>
      </c>
      <c r="K82" s="23" t="b">
        <f ca="1">IFERROR(__xludf.DUMMYFUNCTION("""COMPUTED_VALUE"""),TRUE)</f>
        <v>1</v>
      </c>
      <c r="L82" s="22">
        <f ca="1">IFERROR(__xludf.DUMMYFUNCTION("""COMPUTED_VALUE"""),0.55387247616005)</f>
        <v>0.55387247616004998</v>
      </c>
      <c r="M82" s="23">
        <f ca="1">IFERROR(__xludf.DUMMYFUNCTION("""COMPUTED_VALUE"""),0.00952654123876195)</f>
        <v>9.5265412387619507E-3</v>
      </c>
      <c r="N82" s="23">
        <f ca="1">IFERROR(__xludf.DUMMYFUNCTION("""COMPUTED_VALUE"""),0.304010135966056)</f>
        <v>0.30401013596605603</v>
      </c>
      <c r="O82" s="23">
        <f ca="1">IFERROR(__xludf.DUMMYFUNCTION("""COMPUTED_VALUE"""),0.366041817976123)</f>
        <v>0.36604181797612301</v>
      </c>
      <c r="P82" s="23"/>
      <c r="Q82" s="24"/>
      <c r="R82" s="23">
        <f ca="1">IFERROR(__xludf.DUMMYFUNCTION("""COMPUTED_VALUE"""),0.480663654417495)</f>
        <v>0.48066365441749498</v>
      </c>
      <c r="S82" s="23">
        <f ca="1">IFERROR(__xludf.DUMMYFUNCTION("""COMPUTED_VALUE"""),-0.619298587156426)</f>
        <v>-0.61929858715642605</v>
      </c>
      <c r="T82" s="23">
        <f ca="1">IFERROR(__xludf.DUMMYFUNCTION("""COMPUTED_VALUE"""),-0.61899727253799)</f>
        <v>-0.61899727253798997</v>
      </c>
      <c r="U82" s="23"/>
      <c r="V82" s="23"/>
      <c r="W82" s="23">
        <f ca="1">IFERROR(__xludf.DUMMYFUNCTION("""COMPUTED_VALUE"""),0.121012685699215)</f>
        <v>0.121012685699215</v>
      </c>
      <c r="X82" s="23"/>
      <c r="Y82" s="23">
        <f ca="1">IFERROR(__xludf.DUMMYFUNCTION("""COMPUTED_VALUE"""),0.490524162360944)</f>
        <v>0.49052416236094398</v>
      </c>
      <c r="Z82" s="23">
        <f ca="1">IFERROR(__xludf.DUMMYFUNCTION("""COMPUTED_VALUE"""),0.756944171552936)</f>
        <v>0.75694417155293603</v>
      </c>
      <c r="AA82" s="23"/>
      <c r="AB82" s="23">
        <f ca="1">IFERROR(__xludf.DUMMYFUNCTION("""COMPUTED_VALUE"""),0.584788670391601)</f>
        <v>0.58478867039160098</v>
      </c>
      <c r="AC82" s="22"/>
      <c r="AD82" s="23"/>
      <c r="AE82" s="23"/>
      <c r="AF82" s="22"/>
      <c r="AG82" s="22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</row>
    <row r="83" spans="1:45" ht="27.75" customHeight="1" x14ac:dyDescent="0.4">
      <c r="A83" s="15" t="s">
        <v>27</v>
      </c>
      <c r="B83" s="15" t="s">
        <v>54</v>
      </c>
      <c r="C83" s="15" t="str">
        <f ca="1">IFERROR(__xludf.DUMMYFUNCTION("""COMPUTED_VALUE"""),"2022/06/08 (水)
平日夜間")</f>
        <v>2022/06/08 (水)
平日夜間</v>
      </c>
      <c r="D83" s="15" t="str">
        <f ca="1">IFERROR(__xludf.DUMMYFUNCTION("""COMPUTED_VALUE"""),"平日夜間")</f>
        <v>平日夜間</v>
      </c>
      <c r="E83" s="16">
        <f ca="1">IFERROR(__xludf.DUMMYFUNCTION("""COMPUTED_VALUE"""),2.85791069608528)</f>
        <v>2.85791069608528</v>
      </c>
      <c r="F83" s="15" t="s">
        <v>59</v>
      </c>
      <c r="G83" s="32">
        <v>2</v>
      </c>
      <c r="H83" s="29" t="s">
        <v>59</v>
      </c>
      <c r="I83" s="27"/>
      <c r="J83" s="27" t="s">
        <v>62</v>
      </c>
      <c r="K83" s="23" t="b">
        <f ca="1">IFERROR(__xludf.DUMMYFUNCTION("""COMPUTED_VALUE"""),TRUE)</f>
        <v>1</v>
      </c>
      <c r="L83" s="22">
        <f ca="1">IFERROR(__xludf.DUMMYFUNCTION("""COMPUTED_VALUE"""),0.539896323658897)</f>
        <v>0.53989632365889695</v>
      </c>
      <c r="M83" s="23">
        <f ca="1">IFERROR(__xludf.DUMMYFUNCTION("""COMPUTED_VALUE"""),-0.523128156361305)</f>
        <v>-0.52312815636130505</v>
      </c>
      <c r="N83" s="23">
        <f ca="1">IFERROR(__xludf.DUMMYFUNCTION("""COMPUTED_VALUE"""),0.443331847371971)</f>
        <v>0.44333184737197101</v>
      </c>
      <c r="O83" s="23">
        <f ca="1">IFERROR(__xludf.DUMMYFUNCTION("""COMPUTED_VALUE"""),0.929539124196841)</f>
        <v>0.92953912419684104</v>
      </c>
      <c r="P83" s="23"/>
      <c r="Q83" s="24"/>
      <c r="R83" s="23">
        <f ca="1">IFERROR(__xludf.DUMMYFUNCTION("""COMPUTED_VALUE"""),-0.513768222896207)</f>
        <v>-0.51376822289620705</v>
      </c>
      <c r="S83" s="23">
        <f ca="1">IFERROR(__xludf.DUMMYFUNCTION("""COMPUTED_VALUE"""),-0.299427099163704)</f>
        <v>-0.29942709916370402</v>
      </c>
      <c r="T83" s="23">
        <f ca="1">IFERROR(__xludf.DUMMYFUNCTION("""COMPUTED_VALUE"""),0.27286922545672)</f>
        <v>0.27286922545671999</v>
      </c>
      <c r="U83" s="23"/>
      <c r="V83" s="23"/>
      <c r="W83" s="23">
        <f ca="1">IFERROR(__xludf.DUMMYFUNCTION("""COMPUTED_VALUE"""),-0.817266136257855)</f>
        <v>-0.81726613625785505</v>
      </c>
      <c r="X83" s="23"/>
      <c r="Y83" s="23">
        <f ca="1">IFERROR(__xludf.DUMMYFUNCTION("""COMPUTED_VALUE"""),0.248629225791671)</f>
        <v>0.24862922579167099</v>
      </c>
      <c r="Z83" s="23">
        <f ca="1">IFERROR(__xludf.DUMMYFUNCTION("""COMPUTED_VALUE"""),-0.461751869866918)</f>
        <v>-0.46175186986691802</v>
      </c>
      <c r="AA83" s="23"/>
      <c r="AB83" s="23">
        <f ca="1">IFERROR(__xludf.DUMMYFUNCTION("""COMPUTED_VALUE"""),0.375474357511751)</f>
        <v>0.37547435751175101</v>
      </c>
      <c r="AC83" s="22"/>
      <c r="AD83" s="23"/>
      <c r="AE83" s="23"/>
      <c r="AF83" s="22"/>
      <c r="AG83" s="22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</row>
    <row r="84" spans="1:45" ht="27.75" customHeight="1" x14ac:dyDescent="0.4">
      <c r="A84" s="15" t="s">
        <v>27</v>
      </c>
      <c r="B84" s="15" t="s">
        <v>54</v>
      </c>
      <c r="C84" s="15" t="str">
        <f ca="1">IFERROR(__xludf.DUMMYFUNCTION("""COMPUTED_VALUE"""),"2022/06/09 (木)
平日夜間")</f>
        <v>2022/06/09 (木)
平日夜間</v>
      </c>
      <c r="D84" s="15" t="str">
        <f ca="1">IFERROR(__xludf.DUMMYFUNCTION("""COMPUTED_VALUE"""),"平日夜間")</f>
        <v>平日夜間</v>
      </c>
      <c r="E84" s="16">
        <f ca="1">IFERROR(__xludf.DUMMYFUNCTION("""COMPUTED_VALUE"""),2.67550905446684)</f>
        <v>2.6755090544668398</v>
      </c>
      <c r="F84" s="15" t="s">
        <v>55</v>
      </c>
      <c r="G84" s="32">
        <v>2</v>
      </c>
      <c r="H84" s="29" t="s">
        <v>55</v>
      </c>
      <c r="I84" s="27"/>
      <c r="J84" s="27" t="s">
        <v>63</v>
      </c>
      <c r="K84" s="23" t="b">
        <f ca="1">IFERROR(__xludf.DUMMYFUNCTION("""COMPUTED_VALUE"""),TRUE)</f>
        <v>1</v>
      </c>
      <c r="L84" s="22">
        <f ca="1">IFERROR(__xludf.DUMMYFUNCTION("""COMPUTED_VALUE"""),0.702292287819301)</f>
        <v>0.70229228781930098</v>
      </c>
      <c r="M84" s="23">
        <f ca="1">IFERROR(__xludf.DUMMYFUNCTION("""COMPUTED_VALUE"""),0.430911789742944)</f>
        <v>0.43091178974294397</v>
      </c>
      <c r="N84" s="23">
        <f ca="1">IFERROR(__xludf.DUMMYFUNCTION("""COMPUTED_VALUE"""),0.0104755896253809)</f>
        <v>1.04755896253809E-2</v>
      </c>
      <c r="O84" s="23">
        <f ca="1">IFERROR(__xludf.DUMMYFUNCTION("""COMPUTED_VALUE"""),0.887785592595027)</f>
        <v>0.88778559259502698</v>
      </c>
      <c r="P84" s="23"/>
      <c r="Q84" s="24"/>
      <c r="R84" s="23">
        <f ca="1">IFERROR(__xludf.DUMMYFUNCTION("""COMPUTED_VALUE"""),-0.130746382313998)</f>
        <v>-0.13074638231399799</v>
      </c>
      <c r="S84" s="23">
        <f ca="1">IFERROR(__xludf.DUMMYFUNCTION("""COMPUTED_VALUE"""),0.100675916256645)</f>
        <v>0.100675916256645</v>
      </c>
      <c r="T84" s="23">
        <f ca="1">IFERROR(__xludf.DUMMYFUNCTION("""COMPUTED_VALUE"""),0.275154517096212)</f>
        <v>0.27515451709621203</v>
      </c>
      <c r="U84" s="23"/>
      <c r="V84" s="23"/>
      <c r="W84" s="23">
        <f ca="1">IFERROR(__xludf.DUMMYFUNCTION("""COMPUTED_VALUE"""),0.202446939391864)</f>
        <v>0.20244693939186401</v>
      </c>
      <c r="X84" s="23"/>
      <c r="Y84" s="23">
        <f ca="1">IFERROR(__xludf.DUMMYFUNCTION("""COMPUTED_VALUE"""),0.531940792733986)</f>
        <v>0.53194079273398598</v>
      </c>
      <c r="Z84" s="23">
        <f ca="1">IFERROR(__xludf.DUMMYFUNCTION("""COMPUTED_VALUE"""),-0.787884891846728)</f>
        <v>-0.78788489184672805</v>
      </c>
      <c r="AA84" s="23"/>
      <c r="AB84" s="23">
        <f ca="1">IFERROR(__xludf.DUMMYFUNCTION("""COMPUTED_VALUE"""),0.200319387828572)</f>
        <v>0.200319387828572</v>
      </c>
      <c r="AC84" s="22"/>
      <c r="AD84" s="23"/>
      <c r="AE84" s="23"/>
      <c r="AF84" s="22"/>
      <c r="AG84" s="22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</row>
    <row r="85" spans="1:45" ht="27.75" customHeight="1" x14ac:dyDescent="0.35">
      <c r="A85" s="15" t="s">
        <v>27</v>
      </c>
      <c r="B85" s="15" t="s">
        <v>54</v>
      </c>
      <c r="C85" s="15" t="str">
        <f ca="1">IFERROR(__xludf.DUMMYFUNCTION("""COMPUTED_VALUE"""),"2022/06/10 (金)
平日夜間")</f>
        <v>2022/06/10 (金)
平日夜間</v>
      </c>
      <c r="D85" s="15" t="str">
        <f ca="1">IFERROR(__xludf.DUMMYFUNCTION("""COMPUTED_VALUE"""),"平日夜間")</f>
        <v>平日夜間</v>
      </c>
      <c r="E85" s="16">
        <f ca="1">IFERROR(__xludf.DUMMYFUNCTION("""COMPUTED_VALUE"""),1.63158698474201)</f>
        <v>1.6315869847420099</v>
      </c>
      <c r="F85" s="15" t="s">
        <v>11</v>
      </c>
      <c r="G85" s="32">
        <v>1</v>
      </c>
      <c r="H85" s="27" t="s">
        <v>11</v>
      </c>
      <c r="I85" s="27"/>
      <c r="J85" s="27"/>
      <c r="K85" s="23" t="b">
        <f ca="1">IFERROR(__xludf.DUMMYFUNCTION("""COMPUTED_VALUE"""),FALSE)</f>
        <v>0</v>
      </c>
      <c r="L85" s="22">
        <f ca="1">IFERROR(__xludf.DUMMYFUNCTION("""COMPUTED_VALUE"""),-0.496448907492905)</f>
        <v>-0.49644890749290499</v>
      </c>
      <c r="M85" s="23">
        <f ca="1">IFERROR(__xludf.DUMMYFUNCTION("""COMPUTED_VALUE"""),0.843735189983735)</f>
        <v>0.84373518998373498</v>
      </c>
      <c r="N85" s="23">
        <f ca="1">IFERROR(__xludf.DUMMYFUNCTION("""COMPUTED_VALUE"""),-0.850584072128242)</f>
        <v>-0.85058407212824205</v>
      </c>
      <c r="O85" s="23">
        <f ca="1">IFERROR(__xludf.DUMMYFUNCTION("""COMPUTED_VALUE"""),-0.409927296574705)</f>
        <v>-0.409927296574705</v>
      </c>
      <c r="P85" s="23"/>
      <c r="Q85" s="24"/>
      <c r="R85" s="23">
        <f ca="1">IFERROR(__xludf.DUMMYFUNCTION("""COMPUTED_VALUE"""),-0.920398627119822)</f>
        <v>-0.92039862711982201</v>
      </c>
      <c r="S85" s="23">
        <f ca="1">IFERROR(__xludf.DUMMYFUNCTION("""COMPUTED_VALUE"""),0.714195741472437)</f>
        <v>0.71419574147243703</v>
      </c>
      <c r="T85" s="23">
        <f ca="1">IFERROR(__xludf.DUMMYFUNCTION("""COMPUTED_VALUE"""),1.63158698474201)</f>
        <v>1.6315869847420099</v>
      </c>
      <c r="U85" s="23"/>
      <c r="V85" s="23"/>
      <c r="W85" s="23">
        <f ca="1">IFERROR(__xludf.DUMMYFUNCTION("""COMPUTED_VALUE"""),-0.459919143776416)</f>
        <v>-0.45991914377641602</v>
      </c>
      <c r="X85" s="23"/>
      <c r="Y85" s="23">
        <f ca="1">IFERROR(__xludf.DUMMYFUNCTION("""COMPUTED_VALUE"""),0.95726469276355)</f>
        <v>0.95726469276354997</v>
      </c>
      <c r="Z85" s="23">
        <f ca="1">IFERROR(__xludf.DUMMYFUNCTION("""COMPUTED_VALUE"""),-0.502612262580217)</f>
        <v>-0.50261226258021696</v>
      </c>
      <c r="AA85" s="23"/>
      <c r="AB85" s="23">
        <f ca="1">IFERROR(__xludf.DUMMYFUNCTION("""COMPUTED_VALUE"""),0.0876500990596298)</f>
        <v>8.7650099059629796E-2</v>
      </c>
      <c r="AC85" s="22"/>
      <c r="AD85" s="23"/>
      <c r="AE85" s="23"/>
      <c r="AF85" s="22"/>
      <c r="AG85" s="22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</row>
    <row r="86" spans="1:45" ht="27.75" customHeight="1" x14ac:dyDescent="0.35">
      <c r="A86" s="15" t="s">
        <v>27</v>
      </c>
      <c r="B86" s="15" t="s">
        <v>54</v>
      </c>
      <c r="C86" s="15" t="str">
        <f ca="1">IFERROR(__xludf.DUMMYFUNCTION("""COMPUTED_VALUE"""),"2022/06/11 (土)
休日午前")</f>
        <v>2022/06/11 (土)
休日午前</v>
      </c>
      <c r="D86" s="15" t="str">
        <f ca="1">IFERROR(__xludf.DUMMYFUNCTION("""COMPUTED_VALUE"""),"休日午前")</f>
        <v>休日午前</v>
      </c>
      <c r="E86" s="16">
        <f ca="1">IFERROR(__xludf.DUMMYFUNCTION("""COMPUTED_VALUE"""),0.94237793861067)</f>
        <v>0.94237793861066999</v>
      </c>
      <c r="F86" s="15" t="s">
        <v>31</v>
      </c>
      <c r="G86" s="32">
        <v>0</v>
      </c>
      <c r="H86" s="27" t="s">
        <v>4</v>
      </c>
      <c r="I86" s="27"/>
      <c r="J86" s="27" t="s">
        <v>64</v>
      </c>
      <c r="K86" s="23" t="b">
        <f ca="1">IFERROR(__xludf.DUMMYFUNCTION("""COMPUTED_VALUE"""),FALSE)</f>
        <v>0</v>
      </c>
      <c r="L86" s="22">
        <f ca="1">IFERROR(__xludf.DUMMYFUNCTION("""COMPUTED_VALUE"""),-0.964172336247785)</f>
        <v>-0.96417233624778498</v>
      </c>
      <c r="M86" s="23">
        <f ca="1">IFERROR(__xludf.DUMMYFUNCTION("""COMPUTED_VALUE"""),0.927866974918003)</f>
        <v>0.92786697491800296</v>
      </c>
      <c r="N86" s="23">
        <f ca="1">IFERROR(__xludf.DUMMYFUNCTION("""COMPUTED_VALUE"""),-0.740977460107547)</f>
        <v>-0.74097746010754695</v>
      </c>
      <c r="O86" s="23">
        <f ca="1">IFERROR(__xludf.DUMMYFUNCTION("""COMPUTED_VALUE"""),-0.622243871449528)</f>
        <v>-0.62224387144952797</v>
      </c>
      <c r="P86" s="23"/>
      <c r="Q86" s="24"/>
      <c r="R86" s="23">
        <f ca="1">IFERROR(__xludf.DUMMYFUNCTION("""COMPUTED_VALUE"""),-0.788136960539501)</f>
        <v>-0.788136960539501</v>
      </c>
      <c r="S86" s="23">
        <f ca="1">IFERROR(__xludf.DUMMYFUNCTION("""COMPUTED_VALUE"""),0.731378087853287)</f>
        <v>0.73137808785328695</v>
      </c>
      <c r="T86" s="23">
        <f ca="1">IFERROR(__xludf.DUMMYFUNCTION("""COMPUTED_VALUE"""),0.102186678893742)</f>
        <v>0.102186678893742</v>
      </c>
      <c r="U86" s="23"/>
      <c r="V86" s="23"/>
      <c r="W86" s="23">
        <f ca="1">IFERROR(__xludf.DUMMYFUNCTION("""COMPUTED_VALUE"""),-0.474031287012912)</f>
        <v>-0.47403128701291197</v>
      </c>
      <c r="X86" s="23"/>
      <c r="Y86" s="23">
        <f ca="1">IFERROR(__xludf.DUMMYFUNCTION("""COMPUTED_VALUE"""),-0.915344547229683)</f>
        <v>-0.91534454722968295</v>
      </c>
      <c r="Z86" s="23">
        <f ca="1">IFERROR(__xludf.DUMMYFUNCTION("""COMPUTED_VALUE"""),0.497848893709967)</f>
        <v>0.49784889370996699</v>
      </c>
      <c r="AA86" s="23"/>
      <c r="AB86" s="23">
        <f ca="1">IFERROR(__xludf.DUMMYFUNCTION("""COMPUTED_VALUE"""),0.0556183183865204)</f>
        <v>5.5618318386520399E-2</v>
      </c>
      <c r="AC86" s="22"/>
      <c r="AD86" s="23"/>
      <c r="AE86" s="23"/>
      <c r="AF86" s="22"/>
      <c r="AG86" s="22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</row>
    <row r="87" spans="1:45" ht="27.75" customHeight="1" x14ac:dyDescent="0.35">
      <c r="A87" s="15" t="s">
        <v>27</v>
      </c>
      <c r="B87" s="15" t="s">
        <v>54</v>
      </c>
      <c r="C87" s="15" t="str">
        <f ca="1">IFERROR(__xludf.DUMMYFUNCTION("""COMPUTED_VALUE"""),"2022/06/11 (土)
休日午後")</f>
        <v>2022/06/11 (土)
休日午後</v>
      </c>
      <c r="D87" s="15" t="str">
        <f ca="1">IFERROR(__xludf.DUMMYFUNCTION("""COMPUTED_VALUE"""),"休日午後")</f>
        <v>休日午後</v>
      </c>
      <c r="E87" s="16">
        <f ca="1">IFERROR(__xludf.DUMMYFUNCTION("""COMPUTED_VALUE"""),0.948859793208739)</f>
        <v>0.94885979320873903</v>
      </c>
      <c r="F87" s="15" t="s">
        <v>31</v>
      </c>
      <c r="G87" s="32">
        <v>-1</v>
      </c>
      <c r="H87" s="27" t="s">
        <v>55</v>
      </c>
      <c r="I87" s="27"/>
      <c r="J87" s="27" t="s">
        <v>64</v>
      </c>
      <c r="K87" s="23" t="b">
        <f ca="1">IFERROR(__xludf.DUMMYFUNCTION("""COMPUTED_VALUE"""),FALSE)</f>
        <v>0</v>
      </c>
      <c r="L87" s="22">
        <f ca="1">IFERROR(__xludf.DUMMYFUNCTION("""COMPUTED_VALUE"""),-0.340562566612606)</f>
        <v>-0.34056256661260598</v>
      </c>
      <c r="M87" s="23">
        <f ca="1">IFERROR(__xludf.DUMMYFUNCTION("""COMPUTED_VALUE"""),-0.901198132318779)</f>
        <v>-0.90119813231877899</v>
      </c>
      <c r="N87" s="23">
        <f ca="1">IFERROR(__xludf.DUMMYFUNCTION("""COMPUTED_VALUE"""),-0.558534556073141)</f>
        <v>-0.55853455607314095</v>
      </c>
      <c r="O87" s="23">
        <f ca="1">IFERROR(__xludf.DUMMYFUNCTION("""COMPUTED_VALUE"""),-0.48652822301443)</f>
        <v>-0.48652822301442999</v>
      </c>
      <c r="P87" s="23"/>
      <c r="Q87" s="24"/>
      <c r="R87" s="23">
        <f ca="1">IFERROR(__xludf.DUMMYFUNCTION("""COMPUTED_VALUE"""),-0.733643364882443)</f>
        <v>-0.73364336488244297</v>
      </c>
      <c r="S87" s="23">
        <f ca="1">IFERROR(__xludf.DUMMYFUNCTION("""COMPUTED_VALUE"""),0.850836971888195)</f>
        <v>0.85083697188819496</v>
      </c>
      <c r="T87" s="23">
        <f ca="1">IFERROR(__xludf.DUMMYFUNCTION("""COMPUTED_VALUE"""),0.180431554894016)</f>
        <v>0.18043155489401599</v>
      </c>
      <c r="U87" s="23"/>
      <c r="V87" s="23"/>
      <c r="W87" s="23">
        <f ca="1">IFERROR(__xludf.DUMMYFUNCTION("""COMPUTED_VALUE"""),-0.521751239620429)</f>
        <v>-0.52175123962042902</v>
      </c>
      <c r="X87" s="23"/>
      <c r="Y87" s="23">
        <f ca="1">IFERROR(__xludf.DUMMYFUNCTION("""COMPUTED_VALUE"""),-0.000762209567638061)</f>
        <v>-7.6220956763806103E-4</v>
      </c>
      <c r="Z87" s="23">
        <f ca="1">IFERROR(__xludf.DUMMYFUNCTION("""COMPUTED_VALUE"""),0.710293735352056)</f>
        <v>0.71029373535205598</v>
      </c>
      <c r="AA87" s="23"/>
      <c r="AB87" s="23">
        <f ca="1">IFERROR(__xludf.DUMMYFUNCTION("""COMPUTED_VALUE"""),0.173882628984552)</f>
        <v>0.17388262898455201</v>
      </c>
      <c r="AC87" s="22"/>
      <c r="AD87" s="23"/>
      <c r="AE87" s="23"/>
      <c r="AF87" s="22"/>
      <c r="AG87" s="22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</row>
    <row r="88" spans="1:45" ht="27.75" customHeight="1" x14ac:dyDescent="0.35">
      <c r="A88" s="15" t="s">
        <v>27</v>
      </c>
      <c r="B88" s="15" t="s">
        <v>54</v>
      </c>
      <c r="C88" s="15" t="str">
        <f ca="1">IFERROR(__xludf.DUMMYFUNCTION("""COMPUTED_VALUE"""),"2022/06/12 (日)
休日午前")</f>
        <v>2022/06/12 (日)
休日午前</v>
      </c>
      <c r="D88" s="15" t="str">
        <f ca="1">IFERROR(__xludf.DUMMYFUNCTION("""COMPUTED_VALUE"""),"休日午前")</f>
        <v>休日午前</v>
      </c>
      <c r="E88" s="16">
        <f ca="1">IFERROR(__xludf.DUMMYFUNCTION("""COMPUTED_VALUE"""),1.4301500735925)</f>
        <v>1.4301500735924999</v>
      </c>
      <c r="F88" s="15" t="s">
        <v>13</v>
      </c>
      <c r="G88" s="32">
        <v>1</v>
      </c>
      <c r="H88" s="27" t="s">
        <v>13</v>
      </c>
      <c r="I88" s="27"/>
      <c r="J88" s="27" t="s">
        <v>65</v>
      </c>
      <c r="K88" s="23" t="b">
        <f ca="1">IFERROR(__xludf.DUMMYFUNCTION("""COMPUTED_VALUE"""),FALSE)</f>
        <v>0</v>
      </c>
      <c r="L88" s="22">
        <f ca="1">IFERROR(__xludf.DUMMYFUNCTION("""COMPUTED_VALUE"""),-0.11680576023775)</f>
        <v>-0.11680576023774999</v>
      </c>
      <c r="M88" s="23">
        <f ca="1">IFERROR(__xludf.DUMMYFUNCTION("""COMPUTED_VALUE"""),-0.994160180101222)</f>
        <v>-0.99416018010122198</v>
      </c>
      <c r="N88" s="23">
        <f ca="1">IFERROR(__xludf.DUMMYFUNCTION("""COMPUTED_VALUE"""),-0.297540176468509)</f>
        <v>-0.297540176468509</v>
      </c>
      <c r="O88" s="23">
        <f ca="1">IFERROR(__xludf.DUMMYFUNCTION("""COMPUTED_VALUE"""),-0.0136085603115445)</f>
        <v>-1.3608560311544501E-2</v>
      </c>
      <c r="P88" s="23"/>
      <c r="Q88" s="24"/>
      <c r="R88" s="23">
        <f ca="1">IFERROR(__xludf.DUMMYFUNCTION("""COMPUTED_VALUE"""),-0.622906199375705)</f>
        <v>-0.62290619937570502</v>
      </c>
      <c r="S88" s="23">
        <f ca="1">IFERROR(__xludf.DUMMYFUNCTION("""COMPUTED_VALUE"""),0.929857438839419)</f>
        <v>0.92985743883941896</v>
      </c>
      <c r="T88" s="23">
        <f ca="1">IFERROR(__xludf.DUMMYFUNCTION("""COMPUTED_VALUE"""),0.475120103789367)</f>
        <v>0.47512010378936698</v>
      </c>
      <c r="U88" s="23"/>
      <c r="V88" s="23"/>
      <c r="W88" s="23">
        <f ca="1">IFERROR(__xludf.DUMMYFUNCTION("""COMPUTED_VALUE"""),1.22461597073085)</f>
        <v>1.2246159707308499</v>
      </c>
      <c r="X88" s="23"/>
      <c r="Y88" s="23">
        <f ca="1">IFERROR(__xludf.DUMMYFUNCTION("""COMPUTED_VALUE"""),0.182235570980071)</f>
        <v>0.18223557098007101</v>
      </c>
      <c r="Z88" s="23">
        <f ca="1">IFERROR(__xludf.DUMMYFUNCTION("""COMPUTED_VALUE"""),0.652287295253477)</f>
        <v>0.65228729525347695</v>
      </c>
      <c r="AA88" s="23"/>
      <c r="AB88" s="23">
        <f ca="1">IFERROR(__xludf.DUMMYFUNCTION("""COMPUTED_VALUE"""),0.0624081850194171)</f>
        <v>6.2408185019417098E-2</v>
      </c>
      <c r="AC88" s="22"/>
      <c r="AD88" s="23"/>
      <c r="AE88" s="23"/>
      <c r="AF88" s="22"/>
      <c r="AG88" s="22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</row>
    <row r="89" spans="1:45" ht="27.75" customHeight="1" x14ac:dyDescent="0.35">
      <c r="A89" s="15" t="s">
        <v>27</v>
      </c>
      <c r="B89" s="15" t="s">
        <v>54</v>
      </c>
      <c r="C89" s="15" t="str">
        <f ca="1">IFERROR(__xludf.DUMMYFUNCTION("""COMPUTED_VALUE"""),"2022/06/12 (日)
休日午後")</f>
        <v>2022/06/12 (日)
休日午後</v>
      </c>
      <c r="D89" s="15" t="str">
        <f ca="1">IFERROR(__xludf.DUMMYFUNCTION("""COMPUTED_VALUE"""),"休日午後")</f>
        <v>休日午後</v>
      </c>
      <c r="E89" s="16">
        <f ca="1">IFERROR(__xludf.DUMMYFUNCTION("""COMPUTED_VALUE"""),0.936792046155719)</f>
        <v>0.93679204615571898</v>
      </c>
      <c r="F89" s="15" t="s">
        <v>2</v>
      </c>
      <c r="G89" s="32">
        <v>0</v>
      </c>
      <c r="H89" s="27" t="s">
        <v>2</v>
      </c>
      <c r="I89" s="27"/>
      <c r="J89" s="27" t="s">
        <v>65</v>
      </c>
      <c r="K89" s="23" t="b">
        <f ca="1">IFERROR(__xludf.DUMMYFUNCTION("""COMPUTED_VALUE"""),FALSE)</f>
        <v>0</v>
      </c>
      <c r="L89" s="22">
        <f ca="1">IFERROR(__xludf.DUMMYFUNCTION("""COMPUTED_VALUE"""),-0.881554921805792)</f>
        <v>-0.88155492180579198</v>
      </c>
      <c r="M89" s="23">
        <f ca="1">IFERROR(__xludf.DUMMYFUNCTION("""COMPUTED_VALUE"""),-0.211921475110699)</f>
        <v>-0.211921475110699</v>
      </c>
      <c r="N89" s="23">
        <f ca="1">IFERROR(__xludf.DUMMYFUNCTION("""COMPUTED_VALUE"""),-0.457799758714294)</f>
        <v>-0.45779975871429401</v>
      </c>
      <c r="O89" s="23">
        <f ca="1">IFERROR(__xludf.DUMMYFUNCTION("""COMPUTED_VALUE"""),-0.526907559989147)</f>
        <v>-0.52690755998914696</v>
      </c>
      <c r="P89" s="23"/>
      <c r="Q89" s="24"/>
      <c r="R89" s="23">
        <f ca="1">IFERROR(__xludf.DUMMYFUNCTION("""COMPUTED_VALUE"""),-0.884578320585896)</f>
        <v>-0.88457832058589603</v>
      </c>
      <c r="S89" s="23">
        <f ca="1">IFERROR(__xludf.DUMMYFUNCTION("""COMPUTED_VALUE"""),0.106508871830337)</f>
        <v>0.106508871830337</v>
      </c>
      <c r="T89" s="23">
        <f ca="1">IFERROR(__xludf.DUMMYFUNCTION("""COMPUTED_VALUE"""),0.203689025579298)</f>
        <v>0.20368902557929799</v>
      </c>
      <c r="U89" s="23"/>
      <c r="V89" s="23"/>
      <c r="W89" s="23">
        <f ca="1">IFERROR(__xludf.DUMMYFUNCTION("""COMPUTED_VALUE"""),0.601642612310706)</f>
        <v>0.60164261231070604</v>
      </c>
      <c r="X89" s="23"/>
      <c r="Y89" s="23">
        <f ca="1">IFERROR(__xludf.DUMMYFUNCTION("""COMPUTED_VALUE"""),0.688406989596684)</f>
        <v>0.688406989596684</v>
      </c>
      <c r="Z89" s="23">
        <f ca="1">IFERROR(__xludf.DUMMYFUNCTION("""COMPUTED_VALUE"""),0.0362608555623056)</f>
        <v>3.6260855562305599E-2</v>
      </c>
      <c r="AA89" s="23"/>
      <c r="AB89" s="23">
        <f ca="1">IFERROR(__xludf.DUMMYFUNCTION("""COMPUTED_VALUE"""),0.522418511554319)</f>
        <v>0.52241851155431895</v>
      </c>
      <c r="AC89" s="22"/>
      <c r="AD89" s="23"/>
      <c r="AE89" s="23"/>
      <c r="AF89" s="22"/>
      <c r="AG89" s="22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</row>
    <row r="90" spans="1:45" ht="27.75" customHeight="1" x14ac:dyDescent="0.35">
      <c r="A90" s="15" t="s">
        <v>27</v>
      </c>
      <c r="B90" s="15" t="s">
        <v>54</v>
      </c>
      <c r="C90" s="15" t="str">
        <f ca="1">IFERROR(__xludf.DUMMYFUNCTION("""COMPUTED_VALUE"""),"2022/06/13 (月)
平日夜間")</f>
        <v>2022/06/13 (月)
平日夜間</v>
      </c>
      <c r="D90" s="15" t="str">
        <f ca="1">IFERROR(__xludf.DUMMYFUNCTION("""COMPUTED_VALUE"""),"平日夜間")</f>
        <v>平日夜間</v>
      </c>
      <c r="E90" s="16">
        <f ca="1">IFERROR(__xludf.DUMMYFUNCTION("""COMPUTED_VALUE"""),0.895410165410704)</f>
        <v>0.89541016541070395</v>
      </c>
      <c r="F90" s="15" t="s">
        <v>31</v>
      </c>
      <c r="G90" s="32">
        <v>0</v>
      </c>
      <c r="H90" s="27" t="s">
        <v>29</v>
      </c>
      <c r="I90" s="27"/>
      <c r="J90" s="27" t="s">
        <v>44</v>
      </c>
      <c r="K90" s="23" t="b">
        <f ca="1">IFERROR(__xludf.DUMMYFUNCTION("""COMPUTED_VALUE"""),FALSE)</f>
        <v>0</v>
      </c>
      <c r="L90" s="22">
        <f ca="1">IFERROR(__xludf.DUMMYFUNCTION("""COMPUTED_VALUE"""),0.399158549677517)</f>
        <v>0.39915854967751702</v>
      </c>
      <c r="M90" s="23">
        <f ca="1">IFERROR(__xludf.DUMMYFUNCTION("""COMPUTED_VALUE"""),0.0693266212441845)</f>
        <v>6.9326621244184497E-2</v>
      </c>
      <c r="N90" s="23">
        <f ca="1">IFERROR(__xludf.DUMMYFUNCTION("""COMPUTED_VALUE"""),0.758039859950599)</f>
        <v>0.75803985995059897</v>
      </c>
      <c r="O90" s="23">
        <f ca="1">IFERROR(__xludf.DUMMYFUNCTION("""COMPUTED_VALUE"""),-0.335958460159739)</f>
        <v>-0.33595846015973901</v>
      </c>
      <c r="P90" s="23"/>
      <c r="Q90" s="24"/>
      <c r="R90" s="23">
        <f ca="1">IFERROR(__xludf.DUMMYFUNCTION("""COMPUTED_VALUE"""),0.293532754355899)</f>
        <v>0.29353275435589898</v>
      </c>
      <c r="S90" s="23">
        <f ca="1">IFERROR(__xludf.DUMMYFUNCTION("""COMPUTED_VALUE"""),0.877042184486795)</f>
        <v>0.87704218448679505</v>
      </c>
      <c r="T90" s="23">
        <f ca="1">IFERROR(__xludf.DUMMYFUNCTION("""COMPUTED_VALUE"""),0.400092264597068)</f>
        <v>0.40009226459706798</v>
      </c>
      <c r="U90" s="23"/>
      <c r="V90" s="23"/>
      <c r="W90" s="23">
        <f ca="1">IFERROR(__xludf.DUMMYFUNCTION("""COMPUTED_VALUE"""),0.377988447234894)</f>
        <v>0.377988447234894</v>
      </c>
      <c r="X90" s="23"/>
      <c r="Y90" s="23">
        <f ca="1">IFERROR(__xludf.DUMMYFUNCTION("""COMPUTED_VALUE"""),0.434535139066524)</f>
        <v>0.43453513906652402</v>
      </c>
      <c r="Z90" s="23">
        <f ca="1">IFERROR(__xludf.DUMMYFUNCTION("""COMPUTED_VALUE"""),0.719267856136064)</f>
        <v>0.71926785613606403</v>
      </c>
      <c r="AA90" s="23"/>
      <c r="AB90" s="23">
        <f ca="1">IFERROR(__xludf.DUMMYFUNCTION("""COMPUTED_VALUE"""),0.0984316059240588)</f>
        <v>9.8431605924058793E-2</v>
      </c>
      <c r="AC90" s="22"/>
      <c r="AD90" s="23"/>
      <c r="AE90" s="23"/>
      <c r="AF90" s="22"/>
      <c r="AG90" s="22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</row>
    <row r="91" spans="1:45" ht="27.75" customHeight="1" x14ac:dyDescent="0.4">
      <c r="A91" s="15" t="s">
        <v>27</v>
      </c>
      <c r="B91" s="15" t="s">
        <v>54</v>
      </c>
      <c r="C91" s="15" t="str">
        <f ca="1">IFERROR(__xludf.DUMMYFUNCTION("""COMPUTED_VALUE"""),"2022/06/14 (火)
平日夜間")</f>
        <v>2022/06/14 (火)
平日夜間</v>
      </c>
      <c r="D91" s="15" t="str">
        <f ca="1">IFERROR(__xludf.DUMMYFUNCTION("""COMPUTED_VALUE"""),"平日夜間")</f>
        <v>平日夜間</v>
      </c>
      <c r="E91" s="16">
        <f ca="1">IFERROR(__xludf.DUMMYFUNCTION("""COMPUTED_VALUE"""),2.96726482317549)</f>
        <v>2.9672648231754901</v>
      </c>
      <c r="F91" s="15" t="s">
        <v>1</v>
      </c>
      <c r="G91" s="32">
        <v>2</v>
      </c>
      <c r="H91" s="29" t="s">
        <v>1</v>
      </c>
      <c r="I91" s="27"/>
      <c r="J91" s="27" t="s">
        <v>66</v>
      </c>
      <c r="K91" s="23" t="b">
        <f ca="1">IFERROR(__xludf.DUMMYFUNCTION("""COMPUTED_VALUE"""),TRUE)</f>
        <v>1</v>
      </c>
      <c r="L91" s="22">
        <f ca="1">IFERROR(__xludf.DUMMYFUNCTION("""COMPUTED_VALUE"""),0.929629276275993)</f>
        <v>0.92962927627599301</v>
      </c>
      <c r="M91" s="23">
        <f ca="1">IFERROR(__xludf.DUMMYFUNCTION("""COMPUTED_VALUE"""),0.560905139704052)</f>
        <v>0.56090513970405198</v>
      </c>
      <c r="N91" s="23">
        <f ca="1">IFERROR(__xludf.DUMMYFUNCTION("""COMPUTED_VALUE"""),0.0640198433795311)</f>
        <v>6.4019843379531094E-2</v>
      </c>
      <c r="O91" s="23">
        <f ca="1">IFERROR(__xludf.DUMMYFUNCTION("""COMPUTED_VALUE"""),0.784407984546591)</f>
        <v>0.784407984546591</v>
      </c>
      <c r="P91" s="23"/>
      <c r="Q91" s="24"/>
      <c r="R91" s="23">
        <f ca="1">IFERROR(__xludf.DUMMYFUNCTION("""COMPUTED_VALUE"""),0.724265806263932)</f>
        <v>0.724265806263932</v>
      </c>
      <c r="S91" s="23">
        <f ca="1">IFERROR(__xludf.DUMMYFUNCTION("""COMPUTED_VALUE"""),0.497250857083291)</f>
        <v>0.49725085708329098</v>
      </c>
      <c r="T91" s="23">
        <f ca="1">IFERROR(__xludf.DUMMYFUNCTION("""COMPUTED_VALUE"""),0.242083839929545)</f>
        <v>0.24208383992954499</v>
      </c>
      <c r="U91" s="23"/>
      <c r="V91" s="23"/>
      <c r="W91" s="23">
        <f ca="1">IFERROR(__xludf.DUMMYFUNCTION("""COMPUTED_VALUE"""),0.0970518123958428)</f>
        <v>9.7051812395842804E-2</v>
      </c>
      <c r="X91" s="23"/>
      <c r="Y91" s="23">
        <f ca="1">IFERROR(__xludf.DUMMYFUNCTION("""COMPUTED_VALUE"""),0.695837786953705)</f>
        <v>0.69583778695370502</v>
      </c>
      <c r="Z91" s="23">
        <f ca="1">IFERROR(__xludf.DUMMYFUNCTION("""COMPUTED_VALUE"""),0.262385600367447)</f>
        <v>0.26238560036744701</v>
      </c>
      <c r="AA91" s="23"/>
      <c r="AB91" s="23">
        <f ca="1">IFERROR(__xludf.DUMMYFUNCTION("""COMPUTED_VALUE"""),0.974827575809825)</f>
        <v>0.97482757580982504</v>
      </c>
      <c r="AC91" s="22"/>
      <c r="AD91" s="23"/>
      <c r="AE91" s="23"/>
      <c r="AF91" s="22"/>
      <c r="AG91" s="22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</row>
    <row r="92" spans="1:45" ht="27.75" customHeight="1" x14ac:dyDescent="0.4">
      <c r="A92" s="15" t="s">
        <v>27</v>
      </c>
      <c r="B92" s="15" t="s">
        <v>54</v>
      </c>
      <c r="C92" s="15" t="str">
        <f ca="1">IFERROR(__xludf.DUMMYFUNCTION("""COMPUTED_VALUE"""),"2022/06/15 (水)
平日夜間")</f>
        <v>2022/06/15 (水)
平日夜間</v>
      </c>
      <c r="D92" s="15" t="str">
        <f ca="1">IFERROR(__xludf.DUMMYFUNCTION("""COMPUTED_VALUE"""),"平日夜間")</f>
        <v>平日夜間</v>
      </c>
      <c r="E92" s="16">
        <f ca="1">IFERROR(__xludf.DUMMYFUNCTION("""COMPUTED_VALUE"""),2.4453688949358)</f>
        <v>2.4453688949357999</v>
      </c>
      <c r="F92" s="15" t="s">
        <v>19</v>
      </c>
      <c r="G92" s="32">
        <v>2</v>
      </c>
      <c r="H92" s="29" t="s">
        <v>19</v>
      </c>
      <c r="I92" s="27"/>
      <c r="J92" s="27" t="s">
        <v>42</v>
      </c>
      <c r="K92" s="23" t="b">
        <f ca="1">IFERROR(__xludf.DUMMYFUNCTION("""COMPUTED_VALUE"""),TRUE)</f>
        <v>1</v>
      </c>
      <c r="L92" s="22">
        <f ca="1">IFERROR(__xludf.DUMMYFUNCTION("""COMPUTED_VALUE"""),0.934054660052645)</f>
        <v>0.93405466005264504</v>
      </c>
      <c r="M92" s="23">
        <f ca="1">IFERROR(__xludf.DUMMYFUNCTION("""COMPUTED_VALUE"""),0.91848319258475)</f>
        <v>0.91848319258474997</v>
      </c>
      <c r="N92" s="23">
        <f ca="1">IFERROR(__xludf.DUMMYFUNCTION("""COMPUTED_VALUE"""),0.14750066179116)</f>
        <v>0.14750066179116</v>
      </c>
      <c r="O92" s="23">
        <f ca="1">IFERROR(__xludf.DUMMYFUNCTION("""COMPUTED_VALUE"""),2.4453688949358)</f>
        <v>2.4453688949357999</v>
      </c>
      <c r="P92" s="23"/>
      <c r="Q92" s="24"/>
      <c r="R92" s="23">
        <f ca="1">IFERROR(__xludf.DUMMYFUNCTION("""COMPUTED_VALUE"""),0.386354632977312)</f>
        <v>0.38635463297731198</v>
      </c>
      <c r="S92" s="23">
        <f ca="1">IFERROR(__xludf.DUMMYFUNCTION("""COMPUTED_VALUE"""),0.345290276998165)</f>
        <v>0.345290276998165</v>
      </c>
      <c r="T92" s="23">
        <f ca="1">IFERROR(__xludf.DUMMYFUNCTION("""COMPUTED_VALUE"""),0.7683695103746)</f>
        <v>0.7683695103746</v>
      </c>
      <c r="U92" s="23"/>
      <c r="V92" s="23"/>
      <c r="W92" s="23">
        <f ca="1">IFERROR(__xludf.DUMMYFUNCTION("""COMPUTED_VALUE"""),-0.63070438496346)</f>
        <v>-0.63070438496346004</v>
      </c>
      <c r="X92" s="23"/>
      <c r="Y92" s="23">
        <f ca="1">IFERROR(__xludf.DUMMYFUNCTION("""COMPUTED_VALUE"""),-0.740998670774653)</f>
        <v>-0.74099867077465298</v>
      </c>
      <c r="Z92" s="23">
        <f ca="1">IFERROR(__xludf.DUMMYFUNCTION("""COMPUTED_VALUE"""),1.10306452280259)</f>
        <v>1.1030645228025899</v>
      </c>
      <c r="AA92" s="23"/>
      <c r="AB92" s="23">
        <f ca="1">IFERROR(__xludf.DUMMYFUNCTION("""COMPUTED_VALUE"""),0.0132835825535866)</f>
        <v>1.3283582553586601E-2</v>
      </c>
      <c r="AC92" s="22"/>
      <c r="AD92" s="23"/>
      <c r="AE92" s="23"/>
      <c r="AF92" s="22"/>
      <c r="AG92" s="22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</row>
    <row r="93" spans="1:45" ht="27.75" customHeight="1" x14ac:dyDescent="0.4">
      <c r="A93" s="15" t="s">
        <v>27</v>
      </c>
      <c r="B93" s="15" t="s">
        <v>54</v>
      </c>
      <c r="C93" s="15" t="str">
        <f ca="1">IFERROR(__xludf.DUMMYFUNCTION("""COMPUTED_VALUE"""),"2022/06/16 (木)
平日夜間")</f>
        <v>2022/06/16 (木)
平日夜間</v>
      </c>
      <c r="D93" s="15" t="str">
        <f ca="1">IFERROR(__xludf.DUMMYFUNCTION("""COMPUTED_VALUE"""),"平日夜間")</f>
        <v>平日夜間</v>
      </c>
      <c r="E93" s="16">
        <f ca="1">IFERROR(__xludf.DUMMYFUNCTION("""COMPUTED_VALUE"""),2.97052339532477)</f>
        <v>2.9705233953247698</v>
      </c>
      <c r="F93" s="15" t="s">
        <v>38</v>
      </c>
      <c r="G93" s="32">
        <v>2</v>
      </c>
      <c r="H93" s="29" t="s">
        <v>38</v>
      </c>
      <c r="I93" s="27"/>
      <c r="J93" s="27" t="s">
        <v>47</v>
      </c>
      <c r="K93" s="23" t="b">
        <f ca="1">IFERROR(__xludf.DUMMYFUNCTION("""COMPUTED_VALUE"""),TRUE)</f>
        <v>1</v>
      </c>
      <c r="L93" s="22">
        <f ca="1">IFERROR(__xludf.DUMMYFUNCTION("""COMPUTED_VALUE"""),0.854062181085816)</f>
        <v>0.854062181085816</v>
      </c>
      <c r="M93" s="23">
        <f ca="1">IFERROR(__xludf.DUMMYFUNCTION("""COMPUTED_VALUE"""),0.704228856132726)</f>
        <v>0.70422885613272601</v>
      </c>
      <c r="N93" s="23">
        <f ca="1">IFERROR(__xludf.DUMMYFUNCTION("""COMPUTED_VALUE"""),0.43639881489301)</f>
        <v>0.43639881489301002</v>
      </c>
      <c r="O93" s="23">
        <f ca="1">IFERROR(__xludf.DUMMYFUNCTION("""COMPUTED_VALUE"""),0.771847307381574)</f>
        <v>0.77184730738157403</v>
      </c>
      <c r="P93" s="23"/>
      <c r="Q93" s="24"/>
      <c r="R93" s="23">
        <f ca="1">IFERROR(__xludf.DUMMYFUNCTION("""COMPUTED_VALUE"""),-0.838343626405768)</f>
        <v>-0.83834362640576798</v>
      </c>
      <c r="S93" s="23">
        <f ca="1">IFERROR(__xludf.DUMMYFUNCTION("""COMPUTED_VALUE"""),0.747695993759792)</f>
        <v>0.74769599375979201</v>
      </c>
      <c r="T93" s="23">
        <f ca="1">IFERROR(__xludf.DUMMYFUNCTION("""COMPUTED_VALUE"""),0.724988729144186)</f>
        <v>0.72498872914418599</v>
      </c>
      <c r="U93" s="23"/>
      <c r="V93" s="23"/>
      <c r="W93" s="23">
        <f ca="1">IFERROR(__xludf.DUMMYFUNCTION("""COMPUTED_VALUE"""),0.355838730024583)</f>
        <v>0.35583873002458299</v>
      </c>
      <c r="X93" s="23"/>
      <c r="Y93" s="23">
        <f ca="1">IFERROR(__xludf.DUMMYFUNCTION("""COMPUTED_VALUE"""),0.569178149966923)</f>
        <v>0.56917814996692295</v>
      </c>
      <c r="Z93" s="23">
        <f ca="1">IFERROR(__xludf.DUMMYFUNCTION("""COMPUTED_VALUE"""),1.11514964895378)</f>
        <v>1.11514964895378</v>
      </c>
      <c r="AA93" s="23"/>
      <c r="AB93" s="23">
        <f ca="1">IFERROR(__xludf.DUMMYFUNCTION("""COMPUTED_VALUE"""),0.322434210028242)</f>
        <v>0.32243421002824202</v>
      </c>
      <c r="AC93" s="22"/>
      <c r="AD93" s="23"/>
      <c r="AE93" s="23"/>
      <c r="AF93" s="22"/>
      <c r="AG93" s="22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</row>
    <row r="94" spans="1:45" ht="27.75" customHeight="1" x14ac:dyDescent="0.4">
      <c r="A94" s="15" t="s">
        <v>27</v>
      </c>
      <c r="B94" s="15" t="s">
        <v>54</v>
      </c>
      <c r="C94" s="15" t="str">
        <f ca="1">IFERROR(__xludf.DUMMYFUNCTION("""COMPUTED_VALUE"""),"2022/06/17 (金)
平日夜間")</f>
        <v>2022/06/17 (金)
平日夜間</v>
      </c>
      <c r="D94" s="15" t="str">
        <f ca="1">IFERROR(__xludf.DUMMYFUNCTION("""COMPUTED_VALUE"""),"平日夜間")</f>
        <v>平日夜間</v>
      </c>
      <c r="E94" s="16">
        <f ca="1">IFERROR(__xludf.DUMMYFUNCTION("""COMPUTED_VALUE"""),2.5190259241359)</f>
        <v>2.5190259241358999</v>
      </c>
      <c r="F94" s="15" t="s">
        <v>2</v>
      </c>
      <c r="G94" s="32">
        <v>0</v>
      </c>
      <c r="H94" s="29" t="s">
        <v>2</v>
      </c>
      <c r="I94" s="27"/>
      <c r="J94" s="27" t="s">
        <v>67</v>
      </c>
      <c r="K94" s="23" t="b">
        <f ca="1">IFERROR(__xludf.DUMMYFUNCTION("""COMPUTED_VALUE"""),FALSE)</f>
        <v>0</v>
      </c>
      <c r="L94" s="22">
        <f ca="1">IFERROR(__xludf.DUMMYFUNCTION("""COMPUTED_VALUE"""),0.757655495909222)</f>
        <v>0.75765549590922199</v>
      </c>
      <c r="M94" s="23">
        <f ca="1">IFERROR(__xludf.DUMMYFUNCTION("""COMPUTED_VALUE"""),0.678626650398138)</f>
        <v>0.67862665039813796</v>
      </c>
      <c r="N94" s="23">
        <f ca="1">IFERROR(__xludf.DUMMYFUNCTION("""COMPUTED_VALUE"""),0.13243954422595)</f>
        <v>0.13243954422595</v>
      </c>
      <c r="O94" s="23">
        <f ca="1">IFERROR(__xludf.DUMMYFUNCTION("""COMPUTED_VALUE"""),0.400315620905903)</f>
        <v>0.400315620905903</v>
      </c>
      <c r="P94" s="23"/>
      <c r="Q94" s="24"/>
      <c r="R94" s="23">
        <f ca="1">IFERROR(__xludf.DUMMYFUNCTION("""COMPUTED_VALUE"""),-0.115147631120817)</f>
        <v>-0.115147631120817</v>
      </c>
      <c r="S94" s="23">
        <f ca="1">IFERROR(__xludf.DUMMYFUNCTION("""COMPUTED_VALUE"""),0.0860623051515783)</f>
        <v>8.6062305151578297E-2</v>
      </c>
      <c r="T94" s="23">
        <f ca="1">IFERROR(__xludf.DUMMYFUNCTION("""COMPUTED_VALUE"""),0.464315062371305)</f>
        <v>0.46431506237130499</v>
      </c>
      <c r="U94" s="23"/>
      <c r="V94" s="23"/>
      <c r="W94" s="23">
        <f ca="1">IFERROR(__xludf.DUMMYFUNCTION("""COMPUTED_VALUE"""),0.0138659656912019)</f>
        <v>1.38659656912019E-2</v>
      </c>
      <c r="X94" s="23"/>
      <c r="Y94" s="23">
        <f ca="1">IFERROR(__xludf.DUMMYFUNCTION("""COMPUTED_VALUE"""),0.196279273265559)</f>
        <v>0.196279273265559</v>
      </c>
      <c r="Z94" s="23">
        <f ca="1">IFERROR(__xludf.DUMMYFUNCTION("""COMPUTED_VALUE"""),-0.266194136459164)</f>
        <v>-0.26619413645916401</v>
      </c>
      <c r="AA94" s="23"/>
      <c r="AB94" s="23">
        <f ca="1">IFERROR(__xludf.DUMMYFUNCTION("""COMPUTED_VALUE"""),-0.867226382481128)</f>
        <v>-0.86722638248112804</v>
      </c>
      <c r="AC94" s="22"/>
      <c r="AD94" s="23"/>
      <c r="AE94" s="23"/>
      <c r="AF94" s="22"/>
      <c r="AG94" s="22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</row>
    <row r="95" spans="1:45" ht="27.75" customHeight="1" x14ac:dyDescent="0.35">
      <c r="A95" s="15" t="s">
        <v>27</v>
      </c>
      <c r="B95" s="15" t="s">
        <v>54</v>
      </c>
      <c r="C95" s="15" t="str">
        <f ca="1">IFERROR(__xludf.DUMMYFUNCTION("""COMPUTED_VALUE"""),"2022/06/18 (土)
休日午前")</f>
        <v>2022/06/18 (土)
休日午前</v>
      </c>
      <c r="D95" s="15" t="str">
        <f ca="1">IFERROR(__xludf.DUMMYFUNCTION("""COMPUTED_VALUE"""),"休日午前")</f>
        <v>休日午前</v>
      </c>
      <c r="E95" s="16">
        <f ca="1">IFERROR(__xludf.DUMMYFUNCTION("""COMPUTED_VALUE"""),1.73229012052015)</f>
        <v>1.73229012052015</v>
      </c>
      <c r="F95" s="15" t="s">
        <v>13</v>
      </c>
      <c r="G95" s="32">
        <v>0</v>
      </c>
      <c r="H95" s="27" t="s">
        <v>31</v>
      </c>
      <c r="I95" s="27"/>
      <c r="J95" s="27" t="s">
        <v>68</v>
      </c>
      <c r="K95" s="23" t="b">
        <f ca="1">IFERROR(__xludf.DUMMYFUNCTION("""COMPUTED_VALUE"""),FALSE)</f>
        <v>0</v>
      </c>
      <c r="L95" s="22">
        <f ca="1">IFERROR(__xludf.DUMMYFUNCTION("""COMPUTED_VALUE"""),0.498602794923549)</f>
        <v>0.49860279492354898</v>
      </c>
      <c r="M95" s="23">
        <f ca="1">IFERROR(__xludf.DUMMYFUNCTION("""COMPUTED_VALUE"""),0.317914400513387)</f>
        <v>0.31791440051338699</v>
      </c>
      <c r="N95" s="23">
        <f ca="1">IFERROR(__xludf.DUMMYFUNCTION("""COMPUTED_VALUE"""),-0.540583806103232)</f>
        <v>-0.54058380610323198</v>
      </c>
      <c r="O95" s="23">
        <f ca="1">IFERROR(__xludf.DUMMYFUNCTION("""COMPUTED_VALUE"""),0.498491747511558)</f>
        <v>0.498491747511558</v>
      </c>
      <c r="P95" s="23"/>
      <c r="Q95" s="24"/>
      <c r="R95" s="23">
        <f ca="1">IFERROR(__xludf.DUMMYFUNCTION("""COMPUTED_VALUE"""),-0.645890049051627)</f>
        <v>-0.64589004905162695</v>
      </c>
      <c r="S95" s="23">
        <f ca="1">IFERROR(__xludf.DUMMYFUNCTION("""COMPUTED_VALUE"""),0.822253999821019)</f>
        <v>0.82225399982101899</v>
      </c>
      <c r="T95" s="23">
        <f ca="1">IFERROR(__xludf.DUMMYFUNCTION("""COMPUTED_VALUE"""),0.659296799222473)</f>
        <v>0.65929679922247297</v>
      </c>
      <c r="U95" s="23"/>
      <c r="V95" s="23"/>
      <c r="W95" s="23">
        <f ca="1">IFERROR(__xludf.DUMMYFUNCTION("""COMPUTED_VALUE"""),1.23408697557078)</f>
        <v>1.23408697557078</v>
      </c>
      <c r="X95" s="23"/>
      <c r="Y95" s="23">
        <f ca="1">IFERROR(__xludf.DUMMYFUNCTION("""COMPUTED_VALUE"""),-0.794096161035214)</f>
        <v>-0.79409616103521397</v>
      </c>
      <c r="Z95" s="23">
        <f ca="1">IFERROR(__xludf.DUMMYFUNCTION("""COMPUTED_VALUE"""),-0.0967898063384351)</f>
        <v>-9.6789806338435105E-2</v>
      </c>
      <c r="AA95" s="23"/>
      <c r="AB95" s="23">
        <f ca="1">IFERROR(__xludf.DUMMYFUNCTION("""COMPUTED_VALUE"""),-0.351104564045393)</f>
        <v>-0.35110456404539298</v>
      </c>
      <c r="AC95" s="22"/>
      <c r="AD95" s="23"/>
      <c r="AE95" s="23"/>
      <c r="AF95" s="22"/>
      <c r="AG95" s="22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</row>
    <row r="96" spans="1:45" ht="27.75" customHeight="1" x14ac:dyDescent="0.4">
      <c r="A96" s="15" t="s">
        <v>27</v>
      </c>
      <c r="B96" s="15" t="s">
        <v>54</v>
      </c>
      <c r="C96" s="15" t="str">
        <f ca="1">IFERROR(__xludf.DUMMYFUNCTION("""COMPUTED_VALUE"""),"2022/06/18 (土)
休日午後")</f>
        <v>2022/06/18 (土)
休日午後</v>
      </c>
      <c r="D96" s="15" t="str">
        <f ca="1">IFERROR(__xludf.DUMMYFUNCTION("""COMPUTED_VALUE"""),"休日午後")</f>
        <v>休日午後</v>
      </c>
      <c r="E96" s="16">
        <f ca="1">IFERROR(__xludf.DUMMYFUNCTION("""COMPUTED_VALUE"""),2.6444203852304)</f>
        <v>2.6444203852303998</v>
      </c>
      <c r="F96" s="15" t="s">
        <v>29</v>
      </c>
      <c r="G96" s="32">
        <v>2</v>
      </c>
      <c r="H96" s="29" t="s">
        <v>29</v>
      </c>
      <c r="I96" s="27"/>
      <c r="J96" s="27" t="s">
        <v>68</v>
      </c>
      <c r="K96" s="23" t="b">
        <f ca="1">IFERROR(__xludf.DUMMYFUNCTION("""COMPUTED_VALUE"""),TRUE)</f>
        <v>1</v>
      </c>
      <c r="L96" s="22">
        <f ca="1">IFERROR(__xludf.DUMMYFUNCTION("""COMPUTED_VALUE"""),0.170425484860098)</f>
        <v>0.17042548486009801</v>
      </c>
      <c r="M96" s="23">
        <f ca="1">IFERROR(__xludf.DUMMYFUNCTION("""COMPUTED_VALUE"""),-0.886302246822006)</f>
        <v>-0.88630224682200598</v>
      </c>
      <c r="N96" s="23">
        <f ca="1">IFERROR(__xludf.DUMMYFUNCTION("""COMPUTED_VALUE"""),-0.724986594864029)</f>
        <v>-0.72498659486402905</v>
      </c>
      <c r="O96" s="23">
        <f ca="1">IFERROR(__xludf.DUMMYFUNCTION("""COMPUTED_VALUE"""),0.141597299766591)</f>
        <v>0.14159729976659099</v>
      </c>
      <c r="P96" s="23"/>
      <c r="Q96" s="24"/>
      <c r="R96" s="23">
        <f ca="1">IFERROR(__xludf.DUMMYFUNCTION("""COMPUTED_VALUE"""),-0.731707336123097)</f>
        <v>-0.73170733612309702</v>
      </c>
      <c r="S96" s="23">
        <f ca="1">IFERROR(__xludf.DUMMYFUNCTION("""COMPUTED_VALUE"""),0.836070546181497)</f>
        <v>0.83607054618149701</v>
      </c>
      <c r="T96" s="23">
        <f ca="1">IFERROR(__xludf.DUMMYFUNCTION("""COMPUTED_VALUE"""),0.396289555082393)</f>
        <v>0.396289555082393</v>
      </c>
      <c r="U96" s="23"/>
      <c r="V96" s="23"/>
      <c r="W96" s="23">
        <f ca="1">IFERROR(__xludf.DUMMYFUNCTION("""COMPUTED_VALUE"""),0.0790725785544605)</f>
        <v>7.9072578554460496E-2</v>
      </c>
      <c r="X96" s="23"/>
      <c r="Y96" s="23">
        <f ca="1">IFERROR(__xludf.DUMMYFUNCTION("""COMPUTED_VALUE"""),-0.461087994511397)</f>
        <v>-0.46108799451139698</v>
      </c>
      <c r="Z96" s="23">
        <f ca="1">IFERROR(__xludf.DUMMYFUNCTION("""COMPUTED_VALUE"""),-0.38332608284689)</f>
        <v>-0.38332608284689001</v>
      </c>
      <c r="AA96" s="23"/>
      <c r="AB96" s="23">
        <f ca="1">IFERROR(__xludf.DUMMYFUNCTION("""COMPUTED_VALUE"""),-0.750018643048581)</f>
        <v>-0.75001864304858101</v>
      </c>
      <c r="AC96" s="22"/>
      <c r="AD96" s="23"/>
      <c r="AE96" s="23"/>
      <c r="AF96" s="22"/>
      <c r="AG96" s="22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</row>
    <row r="97" spans="1:45" ht="27.75" customHeight="1" x14ac:dyDescent="0.35">
      <c r="A97" s="15" t="s">
        <v>27</v>
      </c>
      <c r="B97" s="15" t="s">
        <v>54</v>
      </c>
      <c r="C97" s="15" t="str">
        <f ca="1">IFERROR(__xludf.DUMMYFUNCTION("""COMPUTED_VALUE"""),"2022/06/19 (日)
休日午前")</f>
        <v>2022/06/19 (日)
休日午前</v>
      </c>
      <c r="D97" s="15" t="str">
        <f ca="1">IFERROR(__xludf.DUMMYFUNCTION("""COMPUTED_VALUE"""),"休日午前")</f>
        <v>休日午前</v>
      </c>
      <c r="E97" s="16">
        <f ca="1">IFERROR(__xludf.DUMMYFUNCTION("""COMPUTED_VALUE"""),1.69308401030382)</f>
        <v>1.6930840103038201</v>
      </c>
      <c r="F97" s="15" t="s">
        <v>13</v>
      </c>
      <c r="G97" s="32"/>
      <c r="H97" s="27" t="s">
        <v>16</v>
      </c>
      <c r="I97" s="27"/>
      <c r="J97" s="27" t="s">
        <v>69</v>
      </c>
      <c r="K97" s="23" t="b">
        <f ca="1">IFERROR(__xludf.DUMMYFUNCTION("""COMPUTED_VALUE"""),FALSE)</f>
        <v>0</v>
      </c>
      <c r="L97" s="22">
        <f ca="1">IFERROR(__xludf.DUMMYFUNCTION("""COMPUTED_VALUE"""),0.882486189686179)</f>
        <v>0.88248618968617898</v>
      </c>
      <c r="M97" s="23">
        <f ca="1">IFERROR(__xludf.DUMMYFUNCTION("""COMPUTED_VALUE"""),-0.970906818731023)</f>
        <v>-0.97090681873102302</v>
      </c>
      <c r="N97" s="23">
        <f ca="1">IFERROR(__xludf.DUMMYFUNCTION("""COMPUTED_VALUE"""),0.570811351281867)</f>
        <v>0.570811351281867</v>
      </c>
      <c r="O97" s="23">
        <f ca="1">IFERROR(__xludf.DUMMYFUNCTION("""COMPUTED_VALUE"""),0.446761031628485)</f>
        <v>0.44676103162848502</v>
      </c>
      <c r="P97" s="23"/>
      <c r="Q97" s="24"/>
      <c r="R97" s="23">
        <f ca="1">IFERROR(__xludf.DUMMYFUNCTION("""COMPUTED_VALUE"""),0.977106319819625)</f>
        <v>0.97710631981962504</v>
      </c>
      <c r="S97" s="23">
        <f ca="1">IFERROR(__xludf.DUMMYFUNCTION("""COMPUTED_VALUE"""),0.683706840240003)</f>
        <v>0.68370684024000306</v>
      </c>
      <c r="T97" s="23">
        <f ca="1">IFERROR(__xludf.DUMMYFUNCTION("""COMPUTED_VALUE"""),0.181444631787305)</f>
        <v>0.18144463178730499</v>
      </c>
      <c r="U97" s="23"/>
      <c r="V97" s="23"/>
      <c r="W97" s="23">
        <f ca="1">IFERROR(__xludf.DUMMYFUNCTION("""COMPUTED_VALUE"""),1.2925553377304)</f>
        <v>1.2925553377304</v>
      </c>
      <c r="X97" s="23"/>
      <c r="Y97" s="23">
        <f ca="1">IFERROR(__xludf.DUMMYFUNCTION("""COMPUTED_VALUE"""),-0.86701862546862)</f>
        <v>-0.86701862546861996</v>
      </c>
      <c r="Z97" s="23">
        <f ca="1">IFERROR(__xludf.DUMMYFUNCTION("""COMPUTED_VALUE"""),-0.392243995587196)</f>
        <v>-0.39224399558719603</v>
      </c>
      <c r="AA97" s="23"/>
      <c r="AB97" s="23">
        <f ca="1">IFERROR(__xludf.DUMMYFUNCTION("""COMPUTED_VALUE"""),-0.876659387045466)</f>
        <v>-0.87665938704546598</v>
      </c>
      <c r="AC97" s="22"/>
      <c r="AD97" s="23"/>
      <c r="AE97" s="23"/>
      <c r="AF97" s="22"/>
      <c r="AG97" s="22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</row>
    <row r="98" spans="1:45" ht="27.75" customHeight="1" x14ac:dyDescent="0.4">
      <c r="A98" s="15" t="s">
        <v>27</v>
      </c>
      <c r="B98" s="15" t="s">
        <v>54</v>
      </c>
      <c r="C98" s="15" t="str">
        <f ca="1">IFERROR(__xludf.DUMMYFUNCTION("""COMPUTED_VALUE"""),"2022/06/19 (日)
休日午後")</f>
        <v>2022/06/19 (日)
休日午後</v>
      </c>
      <c r="D98" s="15" t="str">
        <f ca="1">IFERROR(__xludf.DUMMYFUNCTION("""COMPUTED_VALUE"""),"休日午後")</f>
        <v>休日午後</v>
      </c>
      <c r="E98" s="16">
        <f ca="1">IFERROR(__xludf.DUMMYFUNCTION("""COMPUTED_VALUE"""),2.78493254933796)</f>
        <v>2.78493254933796</v>
      </c>
      <c r="F98" s="15" t="s">
        <v>15</v>
      </c>
      <c r="G98" s="32">
        <v>2</v>
      </c>
      <c r="H98" s="29" t="s">
        <v>15</v>
      </c>
      <c r="I98" s="27"/>
      <c r="J98" s="27" t="s">
        <v>69</v>
      </c>
      <c r="K98" s="23" t="b">
        <f ca="1">IFERROR(__xludf.DUMMYFUNCTION("""COMPUTED_VALUE"""),TRUE)</f>
        <v>1</v>
      </c>
      <c r="L98" s="22">
        <f ca="1">IFERROR(__xludf.DUMMYFUNCTION("""COMPUTED_VALUE"""),0.856130608067541)</f>
        <v>0.85613060806754104</v>
      </c>
      <c r="M98" s="23">
        <f ca="1">IFERROR(__xludf.DUMMYFUNCTION("""COMPUTED_VALUE"""),-0.199559469473941)</f>
        <v>-0.19955946947394099</v>
      </c>
      <c r="N98" s="23">
        <f ca="1">IFERROR(__xludf.DUMMYFUNCTION("""COMPUTED_VALUE"""),0.60076466375053)</f>
        <v>0.60076466375052995</v>
      </c>
      <c r="O98" s="23">
        <f ca="1">IFERROR(__xludf.DUMMYFUNCTION("""COMPUTED_VALUE"""),0.872958843180228)</f>
        <v>0.87295884318022798</v>
      </c>
      <c r="P98" s="23"/>
      <c r="Q98" s="24"/>
      <c r="R98" s="23">
        <f ca="1">IFERROR(__xludf.DUMMYFUNCTION("""COMPUTED_VALUE"""),2.78493254933796)</f>
        <v>2.78493254933796</v>
      </c>
      <c r="S98" s="23">
        <f ca="1">IFERROR(__xludf.DUMMYFUNCTION("""COMPUTED_VALUE"""),0.611756550882987)</f>
        <v>0.61175655088298697</v>
      </c>
      <c r="T98" s="23">
        <f ca="1">IFERROR(__xludf.DUMMYFUNCTION("""COMPUTED_VALUE"""),0.920351460860036)</f>
        <v>0.92035146086003605</v>
      </c>
      <c r="U98" s="23"/>
      <c r="V98" s="23"/>
      <c r="W98" s="23">
        <f ca="1">IFERROR(__xludf.DUMMYFUNCTION("""COMPUTED_VALUE"""),0.517590901419408)</f>
        <v>0.517590901419408</v>
      </c>
      <c r="X98" s="23"/>
      <c r="Y98" s="23">
        <f ca="1">IFERROR(__xludf.DUMMYFUNCTION("""COMPUTED_VALUE"""),-0.986482184131997)</f>
        <v>-0.98648218413199695</v>
      </c>
      <c r="Z98" s="23">
        <f ca="1">IFERROR(__xludf.DUMMYFUNCTION("""COMPUTED_VALUE"""),-0.640398460314074)</f>
        <v>-0.64039846031407399</v>
      </c>
      <c r="AA98" s="23"/>
      <c r="AB98" s="23">
        <f ca="1">IFERROR(__xludf.DUMMYFUNCTION("""COMPUTED_VALUE"""),-0.931114229009134)</f>
        <v>-0.93111422900913399</v>
      </c>
      <c r="AC98" s="22"/>
      <c r="AD98" s="23"/>
      <c r="AE98" s="23"/>
      <c r="AF98" s="22"/>
      <c r="AG98" s="22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</row>
    <row r="99" spans="1:45" ht="27.75" customHeight="1" x14ac:dyDescent="0.4">
      <c r="A99" s="15" t="s">
        <v>27</v>
      </c>
      <c r="B99" s="15" t="s">
        <v>54</v>
      </c>
      <c r="C99" s="15" t="str">
        <f ca="1">IFERROR(__xludf.DUMMYFUNCTION("""COMPUTED_VALUE"""),"2022/06/20 (月)
平日夜間")</f>
        <v>2022/06/20 (月)
平日夜間</v>
      </c>
      <c r="D99" s="15" t="str">
        <f ca="1">IFERROR(__xludf.DUMMYFUNCTION("""COMPUTED_VALUE"""),"平日夜間")</f>
        <v>平日夜間</v>
      </c>
      <c r="E99" s="16">
        <f ca="1">IFERROR(__xludf.DUMMYFUNCTION("""COMPUTED_VALUE"""),0.767690293465987)</f>
        <v>0.76769029346598705</v>
      </c>
      <c r="F99" s="15" t="s">
        <v>55</v>
      </c>
      <c r="G99" s="32">
        <v>0</v>
      </c>
      <c r="H99" s="29" t="s">
        <v>13</v>
      </c>
      <c r="I99" s="27"/>
      <c r="J99" s="27" t="s">
        <v>70</v>
      </c>
      <c r="K99" s="23" t="b">
        <f ca="1">IFERROR(__xludf.DUMMYFUNCTION("""COMPUTED_VALUE"""),TRUE)</f>
        <v>1</v>
      </c>
      <c r="L99" s="22">
        <f ca="1">IFERROR(__xludf.DUMMYFUNCTION("""COMPUTED_VALUE"""),0.173851619591759)</f>
        <v>0.17385161959175899</v>
      </c>
      <c r="M99" s="23">
        <f ca="1">IFERROR(__xludf.DUMMYFUNCTION("""COMPUTED_VALUE"""),-0.274032897193008)</f>
        <v>-0.274032897193008</v>
      </c>
      <c r="N99" s="23">
        <f ca="1">IFERROR(__xludf.DUMMYFUNCTION("""COMPUTED_VALUE"""),0.200299987383842)</f>
        <v>0.200299987383842</v>
      </c>
      <c r="O99" s="23">
        <f ca="1">IFERROR(__xludf.DUMMYFUNCTION("""COMPUTED_VALUE"""),0.294241416486131)</f>
        <v>0.294241416486131</v>
      </c>
      <c r="P99" s="23"/>
      <c r="Q99" s="24"/>
      <c r="R99" s="23">
        <f ca="1">IFERROR(__xludf.DUMMYFUNCTION("""COMPUTED_VALUE"""),0.308398066149951)</f>
        <v>0.30839806614995102</v>
      </c>
      <c r="S99" s="23">
        <f ca="1">IFERROR(__xludf.DUMMYFUNCTION("""COMPUTED_VALUE"""),0.566962079492542)</f>
        <v>0.56696207949254196</v>
      </c>
      <c r="T99" s="23">
        <f ca="1">IFERROR(__xludf.DUMMYFUNCTION("""COMPUTED_VALUE"""),0.544799602868116)</f>
        <v>0.54479960286811602</v>
      </c>
      <c r="U99" s="23"/>
      <c r="V99" s="23"/>
      <c r="W99" s="23">
        <f ca="1">IFERROR(__xludf.DUMMYFUNCTION("""COMPUTED_VALUE"""),0.0863299543387994)</f>
        <v>8.6329954338799406E-2</v>
      </c>
      <c r="X99" s="23"/>
      <c r="Y99" s="23">
        <f ca="1">IFERROR(__xludf.DUMMYFUNCTION("""COMPUTED_VALUE"""),-0.26246456909216)</f>
        <v>-0.26246456909215998</v>
      </c>
      <c r="Z99" s="23">
        <f ca="1">IFERROR(__xludf.DUMMYFUNCTION("""COMPUTED_VALUE"""),0.699043328611638)</f>
        <v>0.69904332861163798</v>
      </c>
      <c r="AA99" s="23"/>
      <c r="AB99" s="23">
        <f ca="1">IFERROR(__xludf.DUMMYFUNCTION("""COMPUTED_VALUE"""),0.0475012073733469)</f>
        <v>4.7501207373346899E-2</v>
      </c>
      <c r="AC99" s="22"/>
      <c r="AD99" s="23"/>
      <c r="AE99" s="23"/>
      <c r="AF99" s="22"/>
      <c r="AG99" s="22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</row>
    <row r="100" spans="1:45" ht="27.75" customHeight="1" x14ac:dyDescent="0.4">
      <c r="A100" s="15" t="s">
        <v>27</v>
      </c>
      <c r="B100" s="15" t="s">
        <v>54</v>
      </c>
      <c r="C100" s="15" t="str">
        <f ca="1">IFERROR(__xludf.DUMMYFUNCTION("""COMPUTED_VALUE"""),"2022/06/21 (火)
平日夜間")</f>
        <v>2022/06/21 (火)
平日夜間</v>
      </c>
      <c r="D100" s="15" t="str">
        <f ca="1">IFERROR(__xludf.DUMMYFUNCTION("""COMPUTED_VALUE"""),"平日夜間")</f>
        <v>平日夜間</v>
      </c>
      <c r="E100" s="16">
        <f ca="1">IFERROR(__xludf.DUMMYFUNCTION("""COMPUTED_VALUE"""),0.970916554689995)</f>
        <v>0.97091655468999505</v>
      </c>
      <c r="F100" s="15" t="s">
        <v>30</v>
      </c>
      <c r="G100" s="32"/>
      <c r="H100" s="29" t="s">
        <v>17</v>
      </c>
      <c r="I100" s="27"/>
      <c r="J100" s="27" t="s">
        <v>71</v>
      </c>
      <c r="K100" s="23" t="b">
        <f ca="1">IFERROR(__xludf.DUMMYFUNCTION("""COMPUTED_VALUE"""),TRUE)</f>
        <v>1</v>
      </c>
      <c r="L100" s="22">
        <f ca="1">IFERROR(__xludf.DUMMYFUNCTION("""COMPUTED_VALUE"""),0.117998589586406)</f>
        <v>0.11799858958640599</v>
      </c>
      <c r="M100" s="23">
        <f ca="1">IFERROR(__xludf.DUMMYFUNCTION("""COMPUTED_VALUE"""),0.226624644924366)</f>
        <v>0.22662464492436599</v>
      </c>
      <c r="N100" s="23">
        <f ca="1">IFERROR(__xludf.DUMMYFUNCTION("""COMPUTED_VALUE"""),0.10047614223205)</f>
        <v>0.10047614223204999</v>
      </c>
      <c r="O100" s="23">
        <f ca="1">IFERROR(__xludf.DUMMYFUNCTION("""COMPUTED_VALUE"""),0.543211832247783)</f>
        <v>0.54321183224778302</v>
      </c>
      <c r="P100" s="23"/>
      <c r="Q100" s="24"/>
      <c r="R100" s="23">
        <f ca="1">IFERROR(__xludf.DUMMYFUNCTION("""COMPUTED_VALUE"""),0.597326531497609)</f>
        <v>0.59732653149760895</v>
      </c>
      <c r="S100" s="23">
        <f ca="1">IFERROR(__xludf.DUMMYFUNCTION("""COMPUTED_VALUE"""),0.20681526944395)</f>
        <v>0.20681526944395001</v>
      </c>
      <c r="T100" s="23">
        <f ca="1">IFERROR(__xludf.DUMMYFUNCTION("""COMPUTED_VALUE"""),0.36751118255573)</f>
        <v>0.36751118255573001</v>
      </c>
      <c r="U100" s="23"/>
      <c r="V100" s="23"/>
      <c r="W100" s="23">
        <f ca="1">IFERROR(__xludf.DUMMYFUNCTION("""COMPUTED_VALUE"""),0.414346529775616)</f>
        <v>0.41434652977561598</v>
      </c>
      <c r="X100" s="23"/>
      <c r="Y100" s="23">
        <f ca="1">IFERROR(__xludf.DUMMYFUNCTION("""COMPUTED_VALUE"""),0.204526608754324)</f>
        <v>0.20452660875432399</v>
      </c>
      <c r="Z100" s="23">
        <f ca="1">IFERROR(__xludf.DUMMYFUNCTION("""COMPUTED_VALUE"""),0.253086767247426)</f>
        <v>0.25308676724742601</v>
      </c>
      <c r="AA100" s="23"/>
      <c r="AB100" s="23">
        <f ca="1">IFERROR(__xludf.DUMMYFUNCTION("""COMPUTED_VALUE"""),0.0261014258657581)</f>
        <v>2.6101425865758102E-2</v>
      </c>
      <c r="AC100" s="22"/>
      <c r="AD100" s="23"/>
      <c r="AE100" s="23"/>
      <c r="AF100" s="22"/>
      <c r="AG100" s="22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</row>
    <row r="101" spans="1:45" ht="27.75" customHeight="1" x14ac:dyDescent="0.4">
      <c r="A101" s="15" t="s">
        <v>27</v>
      </c>
      <c r="B101" s="15" t="s">
        <v>54</v>
      </c>
      <c r="C101" s="15" t="str">
        <f ca="1">IFERROR(__xludf.DUMMYFUNCTION("""COMPUTED_VALUE"""),"2022/06/22 (水)
平日夜間")</f>
        <v>2022/06/22 (水)
平日夜間</v>
      </c>
      <c r="D101" s="15" t="str">
        <f ca="1">IFERROR(__xludf.DUMMYFUNCTION("""COMPUTED_VALUE"""),"平日夜間")</f>
        <v>平日夜間</v>
      </c>
      <c r="E101" s="16">
        <f ca="1">IFERROR(__xludf.DUMMYFUNCTION("""COMPUTED_VALUE"""),2.16903207892594)</f>
        <v>2.1690320789259401</v>
      </c>
      <c r="F101" s="15" t="s">
        <v>10</v>
      </c>
      <c r="G101" s="32">
        <v>0</v>
      </c>
      <c r="H101" s="29" t="s">
        <v>31</v>
      </c>
      <c r="I101" s="27"/>
      <c r="J101" s="27" t="s">
        <v>72</v>
      </c>
      <c r="K101" s="23" t="b">
        <f ca="1">IFERROR(__xludf.DUMMYFUNCTION("""COMPUTED_VALUE"""),TRUE)</f>
        <v>1</v>
      </c>
      <c r="L101" s="22">
        <f ca="1">IFERROR(__xludf.DUMMYFUNCTION("""COMPUTED_VALUE"""),0.296850499367453)</f>
        <v>0.296850499367453</v>
      </c>
      <c r="M101" s="23">
        <f ca="1">IFERROR(__xludf.DUMMYFUNCTION("""COMPUTED_VALUE"""),0.500936867614311)</f>
        <v>0.500936867614311</v>
      </c>
      <c r="N101" s="23">
        <f ca="1">IFERROR(__xludf.DUMMYFUNCTION("""COMPUTED_VALUE"""),0.281558260354401)</f>
        <v>0.28155826035440101</v>
      </c>
      <c r="O101" s="23">
        <f ca="1">IFERROR(__xludf.DUMMYFUNCTION("""COMPUTED_VALUE"""),0.473388162185291)</f>
        <v>0.47338816218529101</v>
      </c>
      <c r="P101" s="23"/>
      <c r="Q101" s="24"/>
      <c r="R101" s="23">
        <f ca="1">IFERROR(__xludf.DUMMYFUNCTION("""COMPUTED_VALUE"""),-0.643001013672951)</f>
        <v>-0.64300101367295104</v>
      </c>
      <c r="S101" s="23">
        <f ca="1">IFERROR(__xludf.DUMMYFUNCTION("""COMPUTED_VALUE"""),0.835895948185915)</f>
        <v>0.83589594818591495</v>
      </c>
      <c r="T101" s="23">
        <f ca="1">IFERROR(__xludf.DUMMYFUNCTION("""COMPUTED_VALUE"""),0.759927045510639)</f>
        <v>0.75992704551063905</v>
      </c>
      <c r="U101" s="23"/>
      <c r="V101" s="23"/>
      <c r="W101" s="23">
        <f ca="1">IFERROR(__xludf.DUMMYFUNCTION("""COMPUTED_VALUE"""),-0.934362526515021)</f>
        <v>-0.93436252651502105</v>
      </c>
      <c r="X101" s="23"/>
      <c r="Y101" s="23">
        <f ca="1">IFERROR(__xludf.DUMMYFUNCTION("""COMPUTED_VALUE"""),0.752554211859923)</f>
        <v>0.75255421185992299</v>
      </c>
      <c r="Z101" s="23">
        <f ca="1">IFERROR(__xludf.DUMMYFUNCTION("""COMPUTED_VALUE"""),2.16903207892594)</f>
        <v>2.1690320789259401</v>
      </c>
      <c r="AA101" s="23"/>
      <c r="AB101" s="23">
        <f ca="1">IFERROR(__xludf.DUMMYFUNCTION("""COMPUTED_VALUE"""),0.306713447061805)</f>
        <v>0.30671344706180498</v>
      </c>
      <c r="AC101" s="22"/>
      <c r="AD101" s="23"/>
      <c r="AE101" s="23"/>
      <c r="AF101" s="22"/>
      <c r="AG101" s="22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</row>
    <row r="102" spans="1:45" ht="27.75" customHeight="1" x14ac:dyDescent="0.4">
      <c r="A102" s="15" t="s">
        <v>27</v>
      </c>
      <c r="B102" s="15" t="s">
        <v>54</v>
      </c>
      <c r="C102" s="15" t="str">
        <f ca="1">IFERROR(__xludf.DUMMYFUNCTION("""COMPUTED_VALUE"""),"2022/06/23 (木)
平日夜間")</f>
        <v>2022/06/23 (木)
平日夜間</v>
      </c>
      <c r="D102" s="15" t="str">
        <f ca="1">IFERROR(__xludf.DUMMYFUNCTION("""COMPUTED_VALUE"""),"平日夜間")</f>
        <v>平日夜間</v>
      </c>
      <c r="E102" s="16">
        <f ca="1">IFERROR(__xludf.DUMMYFUNCTION("""COMPUTED_VALUE"""),2.65809419234426)</f>
        <v>2.6580941923442598</v>
      </c>
      <c r="F102" s="15" t="s">
        <v>11</v>
      </c>
      <c r="G102" s="32">
        <v>2</v>
      </c>
      <c r="H102" s="29" t="s">
        <v>11</v>
      </c>
      <c r="I102" s="27"/>
      <c r="J102" s="27" t="s">
        <v>48</v>
      </c>
      <c r="K102" s="23" t="b">
        <f ca="1">IFERROR(__xludf.DUMMYFUNCTION("""COMPUTED_VALUE"""),TRUE)</f>
        <v>1</v>
      </c>
      <c r="L102" s="22">
        <f ca="1">IFERROR(__xludf.DUMMYFUNCTION("""COMPUTED_VALUE"""),0.0168565891724443)</f>
        <v>1.68565891724443E-2</v>
      </c>
      <c r="M102" s="23">
        <f ca="1">IFERROR(__xludf.DUMMYFUNCTION("""COMPUTED_VALUE"""),0.816072156105657)</f>
        <v>0.81607215610565698</v>
      </c>
      <c r="N102" s="23">
        <f ca="1">IFERROR(__xludf.DUMMYFUNCTION("""COMPUTED_VALUE"""),0.542138975865746)</f>
        <v>0.542138975865746</v>
      </c>
      <c r="O102" s="23">
        <f ca="1">IFERROR(__xludf.DUMMYFUNCTION("""COMPUTED_VALUE"""),0.794802215576568)</f>
        <v>0.79480221557656805</v>
      </c>
      <c r="P102" s="23"/>
      <c r="Q102" s="24"/>
      <c r="R102" s="23">
        <f ca="1">IFERROR(__xludf.DUMMYFUNCTION("""COMPUTED_VALUE"""),-0.918227214654938)</f>
        <v>-0.91822721465493795</v>
      </c>
      <c r="S102" s="23">
        <f ca="1">IFERROR(__xludf.DUMMYFUNCTION("""COMPUTED_VALUE"""),0.237343772224232)</f>
        <v>0.237343772224232</v>
      </c>
      <c r="T102" s="23">
        <f ca="1">IFERROR(__xludf.DUMMYFUNCTION("""COMPUTED_VALUE"""),2.65809419234426)</f>
        <v>2.6580941923442598</v>
      </c>
      <c r="U102" s="23"/>
      <c r="V102" s="23"/>
      <c r="W102" s="23">
        <f ca="1">IFERROR(__xludf.DUMMYFUNCTION("""COMPUTED_VALUE"""),0.371858733671814)</f>
        <v>0.37185873367181399</v>
      </c>
      <c r="X102" s="23"/>
      <c r="Y102" s="23">
        <f ca="1">IFERROR(__xludf.DUMMYFUNCTION("""COMPUTED_VALUE"""),0.370788772620973)</f>
        <v>0.37078877262097298</v>
      </c>
      <c r="Z102" s="23">
        <f ca="1">IFERROR(__xludf.DUMMYFUNCTION("""COMPUTED_VALUE"""),0.846814477479741)</f>
        <v>0.84681447747974103</v>
      </c>
      <c r="AA102" s="23"/>
      <c r="AB102" s="23">
        <f ca="1">IFERROR(__xludf.DUMMYFUNCTION("""COMPUTED_VALUE"""),0.0736356295708517)</f>
        <v>7.3635629570851693E-2</v>
      </c>
      <c r="AC102" s="22"/>
      <c r="AD102" s="23"/>
      <c r="AE102" s="23"/>
      <c r="AF102" s="22"/>
      <c r="AG102" s="22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</row>
    <row r="103" spans="1:45" ht="27.75" customHeight="1" x14ac:dyDescent="0.4">
      <c r="A103" s="15" t="s">
        <v>27</v>
      </c>
      <c r="B103" s="15" t="s">
        <v>54</v>
      </c>
      <c r="C103" s="15" t="str">
        <f ca="1">IFERROR(__xludf.DUMMYFUNCTION("""COMPUTED_VALUE"""),"2022/06/24 (金)
平日夜間")</f>
        <v>2022/06/24 (金)
平日夜間</v>
      </c>
      <c r="D103" s="15" t="str">
        <f ca="1">IFERROR(__xludf.DUMMYFUNCTION("""COMPUTED_VALUE"""),"平日夜間")</f>
        <v>平日夜間</v>
      </c>
      <c r="E103" s="16">
        <f ca="1">IFERROR(__xludf.DUMMYFUNCTION("""COMPUTED_VALUE"""),0.981974626332773)</f>
        <v>0.98197462633277299</v>
      </c>
      <c r="F103" s="15" t="s">
        <v>13</v>
      </c>
      <c r="G103" s="32"/>
      <c r="H103" s="29" t="s">
        <v>5</v>
      </c>
      <c r="I103" s="27"/>
      <c r="J103" s="27" t="s">
        <v>73</v>
      </c>
      <c r="K103" s="23" t="b">
        <f ca="1">IFERROR(__xludf.DUMMYFUNCTION("""COMPUTED_VALUE"""),TRUE)</f>
        <v>1</v>
      </c>
      <c r="L103" s="22">
        <f ca="1">IFERROR(__xludf.DUMMYFUNCTION("""COMPUTED_VALUE"""),0.552494855071415)</f>
        <v>0.55249485507141505</v>
      </c>
      <c r="M103" s="23">
        <f ca="1">IFERROR(__xludf.DUMMYFUNCTION("""COMPUTED_VALUE"""),-0.549209101270457)</f>
        <v>-0.54920910127045697</v>
      </c>
      <c r="N103" s="23">
        <f ca="1">IFERROR(__xludf.DUMMYFUNCTION("""COMPUTED_VALUE"""),-0.641581583250605)</f>
        <v>-0.64158158325060499</v>
      </c>
      <c r="O103" s="23">
        <f ca="1">IFERROR(__xludf.DUMMYFUNCTION("""COMPUTED_VALUE"""),0.30819439734175)</f>
        <v>0.30819439734175003</v>
      </c>
      <c r="P103" s="23"/>
      <c r="Q103" s="24"/>
      <c r="R103" s="23">
        <f ca="1">IFERROR(__xludf.DUMMYFUNCTION("""COMPUTED_VALUE"""),-0.6887023447883)</f>
        <v>-0.68870234478829995</v>
      </c>
      <c r="S103" s="23">
        <f ca="1">IFERROR(__xludf.DUMMYFUNCTION("""COMPUTED_VALUE"""),0.775358102870793)</f>
        <v>0.77535810287079299</v>
      </c>
      <c r="T103" s="23">
        <f ca="1">IFERROR(__xludf.DUMMYFUNCTION("""COMPUTED_VALUE"""),0.592165468919766)</f>
        <v>0.59216546891976596</v>
      </c>
      <c r="U103" s="23"/>
      <c r="V103" s="23"/>
      <c r="W103" s="23">
        <f ca="1">IFERROR(__xludf.DUMMYFUNCTION("""COMPUTED_VALUE"""),0.128637723191768)</f>
        <v>0.128637723191768</v>
      </c>
      <c r="X103" s="23"/>
      <c r="Y103" s="23">
        <f ca="1">IFERROR(__xludf.DUMMYFUNCTION("""COMPUTED_VALUE"""),-0.819492853947625)</f>
        <v>-0.81949285394762506</v>
      </c>
      <c r="Z103" s="23">
        <f ca="1">IFERROR(__xludf.DUMMYFUNCTION("""COMPUTED_VALUE"""),0.0388685439216573)</f>
        <v>3.8868543921657298E-2</v>
      </c>
      <c r="AA103" s="23"/>
      <c r="AB103" s="23">
        <f ca="1">IFERROR(__xludf.DUMMYFUNCTION("""COMPUTED_VALUE"""),0.20764886299197)</f>
        <v>0.20764886299197</v>
      </c>
      <c r="AC103" s="22"/>
      <c r="AD103" s="23"/>
      <c r="AE103" s="23"/>
      <c r="AF103" s="22"/>
      <c r="AG103" s="22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</row>
    <row r="104" spans="1:45" ht="27.75" customHeight="1" x14ac:dyDescent="0.35">
      <c r="A104" s="15" t="s">
        <v>27</v>
      </c>
      <c r="B104" s="15" t="s">
        <v>54</v>
      </c>
      <c r="C104" s="15" t="str">
        <f ca="1">IFERROR(__xludf.DUMMYFUNCTION("""COMPUTED_VALUE"""),"2022/06/25 (土)
休日午前")</f>
        <v>2022/06/25 (土)
休日午前</v>
      </c>
      <c r="D104" s="15" t="str">
        <f ca="1">IFERROR(__xludf.DUMMYFUNCTION("""COMPUTED_VALUE"""),"休日午前")</f>
        <v>休日午前</v>
      </c>
      <c r="E104" s="16">
        <f ca="1">IFERROR(__xludf.DUMMYFUNCTION("""COMPUTED_VALUE"""),1.82081662012105)</f>
        <v>1.8208166201210501</v>
      </c>
      <c r="F104" s="15" t="s">
        <v>13</v>
      </c>
      <c r="G104" s="32"/>
      <c r="H104" s="27" t="s">
        <v>5</v>
      </c>
      <c r="I104" s="27"/>
      <c r="J104" s="27" t="s">
        <v>74</v>
      </c>
      <c r="K104" s="23" t="b">
        <f ca="1">IFERROR(__xludf.DUMMYFUNCTION("""COMPUTED_VALUE"""),FALSE)</f>
        <v>0</v>
      </c>
      <c r="L104" s="22">
        <f ca="1">IFERROR(__xludf.DUMMYFUNCTION("""COMPUTED_VALUE"""),-0.432389009543302)</f>
        <v>-0.43238900954330201</v>
      </c>
      <c r="M104" s="23">
        <f ca="1">IFERROR(__xludf.DUMMYFUNCTION("""COMPUTED_VALUE"""),0.286920537704393)</f>
        <v>0.28692053770439302</v>
      </c>
      <c r="N104" s="23">
        <f ca="1">IFERROR(__xludf.DUMMYFUNCTION("""COMPUTED_VALUE"""),-0.927419402994502)</f>
        <v>-0.92741940299450198</v>
      </c>
      <c r="O104" s="23">
        <f ca="1">IFERROR(__xludf.DUMMYFUNCTION("""COMPUTED_VALUE"""),1.18469687310779)</f>
        <v>1.18469687310779</v>
      </c>
      <c r="P104" s="23"/>
      <c r="Q104" s="24"/>
      <c r="R104" s="23">
        <f ca="1">IFERROR(__xludf.DUMMYFUNCTION("""COMPUTED_VALUE"""),-0.694505562345595)</f>
        <v>-0.69450556234559502</v>
      </c>
      <c r="S104" s="23">
        <f ca="1">IFERROR(__xludf.DUMMYFUNCTION("""COMPUTED_VALUE"""),0.246123763614114)</f>
        <v>0.24612376361411401</v>
      </c>
      <c r="T104" s="23">
        <f ca="1">IFERROR(__xludf.DUMMYFUNCTION("""COMPUTED_VALUE"""),0.904229861035673)</f>
        <v>0.90422986103567304</v>
      </c>
      <c r="U104" s="23"/>
      <c r="V104" s="23"/>
      <c r="W104" s="23">
        <f ca="1">IFERROR(__xludf.DUMMYFUNCTION("""COMPUTED_VALUE"""),1.0188738364593)</f>
        <v>1.0188738364593</v>
      </c>
      <c r="X104" s="23"/>
      <c r="Y104" s="23">
        <f ca="1">IFERROR(__xludf.DUMMYFUNCTION("""COMPUTED_VALUE"""),-0.155048887901593)</f>
        <v>-0.15504888790159299</v>
      </c>
      <c r="Z104" s="23">
        <f ca="1">IFERROR(__xludf.DUMMYFUNCTION("""COMPUTED_VALUE"""),0.736512235234647)</f>
        <v>0.73651223523464704</v>
      </c>
      <c r="AA104" s="23"/>
      <c r="AB104" s="23">
        <f ca="1">IFERROR(__xludf.DUMMYFUNCTION("""COMPUTED_VALUE"""),-0.877740621432933)</f>
        <v>-0.87774062143293297</v>
      </c>
      <c r="AC104" s="22"/>
      <c r="AD104" s="23"/>
      <c r="AE104" s="23"/>
      <c r="AF104" s="22"/>
      <c r="AG104" s="22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</row>
    <row r="105" spans="1:45" ht="27.75" customHeight="1" x14ac:dyDescent="0.35">
      <c r="A105" s="15" t="s">
        <v>27</v>
      </c>
      <c r="B105" s="15" t="s">
        <v>54</v>
      </c>
      <c r="C105" s="15" t="str">
        <f ca="1">IFERROR(__xludf.DUMMYFUNCTION("""COMPUTED_VALUE"""),"2022/06/25 (土)
休日午後")</f>
        <v>2022/06/25 (土)
休日午後</v>
      </c>
      <c r="D105" s="15" t="str">
        <f ca="1">IFERROR(__xludf.DUMMYFUNCTION("""COMPUTED_VALUE"""),"休日午後")</f>
        <v>休日午後</v>
      </c>
      <c r="E105" s="16">
        <f ca="1">IFERROR(__xludf.DUMMYFUNCTION("""COMPUTED_VALUE"""),0.981693864880294)</f>
        <v>0.98169386488029398</v>
      </c>
      <c r="F105" s="15" t="s">
        <v>8</v>
      </c>
      <c r="G105" s="32">
        <v>0</v>
      </c>
      <c r="H105" s="27" t="s">
        <v>59</v>
      </c>
      <c r="I105" s="27"/>
      <c r="J105" s="27" t="s">
        <v>74</v>
      </c>
      <c r="K105" s="23" t="b">
        <f ca="1">IFERROR(__xludf.DUMMYFUNCTION("""COMPUTED_VALUE"""),FALSE)</f>
        <v>0</v>
      </c>
      <c r="L105" s="22">
        <f ca="1">IFERROR(__xludf.DUMMYFUNCTION("""COMPUTED_VALUE"""),-0.474026131166178)</f>
        <v>-0.47402613116617798</v>
      </c>
      <c r="M105" s="23">
        <f ca="1">IFERROR(__xludf.DUMMYFUNCTION("""COMPUTED_VALUE"""),0.974458427813381)</f>
        <v>0.97445842781338099</v>
      </c>
      <c r="N105" s="23">
        <f ca="1">IFERROR(__xludf.DUMMYFUNCTION("""COMPUTED_VALUE"""),-0.751829235050065)</f>
        <v>-0.75182923505006505</v>
      </c>
      <c r="O105" s="23">
        <f ca="1">IFERROR(__xludf.DUMMYFUNCTION("""COMPUTED_VALUE"""),0.14315191145615)</f>
        <v>0.14315191145615</v>
      </c>
      <c r="P105" s="23"/>
      <c r="Q105" s="24"/>
      <c r="R105" s="23">
        <f ca="1">IFERROR(__xludf.DUMMYFUNCTION("""COMPUTED_VALUE"""),-0.499842344987854)</f>
        <v>-0.49984234498785401</v>
      </c>
      <c r="S105" s="23">
        <f ca="1">IFERROR(__xludf.DUMMYFUNCTION("""COMPUTED_VALUE"""),0.981693864880294)</f>
        <v>0.98169386488029398</v>
      </c>
      <c r="T105" s="23">
        <f ca="1">IFERROR(__xludf.DUMMYFUNCTION("""COMPUTED_VALUE"""),0.226365242649241)</f>
        <v>0.22636524264924099</v>
      </c>
      <c r="U105" s="23"/>
      <c r="V105" s="23"/>
      <c r="W105" s="23">
        <f ca="1">IFERROR(__xludf.DUMMYFUNCTION("""COMPUTED_VALUE"""),0.203171545340436)</f>
        <v>0.20317154534043599</v>
      </c>
      <c r="X105" s="23"/>
      <c r="Y105" s="23">
        <f ca="1">IFERROR(__xludf.DUMMYFUNCTION("""COMPUTED_VALUE"""),-0.890887745849362)</f>
        <v>-0.89088774584936203</v>
      </c>
      <c r="Z105" s="23">
        <f ca="1">IFERROR(__xludf.DUMMYFUNCTION("""COMPUTED_VALUE"""),0.508659388536243)</f>
        <v>0.50865938853624304</v>
      </c>
      <c r="AA105" s="23"/>
      <c r="AB105" s="23">
        <f ca="1">IFERROR(__xludf.DUMMYFUNCTION("""COMPUTED_VALUE"""),-0.782095982517936)</f>
        <v>-0.78209598251793599</v>
      </c>
      <c r="AC105" s="22"/>
      <c r="AD105" s="23"/>
      <c r="AE105" s="23"/>
      <c r="AF105" s="22"/>
      <c r="AG105" s="22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</row>
    <row r="106" spans="1:45" ht="27.75" customHeight="1" x14ac:dyDescent="0.4">
      <c r="A106" s="15" t="s">
        <v>27</v>
      </c>
      <c r="B106" s="15" t="s">
        <v>54</v>
      </c>
      <c r="C106" s="15" t="str">
        <f ca="1">IFERROR(__xludf.DUMMYFUNCTION("""COMPUTED_VALUE"""),"2022/06/26 (日)
休日午前")</f>
        <v>2022/06/26 (日)
休日午前</v>
      </c>
      <c r="D106" s="15" t="str">
        <f ca="1">IFERROR(__xludf.DUMMYFUNCTION("""COMPUTED_VALUE"""),"休日午前")</f>
        <v>休日午前</v>
      </c>
      <c r="E106" s="16">
        <f ca="1">IFERROR(__xludf.DUMMYFUNCTION("""COMPUTED_VALUE"""),1.69098079086541)</f>
        <v>1.69098079086541</v>
      </c>
      <c r="F106" s="15" t="s">
        <v>13</v>
      </c>
      <c r="G106" s="32">
        <v>-1</v>
      </c>
      <c r="H106" s="29" t="s">
        <v>30</v>
      </c>
      <c r="I106" s="27"/>
      <c r="J106" s="27" t="s">
        <v>75</v>
      </c>
      <c r="K106" s="23" t="b">
        <f ca="1">IFERROR(__xludf.DUMMYFUNCTION("""COMPUTED_VALUE"""),TRUE)</f>
        <v>1</v>
      </c>
      <c r="L106" s="22">
        <f ca="1">IFERROR(__xludf.DUMMYFUNCTION("""COMPUTED_VALUE"""),-0.596627182946191)</f>
        <v>-0.59662718294619099</v>
      </c>
      <c r="M106" s="23">
        <f ca="1">IFERROR(__xludf.DUMMYFUNCTION("""COMPUTED_VALUE"""),0.0245366945415881)</f>
        <v>2.4536694541588099E-2</v>
      </c>
      <c r="N106" s="23">
        <f ca="1">IFERROR(__xludf.DUMMYFUNCTION("""COMPUTED_VALUE"""),0.396797072245233)</f>
        <v>0.39679707224523297</v>
      </c>
      <c r="O106" s="23">
        <f ca="1">IFERROR(__xludf.DUMMYFUNCTION("""COMPUTED_VALUE"""),-0.249756837317848)</f>
        <v>-0.24975683731784801</v>
      </c>
      <c r="P106" s="23"/>
      <c r="Q106" s="24"/>
      <c r="R106" s="23">
        <f ca="1">IFERROR(__xludf.DUMMYFUNCTION("""COMPUTED_VALUE"""),0.630850366901944)</f>
        <v>0.63085036690194396</v>
      </c>
      <c r="S106" s="23">
        <f ca="1">IFERROR(__xludf.DUMMYFUNCTION("""COMPUTED_VALUE"""),0.73147898869487)</f>
        <v>0.73147898869487005</v>
      </c>
      <c r="T106" s="23">
        <f ca="1">IFERROR(__xludf.DUMMYFUNCTION("""COMPUTED_VALUE"""),0.324485248699726)</f>
        <v>0.324485248699726</v>
      </c>
      <c r="U106" s="23"/>
      <c r="V106" s="23"/>
      <c r="W106" s="23">
        <f ca="1">IFERROR(__xludf.DUMMYFUNCTION("""COMPUTED_VALUE"""),1.07406549374963)</f>
        <v>1.0740654937496299</v>
      </c>
      <c r="X106" s="23"/>
      <c r="Y106" s="23">
        <f ca="1">IFERROR(__xludf.DUMMYFUNCTION("""COMPUTED_VALUE"""),0.49750289180571)</f>
        <v>0.49750289180571</v>
      </c>
      <c r="Z106" s="23">
        <f ca="1">IFERROR(__xludf.DUMMYFUNCTION("""COMPUTED_VALUE"""),0.285341914611572)</f>
        <v>0.28534191461157199</v>
      </c>
      <c r="AA106" s="23"/>
      <c r="AB106" s="23">
        <f ca="1">IFERROR(__xludf.DUMMYFUNCTION("""COMPUTED_VALUE"""),0.208570764481559)</f>
        <v>0.20857076448155901</v>
      </c>
      <c r="AC106" s="22"/>
      <c r="AD106" s="23"/>
      <c r="AE106" s="23"/>
      <c r="AF106" s="22"/>
      <c r="AG106" s="22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</row>
    <row r="107" spans="1:45" ht="27.75" customHeight="1" x14ac:dyDescent="0.4">
      <c r="A107" s="15" t="s">
        <v>27</v>
      </c>
      <c r="B107" s="15" t="s">
        <v>54</v>
      </c>
      <c r="C107" s="15" t="str">
        <f ca="1">IFERROR(__xludf.DUMMYFUNCTION("""COMPUTED_VALUE"""),"2022/06/26 (日)
休日午後")</f>
        <v>2022/06/26 (日)
休日午後</v>
      </c>
      <c r="D107" s="15" t="str">
        <f ca="1">IFERROR(__xludf.DUMMYFUNCTION("""COMPUTED_VALUE"""),"休日午後")</f>
        <v>休日午後</v>
      </c>
      <c r="E107" s="16">
        <f ca="1">IFERROR(__xludf.DUMMYFUNCTION("""COMPUTED_VALUE"""),2.41201270268907)</f>
        <v>2.4120127026890699</v>
      </c>
      <c r="F107" s="15" t="s">
        <v>14</v>
      </c>
      <c r="G107" s="32">
        <v>2</v>
      </c>
      <c r="H107" s="29" t="s">
        <v>14</v>
      </c>
      <c r="I107" s="27"/>
      <c r="J107" s="27" t="s">
        <v>75</v>
      </c>
      <c r="K107" s="23" t="b">
        <f ca="1">IFERROR(__xludf.DUMMYFUNCTION("""COMPUTED_VALUE"""),TRUE)</f>
        <v>1</v>
      </c>
      <c r="L107" s="22">
        <f ca="1">IFERROR(__xludf.DUMMYFUNCTION("""COMPUTED_VALUE"""),-0.186655021355638)</f>
        <v>-0.186655021355638</v>
      </c>
      <c r="M107" s="23">
        <f ca="1">IFERROR(__xludf.DUMMYFUNCTION("""COMPUTED_VALUE"""),-0.705498372972044)</f>
        <v>-0.70549837297204399</v>
      </c>
      <c r="N107" s="23">
        <f ca="1">IFERROR(__xludf.DUMMYFUNCTION("""COMPUTED_VALUE"""),0.0350087656794886)</f>
        <v>3.5008765679488602E-2</v>
      </c>
      <c r="O107" s="23">
        <f ca="1">IFERROR(__xludf.DUMMYFUNCTION("""COMPUTED_VALUE"""),-0.886654975972913)</f>
        <v>-0.88665497597291298</v>
      </c>
      <c r="P107" s="23"/>
      <c r="Q107" s="24"/>
      <c r="R107" s="23">
        <f ca="1">IFERROR(__xludf.DUMMYFUNCTION("""COMPUTED_VALUE"""),0.476248305578834)</f>
        <v>0.47624830557883402</v>
      </c>
      <c r="S107" s="23">
        <f ca="1">IFERROR(__xludf.DUMMYFUNCTION("""COMPUTED_VALUE"""),0.822393127997244)</f>
        <v>0.82239312799724396</v>
      </c>
      <c r="T107" s="23">
        <f ca="1">IFERROR(__xludf.DUMMYFUNCTION("""COMPUTED_VALUE"""),0.011970688564945)</f>
        <v>1.1970688564945001E-2</v>
      </c>
      <c r="U107" s="23"/>
      <c r="V107" s="23"/>
      <c r="W107" s="23">
        <f ca="1">IFERROR(__xludf.DUMMYFUNCTION("""COMPUTED_VALUE"""),0.0400349418286527)</f>
        <v>4.00349418286527E-2</v>
      </c>
      <c r="X107" s="23"/>
      <c r="Y107" s="23">
        <f ca="1">IFERROR(__xludf.DUMMYFUNCTION("""COMPUTED_VALUE"""),2.41201270268907)</f>
        <v>2.4120127026890699</v>
      </c>
      <c r="Z107" s="23">
        <f ca="1">IFERROR(__xludf.DUMMYFUNCTION("""COMPUTED_VALUE"""),0.322356176442782)</f>
        <v>0.32235617644278203</v>
      </c>
      <c r="AA107" s="23"/>
      <c r="AB107" s="23">
        <f ca="1">IFERROR(__xludf.DUMMYFUNCTION("""COMPUTED_VALUE"""),0.0285104789345085)</f>
        <v>2.8510478934508501E-2</v>
      </c>
      <c r="AC107" s="22"/>
      <c r="AD107" s="23"/>
      <c r="AE107" s="23"/>
      <c r="AF107" s="22"/>
      <c r="AG107" s="22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</row>
    <row r="108" spans="1:45" ht="27.75" customHeight="1" x14ac:dyDescent="0.4">
      <c r="A108" s="15" t="s">
        <v>27</v>
      </c>
      <c r="B108" s="15" t="s">
        <v>54</v>
      </c>
      <c r="C108" s="15" t="str">
        <f ca="1">IFERROR(__xludf.DUMMYFUNCTION("""COMPUTED_VALUE"""),"2022/06/27 (月)
平日夜間")</f>
        <v>2022/06/27 (月)
平日夜間</v>
      </c>
      <c r="D108" s="15" t="str">
        <f ca="1">IFERROR(__xludf.DUMMYFUNCTION("""COMPUTED_VALUE"""),"平日夜間")</f>
        <v>平日夜間</v>
      </c>
      <c r="E108" s="16">
        <f ca="1">IFERROR(__xludf.DUMMYFUNCTION("""COMPUTED_VALUE"""),2.22396828736603)</f>
        <v>2.2239682873660298</v>
      </c>
      <c r="F108" s="15" t="s">
        <v>38</v>
      </c>
      <c r="G108" s="32">
        <v>2</v>
      </c>
      <c r="H108" s="29" t="s">
        <v>38</v>
      </c>
      <c r="I108" s="27"/>
      <c r="J108" s="27" t="s">
        <v>76</v>
      </c>
      <c r="K108" s="23" t="b">
        <f ca="1">IFERROR(__xludf.DUMMYFUNCTION("""COMPUTED_VALUE"""),TRUE)</f>
        <v>1</v>
      </c>
      <c r="L108" s="22">
        <f ca="1">IFERROR(__xludf.DUMMYFUNCTION("""COMPUTED_VALUE"""),0.104195318113399)</f>
        <v>0.10419531811339899</v>
      </c>
      <c r="M108" s="23">
        <f ca="1">IFERROR(__xludf.DUMMYFUNCTION("""COMPUTED_VALUE"""),0.809043468065535)</f>
        <v>0.80904346806553495</v>
      </c>
      <c r="N108" s="23">
        <f ca="1">IFERROR(__xludf.DUMMYFUNCTION("""COMPUTED_VALUE"""),0.206986638077537)</f>
        <v>0.20698663807753701</v>
      </c>
      <c r="O108" s="23">
        <f ca="1">IFERROR(__xludf.DUMMYFUNCTION("""COMPUTED_VALUE"""),0.182750815415467)</f>
        <v>0.18275081541546701</v>
      </c>
      <c r="P108" s="23"/>
      <c r="Q108" s="24"/>
      <c r="R108" s="23">
        <f ca="1">IFERROR(__xludf.DUMMYFUNCTION("""COMPUTED_VALUE"""),0.668898755525552)</f>
        <v>0.668898755525552</v>
      </c>
      <c r="S108" s="23">
        <f ca="1">IFERROR(__xludf.DUMMYFUNCTION("""COMPUTED_VALUE"""),0.260135432389513)</f>
        <v>0.26013543238951298</v>
      </c>
      <c r="T108" s="23">
        <f ca="1">IFERROR(__xludf.DUMMYFUNCTION("""COMPUTED_VALUE"""),0.126247219887553)</f>
        <v>0.126247219887553</v>
      </c>
      <c r="U108" s="23"/>
      <c r="V108" s="23"/>
      <c r="W108" s="23">
        <f ca="1">IFERROR(__xludf.DUMMYFUNCTION("""COMPUTED_VALUE"""),0.192815508874739)</f>
        <v>0.192815508874739</v>
      </c>
      <c r="X108" s="23"/>
      <c r="Y108" s="23">
        <f ca="1">IFERROR(__xludf.DUMMYFUNCTION("""COMPUTED_VALUE"""),0.711053445997785)</f>
        <v>0.71105344599778497</v>
      </c>
      <c r="Z108" s="23">
        <f ca="1">IFERROR(__xludf.DUMMYFUNCTION("""COMPUTED_VALUE"""),0.910727733129049)</f>
        <v>0.91072773312904898</v>
      </c>
      <c r="AA108" s="23"/>
      <c r="AB108" s="23">
        <f ca="1">IFERROR(__xludf.DUMMYFUNCTION("""COMPUTED_VALUE"""),0.0271017062613228)</f>
        <v>2.71017062613228E-2</v>
      </c>
      <c r="AC108" s="22"/>
      <c r="AD108" s="23"/>
      <c r="AE108" s="23"/>
      <c r="AF108" s="22"/>
      <c r="AG108" s="22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</row>
    <row r="109" spans="1:45" ht="27.75" customHeight="1" x14ac:dyDescent="0.35">
      <c r="A109" s="15" t="s">
        <v>27</v>
      </c>
      <c r="B109" s="15" t="s">
        <v>54</v>
      </c>
      <c r="C109" s="15" t="str">
        <f ca="1">IFERROR(__xludf.DUMMYFUNCTION("""COMPUTED_VALUE"""),"2022/06/28 (火)
平日夜間")</f>
        <v>2022/06/28 (火)
平日夜間</v>
      </c>
      <c r="D109" s="15" t="str">
        <f ca="1">IFERROR(__xludf.DUMMYFUNCTION("""COMPUTED_VALUE"""),"平日夜間")</f>
        <v>平日夜間</v>
      </c>
      <c r="E109" s="16">
        <f ca="1">IFERROR(__xludf.DUMMYFUNCTION("""COMPUTED_VALUE"""),0.931320014183855)</f>
        <v>0.93132001418385502</v>
      </c>
      <c r="F109" s="15" t="s">
        <v>45</v>
      </c>
      <c r="G109" s="32">
        <v>0</v>
      </c>
      <c r="H109" s="27" t="s">
        <v>30</v>
      </c>
      <c r="I109" s="27"/>
      <c r="J109" s="27" t="s">
        <v>77</v>
      </c>
      <c r="K109" s="23" t="b">
        <f ca="1">IFERROR(__xludf.DUMMYFUNCTION("""COMPUTED_VALUE"""),FALSE)</f>
        <v>0</v>
      </c>
      <c r="L109" s="22">
        <f ca="1">IFERROR(__xludf.DUMMYFUNCTION("""COMPUTED_VALUE"""),0.673024821475029)</f>
        <v>0.67302482147502896</v>
      </c>
      <c r="M109" s="23">
        <f ca="1">IFERROR(__xludf.DUMMYFUNCTION("""COMPUTED_VALUE"""),0.622505319839179)</f>
        <v>0.62250531983917901</v>
      </c>
      <c r="N109" s="23">
        <f ca="1">IFERROR(__xludf.DUMMYFUNCTION("""COMPUTED_VALUE"""),0.491577830952586)</f>
        <v>0.491577830952586</v>
      </c>
      <c r="O109" s="23">
        <f ca="1">IFERROR(__xludf.DUMMYFUNCTION("""COMPUTED_VALUE"""),0.212723973079632)</f>
        <v>0.21272397307963201</v>
      </c>
      <c r="P109" s="23"/>
      <c r="Q109" s="24"/>
      <c r="R109" s="23">
        <f ca="1">IFERROR(__xludf.DUMMYFUNCTION("""COMPUTED_VALUE"""),0.0509445517623181)</f>
        <v>5.0944551762318102E-2</v>
      </c>
      <c r="S109" s="23">
        <f ca="1">IFERROR(__xludf.DUMMYFUNCTION("""COMPUTED_VALUE"""),0.837941202603359)</f>
        <v>0.83794120260335903</v>
      </c>
      <c r="T109" s="23">
        <f ca="1">IFERROR(__xludf.DUMMYFUNCTION("""COMPUTED_VALUE"""),0.827442996470171)</f>
        <v>0.82744299647017105</v>
      </c>
      <c r="U109" s="23"/>
      <c r="V109" s="23"/>
      <c r="W109" s="23">
        <f ca="1">IFERROR(__xludf.DUMMYFUNCTION("""COMPUTED_VALUE"""),0.268970958097353)</f>
        <v>0.268970958097353</v>
      </c>
      <c r="X109" s="23"/>
      <c r="Y109" s="23">
        <f ca="1">IFERROR(__xludf.DUMMYFUNCTION("""COMPUTED_VALUE"""),0.917167330955909)</f>
        <v>0.91716733095590897</v>
      </c>
      <c r="Z109" s="23">
        <f ca="1">IFERROR(__xludf.DUMMYFUNCTION("""COMPUTED_VALUE"""),0.439353680168513)</f>
        <v>0.43935368016851301</v>
      </c>
      <c r="AA109" s="23"/>
      <c r="AB109" s="23">
        <f ca="1">IFERROR(__xludf.DUMMYFUNCTION("""COMPUTED_VALUE"""),0.22204198305058)</f>
        <v>0.22204198305058001</v>
      </c>
      <c r="AC109" s="22"/>
      <c r="AD109" s="23"/>
      <c r="AE109" s="23"/>
      <c r="AF109" s="22"/>
      <c r="AG109" s="22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</row>
    <row r="110" spans="1:45" ht="27.75" customHeight="1" x14ac:dyDescent="0.4">
      <c r="A110" s="15" t="s">
        <v>27</v>
      </c>
      <c r="B110" s="15" t="s">
        <v>54</v>
      </c>
      <c r="C110" s="15" t="str">
        <f ca="1">IFERROR(__xludf.DUMMYFUNCTION("""COMPUTED_VALUE"""),"2022/06/29 (水)
平日夜間")</f>
        <v>2022/06/29 (水)
平日夜間</v>
      </c>
      <c r="D110" s="15" t="str">
        <f ca="1">IFERROR(__xludf.DUMMYFUNCTION("""COMPUTED_VALUE"""),"平日夜間")</f>
        <v>平日夜間</v>
      </c>
      <c r="E110" s="16">
        <f ca="1">IFERROR(__xludf.DUMMYFUNCTION("""COMPUTED_VALUE"""),2.96967770695165)</f>
        <v>2.96967770695165</v>
      </c>
      <c r="F110" s="15" t="s">
        <v>45</v>
      </c>
      <c r="G110" s="32">
        <v>2</v>
      </c>
      <c r="H110" s="31" t="s">
        <v>45</v>
      </c>
      <c r="I110" s="27"/>
      <c r="J110" s="27" t="s">
        <v>78</v>
      </c>
      <c r="K110" s="23" t="b">
        <f ca="1">IFERROR(__xludf.DUMMYFUNCTION("""COMPUTED_VALUE"""),TRUE)</f>
        <v>1</v>
      </c>
      <c r="L110" s="22">
        <f ca="1">IFERROR(__xludf.DUMMYFUNCTION("""COMPUTED_VALUE"""),0.818176675390617)</f>
        <v>0.818176675390617</v>
      </c>
      <c r="M110" s="23">
        <f ca="1">IFERROR(__xludf.DUMMYFUNCTION("""COMPUTED_VALUE"""),0.640142554245719)</f>
        <v>0.64014255424571898</v>
      </c>
      <c r="N110" s="23">
        <f ca="1">IFERROR(__xludf.DUMMYFUNCTION("""COMPUTED_VALUE"""),0.569542561058256)</f>
        <v>0.56954256105825596</v>
      </c>
      <c r="O110" s="23">
        <f ca="1">IFERROR(__xludf.DUMMYFUNCTION("""COMPUTED_VALUE"""),0.0573248965975037)</f>
        <v>5.7324896597503699E-2</v>
      </c>
      <c r="P110" s="23"/>
      <c r="Q110" s="24"/>
      <c r="R110" s="23">
        <f ca="1">IFERROR(__xludf.DUMMYFUNCTION("""COMPUTED_VALUE"""),0.577061320444671)</f>
        <v>0.57706132044467096</v>
      </c>
      <c r="S110" s="23">
        <f ca="1">IFERROR(__xludf.DUMMYFUNCTION("""COMPUTED_VALUE"""),0.774363317598799)</f>
        <v>0.77436331759879895</v>
      </c>
      <c r="T110" s="23">
        <f ca="1">IFERROR(__xludf.DUMMYFUNCTION("""COMPUTED_VALUE"""),0.469728415720225)</f>
        <v>0.469728415720225</v>
      </c>
      <c r="U110" s="23"/>
      <c r="V110" s="23"/>
      <c r="W110" s="23">
        <f ca="1">IFERROR(__xludf.DUMMYFUNCTION("""COMPUTED_VALUE"""),-0.64657687975895)</f>
        <v>-0.64657687975894995</v>
      </c>
      <c r="X110" s="23"/>
      <c r="Y110" s="23">
        <f ca="1">IFERROR(__xludf.DUMMYFUNCTION("""COMPUTED_VALUE"""),0.478850859379613)</f>
        <v>0.47885085937961303</v>
      </c>
      <c r="Z110" s="23">
        <f ca="1">IFERROR(__xludf.DUMMYFUNCTION("""COMPUTED_VALUE"""),0.983697579503982)</f>
        <v>0.98369757950398196</v>
      </c>
      <c r="AA110" s="23"/>
      <c r="AB110" s="23">
        <f ca="1">IFERROR(__xludf.DUMMYFUNCTION("""COMPUTED_VALUE"""),0.288439436751061)</f>
        <v>0.28843943675106098</v>
      </c>
      <c r="AC110" s="22"/>
      <c r="AD110" s="23"/>
      <c r="AE110" s="23"/>
      <c r="AF110" s="22"/>
      <c r="AG110" s="22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</row>
    <row r="111" spans="1:45" ht="27.75" customHeight="1" x14ac:dyDescent="0.4">
      <c r="A111" s="15" t="s">
        <v>27</v>
      </c>
      <c r="B111" s="15" t="s">
        <v>54</v>
      </c>
      <c r="C111" s="15" t="str">
        <f ca="1">IFERROR(__xludf.DUMMYFUNCTION("""COMPUTED_VALUE"""),"2022/06/30 (木)
平日夜間")</f>
        <v>2022/06/30 (木)
平日夜間</v>
      </c>
      <c r="D111" s="15" t="str">
        <f ca="1">IFERROR(__xludf.DUMMYFUNCTION("""COMPUTED_VALUE"""),"平日夜間")</f>
        <v>平日夜間</v>
      </c>
      <c r="E111" s="16">
        <f ca="1">IFERROR(__xludf.DUMMYFUNCTION("""COMPUTED_VALUE"""),2.78939090420762)</f>
        <v>2.7893909042076199</v>
      </c>
      <c r="F111" s="15" t="s">
        <v>8</v>
      </c>
      <c r="G111" s="32">
        <v>2</v>
      </c>
      <c r="H111" s="29" t="s">
        <v>8</v>
      </c>
      <c r="I111" s="27"/>
      <c r="J111" s="27" t="s">
        <v>36</v>
      </c>
      <c r="K111" s="23" t="b">
        <f ca="1">IFERROR(__xludf.DUMMYFUNCTION("""COMPUTED_VALUE"""),TRUE)</f>
        <v>1</v>
      </c>
      <c r="L111" s="22">
        <f ca="1">IFERROR(__xludf.DUMMYFUNCTION("""COMPUTED_VALUE"""),0.217663799659378)</f>
        <v>0.21766379965937799</v>
      </c>
      <c r="M111" s="23">
        <f ca="1">IFERROR(__xludf.DUMMYFUNCTION("""COMPUTED_VALUE"""),0.262175023383145)</f>
        <v>0.26217502338314502</v>
      </c>
      <c r="N111" s="23">
        <f ca="1">IFERROR(__xludf.DUMMYFUNCTION("""COMPUTED_VALUE"""),0.307848410147588)</f>
        <v>0.30784841014758801</v>
      </c>
      <c r="O111" s="23">
        <f ca="1">IFERROR(__xludf.DUMMYFUNCTION("""COMPUTED_VALUE"""),0.674491474613499)</f>
        <v>0.67449147461349901</v>
      </c>
      <c r="P111" s="23"/>
      <c r="Q111" s="24"/>
      <c r="R111" s="23">
        <f ca="1">IFERROR(__xludf.DUMMYFUNCTION("""COMPUTED_VALUE"""),-0.815055049067753)</f>
        <v>-0.81505504906775295</v>
      </c>
      <c r="S111" s="23">
        <f ca="1">IFERROR(__xludf.DUMMYFUNCTION("""COMPUTED_VALUE"""),2.78939090420762)</f>
        <v>2.7893909042076199</v>
      </c>
      <c r="T111" s="23">
        <f ca="1">IFERROR(__xludf.DUMMYFUNCTION("""COMPUTED_VALUE"""),0.127261703381451)</f>
        <v>0.12726170338145101</v>
      </c>
      <c r="U111" s="23"/>
      <c r="V111" s="23"/>
      <c r="W111" s="23">
        <f ca="1">IFERROR(__xludf.DUMMYFUNCTION("""COMPUTED_VALUE"""),0.29954893402218)</f>
        <v>0.29954893402218002</v>
      </c>
      <c r="X111" s="23"/>
      <c r="Y111" s="23">
        <f ca="1">IFERROR(__xludf.DUMMYFUNCTION("""COMPUTED_VALUE"""),0.0634214283830449)</f>
        <v>6.3421428383044903E-2</v>
      </c>
      <c r="Z111" s="23">
        <f ca="1">IFERROR(__xludf.DUMMYFUNCTION("""COMPUTED_VALUE"""),0.0509508283025303)</f>
        <v>5.0950828302530303E-2</v>
      </c>
      <c r="AA111" s="23"/>
      <c r="AB111" s="23">
        <f ca="1">IFERROR(__xludf.DUMMYFUNCTION("""COMPUTED_VALUE"""),0.0362907441058164)</f>
        <v>3.6290744105816397E-2</v>
      </c>
      <c r="AC111" s="22"/>
      <c r="AD111" s="23"/>
      <c r="AE111" s="23"/>
      <c r="AF111" s="22"/>
      <c r="AG111" s="22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</row>
    <row r="112" spans="1:45" ht="27.75" customHeight="1" x14ac:dyDescent="0.35">
      <c r="A112" s="15" t="s">
        <v>27</v>
      </c>
      <c r="B112" s="15" t="s">
        <v>79</v>
      </c>
      <c r="C112" s="15" t="str">
        <f ca="1">IFERROR(__xludf.DUMMYFUNCTION("""COMPUTED_VALUE"""),"2022/07/01 (金)
平日夜間")</f>
        <v>2022/07/01 (金)
平日夜間</v>
      </c>
      <c r="D112" s="15" t="str">
        <f ca="1">IFERROR(__xludf.DUMMYFUNCTION("""COMPUTED_VALUE"""),"平日夜間")</f>
        <v>平日夜間</v>
      </c>
      <c r="E112" s="16">
        <f ca="1">IFERROR(__xludf.DUMMYFUNCTION("""COMPUTED_VALUE"""),0.753826748322854)</f>
        <v>0.75382674832285401</v>
      </c>
      <c r="F112" s="15" t="s">
        <v>29</v>
      </c>
      <c r="G112" s="32">
        <v>0</v>
      </c>
      <c r="H112" s="27" t="s">
        <v>29</v>
      </c>
      <c r="I112" s="27"/>
      <c r="J112" s="27" t="s">
        <v>46</v>
      </c>
      <c r="K112" s="23" t="b">
        <f ca="1">IFERROR(__xludf.DUMMYFUNCTION("""COMPUTED_VALUE"""),FALSE)</f>
        <v>0</v>
      </c>
      <c r="L112" s="22">
        <f ca="1">IFERROR(__xludf.DUMMYFUNCTION("""COMPUTED_VALUE"""),-0.605541446924329)</f>
        <v>-0.60554144692432899</v>
      </c>
      <c r="M112" s="23">
        <f ca="1">IFERROR(__xludf.DUMMYFUNCTION("""COMPUTED_VALUE"""),-0.297784339202238)</f>
        <v>-0.29778433920223801</v>
      </c>
      <c r="N112" s="23">
        <f ca="1">IFERROR(__xludf.DUMMYFUNCTION("""COMPUTED_VALUE"""),-0.689042639134307)</f>
        <v>-0.68904263913430697</v>
      </c>
      <c r="O112" s="23">
        <f ca="1">IFERROR(__xludf.DUMMYFUNCTION("""COMPUTED_VALUE"""),-0.370294385134784)</f>
        <v>-0.37029438513478402</v>
      </c>
      <c r="P112" s="23"/>
      <c r="Q112" s="24">
        <f ca="1">IFERROR(__xludf.DUMMYFUNCTION("""COMPUTED_VALUE"""),0.440490566163116)</f>
        <v>0.44049056616311599</v>
      </c>
      <c r="R112" s="23">
        <f ca="1">IFERROR(__xludf.DUMMYFUNCTION("""COMPUTED_VALUE"""),-0.605614835894924)</f>
        <v>-0.60561483589492404</v>
      </c>
      <c r="S112" s="23">
        <f ca="1">IFERROR(__xludf.DUMMYFUNCTION("""COMPUTED_VALUE"""),0.411930121222826)</f>
        <v>0.41193012122282602</v>
      </c>
      <c r="T112" s="23">
        <f ca="1">IFERROR(__xludf.DUMMYFUNCTION("""COMPUTED_VALUE"""),-0.125373999609856)</f>
        <v>-0.12537399960985601</v>
      </c>
      <c r="U112" s="23"/>
      <c r="V112" s="23"/>
      <c r="W112" s="23">
        <f ca="1">IFERROR(__xludf.DUMMYFUNCTION("""COMPUTED_VALUE"""),0.119994801895682)</f>
        <v>0.119994801895682</v>
      </c>
      <c r="X112" s="23"/>
      <c r="Y112" s="23">
        <f ca="1">IFERROR(__xludf.DUMMYFUNCTION("""COMPUTED_VALUE"""),-0.77484421474369)</f>
        <v>-0.77484421474369003</v>
      </c>
      <c r="Z112" s="23">
        <f ca="1">IFERROR(__xludf.DUMMYFUNCTION("""COMPUTED_VALUE"""),0.199121012303621)</f>
        <v>0.199121012303621</v>
      </c>
      <c r="AA112" s="23"/>
      <c r="AB112" s="23">
        <f ca="1">IFERROR(__xludf.DUMMYFUNCTION("""COMPUTED_VALUE"""),0.66307267323238)</f>
        <v>0.66307267323237995</v>
      </c>
      <c r="AC112" s="22"/>
      <c r="AD112" s="23"/>
      <c r="AE112" s="23"/>
      <c r="AF112" s="22"/>
      <c r="AG112" s="22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</row>
    <row r="113" spans="1:45" ht="27.75" customHeight="1" x14ac:dyDescent="0.35">
      <c r="A113" s="15" t="s">
        <v>27</v>
      </c>
      <c r="B113" s="15" t="s">
        <v>79</v>
      </c>
      <c r="C113" s="15" t="str">
        <f ca="1">IFERROR(__xludf.DUMMYFUNCTION("""COMPUTED_VALUE"""),"2022/07/02 (土)
休日午前")</f>
        <v>2022/07/02 (土)
休日午前</v>
      </c>
      <c r="D113" s="15" t="str">
        <f ca="1">IFERROR(__xludf.DUMMYFUNCTION("""COMPUTED_VALUE"""),"休日午前")</f>
        <v>休日午前</v>
      </c>
      <c r="E113" s="16">
        <f ca="1">IFERROR(__xludf.DUMMYFUNCTION("""COMPUTED_VALUE"""),1.66361269958688)</f>
        <v>1.6636126995868801</v>
      </c>
      <c r="F113" s="15" t="s">
        <v>38</v>
      </c>
      <c r="G113" s="32">
        <v>0</v>
      </c>
      <c r="H113" s="27" t="s">
        <v>30</v>
      </c>
      <c r="I113" s="27"/>
      <c r="J113" s="27" t="s">
        <v>80</v>
      </c>
      <c r="K113" s="23" t="b">
        <f ca="1">IFERROR(__xludf.DUMMYFUNCTION("""COMPUTED_VALUE"""),FALSE)</f>
        <v>0</v>
      </c>
      <c r="L113" s="22">
        <f ca="1">IFERROR(__xludf.DUMMYFUNCTION("""COMPUTED_VALUE"""),-0.833789370466756)</f>
        <v>-0.83378937046675605</v>
      </c>
      <c r="M113" s="23">
        <f ca="1">IFERROR(__xludf.DUMMYFUNCTION("""COMPUTED_VALUE"""),-0.197505753631569)</f>
        <v>-0.197505753631569</v>
      </c>
      <c r="N113" s="23">
        <f ca="1">IFERROR(__xludf.DUMMYFUNCTION("""COMPUTED_VALUE"""),-0.980862575324565)</f>
        <v>-0.980862575324565</v>
      </c>
      <c r="O113" s="23">
        <f ca="1">IFERROR(__xludf.DUMMYFUNCTION("""COMPUTED_VALUE"""),-0.824524329442315)</f>
        <v>-0.82452432944231502</v>
      </c>
      <c r="P113" s="23"/>
      <c r="Q113" s="24">
        <f ca="1">IFERROR(__xludf.DUMMYFUNCTION("""COMPUTED_VALUE"""),0.657020012427911)</f>
        <v>0.65702001242791097</v>
      </c>
      <c r="R113" s="23">
        <f ca="1">IFERROR(__xludf.DUMMYFUNCTION("""COMPUTED_VALUE"""),-0.570409631586541)</f>
        <v>-0.57040963158654101</v>
      </c>
      <c r="S113" s="23">
        <f ca="1">IFERROR(__xludf.DUMMYFUNCTION("""COMPUTED_VALUE"""),0.337451666357952)</f>
        <v>0.33745166635795198</v>
      </c>
      <c r="T113" s="23">
        <f ca="1">IFERROR(__xludf.DUMMYFUNCTION("""COMPUTED_VALUE"""),0.286000987989369)</f>
        <v>0.28600098798936902</v>
      </c>
      <c r="U113" s="23"/>
      <c r="V113" s="23"/>
      <c r="W113" s="23">
        <f ca="1">IFERROR(__xludf.DUMMYFUNCTION("""COMPUTED_VALUE"""),0.317387419351123)</f>
        <v>0.31738741935112302</v>
      </c>
      <c r="X113" s="23"/>
      <c r="Y113" s="23">
        <f ca="1">IFERROR(__xludf.DUMMYFUNCTION("""COMPUTED_VALUE"""),0.568164986338142)</f>
        <v>0.56816498633814205</v>
      </c>
      <c r="Z113" s="23">
        <f ca="1">IFERROR(__xludf.DUMMYFUNCTION("""COMPUTED_VALUE"""),0.619261186942219)</f>
        <v>0.61926118694221899</v>
      </c>
      <c r="AA113" s="23"/>
      <c r="AB113" s="23">
        <f ca="1">IFERROR(__xludf.DUMMYFUNCTION("""COMPUTED_VALUE"""),0.792040829295687)</f>
        <v>0.79204082929568698</v>
      </c>
      <c r="AC113" s="22"/>
      <c r="AD113" s="23"/>
      <c r="AE113" s="23"/>
      <c r="AF113" s="22"/>
      <c r="AG113" s="22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</row>
    <row r="114" spans="1:45" ht="27.75" customHeight="1" x14ac:dyDescent="0.35">
      <c r="A114" s="15" t="s">
        <v>27</v>
      </c>
      <c r="B114" s="15" t="s">
        <v>79</v>
      </c>
      <c r="C114" s="15" t="str">
        <f ca="1">IFERROR(__xludf.DUMMYFUNCTION("""COMPUTED_VALUE"""),"2022/07/02 (土)
休日午後")</f>
        <v>2022/07/02 (土)
休日午後</v>
      </c>
      <c r="D114" s="15" t="str">
        <f ca="1">IFERROR(__xludf.DUMMYFUNCTION("""COMPUTED_VALUE"""),"休日午後")</f>
        <v>休日午後</v>
      </c>
      <c r="E114" s="16">
        <f ca="1">IFERROR(__xludf.DUMMYFUNCTION("""COMPUTED_VALUE"""),2.1742409959297)</f>
        <v>2.1742409959297002</v>
      </c>
      <c r="F114" s="15" t="s">
        <v>38</v>
      </c>
      <c r="G114" s="32">
        <v>2</v>
      </c>
      <c r="H114" s="35" t="s">
        <v>38</v>
      </c>
      <c r="I114" s="27"/>
      <c r="J114" s="27" t="s">
        <v>80</v>
      </c>
      <c r="K114" s="23" t="b">
        <f ca="1">IFERROR(__xludf.DUMMYFUNCTION("""COMPUTED_VALUE"""),TRUE)</f>
        <v>1</v>
      </c>
      <c r="L114" s="22">
        <f ca="1">IFERROR(__xludf.DUMMYFUNCTION("""COMPUTED_VALUE"""),-0.937278438796202)</f>
        <v>-0.93727843879620198</v>
      </c>
      <c r="M114" s="23">
        <f ca="1">IFERROR(__xludf.DUMMYFUNCTION("""COMPUTED_VALUE"""),-0.0935079349514549)</f>
        <v>-9.3507934951454902E-2</v>
      </c>
      <c r="N114" s="23">
        <f ca="1">IFERROR(__xludf.DUMMYFUNCTION("""COMPUTED_VALUE"""),-0.485229279516827)</f>
        <v>-0.48522927951682698</v>
      </c>
      <c r="O114" s="23">
        <f ca="1">IFERROR(__xludf.DUMMYFUNCTION("""COMPUTED_VALUE"""),-0.872017302963928)</f>
        <v>-0.87201730296392799</v>
      </c>
      <c r="P114" s="23"/>
      <c r="Q114" s="24">
        <f ca="1">IFERROR(__xludf.DUMMYFUNCTION("""COMPUTED_VALUE"""),0.108570070578651)</f>
        <v>0.10857007057865101</v>
      </c>
      <c r="R114" s="23">
        <f ca="1">IFERROR(__xludf.DUMMYFUNCTION("""COMPUTED_VALUE"""),0.100122578759352)</f>
        <v>0.100122578759352</v>
      </c>
      <c r="S114" s="23">
        <f ca="1">IFERROR(__xludf.DUMMYFUNCTION("""COMPUTED_VALUE"""),0.418803254203942)</f>
        <v>0.41880325420394199</v>
      </c>
      <c r="T114" s="23">
        <f ca="1">IFERROR(__xludf.DUMMYFUNCTION("""COMPUTED_VALUE"""),0.489873280618209)</f>
        <v>0.48987328061820901</v>
      </c>
      <c r="U114" s="23"/>
      <c r="V114" s="23"/>
      <c r="W114" s="23">
        <f ca="1">IFERROR(__xludf.DUMMYFUNCTION("""COMPUTED_VALUE"""),0.0967760492089888)</f>
        <v>9.6776049208988801E-2</v>
      </c>
      <c r="X114" s="23"/>
      <c r="Y114" s="23">
        <f ca="1">IFERROR(__xludf.DUMMYFUNCTION("""COMPUTED_VALUE"""),-0.278498641963708)</f>
        <v>-0.27849864196370799</v>
      </c>
      <c r="Z114" s="23">
        <f ca="1">IFERROR(__xludf.DUMMYFUNCTION("""COMPUTED_VALUE"""),0.270694126000515)</f>
        <v>0.27069412600051501</v>
      </c>
      <c r="AA114" s="23"/>
      <c r="AB114" s="23">
        <f ca="1">IFERROR(__xludf.DUMMYFUNCTION("""COMPUTED_VALUE"""),0.190872469744393)</f>
        <v>0.19087246974439301</v>
      </c>
      <c r="AC114" s="22"/>
      <c r="AD114" s="23"/>
      <c r="AE114" s="23"/>
      <c r="AF114" s="22"/>
      <c r="AG114" s="22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</row>
    <row r="115" spans="1:45" ht="27.75" customHeight="1" x14ac:dyDescent="0.35">
      <c r="A115" s="15" t="s">
        <v>27</v>
      </c>
      <c r="B115" s="15" t="s">
        <v>79</v>
      </c>
      <c r="C115" s="15" t="str">
        <f ca="1">IFERROR(__xludf.DUMMYFUNCTION("""COMPUTED_VALUE"""),"2022/07/03 (日)
休日午前")</f>
        <v>2022/07/03 (日)
休日午前</v>
      </c>
      <c r="D115" s="15" t="str">
        <f ca="1">IFERROR(__xludf.DUMMYFUNCTION("""COMPUTED_VALUE"""),"休日午前")</f>
        <v>休日午前</v>
      </c>
      <c r="E115" s="16">
        <f ca="1">IFERROR(__xludf.DUMMYFUNCTION("""COMPUTED_VALUE"""),0.994678778224007)</f>
        <v>0.99467877822400697</v>
      </c>
      <c r="F115" s="15" t="s">
        <v>55</v>
      </c>
      <c r="G115" s="32">
        <v>0</v>
      </c>
      <c r="H115" s="27" t="s">
        <v>1</v>
      </c>
      <c r="I115" s="27"/>
      <c r="J115" s="27" t="s">
        <v>81</v>
      </c>
      <c r="K115" s="23" t="b">
        <f ca="1">IFERROR(__xludf.DUMMYFUNCTION("""COMPUTED_VALUE"""),FALSE)</f>
        <v>0</v>
      </c>
      <c r="L115" s="22">
        <f ca="1">IFERROR(__xludf.DUMMYFUNCTION("""COMPUTED_VALUE"""),-0.995677834872051)</f>
        <v>-0.99567783487205097</v>
      </c>
      <c r="M115" s="23">
        <f ca="1">IFERROR(__xludf.DUMMYFUNCTION("""COMPUTED_VALUE"""),-0.701290200916089)</f>
        <v>-0.70129020091608896</v>
      </c>
      <c r="N115" s="23">
        <f ca="1">IFERROR(__xludf.DUMMYFUNCTION("""COMPUTED_VALUE"""),0.312741141362019)</f>
        <v>0.31274114136201903</v>
      </c>
      <c r="O115" s="23">
        <f ca="1">IFERROR(__xludf.DUMMYFUNCTION("""COMPUTED_VALUE"""),-0.820481761423378)</f>
        <v>-0.82048176142337803</v>
      </c>
      <c r="P115" s="23"/>
      <c r="Q115" s="24">
        <f ca="1">IFERROR(__xludf.DUMMYFUNCTION("""COMPUTED_VALUE"""),0.678163065758844)</f>
        <v>0.678163065758844</v>
      </c>
      <c r="R115" s="23">
        <f ca="1">IFERROR(__xludf.DUMMYFUNCTION("""COMPUTED_VALUE"""),0.0947558191143165)</f>
        <v>9.4755819114316506E-2</v>
      </c>
      <c r="S115" s="23">
        <f ca="1">IFERROR(__xludf.DUMMYFUNCTION("""COMPUTED_VALUE"""),0.0615303751944864)</f>
        <v>6.1530375194486397E-2</v>
      </c>
      <c r="T115" s="23">
        <f ca="1">IFERROR(__xludf.DUMMYFUNCTION("""COMPUTED_VALUE"""),0.802461144137881)</f>
        <v>0.80246114413788106</v>
      </c>
      <c r="U115" s="23"/>
      <c r="V115" s="23"/>
      <c r="W115" s="23">
        <f ca="1">IFERROR(__xludf.DUMMYFUNCTION("""COMPUTED_VALUE"""),0.608265617020965)</f>
        <v>0.60826561702096504</v>
      </c>
      <c r="X115" s="23"/>
      <c r="Y115" s="23">
        <f ca="1">IFERROR(__xludf.DUMMYFUNCTION("""COMPUTED_VALUE"""),-0.483815231412044)</f>
        <v>-0.48381523141204402</v>
      </c>
      <c r="Z115" s="23">
        <f ca="1">IFERROR(__xludf.DUMMYFUNCTION("""COMPUTED_VALUE"""),0.102778167238434)</f>
        <v>0.102778167238434</v>
      </c>
      <c r="AA115" s="23"/>
      <c r="AB115" s="23">
        <f ca="1">IFERROR(__xludf.DUMMYFUNCTION("""COMPUTED_VALUE"""),0.538953477470523)</f>
        <v>0.53895347747052302</v>
      </c>
      <c r="AC115" s="22"/>
      <c r="AD115" s="23"/>
      <c r="AE115" s="23"/>
      <c r="AF115" s="22"/>
      <c r="AG115" s="22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</row>
    <row r="116" spans="1:45" ht="27.75" customHeight="1" x14ac:dyDescent="0.35">
      <c r="A116" s="15" t="s">
        <v>27</v>
      </c>
      <c r="B116" s="15" t="s">
        <v>79</v>
      </c>
      <c r="C116" s="15" t="str">
        <f ca="1">IFERROR(__xludf.DUMMYFUNCTION("""COMPUTED_VALUE"""),"2022/07/03 (日)
休日午後")</f>
        <v>2022/07/03 (日)
休日午後</v>
      </c>
      <c r="D116" s="15" t="str">
        <f ca="1">IFERROR(__xludf.DUMMYFUNCTION("""COMPUTED_VALUE"""),"休日午後")</f>
        <v>休日午後</v>
      </c>
      <c r="E116" s="16">
        <f ca="1">IFERROR(__xludf.DUMMYFUNCTION("""COMPUTED_VALUE"""),0.988957403598817)</f>
        <v>0.98895740359881701</v>
      </c>
      <c r="F116" s="15" t="s">
        <v>15</v>
      </c>
      <c r="G116" s="32"/>
      <c r="H116" s="27" t="s">
        <v>17</v>
      </c>
      <c r="I116" s="27"/>
      <c r="J116" s="27" t="s">
        <v>81</v>
      </c>
      <c r="K116" s="23" t="b">
        <f ca="1">IFERROR(__xludf.DUMMYFUNCTION("""COMPUTED_VALUE"""),TRUE)</f>
        <v>1</v>
      </c>
      <c r="L116" s="22">
        <f ca="1">IFERROR(__xludf.DUMMYFUNCTION("""COMPUTED_VALUE"""),-0.697971486711578)</f>
        <v>-0.69797148671157805</v>
      </c>
      <c r="M116" s="23">
        <f ca="1">IFERROR(__xludf.DUMMYFUNCTION("""COMPUTED_VALUE"""),-0.863606032629783)</f>
        <v>-0.86360603262978297</v>
      </c>
      <c r="N116" s="23">
        <f ca="1">IFERROR(__xludf.DUMMYFUNCTION("""COMPUTED_VALUE"""),0.276441643486172)</f>
        <v>0.27644164348617201</v>
      </c>
      <c r="O116" s="23">
        <f ca="1">IFERROR(__xludf.DUMMYFUNCTION("""COMPUTED_VALUE"""),-0.281015192520578)</f>
        <v>-0.28101519252057799</v>
      </c>
      <c r="P116" s="23"/>
      <c r="Q116" s="24">
        <f ca="1">IFERROR(__xludf.DUMMYFUNCTION("""COMPUTED_VALUE"""),0.256816979457179)</f>
        <v>0.25681697945717902</v>
      </c>
      <c r="R116" s="23">
        <f ca="1">IFERROR(__xludf.DUMMYFUNCTION("""COMPUTED_VALUE"""),0.988957403598817)</f>
        <v>0.98895740359881701</v>
      </c>
      <c r="S116" s="23">
        <f ca="1">IFERROR(__xludf.DUMMYFUNCTION("""COMPUTED_VALUE"""),0.182657276375423)</f>
        <v>0.18265727637542301</v>
      </c>
      <c r="T116" s="23">
        <f ca="1">IFERROR(__xludf.DUMMYFUNCTION("""COMPUTED_VALUE"""),0.595915217207194)</f>
        <v>0.59591521720719398</v>
      </c>
      <c r="U116" s="23"/>
      <c r="V116" s="23"/>
      <c r="W116" s="23">
        <f ca="1">IFERROR(__xludf.DUMMYFUNCTION("""COMPUTED_VALUE"""),0.901026057939804)</f>
        <v>0.90102605793980395</v>
      </c>
      <c r="X116" s="23"/>
      <c r="Y116" s="23">
        <f ca="1">IFERROR(__xludf.DUMMYFUNCTION("""COMPUTED_VALUE"""),-0.512442558886607)</f>
        <v>-0.51244255888660695</v>
      </c>
      <c r="Z116" s="23">
        <f ca="1">IFERROR(__xludf.DUMMYFUNCTION("""COMPUTED_VALUE"""),0.885734169621689)</f>
        <v>0.88573416962168905</v>
      </c>
      <c r="AA116" s="23"/>
      <c r="AB116" s="23">
        <f ca="1">IFERROR(__xludf.DUMMYFUNCTION("""COMPUTED_VALUE"""),0.899560138314088)</f>
        <v>0.89956013831408799</v>
      </c>
      <c r="AC116" s="22"/>
      <c r="AD116" s="23"/>
      <c r="AE116" s="23"/>
      <c r="AF116" s="22"/>
      <c r="AG116" s="22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</row>
    <row r="117" spans="1:45" ht="27.75" customHeight="1" x14ac:dyDescent="0.4">
      <c r="A117" s="15" t="s">
        <v>27</v>
      </c>
      <c r="B117" s="15" t="s">
        <v>79</v>
      </c>
      <c r="C117" s="15" t="str">
        <f ca="1">IFERROR(__xludf.DUMMYFUNCTION("""COMPUTED_VALUE"""),"2022/07/04 (月)
平日夜間")</f>
        <v>2022/07/04 (月)
平日夜間</v>
      </c>
      <c r="D117" s="15" t="str">
        <f ca="1">IFERROR(__xludf.DUMMYFUNCTION("""COMPUTED_VALUE"""),"平日夜間")</f>
        <v>平日夜間</v>
      </c>
      <c r="E117" s="16">
        <f ca="1">IFERROR(__xludf.DUMMYFUNCTION("""COMPUTED_VALUE"""),2.72511557741636)</f>
        <v>2.7251155774163598</v>
      </c>
      <c r="F117" s="15" t="s">
        <v>18</v>
      </c>
      <c r="G117" s="32">
        <v>2</v>
      </c>
      <c r="H117" s="31" t="s">
        <v>18</v>
      </c>
      <c r="I117" s="27"/>
      <c r="J117" s="27" t="s">
        <v>82</v>
      </c>
      <c r="K117" s="23" t="b">
        <f ca="1">IFERROR(__xludf.DUMMYFUNCTION("""COMPUTED_VALUE"""),TRUE)</f>
        <v>1</v>
      </c>
      <c r="L117" s="22">
        <f ca="1">IFERROR(__xludf.DUMMYFUNCTION("""COMPUTED_VALUE"""),2.12147210564357)</f>
        <v>2.1214721056435701</v>
      </c>
      <c r="M117" s="23">
        <f ca="1">IFERROR(__xludf.DUMMYFUNCTION("""COMPUTED_VALUE"""),0.986636825849059)</f>
        <v>0.98663682584905898</v>
      </c>
      <c r="N117" s="23">
        <f ca="1">IFERROR(__xludf.DUMMYFUNCTION("""COMPUTED_VALUE"""),0.122047190535083)</f>
        <v>0.12204719053508301</v>
      </c>
      <c r="O117" s="23">
        <f ca="1">IFERROR(__xludf.DUMMYFUNCTION("""COMPUTED_VALUE"""),0.458820924422129)</f>
        <v>0.45882092442212902</v>
      </c>
      <c r="P117" s="23"/>
      <c r="Q117" s="24">
        <f ca="1">IFERROR(__xludf.DUMMYFUNCTION("""COMPUTED_VALUE"""),-0.498898098051362)</f>
        <v>-0.49889809805136198</v>
      </c>
      <c r="R117" s="23">
        <f ca="1">IFERROR(__xludf.DUMMYFUNCTION("""COMPUTED_VALUE"""),-0.566621596175162)</f>
        <v>-0.56662159617516195</v>
      </c>
      <c r="S117" s="23">
        <f ca="1">IFERROR(__xludf.DUMMYFUNCTION("""COMPUTED_VALUE"""),1.96386681112424)</f>
        <v>1.9638668111242401</v>
      </c>
      <c r="T117" s="23">
        <f ca="1">IFERROR(__xludf.DUMMYFUNCTION("""COMPUTED_VALUE"""),-0.906177365266373)</f>
        <v>-0.90617736526637305</v>
      </c>
      <c r="U117" s="23"/>
      <c r="V117" s="23"/>
      <c r="W117" s="23">
        <f ca="1">IFERROR(__xludf.DUMMYFUNCTION("""COMPUTED_VALUE"""),0.571588508459726)</f>
        <v>0.57158850845972597</v>
      </c>
      <c r="X117" s="23"/>
      <c r="Y117" s="23">
        <f ca="1">IFERROR(__xludf.DUMMYFUNCTION("""COMPUTED_VALUE"""),0.680441300743304)</f>
        <v>0.680441300743304</v>
      </c>
      <c r="Z117" s="23">
        <f ca="1">IFERROR(__xludf.DUMMYFUNCTION("""COMPUTED_VALUE"""),0.994986656252626)</f>
        <v>0.99498665625262595</v>
      </c>
      <c r="AA117" s="23"/>
      <c r="AB117" s="23">
        <f ca="1">IFERROR(__xludf.DUMMYFUNCTION("""COMPUTED_VALUE"""),0.0648327465926232)</f>
        <v>6.4832746592623197E-2</v>
      </c>
      <c r="AC117" s="22"/>
      <c r="AD117" s="23"/>
      <c r="AE117" s="23"/>
      <c r="AF117" s="22"/>
      <c r="AG117" s="22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</row>
    <row r="118" spans="1:45" ht="27.75" customHeight="1" x14ac:dyDescent="0.35">
      <c r="A118" s="15" t="s">
        <v>27</v>
      </c>
      <c r="B118" s="15" t="s">
        <v>79</v>
      </c>
      <c r="C118" s="15" t="str">
        <f ca="1">IFERROR(__xludf.DUMMYFUNCTION("""COMPUTED_VALUE"""),"2022/07/05 (火)
平日夜間")</f>
        <v>2022/07/05 (火)
平日夜間</v>
      </c>
      <c r="D118" s="15" t="str">
        <f ca="1">IFERROR(__xludf.DUMMYFUNCTION("""COMPUTED_VALUE"""),"平日夜間")</f>
        <v>平日夜間</v>
      </c>
      <c r="E118" s="16">
        <f ca="1">IFERROR(__xludf.DUMMYFUNCTION("""COMPUTED_VALUE"""),0.962698745393096)</f>
        <v>0.96269874539309597</v>
      </c>
      <c r="F118" s="15" t="s">
        <v>15</v>
      </c>
      <c r="G118" s="32">
        <v>0</v>
      </c>
      <c r="H118" s="27" t="s">
        <v>31</v>
      </c>
      <c r="I118" s="27"/>
      <c r="J118" s="27" t="s">
        <v>83</v>
      </c>
      <c r="K118" s="23" t="b">
        <f ca="1">IFERROR(__xludf.DUMMYFUNCTION("""COMPUTED_VALUE"""),FALSE)</f>
        <v>0</v>
      </c>
      <c r="L118" s="22">
        <f ca="1">IFERROR(__xludf.DUMMYFUNCTION("""COMPUTED_VALUE"""),0.329066470638907)</f>
        <v>0.32906647063890698</v>
      </c>
      <c r="M118" s="23">
        <f ca="1">IFERROR(__xludf.DUMMYFUNCTION("""COMPUTED_VALUE"""),0.393809167053961)</f>
        <v>0.39380916705396102</v>
      </c>
      <c r="N118" s="23">
        <f ca="1">IFERROR(__xludf.DUMMYFUNCTION("""COMPUTED_VALUE"""),0.588528848870526)</f>
        <v>0.58852884887052603</v>
      </c>
      <c r="O118" s="23">
        <f ca="1">IFERROR(__xludf.DUMMYFUNCTION("""COMPUTED_VALUE"""),0.352254580399113)</f>
        <v>0.352254580399113</v>
      </c>
      <c r="P118" s="23"/>
      <c r="Q118" s="24">
        <f ca="1">IFERROR(__xludf.DUMMYFUNCTION("""COMPUTED_VALUE"""),-0.00777348878164074)</f>
        <v>-7.7734887816407403E-3</v>
      </c>
      <c r="R118" s="23">
        <f ca="1">IFERROR(__xludf.DUMMYFUNCTION("""COMPUTED_VALUE"""),0.962698745393096)</f>
        <v>0.96269874539309597</v>
      </c>
      <c r="S118" s="23">
        <f ca="1">IFERROR(__xludf.DUMMYFUNCTION("""COMPUTED_VALUE"""),0.128417011646624)</f>
        <v>0.128417011646624</v>
      </c>
      <c r="T118" s="23">
        <f ca="1">IFERROR(__xludf.DUMMYFUNCTION("""COMPUTED_VALUE"""),0.210025514151083)</f>
        <v>0.210025514151083</v>
      </c>
      <c r="U118" s="23"/>
      <c r="V118" s="23"/>
      <c r="W118" s="23">
        <f ca="1">IFERROR(__xludf.DUMMYFUNCTION("""COMPUTED_VALUE"""),0.580407247150223)</f>
        <v>0.58040724715022296</v>
      </c>
      <c r="X118" s="23"/>
      <c r="Y118" s="23">
        <f ca="1">IFERROR(__xludf.DUMMYFUNCTION("""COMPUTED_VALUE"""),-0.45844300451627)</f>
        <v>-0.45844300451627001</v>
      </c>
      <c r="Z118" s="23">
        <f ca="1">IFERROR(__xludf.DUMMYFUNCTION("""COMPUTED_VALUE"""),-0.885098695110789)</f>
        <v>-0.88509869511078898</v>
      </c>
      <c r="AA118" s="23"/>
      <c r="AB118" s="23">
        <f ca="1">IFERROR(__xludf.DUMMYFUNCTION("""COMPUTED_VALUE"""),0.431016039347185)</f>
        <v>0.43101603934718502</v>
      </c>
      <c r="AC118" s="22"/>
      <c r="AD118" s="23"/>
      <c r="AE118" s="23"/>
      <c r="AF118" s="22"/>
      <c r="AG118" s="22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</row>
    <row r="119" spans="1:45" ht="27.75" customHeight="1" x14ac:dyDescent="0.4">
      <c r="A119" s="15" t="s">
        <v>27</v>
      </c>
      <c r="B119" s="15" t="s">
        <v>79</v>
      </c>
      <c r="C119" s="15" t="str">
        <f ca="1">IFERROR(__xludf.DUMMYFUNCTION("""COMPUTED_VALUE"""),"2022/07/06 (水)
平日夜間")</f>
        <v>2022/07/06 (水)
平日夜間</v>
      </c>
      <c r="D119" s="15" t="str">
        <f ca="1">IFERROR(__xludf.DUMMYFUNCTION("""COMPUTED_VALUE"""),"平日夜間")</f>
        <v>平日夜間</v>
      </c>
      <c r="E119" s="16">
        <f ca="1">IFERROR(__xludf.DUMMYFUNCTION("""COMPUTED_VALUE"""),2.45777484852904)</f>
        <v>2.45777484852904</v>
      </c>
      <c r="F119" s="15" t="s">
        <v>59</v>
      </c>
      <c r="G119" s="32">
        <v>2</v>
      </c>
      <c r="H119" s="29" t="s">
        <v>59</v>
      </c>
      <c r="I119" s="27"/>
      <c r="J119" s="27" t="s">
        <v>62</v>
      </c>
      <c r="K119" s="23" t="b">
        <f ca="1">IFERROR(__xludf.DUMMYFUNCTION("""COMPUTED_VALUE"""),TRUE)</f>
        <v>1</v>
      </c>
      <c r="L119" s="22">
        <f ca="1">IFERROR(__xludf.DUMMYFUNCTION("""COMPUTED_VALUE"""),0.29616079368206)</f>
        <v>0.29616079368206</v>
      </c>
      <c r="M119" s="23">
        <f ca="1">IFERROR(__xludf.DUMMYFUNCTION("""COMPUTED_VALUE"""),0.783037103803087)</f>
        <v>0.783037103803087</v>
      </c>
      <c r="N119" s="23">
        <f ca="1">IFERROR(__xludf.DUMMYFUNCTION("""COMPUTED_VALUE"""),0.0936402810415066)</f>
        <v>9.3640281041506596E-2</v>
      </c>
      <c r="O119" s="23">
        <f ca="1">IFERROR(__xludf.DUMMYFUNCTION("""COMPUTED_VALUE"""),0.121835969578805)</f>
        <v>0.12183596957880501</v>
      </c>
      <c r="P119" s="23"/>
      <c r="Q119" s="24">
        <f ca="1">IFERROR(__xludf.DUMMYFUNCTION("""COMPUTED_VALUE"""),0.703696822019979)</f>
        <v>0.70369682201997896</v>
      </c>
      <c r="R119" s="23">
        <f ca="1">IFERROR(__xludf.DUMMYFUNCTION("""COMPUTED_VALUE"""),0.127769198370009)</f>
        <v>0.127769198370009</v>
      </c>
      <c r="S119" s="23">
        <f ca="1">IFERROR(__xludf.DUMMYFUNCTION("""COMPUTED_VALUE"""),0.822196843151711)</f>
        <v>0.82219684315171104</v>
      </c>
      <c r="T119" s="23">
        <f ca="1">IFERROR(__xludf.DUMMYFUNCTION("""COMPUTED_VALUE"""),0.600637996575688)</f>
        <v>0.60063799657568795</v>
      </c>
      <c r="U119" s="23"/>
      <c r="V119" s="23"/>
      <c r="W119" s="23">
        <f ca="1">IFERROR(__xludf.DUMMYFUNCTION("""COMPUTED_VALUE"""),-0.000916007429661247)</f>
        <v>-9.1600742966124705E-4</v>
      </c>
      <c r="X119" s="23"/>
      <c r="Y119" s="23">
        <f ca="1">IFERROR(__xludf.DUMMYFUNCTION("""COMPUTED_VALUE"""),0.0402333954674685)</f>
        <v>4.02333954674685E-2</v>
      </c>
      <c r="Z119" s="23">
        <f ca="1">IFERROR(__xludf.DUMMYFUNCTION("""COMPUTED_VALUE"""),0.865930943954549)</f>
        <v>0.86593094395454895</v>
      </c>
      <c r="AA119" s="23"/>
      <c r="AB119" s="23">
        <f ca="1">IFERROR(__xludf.DUMMYFUNCTION("""COMPUTED_VALUE"""),0.985786856420032)</f>
        <v>0.98578685642003205</v>
      </c>
      <c r="AC119" s="22"/>
      <c r="AD119" s="23"/>
      <c r="AE119" s="23"/>
      <c r="AF119" s="22"/>
      <c r="AG119" s="22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</row>
    <row r="120" spans="1:45" ht="27.75" customHeight="1" x14ac:dyDescent="0.4">
      <c r="A120" s="15" t="s">
        <v>27</v>
      </c>
      <c r="B120" s="15" t="s">
        <v>79</v>
      </c>
      <c r="C120" s="15" t="str">
        <f ca="1">IFERROR(__xludf.DUMMYFUNCTION("""COMPUTED_VALUE"""),"2022/07/07 (木)
平日夜間")</f>
        <v>2022/07/07 (木)
平日夜間</v>
      </c>
      <c r="D120" s="15" t="str">
        <f ca="1">IFERROR(__xludf.DUMMYFUNCTION("""COMPUTED_VALUE"""),"平日夜間")</f>
        <v>平日夜間</v>
      </c>
      <c r="E120" s="16">
        <f ca="1">IFERROR(__xludf.DUMMYFUNCTION("""COMPUTED_VALUE"""),2.34853134946555)</f>
        <v>2.3485313494655502</v>
      </c>
      <c r="F120" s="15" t="s">
        <v>30</v>
      </c>
      <c r="G120" s="32">
        <v>2</v>
      </c>
      <c r="H120" s="29" t="s">
        <v>30</v>
      </c>
      <c r="I120" s="27"/>
      <c r="J120" s="27" t="s">
        <v>84</v>
      </c>
      <c r="K120" s="23" t="b">
        <f ca="1">IFERROR(__xludf.DUMMYFUNCTION("""COMPUTED_VALUE"""),TRUE)</f>
        <v>1</v>
      </c>
      <c r="L120" s="22">
        <f ca="1">IFERROR(__xludf.DUMMYFUNCTION("""COMPUTED_VALUE"""),0.324407399415301)</f>
        <v>0.324407399415301</v>
      </c>
      <c r="M120" s="23">
        <f ca="1">IFERROR(__xludf.DUMMYFUNCTION("""COMPUTED_VALUE"""),0.427499861378721)</f>
        <v>0.42749986137872098</v>
      </c>
      <c r="N120" s="23">
        <f ca="1">IFERROR(__xludf.DUMMYFUNCTION("""COMPUTED_VALUE"""),0.552120131785981)</f>
        <v>0.55212013178598096</v>
      </c>
      <c r="O120" s="23">
        <f ca="1">IFERROR(__xludf.DUMMYFUNCTION("""COMPUTED_VALUE"""),0.0122651188832156)</f>
        <v>1.22651188832156E-2</v>
      </c>
      <c r="P120" s="23"/>
      <c r="Q120" s="24">
        <f ca="1">IFERROR(__xludf.DUMMYFUNCTION("""COMPUTED_VALUE"""),0.86800665598001)</f>
        <v>0.86800665598001003</v>
      </c>
      <c r="R120" s="23">
        <f ca="1">IFERROR(__xludf.DUMMYFUNCTION("""COMPUTED_VALUE"""),0.554089946262439)</f>
        <v>0.55408994626243901</v>
      </c>
      <c r="S120" s="23">
        <f ca="1">IFERROR(__xludf.DUMMYFUNCTION("""COMPUTED_VALUE"""),0.490207262269574)</f>
        <v>0.49020726226957401</v>
      </c>
      <c r="T120" s="23">
        <f ca="1">IFERROR(__xludf.DUMMYFUNCTION("""COMPUTED_VALUE"""),0.0607486532721663)</f>
        <v>6.0748653272166303E-2</v>
      </c>
      <c r="U120" s="23"/>
      <c r="V120" s="23"/>
      <c r="W120" s="23">
        <f ca="1">IFERROR(__xludf.DUMMYFUNCTION("""COMPUTED_VALUE"""),0.085108696774095)</f>
        <v>8.5108696774094994E-2</v>
      </c>
      <c r="X120" s="23"/>
      <c r="Y120" s="23">
        <f ca="1">IFERROR(__xludf.DUMMYFUNCTION("""COMPUTED_VALUE"""),0.948995643351555)</f>
        <v>0.94899564335155495</v>
      </c>
      <c r="Z120" s="23">
        <f ca="1">IFERROR(__xludf.DUMMYFUNCTION("""COMPUTED_VALUE"""),0.56174782618722)</f>
        <v>0.56174782618721997</v>
      </c>
      <c r="AA120" s="23"/>
      <c r="AB120" s="23">
        <f ca="1">IFERROR(__xludf.DUMMYFUNCTION("""COMPUTED_VALUE"""),0.417592879814968)</f>
        <v>0.41759287981496801</v>
      </c>
      <c r="AC120" s="22"/>
      <c r="AD120" s="23"/>
      <c r="AE120" s="23"/>
      <c r="AF120" s="22"/>
      <c r="AG120" s="22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</row>
    <row r="121" spans="1:45" ht="27.75" customHeight="1" x14ac:dyDescent="0.4">
      <c r="A121" s="15" t="s">
        <v>27</v>
      </c>
      <c r="B121" s="15" t="s">
        <v>79</v>
      </c>
      <c r="C121" s="15" t="str">
        <f ca="1">IFERROR(__xludf.DUMMYFUNCTION("""COMPUTED_VALUE"""),"2022/07/08 (金)
平日夜間")</f>
        <v>2022/07/08 (金)
平日夜間</v>
      </c>
      <c r="D121" s="15" t="str">
        <f ca="1">IFERROR(__xludf.DUMMYFUNCTION("""COMPUTED_VALUE"""),"平日夜間")</f>
        <v>平日夜間</v>
      </c>
      <c r="E121" s="16">
        <f ca="1">IFERROR(__xludf.DUMMYFUNCTION("""COMPUTED_VALUE"""),1.44679294721412)</f>
        <v>1.4467929472141201</v>
      </c>
      <c r="F121" s="15" t="s">
        <v>11</v>
      </c>
      <c r="G121" s="32">
        <v>0</v>
      </c>
      <c r="H121" s="29" t="s">
        <v>8</v>
      </c>
      <c r="I121" s="27"/>
      <c r="J121" s="27"/>
      <c r="K121" s="23" t="b">
        <f ca="1">IFERROR(__xludf.DUMMYFUNCTION("""COMPUTED_VALUE"""),FALSE)</f>
        <v>0</v>
      </c>
      <c r="L121" s="22">
        <f ca="1">IFERROR(__xludf.DUMMYFUNCTION("""COMPUTED_VALUE"""),-0.691006959539506)</f>
        <v>-0.69100695953950597</v>
      </c>
      <c r="M121" s="23">
        <f ca="1">IFERROR(__xludf.DUMMYFUNCTION("""COMPUTED_VALUE"""),-0.677847389369203)</f>
        <v>-0.67784738936920297</v>
      </c>
      <c r="N121" s="23">
        <f ca="1">IFERROR(__xludf.DUMMYFUNCTION("""COMPUTED_VALUE"""),-0.419778221217094)</f>
        <v>-0.41977822121709402</v>
      </c>
      <c r="O121" s="23">
        <f ca="1">IFERROR(__xludf.DUMMYFUNCTION("""COMPUTED_VALUE"""),-0.985735520855635)</f>
        <v>-0.98573552085563498</v>
      </c>
      <c r="P121" s="23"/>
      <c r="Q121" s="24">
        <f ca="1">IFERROR(__xludf.DUMMYFUNCTION("""COMPUTED_VALUE"""),0.826381054527409)</f>
        <v>0.82638105452740895</v>
      </c>
      <c r="R121" s="23">
        <f ca="1">IFERROR(__xludf.DUMMYFUNCTION("""COMPUTED_VALUE"""),-0.688958658462776)</f>
        <v>-0.68895865846277604</v>
      </c>
      <c r="S121" s="23">
        <f ca="1">IFERROR(__xludf.DUMMYFUNCTION("""COMPUTED_VALUE"""),0.274652947341958)</f>
        <v>0.274652947341958</v>
      </c>
      <c r="T121" s="23">
        <f ca="1">IFERROR(__xludf.DUMMYFUNCTION("""COMPUTED_VALUE"""),1.44679294721412)</f>
        <v>1.4467929472141201</v>
      </c>
      <c r="U121" s="23"/>
      <c r="V121" s="23"/>
      <c r="W121" s="23">
        <f ca="1">IFERROR(__xludf.DUMMYFUNCTION("""COMPUTED_VALUE"""),0.0657099461394776)</f>
        <v>6.5709946139477601E-2</v>
      </c>
      <c r="X121" s="23"/>
      <c r="Y121" s="23">
        <f ca="1">IFERROR(__xludf.DUMMYFUNCTION("""COMPUTED_VALUE"""),0.801752949835749)</f>
        <v>0.80175294983574896</v>
      </c>
      <c r="Z121" s="23">
        <f ca="1">IFERROR(__xludf.DUMMYFUNCTION("""COMPUTED_VALUE"""),-0.595389937065664)</f>
        <v>-0.59538993706566401</v>
      </c>
      <c r="AA121" s="23"/>
      <c r="AB121" s="23">
        <f ca="1">IFERROR(__xludf.DUMMYFUNCTION("""COMPUTED_VALUE"""),0.270299771585627)</f>
        <v>0.27029977158562701</v>
      </c>
      <c r="AC121" s="22"/>
      <c r="AD121" s="23"/>
      <c r="AE121" s="23"/>
      <c r="AF121" s="22"/>
      <c r="AG121" s="22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</row>
    <row r="122" spans="1:45" ht="27.75" customHeight="1" x14ac:dyDescent="0.4">
      <c r="A122" s="15" t="s">
        <v>27</v>
      </c>
      <c r="B122" s="15" t="s">
        <v>79</v>
      </c>
      <c r="C122" s="15" t="str">
        <f ca="1">IFERROR(__xludf.DUMMYFUNCTION("""COMPUTED_VALUE"""),"2022/07/09 (土)
休日午前")</f>
        <v>2022/07/09 (土)
休日午前</v>
      </c>
      <c r="D122" s="15" t="str">
        <f ca="1">IFERROR(__xludf.DUMMYFUNCTION("""COMPUTED_VALUE"""),"休日午前")</f>
        <v>休日午前</v>
      </c>
      <c r="E122" s="16">
        <f ca="1">IFERROR(__xludf.DUMMYFUNCTION("""COMPUTED_VALUE"""),1.9895877827958)</f>
        <v>1.9895877827958</v>
      </c>
      <c r="F122" s="15" t="s">
        <v>19</v>
      </c>
      <c r="G122" s="32">
        <v>1</v>
      </c>
      <c r="H122" s="29" t="s">
        <v>19</v>
      </c>
      <c r="I122" s="27"/>
      <c r="J122" s="27" t="s">
        <v>85</v>
      </c>
      <c r="K122" s="23" t="b">
        <f ca="1">IFERROR(__xludf.DUMMYFUNCTION("""COMPUTED_VALUE"""),FALSE)</f>
        <v>0</v>
      </c>
      <c r="L122" s="22">
        <f ca="1">IFERROR(__xludf.DUMMYFUNCTION("""COMPUTED_VALUE"""),-0.992893918587879)</f>
        <v>-0.99289391858787901</v>
      </c>
      <c r="M122" s="23">
        <f ca="1">IFERROR(__xludf.DUMMYFUNCTION("""COMPUTED_VALUE"""),-0.792240495721529)</f>
        <v>-0.79224049572152899</v>
      </c>
      <c r="N122" s="23">
        <f ca="1">IFERROR(__xludf.DUMMYFUNCTION("""COMPUTED_VALUE"""),-0.826880206232565)</f>
        <v>-0.82688020623256497</v>
      </c>
      <c r="O122" s="23">
        <f ca="1">IFERROR(__xludf.DUMMYFUNCTION("""COMPUTED_VALUE"""),1.9895877827958)</f>
        <v>1.9895877827958</v>
      </c>
      <c r="P122" s="23"/>
      <c r="Q122" s="24">
        <f ca="1">IFERROR(__xludf.DUMMYFUNCTION("""COMPUTED_VALUE"""),-0.0157252595500854)</f>
        <v>-1.5725259550085399E-2</v>
      </c>
      <c r="R122" s="23">
        <f ca="1">IFERROR(__xludf.DUMMYFUNCTION("""COMPUTED_VALUE"""),-0.574852146821875)</f>
        <v>-0.57485214682187502</v>
      </c>
      <c r="S122" s="23">
        <f ca="1">IFERROR(__xludf.DUMMYFUNCTION("""COMPUTED_VALUE"""),0.0235519694215555)</f>
        <v>2.3551969421555501E-2</v>
      </c>
      <c r="T122" s="23">
        <f ca="1">IFERROR(__xludf.DUMMYFUNCTION("""COMPUTED_VALUE"""),0.468911650544402)</f>
        <v>0.46891165054440198</v>
      </c>
      <c r="U122" s="23"/>
      <c r="V122" s="23"/>
      <c r="W122" s="23">
        <f ca="1">IFERROR(__xludf.DUMMYFUNCTION("""COMPUTED_VALUE"""),0.384305406118352)</f>
        <v>0.38430540611835201</v>
      </c>
      <c r="X122" s="23"/>
      <c r="Y122" s="23">
        <f ca="1">IFERROR(__xludf.DUMMYFUNCTION("""COMPUTED_VALUE"""),-0.556673370907363)</f>
        <v>-0.55667337090736302</v>
      </c>
      <c r="Z122" s="23">
        <f ca="1">IFERROR(__xludf.DUMMYFUNCTION("""COMPUTED_VALUE"""),0.370666827421272)</f>
        <v>0.37066682742127199</v>
      </c>
      <c r="AA122" s="23"/>
      <c r="AB122" s="23">
        <f ca="1">IFERROR(__xludf.DUMMYFUNCTION("""COMPUTED_VALUE"""),0.966102224089681)</f>
        <v>0.96610222408968105</v>
      </c>
      <c r="AC122" s="22"/>
      <c r="AD122" s="23"/>
      <c r="AE122" s="23"/>
      <c r="AF122" s="22"/>
      <c r="AG122" s="22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</row>
    <row r="123" spans="1:45" ht="27.75" customHeight="1" x14ac:dyDescent="0.35">
      <c r="A123" s="15" t="s">
        <v>27</v>
      </c>
      <c r="B123" s="15" t="s">
        <v>79</v>
      </c>
      <c r="C123" s="15" t="str">
        <f ca="1">IFERROR(__xludf.DUMMYFUNCTION("""COMPUTED_VALUE"""),"2022/07/09 (土)
休日午後")</f>
        <v>2022/07/09 (土)
休日午後</v>
      </c>
      <c r="D123" s="15" t="str">
        <f ca="1">IFERROR(__xludf.DUMMYFUNCTION("""COMPUTED_VALUE"""),"休日午後")</f>
        <v>休日午後</v>
      </c>
      <c r="E123" s="16">
        <f ca="1">IFERROR(__xludf.DUMMYFUNCTION("""COMPUTED_VALUE"""),0.909989367250365)</f>
        <v>0.90998936725036506</v>
      </c>
      <c r="F123" s="15" t="s">
        <v>19</v>
      </c>
      <c r="G123" s="32">
        <v>0</v>
      </c>
      <c r="H123" s="27" t="s">
        <v>1</v>
      </c>
      <c r="I123" s="27"/>
      <c r="J123" s="27" t="s">
        <v>85</v>
      </c>
      <c r="K123" s="23" t="b">
        <f ca="1">IFERROR(__xludf.DUMMYFUNCTION("""COMPUTED_VALUE"""),FALSE)</f>
        <v>0</v>
      </c>
      <c r="L123" s="22">
        <f ca="1">IFERROR(__xludf.DUMMYFUNCTION("""COMPUTED_VALUE"""),-0.69960664405236)</f>
        <v>-0.69960664405235995</v>
      </c>
      <c r="M123" s="23">
        <f ca="1">IFERROR(__xludf.DUMMYFUNCTION("""COMPUTED_VALUE"""),-0.279062762928718)</f>
        <v>-0.27906276292871801</v>
      </c>
      <c r="N123" s="23">
        <f ca="1">IFERROR(__xludf.DUMMYFUNCTION("""COMPUTED_VALUE"""),-0.644905719632059)</f>
        <v>-0.644905719632059</v>
      </c>
      <c r="O123" s="23">
        <f ca="1">IFERROR(__xludf.DUMMYFUNCTION("""COMPUTED_VALUE"""),0.909989367250365)</f>
        <v>0.90998936725036506</v>
      </c>
      <c r="P123" s="23"/>
      <c r="Q123" s="24">
        <f ca="1">IFERROR(__xludf.DUMMYFUNCTION("""COMPUTED_VALUE"""),0.0332279358798135)</f>
        <v>3.32279358798135E-2</v>
      </c>
      <c r="R123" s="23">
        <f ca="1">IFERROR(__xludf.DUMMYFUNCTION("""COMPUTED_VALUE"""),-0.251827524512577)</f>
        <v>-0.25182752451257701</v>
      </c>
      <c r="S123" s="23">
        <f ca="1">IFERROR(__xludf.DUMMYFUNCTION("""COMPUTED_VALUE"""),0.114584012476194)</f>
        <v>0.114584012476194</v>
      </c>
      <c r="T123" s="23">
        <f ca="1">IFERROR(__xludf.DUMMYFUNCTION("""COMPUTED_VALUE"""),0.63910229968256)</f>
        <v>0.63910229968256005</v>
      </c>
      <c r="U123" s="23"/>
      <c r="V123" s="23"/>
      <c r="W123" s="23">
        <f ca="1">IFERROR(__xludf.DUMMYFUNCTION("""COMPUTED_VALUE"""),0.223773991679897)</f>
        <v>0.22377399167989701</v>
      </c>
      <c r="X123" s="23"/>
      <c r="Y123" s="23">
        <f ca="1">IFERROR(__xludf.DUMMYFUNCTION("""COMPUTED_VALUE"""),-0.319162002747724)</f>
        <v>-0.31916200274772399</v>
      </c>
      <c r="Z123" s="23">
        <f ca="1">IFERROR(__xludf.DUMMYFUNCTION("""COMPUTED_VALUE"""),0.547516549636531)</f>
        <v>0.54751654963653096</v>
      </c>
      <c r="AA123" s="23"/>
      <c r="AB123" s="23">
        <f ca="1">IFERROR(__xludf.DUMMYFUNCTION("""COMPUTED_VALUE"""),0.867902210125377)</f>
        <v>0.86790221012537705</v>
      </c>
      <c r="AC123" s="22"/>
      <c r="AD123" s="23"/>
      <c r="AE123" s="23"/>
      <c r="AF123" s="22"/>
      <c r="AG123" s="22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</row>
    <row r="124" spans="1:45" ht="27.75" customHeight="1" x14ac:dyDescent="0.4">
      <c r="A124" s="15" t="s">
        <v>27</v>
      </c>
      <c r="B124" s="15" t="s">
        <v>79</v>
      </c>
      <c r="C124" s="15" t="str">
        <f ca="1">IFERROR(__xludf.DUMMYFUNCTION("""COMPUTED_VALUE"""),"2022/07/10 (日)
休日午前")</f>
        <v>2022/07/10 (日)
休日午前</v>
      </c>
      <c r="D124" s="15" t="str">
        <f ca="1">IFERROR(__xludf.DUMMYFUNCTION("""COMPUTED_VALUE"""),"休日午前")</f>
        <v>休日午前</v>
      </c>
      <c r="E124" s="16">
        <f ca="1">IFERROR(__xludf.DUMMYFUNCTION("""COMPUTED_VALUE"""),2.4287223175967)</f>
        <v>2.4287223175967001</v>
      </c>
      <c r="F124" s="15" t="s">
        <v>8</v>
      </c>
      <c r="G124" s="32">
        <v>0</v>
      </c>
      <c r="H124" s="29" t="s">
        <v>59</v>
      </c>
      <c r="I124" s="27"/>
      <c r="J124" s="27" t="s">
        <v>86</v>
      </c>
      <c r="K124" s="23" t="b">
        <f ca="1">IFERROR(__xludf.DUMMYFUNCTION("""COMPUTED_VALUE"""),FALSE)</f>
        <v>0</v>
      </c>
      <c r="L124" s="22">
        <f ca="1">IFERROR(__xludf.DUMMYFUNCTION("""COMPUTED_VALUE"""),-0.20581987656666)</f>
        <v>-0.20581987656666001</v>
      </c>
      <c r="M124" s="23">
        <f ca="1">IFERROR(__xludf.DUMMYFUNCTION("""COMPUTED_VALUE"""),-0.0916128879532209)</f>
        <v>-9.1612887953220895E-2</v>
      </c>
      <c r="N124" s="23">
        <f ca="1">IFERROR(__xludf.DUMMYFUNCTION("""COMPUTED_VALUE"""),-0.546857912037545)</f>
        <v>-0.54685791203754497</v>
      </c>
      <c r="O124" s="23">
        <f ca="1">IFERROR(__xludf.DUMMYFUNCTION("""COMPUTED_VALUE"""),-0.11828935700887)</f>
        <v>-0.11828935700887</v>
      </c>
      <c r="P124" s="23"/>
      <c r="Q124" s="24">
        <f ca="1">IFERROR(__xludf.DUMMYFUNCTION("""COMPUTED_VALUE"""),0.369046768641832)</f>
        <v>0.369046768641832</v>
      </c>
      <c r="R124" s="23">
        <f ca="1">IFERROR(__xludf.DUMMYFUNCTION("""COMPUTED_VALUE"""),-0.405093396508366)</f>
        <v>-0.40509339650836601</v>
      </c>
      <c r="S124" s="23">
        <f ca="1">IFERROR(__xludf.DUMMYFUNCTION("""COMPUTED_VALUE"""),2.4287223175967)</f>
        <v>2.4287223175967001</v>
      </c>
      <c r="T124" s="23">
        <f ca="1">IFERROR(__xludf.DUMMYFUNCTION("""COMPUTED_VALUE"""),0.300950954955393)</f>
        <v>0.30095095495539298</v>
      </c>
      <c r="U124" s="23"/>
      <c r="V124" s="23"/>
      <c r="W124" s="23">
        <f ca="1">IFERROR(__xludf.DUMMYFUNCTION("""COMPUTED_VALUE"""),0.0124544315486718)</f>
        <v>1.2454431548671799E-2</v>
      </c>
      <c r="X124" s="23"/>
      <c r="Y124" s="23">
        <f ca="1">IFERROR(__xludf.DUMMYFUNCTION("""COMPUTED_VALUE"""),-0.387031881201142)</f>
        <v>-0.38703188120114201</v>
      </c>
      <c r="Z124" s="23">
        <f ca="1">IFERROR(__xludf.DUMMYFUNCTION("""COMPUTED_VALUE"""),0.0479641996953927)</f>
        <v>4.7964199695392701E-2</v>
      </c>
      <c r="AA124" s="23"/>
      <c r="AB124" s="23">
        <f ca="1">IFERROR(__xludf.DUMMYFUNCTION("""COMPUTED_VALUE"""),0.327558336150837)</f>
        <v>0.32755833615083702</v>
      </c>
      <c r="AC124" s="22"/>
      <c r="AD124" s="23"/>
      <c r="AE124" s="23"/>
      <c r="AF124" s="22"/>
      <c r="AG124" s="22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</row>
    <row r="125" spans="1:45" ht="27.75" customHeight="1" x14ac:dyDescent="0.4">
      <c r="A125" s="15" t="s">
        <v>27</v>
      </c>
      <c r="B125" s="15" t="s">
        <v>79</v>
      </c>
      <c r="C125" s="15" t="str">
        <f ca="1">IFERROR(__xludf.DUMMYFUNCTION("""COMPUTED_VALUE"""),"2022/07/10 (日)
休日午後")</f>
        <v>2022/07/10 (日)
休日午後</v>
      </c>
      <c r="D125" s="15" t="str">
        <f ca="1">IFERROR(__xludf.DUMMYFUNCTION("""COMPUTED_VALUE"""),"休日午後")</f>
        <v>休日午後</v>
      </c>
      <c r="E125" s="16">
        <f ca="1">IFERROR(__xludf.DUMMYFUNCTION("""COMPUTED_VALUE"""),2.68855550147423)</f>
        <v>2.6885555014742302</v>
      </c>
      <c r="F125" s="15" t="s">
        <v>10</v>
      </c>
      <c r="G125" s="32">
        <v>0</v>
      </c>
      <c r="H125" s="29" t="s">
        <v>8</v>
      </c>
      <c r="I125" s="27"/>
      <c r="J125" s="27" t="s">
        <v>86</v>
      </c>
      <c r="K125" s="23" t="b">
        <f ca="1">IFERROR(__xludf.DUMMYFUNCTION("""COMPUTED_VALUE"""),TRUE)</f>
        <v>1</v>
      </c>
      <c r="L125" s="22">
        <f ca="1">IFERROR(__xludf.DUMMYFUNCTION("""COMPUTED_VALUE"""),-0.595764523083326)</f>
        <v>-0.59576452308332595</v>
      </c>
      <c r="M125" s="23">
        <f ca="1">IFERROR(__xludf.DUMMYFUNCTION("""COMPUTED_VALUE"""),-0.0787229855273052)</f>
        <v>-7.8722985527305195E-2</v>
      </c>
      <c r="N125" s="23">
        <f ca="1">IFERROR(__xludf.DUMMYFUNCTION("""COMPUTED_VALUE"""),-0.355664287198689)</f>
        <v>-0.35566428719868898</v>
      </c>
      <c r="O125" s="23">
        <f ca="1">IFERROR(__xludf.DUMMYFUNCTION("""COMPUTED_VALUE"""),-0.372621934000534)</f>
        <v>-0.37262193400053401</v>
      </c>
      <c r="P125" s="23"/>
      <c r="Q125" s="24">
        <f ca="1">IFERROR(__xludf.DUMMYFUNCTION("""COMPUTED_VALUE"""),0.224417976822498)</f>
        <v>0.22441797682249801</v>
      </c>
      <c r="R125" s="23">
        <f ca="1">IFERROR(__xludf.DUMMYFUNCTION("""COMPUTED_VALUE"""),-0.601862638170694)</f>
        <v>-0.60186263817069396</v>
      </c>
      <c r="S125" s="23">
        <f ca="1">IFERROR(__xludf.DUMMYFUNCTION("""COMPUTED_VALUE"""),0.0807116498406428)</f>
        <v>8.0711649840642802E-2</v>
      </c>
      <c r="T125" s="23">
        <f ca="1">IFERROR(__xludf.DUMMYFUNCTION("""COMPUTED_VALUE"""),0.370491348352233)</f>
        <v>0.37049134835223302</v>
      </c>
      <c r="U125" s="23"/>
      <c r="V125" s="23"/>
      <c r="W125" s="23">
        <f ca="1">IFERROR(__xludf.DUMMYFUNCTION("""COMPUTED_VALUE"""),0.392281814518352)</f>
        <v>0.39228181451835198</v>
      </c>
      <c r="X125" s="23"/>
      <c r="Y125" s="23">
        <f ca="1">IFERROR(__xludf.DUMMYFUNCTION("""COMPUTED_VALUE"""),-0.679020240648703)</f>
        <v>-0.67902024064870303</v>
      </c>
      <c r="Z125" s="23">
        <f ca="1">IFERROR(__xludf.DUMMYFUNCTION("""COMPUTED_VALUE"""),2.68855550147423)</f>
        <v>2.6885555014742302</v>
      </c>
      <c r="AA125" s="23"/>
      <c r="AB125" s="23">
        <f ca="1">IFERROR(__xludf.DUMMYFUNCTION("""COMPUTED_VALUE"""),0.157110887485313)</f>
        <v>0.15711088748531299</v>
      </c>
      <c r="AC125" s="22"/>
      <c r="AD125" s="23"/>
      <c r="AE125" s="23"/>
      <c r="AF125" s="22"/>
      <c r="AG125" s="22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</row>
    <row r="126" spans="1:45" ht="27.75" customHeight="1" x14ac:dyDescent="0.4">
      <c r="A126" s="15" t="s">
        <v>27</v>
      </c>
      <c r="B126" s="15" t="s">
        <v>79</v>
      </c>
      <c r="C126" s="15" t="str">
        <f ca="1">IFERROR(__xludf.DUMMYFUNCTION("""COMPUTED_VALUE"""),"2022/07/11 (月)
平日夜間")</f>
        <v>2022/07/11 (月)
平日夜間</v>
      </c>
      <c r="D126" s="15" t="str">
        <f ca="1">IFERROR(__xludf.DUMMYFUNCTION("""COMPUTED_VALUE"""),"平日夜間")</f>
        <v>平日夜間</v>
      </c>
      <c r="E126" s="16">
        <f ca="1">IFERROR(__xludf.DUMMYFUNCTION("""COMPUTED_VALUE"""),2.97108521608184)</f>
        <v>2.97108521608184</v>
      </c>
      <c r="F126" s="15" t="s">
        <v>14</v>
      </c>
      <c r="G126" s="32">
        <v>2</v>
      </c>
      <c r="H126" s="29" t="s">
        <v>14</v>
      </c>
      <c r="I126" s="27"/>
      <c r="J126" s="27" t="s">
        <v>87</v>
      </c>
      <c r="K126" s="23" t="b">
        <f ca="1">IFERROR(__xludf.DUMMYFUNCTION("""COMPUTED_VALUE"""),TRUE)</f>
        <v>1</v>
      </c>
      <c r="L126" s="22">
        <f ca="1">IFERROR(__xludf.DUMMYFUNCTION("""COMPUTED_VALUE"""),0.0961201716419257)</f>
        <v>9.6120171641925697E-2</v>
      </c>
      <c r="M126" s="23">
        <f ca="1">IFERROR(__xludf.DUMMYFUNCTION("""COMPUTED_VALUE"""),-0.380446837371372)</f>
        <v>-0.38044683737137203</v>
      </c>
      <c r="N126" s="23">
        <f ca="1">IFERROR(__xludf.DUMMYFUNCTION("""COMPUTED_VALUE"""),0.382774551598452)</f>
        <v>0.38277455159845197</v>
      </c>
      <c r="O126" s="23">
        <f ca="1">IFERROR(__xludf.DUMMYFUNCTION("""COMPUTED_VALUE"""),0.0595285063926851)</f>
        <v>5.9528506392685102E-2</v>
      </c>
      <c r="P126" s="23"/>
      <c r="Q126" s="24">
        <f ca="1">IFERROR(__xludf.DUMMYFUNCTION("""COMPUTED_VALUE"""),0.118121680439166)</f>
        <v>0.118121680439166</v>
      </c>
      <c r="R126" s="23">
        <f ca="1">IFERROR(__xludf.DUMMYFUNCTION("""COMPUTED_VALUE"""),0.035339946240009)</f>
        <v>3.5339946240009003E-2</v>
      </c>
      <c r="S126" s="23">
        <f ca="1">IFERROR(__xludf.DUMMYFUNCTION("""COMPUTED_VALUE"""),0.280870585960918)</f>
        <v>0.28087058596091802</v>
      </c>
      <c r="T126" s="23">
        <f ca="1">IFERROR(__xludf.DUMMYFUNCTION("""COMPUTED_VALUE"""),0.0599007739333183)</f>
        <v>5.9900773933318302E-2</v>
      </c>
      <c r="U126" s="23"/>
      <c r="V126" s="23"/>
      <c r="W126" s="23">
        <f ca="1">IFERROR(__xludf.DUMMYFUNCTION("""COMPUTED_VALUE"""),-0.0534992715960345)</f>
        <v>-5.3499271596034501E-2</v>
      </c>
      <c r="X126" s="23"/>
      <c r="Y126" s="23">
        <f ca="1">IFERROR(__xludf.DUMMYFUNCTION("""COMPUTED_VALUE"""),2.97108521608184)</f>
        <v>2.97108521608184</v>
      </c>
      <c r="Z126" s="23">
        <f ca="1">IFERROR(__xludf.DUMMYFUNCTION("""COMPUTED_VALUE"""),0.715645437693821)</f>
        <v>0.71564543769382105</v>
      </c>
      <c r="AA126" s="23"/>
      <c r="AB126" s="23">
        <f ca="1">IFERROR(__xludf.DUMMYFUNCTION("""COMPUTED_VALUE"""),0.0651220582828711)</f>
        <v>6.5122058282871098E-2</v>
      </c>
      <c r="AC126" s="22"/>
      <c r="AD126" s="23"/>
      <c r="AE126" s="23"/>
      <c r="AF126" s="22"/>
      <c r="AG126" s="22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</row>
    <row r="127" spans="1:45" ht="27.75" customHeight="1" x14ac:dyDescent="0.4">
      <c r="A127" s="15" t="s">
        <v>27</v>
      </c>
      <c r="B127" s="15" t="s">
        <v>79</v>
      </c>
      <c r="C127" s="15" t="str">
        <f ca="1">IFERROR(__xludf.DUMMYFUNCTION("""COMPUTED_VALUE"""),"2022/07/12 (火)
平日夜間")</f>
        <v>2022/07/12 (火)
平日夜間</v>
      </c>
      <c r="D127" s="15" t="str">
        <f ca="1">IFERROR(__xludf.DUMMYFUNCTION("""COMPUTED_VALUE"""),"平日夜間")</f>
        <v>平日夜間</v>
      </c>
      <c r="E127" s="16">
        <f ca="1">IFERROR(__xludf.DUMMYFUNCTION("""COMPUTED_VALUE"""),2.18099332916283)</f>
        <v>2.1809933291628298</v>
      </c>
      <c r="F127" s="15" t="s">
        <v>1</v>
      </c>
      <c r="G127" s="32">
        <v>2</v>
      </c>
      <c r="H127" s="29" t="s">
        <v>1</v>
      </c>
      <c r="I127" s="27"/>
      <c r="J127" s="27" t="s">
        <v>88</v>
      </c>
      <c r="K127" s="23" t="b">
        <f ca="1">IFERROR(__xludf.DUMMYFUNCTION("""COMPUTED_VALUE"""),TRUE)</f>
        <v>1</v>
      </c>
      <c r="L127" s="22">
        <f ca="1">IFERROR(__xludf.DUMMYFUNCTION("""COMPUTED_VALUE"""),0.412162640169247)</f>
        <v>0.41216264016924697</v>
      </c>
      <c r="M127" s="23">
        <f ca="1">IFERROR(__xludf.DUMMYFUNCTION("""COMPUTED_VALUE"""),0.352941058157089)</f>
        <v>0.35294105815708898</v>
      </c>
      <c r="N127" s="23">
        <f ca="1">IFERROR(__xludf.DUMMYFUNCTION("""COMPUTED_VALUE"""),0.0656648644433257)</f>
        <v>6.5664864443325699E-2</v>
      </c>
      <c r="O127" s="23">
        <f ca="1">IFERROR(__xludf.DUMMYFUNCTION("""COMPUTED_VALUE"""),0.145627324878838)</f>
        <v>0.145627324878838</v>
      </c>
      <c r="P127" s="23"/>
      <c r="Q127" s="24">
        <f ca="1">IFERROR(__xludf.DUMMYFUNCTION("""COMPUTED_VALUE"""),-0.0150473288167332)</f>
        <v>-1.5047328816733201E-2</v>
      </c>
      <c r="R127" s="23">
        <f ca="1">IFERROR(__xludf.DUMMYFUNCTION("""COMPUTED_VALUE"""),0.488005764807164)</f>
        <v>0.48800576480716401</v>
      </c>
      <c r="S127" s="23">
        <f ca="1">IFERROR(__xludf.DUMMYFUNCTION("""COMPUTED_VALUE"""),0.615919924752934)</f>
        <v>0.615919924752934</v>
      </c>
      <c r="T127" s="23">
        <f ca="1">IFERROR(__xludf.DUMMYFUNCTION("""COMPUTED_VALUE"""),0.385924601590786)</f>
        <v>0.38592460159078601</v>
      </c>
      <c r="U127" s="23"/>
      <c r="V127" s="23"/>
      <c r="W127" s="23">
        <f ca="1">IFERROR(__xludf.DUMMYFUNCTION("""COMPUTED_VALUE"""),-0.118261043170347)</f>
        <v>-0.118261043170347</v>
      </c>
      <c r="X127" s="23"/>
      <c r="Y127" s="23">
        <f ca="1">IFERROR(__xludf.DUMMYFUNCTION("""COMPUTED_VALUE"""),0.573023106908761)</f>
        <v>0.57302310690876102</v>
      </c>
      <c r="Z127" s="23">
        <f ca="1">IFERROR(__xludf.DUMMYFUNCTION("""COMPUTED_VALUE"""),-0.492285546598915)</f>
        <v>-0.49228554659891499</v>
      </c>
      <c r="AA127" s="23"/>
      <c r="AB127" s="23">
        <f ca="1">IFERROR(__xludf.DUMMYFUNCTION("""COMPUTED_VALUE"""),2.18099332916283)</f>
        <v>2.1809933291628298</v>
      </c>
      <c r="AC127" s="22"/>
      <c r="AD127" s="23"/>
      <c r="AE127" s="23"/>
      <c r="AF127" s="22"/>
      <c r="AG127" s="22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</row>
    <row r="128" spans="1:45" ht="27.75" customHeight="1" x14ac:dyDescent="0.4">
      <c r="A128" s="15" t="s">
        <v>27</v>
      </c>
      <c r="B128" s="15" t="s">
        <v>79</v>
      </c>
      <c r="C128" s="15" t="str">
        <f ca="1">IFERROR(__xludf.DUMMYFUNCTION("""COMPUTED_VALUE"""),"2022/07/13 (水)
平日夜間")</f>
        <v>2022/07/13 (水)
平日夜間</v>
      </c>
      <c r="D128" s="15" t="str">
        <f ca="1">IFERROR(__xludf.DUMMYFUNCTION("""COMPUTED_VALUE"""),"平日夜間")</f>
        <v>平日夜間</v>
      </c>
      <c r="E128" s="16">
        <f ca="1">IFERROR(__xludf.DUMMYFUNCTION("""COMPUTED_VALUE"""),2.34178521990786)</f>
        <v>2.3417852199078601</v>
      </c>
      <c r="F128" s="15" t="s">
        <v>11</v>
      </c>
      <c r="G128" s="32">
        <v>2</v>
      </c>
      <c r="H128" s="29" t="s">
        <v>11</v>
      </c>
      <c r="I128" s="27"/>
      <c r="J128" s="27" t="s">
        <v>48</v>
      </c>
      <c r="K128" s="23" t="b">
        <f ca="1">IFERROR(__xludf.DUMMYFUNCTION("""COMPUTED_VALUE"""),TRUE)</f>
        <v>1</v>
      </c>
      <c r="L128" s="22">
        <f ca="1">IFERROR(__xludf.DUMMYFUNCTION("""COMPUTED_VALUE"""),-0.912277763537024)</f>
        <v>-0.91227776353702394</v>
      </c>
      <c r="M128" s="23">
        <f ca="1">IFERROR(__xludf.DUMMYFUNCTION("""COMPUTED_VALUE"""),0.491593447092117)</f>
        <v>0.491593447092117</v>
      </c>
      <c r="N128" s="23">
        <f ca="1">IFERROR(__xludf.DUMMYFUNCTION("""COMPUTED_VALUE"""),0.65652225592025)</f>
        <v>0.65652225592025004</v>
      </c>
      <c r="O128" s="23">
        <f ca="1">IFERROR(__xludf.DUMMYFUNCTION("""COMPUTED_VALUE"""),0.321971710811782)</f>
        <v>0.321971710811782</v>
      </c>
      <c r="P128" s="23"/>
      <c r="Q128" s="24">
        <f ca="1">IFERROR(__xludf.DUMMYFUNCTION("""COMPUTED_VALUE"""),0.993096722353614)</f>
        <v>0.99309672235361401</v>
      </c>
      <c r="R128" s="23">
        <f ca="1">IFERROR(__xludf.DUMMYFUNCTION("""COMPUTED_VALUE"""),-0.932914686947228)</f>
        <v>-0.93291468694722801</v>
      </c>
      <c r="S128" s="23">
        <f ca="1">IFERROR(__xludf.DUMMYFUNCTION("""COMPUTED_VALUE"""),0.0196190920221634)</f>
        <v>1.9619092022163401E-2</v>
      </c>
      <c r="T128" s="23">
        <f ca="1">IFERROR(__xludf.DUMMYFUNCTION("""COMPUTED_VALUE"""),2.34178521990786)</f>
        <v>2.3417852199078601</v>
      </c>
      <c r="U128" s="23"/>
      <c r="V128" s="23"/>
      <c r="W128" s="23">
        <f ca="1">IFERROR(__xludf.DUMMYFUNCTION("""COMPUTED_VALUE"""),-0.171589996711421)</f>
        <v>-0.171589996711421</v>
      </c>
      <c r="X128" s="23"/>
      <c r="Y128" s="23">
        <f ca="1">IFERROR(__xludf.DUMMYFUNCTION("""COMPUTED_VALUE"""),0.264130134933249)</f>
        <v>0.26413013493324899</v>
      </c>
      <c r="Z128" s="23">
        <f ca="1">IFERROR(__xludf.DUMMYFUNCTION("""COMPUTED_VALUE"""),0.111771126423335)</f>
        <v>0.111771126423335</v>
      </c>
      <c r="AA128" s="23"/>
      <c r="AB128" s="23">
        <f ca="1">IFERROR(__xludf.DUMMYFUNCTION("""COMPUTED_VALUE"""),0.970259043673138)</f>
        <v>0.97025904367313798</v>
      </c>
      <c r="AC128" s="22"/>
      <c r="AD128" s="23"/>
      <c r="AE128" s="23"/>
      <c r="AF128" s="22"/>
      <c r="AG128" s="22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</row>
    <row r="129" spans="1:45" ht="27.75" customHeight="1" x14ac:dyDescent="0.4">
      <c r="A129" s="15" t="s">
        <v>27</v>
      </c>
      <c r="B129" s="15" t="s">
        <v>79</v>
      </c>
      <c r="C129" s="15" t="str">
        <f ca="1">IFERROR(__xludf.DUMMYFUNCTION("""COMPUTED_VALUE"""),"2022/07/14 (木)
平日夜間")</f>
        <v>2022/07/14 (木)
平日夜間</v>
      </c>
      <c r="D129" s="15" t="str">
        <f ca="1">IFERROR(__xludf.DUMMYFUNCTION("""COMPUTED_VALUE"""),"平日夜間")</f>
        <v>平日夜間</v>
      </c>
      <c r="E129" s="16">
        <f ca="1">IFERROR(__xludf.DUMMYFUNCTION("""COMPUTED_VALUE"""),2.69675037519011)</f>
        <v>2.6967503751901098</v>
      </c>
      <c r="F129" s="15" t="s">
        <v>19</v>
      </c>
      <c r="G129" s="32">
        <v>2</v>
      </c>
      <c r="H129" s="29" t="s">
        <v>19</v>
      </c>
      <c r="I129" s="27"/>
      <c r="J129" s="27" t="s">
        <v>42</v>
      </c>
      <c r="K129" s="23" t="b">
        <f ca="1">IFERROR(__xludf.DUMMYFUNCTION("""COMPUTED_VALUE"""),TRUE)</f>
        <v>1</v>
      </c>
      <c r="L129" s="22">
        <f ca="1">IFERROR(__xludf.DUMMYFUNCTION("""COMPUTED_VALUE"""),-0.171640389643834)</f>
        <v>-0.17164038964383399</v>
      </c>
      <c r="M129" s="23">
        <f ca="1">IFERROR(__xludf.DUMMYFUNCTION("""COMPUTED_VALUE"""),0.406768955118141)</f>
        <v>0.40676895511814098</v>
      </c>
      <c r="N129" s="23">
        <f ca="1">IFERROR(__xludf.DUMMYFUNCTION("""COMPUTED_VALUE"""),0.162920304304458)</f>
        <v>0.162920304304458</v>
      </c>
      <c r="O129" s="23">
        <f ca="1">IFERROR(__xludf.DUMMYFUNCTION("""COMPUTED_VALUE"""),2.69675037519011)</f>
        <v>2.6967503751901098</v>
      </c>
      <c r="P129" s="23"/>
      <c r="Q129" s="24">
        <f ca="1">IFERROR(__xludf.DUMMYFUNCTION("""COMPUTED_VALUE"""),0.765286535940711)</f>
        <v>0.76528653594071105</v>
      </c>
      <c r="R129" s="23">
        <f ca="1">IFERROR(__xludf.DUMMYFUNCTION("""COMPUTED_VALUE"""),0.635895706268084)</f>
        <v>0.635895706268084</v>
      </c>
      <c r="S129" s="23">
        <f ca="1">IFERROR(__xludf.DUMMYFUNCTION("""COMPUTED_VALUE"""),0.548050174905059)</f>
        <v>0.54805017490505903</v>
      </c>
      <c r="T129" s="23">
        <f ca="1">IFERROR(__xludf.DUMMYFUNCTION("""COMPUTED_VALUE"""),0.501699770734771)</f>
        <v>0.50169977073477101</v>
      </c>
      <c r="U129" s="23"/>
      <c r="V129" s="23"/>
      <c r="W129" s="23">
        <f ca="1">IFERROR(__xludf.DUMMYFUNCTION("""COMPUTED_VALUE"""),0.80294215313653)</f>
        <v>0.80294215313652995</v>
      </c>
      <c r="X129" s="23"/>
      <c r="Y129" s="23">
        <f ca="1">IFERROR(__xludf.DUMMYFUNCTION("""COMPUTED_VALUE"""),0.910266783162987)</f>
        <v>0.91026678316298704</v>
      </c>
      <c r="Z129" s="23">
        <f ca="1">IFERROR(__xludf.DUMMYFUNCTION("""COMPUTED_VALUE"""),0.00930710091261355)</f>
        <v>9.3071009126135494E-3</v>
      </c>
      <c r="AA129" s="23"/>
      <c r="AB129" s="23">
        <f ca="1">IFERROR(__xludf.DUMMYFUNCTION("""COMPUTED_VALUE"""),0.592173249314669)</f>
        <v>0.59217324931466897</v>
      </c>
      <c r="AC129" s="22"/>
      <c r="AD129" s="23"/>
      <c r="AE129" s="23"/>
      <c r="AF129" s="22"/>
      <c r="AG129" s="22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</row>
    <row r="130" spans="1:45" ht="27.75" customHeight="1" x14ac:dyDescent="0.35">
      <c r="A130" s="15" t="s">
        <v>27</v>
      </c>
      <c r="B130" s="15" t="s">
        <v>79</v>
      </c>
      <c r="C130" s="15" t="str">
        <f ca="1">IFERROR(__xludf.DUMMYFUNCTION("""COMPUTED_VALUE"""),"2022/07/15 (金)
平日夜間")</f>
        <v>2022/07/15 (金)
平日夜間</v>
      </c>
      <c r="D130" s="15" t="str">
        <f ca="1">IFERROR(__xludf.DUMMYFUNCTION("""COMPUTED_VALUE"""),"平日夜間")</f>
        <v>平日夜間</v>
      </c>
      <c r="E130" s="16">
        <f ca="1">IFERROR(__xludf.DUMMYFUNCTION("""COMPUTED_VALUE"""),1.69234960068911)</f>
        <v>1.6923496006891099</v>
      </c>
      <c r="F130" s="15" t="s">
        <v>11</v>
      </c>
      <c r="G130" s="32">
        <v>0</v>
      </c>
      <c r="H130" s="27" t="s">
        <v>45</v>
      </c>
      <c r="I130" s="27"/>
      <c r="J130" s="27"/>
      <c r="K130" s="23" t="b">
        <f ca="1">IFERROR(__xludf.DUMMYFUNCTION("""COMPUTED_VALUE"""),FALSE)</f>
        <v>0</v>
      </c>
      <c r="L130" s="22">
        <f ca="1">IFERROR(__xludf.DUMMYFUNCTION("""COMPUTED_VALUE"""),-0.799789149711762)</f>
        <v>-0.79978914971176196</v>
      </c>
      <c r="M130" s="23">
        <f ca="1">IFERROR(__xludf.DUMMYFUNCTION("""COMPUTED_VALUE"""),0.881574744515041)</f>
        <v>0.88157474451504103</v>
      </c>
      <c r="N130" s="23">
        <f ca="1">IFERROR(__xludf.DUMMYFUNCTION("""COMPUTED_VALUE"""),-0.703714603402318)</f>
        <v>-0.70371460340231795</v>
      </c>
      <c r="O130" s="23">
        <f ca="1">IFERROR(__xludf.DUMMYFUNCTION("""COMPUTED_VALUE"""),-0.204395989133878)</f>
        <v>-0.20439598913387799</v>
      </c>
      <c r="P130" s="23"/>
      <c r="Q130" s="24">
        <f ca="1">IFERROR(__xludf.DUMMYFUNCTION("""COMPUTED_VALUE"""),0.383207484984693)</f>
        <v>0.38320748498469298</v>
      </c>
      <c r="R130" s="23">
        <f ca="1">IFERROR(__xludf.DUMMYFUNCTION("""COMPUTED_VALUE"""),-0.278583640566633)</f>
        <v>-0.27858364056663298</v>
      </c>
      <c r="S130" s="23">
        <f ca="1">IFERROR(__xludf.DUMMYFUNCTION("""COMPUTED_VALUE"""),-0.238756025369387)</f>
        <v>-0.238756025369387</v>
      </c>
      <c r="T130" s="23">
        <f ca="1">IFERROR(__xludf.DUMMYFUNCTION("""COMPUTED_VALUE"""),1.69234960068911)</f>
        <v>1.6923496006891099</v>
      </c>
      <c r="U130" s="23"/>
      <c r="V130" s="23"/>
      <c r="W130" s="23">
        <f ca="1">IFERROR(__xludf.DUMMYFUNCTION("""COMPUTED_VALUE"""),0.0812910857207682)</f>
        <v>8.1291085720768194E-2</v>
      </c>
      <c r="X130" s="23"/>
      <c r="Y130" s="23">
        <f ca="1">IFERROR(__xludf.DUMMYFUNCTION("""COMPUTED_VALUE"""),0.544673458656426)</f>
        <v>0.54467345865642602</v>
      </c>
      <c r="Z130" s="23">
        <f ca="1">IFERROR(__xludf.DUMMYFUNCTION("""COMPUTED_VALUE"""),-0.234994666105935)</f>
        <v>-0.234994666105935</v>
      </c>
      <c r="AA130" s="23"/>
      <c r="AB130" s="23">
        <f ca="1">IFERROR(__xludf.DUMMYFUNCTION("""COMPUTED_VALUE"""),0.47427846051898)</f>
        <v>0.47427846051897998</v>
      </c>
      <c r="AC130" s="22"/>
      <c r="AD130" s="23"/>
      <c r="AE130" s="23"/>
      <c r="AF130" s="22"/>
      <c r="AG130" s="22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</row>
    <row r="131" spans="1:45" ht="27.75" customHeight="1" x14ac:dyDescent="0.35">
      <c r="A131" s="15" t="s">
        <v>27</v>
      </c>
      <c r="B131" s="15" t="s">
        <v>79</v>
      </c>
      <c r="C131" s="15" t="str">
        <f ca="1">IFERROR(__xludf.DUMMYFUNCTION("""COMPUTED_VALUE"""),"2022/07/16 (土)
休日午前")</f>
        <v>2022/07/16 (土)
休日午前</v>
      </c>
      <c r="D131" s="15" t="str">
        <f ca="1">IFERROR(__xludf.DUMMYFUNCTION("""COMPUTED_VALUE"""),"休日午前")</f>
        <v>休日午前</v>
      </c>
      <c r="E131" s="16">
        <f ca="1">IFERROR(__xludf.DUMMYFUNCTION("""COMPUTED_VALUE"""),0.950022297206209)</f>
        <v>0.95002229720620901</v>
      </c>
      <c r="F131" s="15" t="s">
        <v>55</v>
      </c>
      <c r="G131" s="32">
        <v>0</v>
      </c>
      <c r="H131" s="27" t="s">
        <v>11</v>
      </c>
      <c r="I131" s="27"/>
      <c r="J131" s="19" t="s">
        <v>89</v>
      </c>
      <c r="K131" s="23" t="b">
        <f ca="1">IFERROR(__xludf.DUMMYFUNCTION("""COMPUTED_VALUE"""),FALSE)</f>
        <v>0</v>
      </c>
      <c r="L131" s="22">
        <f ca="1">IFERROR(__xludf.DUMMYFUNCTION("""COMPUTED_VALUE"""),-0.984983933816687)</f>
        <v>-0.98498393381668703</v>
      </c>
      <c r="M131" s="23">
        <f ca="1">IFERROR(__xludf.DUMMYFUNCTION("""COMPUTED_VALUE"""),0.180343229160589)</f>
        <v>0.18034322916058901</v>
      </c>
      <c r="N131" s="23">
        <f ca="1">IFERROR(__xludf.DUMMYFUNCTION("""COMPUTED_VALUE"""),-0.814497983665412)</f>
        <v>-0.81449798366541204</v>
      </c>
      <c r="O131" s="23">
        <f ca="1">IFERROR(__xludf.DUMMYFUNCTION("""COMPUTED_VALUE"""),0.000931438902127546)</f>
        <v>9.3143890212754599E-4</v>
      </c>
      <c r="P131" s="23"/>
      <c r="Q131" s="24">
        <f ca="1">IFERROR(__xludf.DUMMYFUNCTION("""COMPUTED_VALUE"""),0.552895447462884)</f>
        <v>0.55289544746288399</v>
      </c>
      <c r="R131" s="23">
        <f ca="1">IFERROR(__xludf.DUMMYFUNCTION("""COMPUTED_VALUE"""),-0.328648722859597)</f>
        <v>-0.32864872285959701</v>
      </c>
      <c r="S131" s="23">
        <f ca="1">IFERROR(__xludf.DUMMYFUNCTION("""COMPUTED_VALUE"""),-0.501088357957217)</f>
        <v>-0.50108835795721696</v>
      </c>
      <c r="T131" s="23">
        <f ca="1">IFERROR(__xludf.DUMMYFUNCTION("""COMPUTED_VALUE"""),0.206379535389524)</f>
        <v>0.206379535389524</v>
      </c>
      <c r="U131" s="23"/>
      <c r="V131" s="23"/>
      <c r="W131" s="23">
        <f ca="1">IFERROR(__xludf.DUMMYFUNCTION("""COMPUTED_VALUE"""),-0.77965165620446)</f>
        <v>-0.77965165620445998</v>
      </c>
      <c r="X131" s="23"/>
      <c r="Y131" s="23">
        <f ca="1">IFERROR(__xludf.DUMMYFUNCTION("""COMPUTED_VALUE"""),-0.803697071896071)</f>
        <v>-0.80369707189607098</v>
      </c>
      <c r="Z131" s="23">
        <f ca="1">IFERROR(__xludf.DUMMYFUNCTION("""COMPUTED_VALUE"""),-0.462429609075521)</f>
        <v>-0.462429609075521</v>
      </c>
      <c r="AA131" s="23"/>
      <c r="AB131" s="23">
        <f ca="1">IFERROR(__xludf.DUMMYFUNCTION("""COMPUTED_VALUE"""),0.351698721283132)</f>
        <v>0.35169872128313201</v>
      </c>
      <c r="AC131" s="22"/>
      <c r="AD131" s="23"/>
      <c r="AE131" s="23"/>
      <c r="AF131" s="22"/>
      <c r="AG131" s="22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</row>
    <row r="132" spans="1:45" ht="27.75" customHeight="1" x14ac:dyDescent="0.4">
      <c r="A132" s="15" t="s">
        <v>27</v>
      </c>
      <c r="B132" s="15" t="s">
        <v>79</v>
      </c>
      <c r="C132" s="15" t="str">
        <f ca="1">IFERROR(__xludf.DUMMYFUNCTION("""COMPUTED_VALUE"""),"2022/07/16 (土)
休日午後")</f>
        <v>2022/07/16 (土)
休日午後</v>
      </c>
      <c r="D132" s="15" t="str">
        <f ca="1">IFERROR(__xludf.DUMMYFUNCTION("""COMPUTED_VALUE"""),"休日午後")</f>
        <v>休日午後</v>
      </c>
      <c r="E132" s="16">
        <f ca="1">IFERROR(__xludf.DUMMYFUNCTION("""COMPUTED_VALUE"""),0.955033232254805)</f>
        <v>0.95503323225480496</v>
      </c>
      <c r="F132" s="15" t="s">
        <v>31</v>
      </c>
      <c r="G132" s="32"/>
      <c r="H132" s="29" t="s">
        <v>12</v>
      </c>
      <c r="I132" s="27"/>
      <c r="J132" s="19" t="s">
        <v>89</v>
      </c>
      <c r="K132" s="23" t="b">
        <f ca="1">IFERROR(__xludf.DUMMYFUNCTION("""COMPUTED_VALUE"""),TRUE)</f>
        <v>1</v>
      </c>
      <c r="L132" s="22">
        <f ca="1">IFERROR(__xludf.DUMMYFUNCTION("""COMPUTED_VALUE"""),-0.715890351620346)</f>
        <v>-0.71589035162034598</v>
      </c>
      <c r="M132" s="23">
        <f ca="1">IFERROR(__xludf.DUMMYFUNCTION("""COMPUTED_VALUE"""),-0.795145155881736)</f>
        <v>-0.79514515588173595</v>
      </c>
      <c r="N132" s="23">
        <f ca="1">IFERROR(__xludf.DUMMYFUNCTION("""COMPUTED_VALUE"""),-0.748873489321175)</f>
        <v>-0.74887348932117503</v>
      </c>
      <c r="O132" s="23">
        <f ca="1">IFERROR(__xludf.DUMMYFUNCTION("""COMPUTED_VALUE"""),-0.857935197739602)</f>
        <v>-0.85793519773960203</v>
      </c>
      <c r="P132" s="23"/>
      <c r="Q132" s="24">
        <f ca="1">IFERROR(__xludf.DUMMYFUNCTION("""COMPUTED_VALUE"""),0.0684032431195542)</f>
        <v>6.8403243119554202E-2</v>
      </c>
      <c r="R132" s="23">
        <f ca="1">IFERROR(__xludf.DUMMYFUNCTION("""COMPUTED_VALUE"""),-0.172982245326314)</f>
        <v>-0.17298224532631401</v>
      </c>
      <c r="S132" s="23">
        <f ca="1">IFERROR(__xludf.DUMMYFUNCTION("""COMPUTED_VALUE"""),-0.41637263810746)</f>
        <v>-0.41637263810746</v>
      </c>
      <c r="T132" s="23">
        <f ca="1">IFERROR(__xludf.DUMMYFUNCTION("""COMPUTED_VALUE"""),0.321250539195969)</f>
        <v>0.32125053919596902</v>
      </c>
      <c r="U132" s="23"/>
      <c r="V132" s="23"/>
      <c r="W132" s="23">
        <f ca="1">IFERROR(__xludf.DUMMYFUNCTION("""COMPUTED_VALUE"""),-0.280619432890456)</f>
        <v>-0.28061943289045599</v>
      </c>
      <c r="X132" s="23"/>
      <c r="Y132" s="23">
        <f ca="1">IFERROR(__xludf.DUMMYFUNCTION("""COMPUTED_VALUE"""),-0.672965298131148)</f>
        <v>-0.67296529813114803</v>
      </c>
      <c r="Z132" s="23">
        <f ca="1">IFERROR(__xludf.DUMMYFUNCTION("""COMPUTED_VALUE"""),-0.973496639865312)</f>
        <v>-0.97349663986531199</v>
      </c>
      <c r="AA132" s="23"/>
      <c r="AB132" s="23">
        <f ca="1">IFERROR(__xludf.DUMMYFUNCTION("""COMPUTED_VALUE"""),0.788620104317808)</f>
        <v>0.78862010431780805</v>
      </c>
      <c r="AC132" s="22"/>
      <c r="AD132" s="23"/>
      <c r="AE132" s="23"/>
      <c r="AF132" s="22"/>
      <c r="AG132" s="22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</row>
    <row r="133" spans="1:45" ht="27.75" customHeight="1" x14ac:dyDescent="0.4">
      <c r="A133" s="15" t="s">
        <v>27</v>
      </c>
      <c r="B133" s="15" t="s">
        <v>79</v>
      </c>
      <c r="C133" s="15" t="str">
        <f ca="1">IFERROR(__xludf.DUMMYFUNCTION("""COMPUTED_VALUE"""),"2022/07/17 (日)
休日午前")</f>
        <v>2022/07/17 (日)
休日午前</v>
      </c>
      <c r="D133" s="15" t="str">
        <f ca="1">IFERROR(__xludf.DUMMYFUNCTION("""COMPUTED_VALUE"""),"休日午前")</f>
        <v>休日午前</v>
      </c>
      <c r="E133" s="16">
        <f ca="1">IFERROR(__xludf.DUMMYFUNCTION("""COMPUTED_VALUE"""),1.44138242421436)</f>
        <v>1.44138242421436</v>
      </c>
      <c r="F133" s="15" t="s">
        <v>31</v>
      </c>
      <c r="G133" s="32">
        <v>-1</v>
      </c>
      <c r="H133" s="36" t="s">
        <v>55</v>
      </c>
      <c r="I133" s="27"/>
      <c r="J133" s="27" t="s">
        <v>90</v>
      </c>
      <c r="K133" s="23" t="b">
        <f ca="1">IFERROR(__xludf.DUMMYFUNCTION("""COMPUTED_VALUE"""),TRUE)</f>
        <v>1</v>
      </c>
      <c r="L133" s="22">
        <f ca="1">IFERROR(__xludf.DUMMYFUNCTION("""COMPUTED_VALUE"""),-0.678074705860292)</f>
        <v>-0.67807470586029195</v>
      </c>
      <c r="M133" s="23">
        <f ca="1">IFERROR(__xludf.DUMMYFUNCTION("""COMPUTED_VALUE"""),-0.830862499265649)</f>
        <v>-0.83086249926564903</v>
      </c>
      <c r="N133" s="23">
        <f ca="1">IFERROR(__xludf.DUMMYFUNCTION("""COMPUTED_VALUE"""),0.125338710442248)</f>
        <v>0.12533871044224801</v>
      </c>
      <c r="O133" s="23">
        <f ca="1">IFERROR(__xludf.DUMMYFUNCTION("""COMPUTED_VALUE"""),-0.819844002606323)</f>
        <v>-0.81984400260632295</v>
      </c>
      <c r="P133" s="23"/>
      <c r="Q133" s="24">
        <f ca="1">IFERROR(__xludf.DUMMYFUNCTION("""COMPUTED_VALUE"""),0.611240625589485)</f>
        <v>0.611240625589485</v>
      </c>
      <c r="R133" s="23">
        <f ca="1">IFERROR(__xludf.DUMMYFUNCTION("""COMPUTED_VALUE"""),-0.169878998348951)</f>
        <v>-0.16987899834895101</v>
      </c>
      <c r="S133" s="23">
        <f ca="1">IFERROR(__xludf.DUMMYFUNCTION("""COMPUTED_VALUE"""),-0.248792151630516)</f>
        <v>-0.24879215163051599</v>
      </c>
      <c r="T133" s="23">
        <f ca="1">IFERROR(__xludf.DUMMYFUNCTION("""COMPUTED_VALUE"""),0.278794781172283)</f>
        <v>0.27879478117228301</v>
      </c>
      <c r="U133" s="23"/>
      <c r="V133" s="23"/>
      <c r="W133" s="23">
        <f ca="1">IFERROR(__xludf.DUMMYFUNCTION("""COMPUTED_VALUE"""),-0.613864197118522)</f>
        <v>-0.61386419711852203</v>
      </c>
      <c r="X133" s="23"/>
      <c r="Y133" s="23">
        <f ca="1">IFERROR(__xludf.DUMMYFUNCTION("""COMPUTED_VALUE"""),-0.308448932626232)</f>
        <v>-0.30844893262623202</v>
      </c>
      <c r="Z133" s="23">
        <f ca="1">IFERROR(__xludf.DUMMYFUNCTION("""COMPUTED_VALUE"""),-0.218872870956266)</f>
        <v>-0.21887287095626601</v>
      </c>
      <c r="AA133" s="23"/>
      <c r="AB133" s="23">
        <f ca="1">IFERROR(__xludf.DUMMYFUNCTION("""COMPUTED_VALUE"""),0.577691435828821)</f>
        <v>0.57769143582882099</v>
      </c>
      <c r="AC133" s="22"/>
      <c r="AD133" s="23"/>
      <c r="AE133" s="23"/>
      <c r="AF133" s="22"/>
      <c r="AG133" s="22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</row>
    <row r="134" spans="1:45" ht="27.75" customHeight="1" x14ac:dyDescent="0.4">
      <c r="A134" s="15" t="s">
        <v>27</v>
      </c>
      <c r="B134" s="15" t="s">
        <v>79</v>
      </c>
      <c r="C134" s="15" t="str">
        <f ca="1">IFERROR(__xludf.DUMMYFUNCTION("""COMPUTED_VALUE"""),"2022/07/17 (日)
休日午後")</f>
        <v>2022/07/17 (日)
休日午後</v>
      </c>
      <c r="D134" s="15" t="str">
        <f ca="1">IFERROR(__xludf.DUMMYFUNCTION("""COMPUTED_VALUE"""),"休日午後")</f>
        <v>休日午後</v>
      </c>
      <c r="E134" s="16">
        <f ca="1">IFERROR(__xludf.DUMMYFUNCTION("""COMPUTED_VALUE"""),1.38007019730772)</f>
        <v>1.3800701973077201</v>
      </c>
      <c r="F134" s="15" t="s">
        <v>31</v>
      </c>
      <c r="G134" s="32">
        <v>1</v>
      </c>
      <c r="H134" s="29" t="s">
        <v>31</v>
      </c>
      <c r="I134" s="27"/>
      <c r="J134" s="27" t="s">
        <v>90</v>
      </c>
      <c r="K134" s="23" t="b">
        <f ca="1">IFERROR(__xludf.DUMMYFUNCTION("""COMPUTED_VALUE"""),TRUE)</f>
        <v>1</v>
      </c>
      <c r="L134" s="22">
        <f ca="1">IFERROR(__xludf.DUMMYFUNCTION("""COMPUTED_VALUE"""),-0.628963082882729)</f>
        <v>-0.62896308288272895</v>
      </c>
      <c r="M134" s="23">
        <f ca="1">IFERROR(__xludf.DUMMYFUNCTION("""COMPUTED_VALUE"""),-0.912688608558255)</f>
        <v>-0.91268860855825495</v>
      </c>
      <c r="N134" s="23">
        <f ca="1">IFERROR(__xludf.DUMMYFUNCTION("""COMPUTED_VALUE"""),0.32572331430364)</f>
        <v>0.32572331430363999</v>
      </c>
      <c r="O134" s="23">
        <f ca="1">IFERROR(__xludf.DUMMYFUNCTION("""COMPUTED_VALUE"""),-0.061341050060768)</f>
        <v>-6.1341050060768003E-2</v>
      </c>
      <c r="P134" s="23"/>
      <c r="Q134" s="24">
        <f ca="1">IFERROR(__xludf.DUMMYFUNCTION("""COMPUTED_VALUE"""),0.00859469910868582)</f>
        <v>8.5946991086858198E-3</v>
      </c>
      <c r="R134" s="23">
        <f ca="1">IFERROR(__xludf.DUMMYFUNCTION("""COMPUTED_VALUE"""),-0.177362223305402)</f>
        <v>-0.17736222330540199</v>
      </c>
      <c r="S134" s="23">
        <f ca="1">IFERROR(__xludf.DUMMYFUNCTION("""COMPUTED_VALUE"""),-0.198136020274563)</f>
        <v>-0.19813602027456301</v>
      </c>
      <c r="T134" s="23">
        <f ca="1">IFERROR(__xludf.DUMMYFUNCTION("""COMPUTED_VALUE"""),0.22199442131167)</f>
        <v>0.22199442131166999</v>
      </c>
      <c r="U134" s="23"/>
      <c r="V134" s="23"/>
      <c r="W134" s="23">
        <f ca="1">IFERROR(__xludf.DUMMYFUNCTION("""COMPUTED_VALUE"""),-0.0209381429827304)</f>
        <v>-2.09381429827304E-2</v>
      </c>
      <c r="X134" s="23"/>
      <c r="Y134" s="23">
        <f ca="1">IFERROR(__xludf.DUMMYFUNCTION("""COMPUTED_VALUE"""),-0.523570942098059)</f>
        <v>-0.52357094209805899</v>
      </c>
      <c r="Z134" s="23">
        <f ca="1">IFERROR(__xludf.DUMMYFUNCTION("""COMPUTED_VALUE"""),-0.27794486568038)</f>
        <v>-0.27794486568038002</v>
      </c>
      <c r="AA134" s="23"/>
      <c r="AB134" s="23">
        <f ca="1">IFERROR(__xludf.DUMMYFUNCTION("""COMPUTED_VALUE"""),0.322905186871714)</f>
        <v>0.32290518687171399</v>
      </c>
      <c r="AC134" s="22"/>
      <c r="AD134" s="23"/>
      <c r="AE134" s="23"/>
      <c r="AF134" s="22"/>
      <c r="AG134" s="22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</row>
    <row r="135" spans="1:45" ht="27.75" customHeight="1" x14ac:dyDescent="0.4">
      <c r="A135" s="15" t="s">
        <v>27</v>
      </c>
      <c r="B135" s="15" t="s">
        <v>79</v>
      </c>
      <c r="C135" s="15" t="str">
        <f ca="1">IFERROR(__xludf.DUMMYFUNCTION("""COMPUTED_VALUE"""),"2022/07/18 (月)
休日午前")</f>
        <v>2022/07/18 (月)
休日午前</v>
      </c>
      <c r="D135" s="15" t="str">
        <f ca="1">IFERROR(__xludf.DUMMYFUNCTION("""COMPUTED_VALUE"""),"休日午前")</f>
        <v>休日午前</v>
      </c>
      <c r="E135" s="16">
        <f ca="1">IFERROR(__xludf.DUMMYFUNCTION("""COMPUTED_VALUE"""),2.66777885877084)</f>
        <v>2.66777885877084</v>
      </c>
      <c r="F135" s="15" t="s">
        <v>2</v>
      </c>
      <c r="G135" s="32">
        <v>-1</v>
      </c>
      <c r="H135" s="29" t="s">
        <v>29</v>
      </c>
      <c r="I135" s="27"/>
      <c r="J135" s="27" t="s">
        <v>91</v>
      </c>
      <c r="K135" s="23" t="b">
        <f ca="1">IFERROR(__xludf.DUMMYFUNCTION("""COMPUTED_VALUE"""),TRUE)</f>
        <v>1</v>
      </c>
      <c r="L135" s="22">
        <f ca="1">IFERROR(__xludf.DUMMYFUNCTION("""COMPUTED_VALUE"""),-0.454238480775434)</f>
        <v>-0.45423848077543399</v>
      </c>
      <c r="M135" s="23">
        <f ca="1">IFERROR(__xludf.DUMMYFUNCTION("""COMPUTED_VALUE"""),-0.18066764778394)</f>
        <v>-0.18066764778394001</v>
      </c>
      <c r="N135" s="23">
        <f ca="1">IFERROR(__xludf.DUMMYFUNCTION("""COMPUTED_VALUE"""),2.66777885877084)</f>
        <v>2.66777885877084</v>
      </c>
      <c r="O135" s="23">
        <f ca="1">IFERROR(__xludf.DUMMYFUNCTION("""COMPUTED_VALUE"""),-0.636043248942897)</f>
        <v>-0.63604324894289699</v>
      </c>
      <c r="P135" s="23"/>
      <c r="Q135" s="24">
        <f ca="1">IFERROR(__xludf.DUMMYFUNCTION("""COMPUTED_VALUE"""),-0.909001644229852)</f>
        <v>-0.90900164422985197</v>
      </c>
      <c r="R135" s="23">
        <f ca="1">IFERROR(__xludf.DUMMYFUNCTION("""COMPUTED_VALUE"""),0.0213146225693192)</f>
        <v>2.1314622569319201E-2</v>
      </c>
      <c r="S135" s="23">
        <f ca="1">IFERROR(__xludf.DUMMYFUNCTION("""COMPUTED_VALUE"""),-0.370956936849008)</f>
        <v>-0.37095693684900799</v>
      </c>
      <c r="T135" s="23">
        <f ca="1">IFERROR(__xludf.DUMMYFUNCTION("""COMPUTED_VALUE"""),0.146189970384877)</f>
        <v>0.14618997038487699</v>
      </c>
      <c r="U135" s="23"/>
      <c r="V135" s="23"/>
      <c r="W135" s="23">
        <f ca="1">IFERROR(__xludf.DUMMYFUNCTION("""COMPUTED_VALUE"""),0.165970646789495)</f>
        <v>0.165970646789495</v>
      </c>
      <c r="X135" s="23"/>
      <c r="Y135" s="23"/>
      <c r="Z135" s="23">
        <f ca="1">IFERROR(__xludf.DUMMYFUNCTION("""COMPUTED_VALUE"""),-0.0778736382504876)</f>
        <v>-7.7873638250487598E-2</v>
      </c>
      <c r="AA135" s="23"/>
      <c r="AB135" s="23">
        <f ca="1">IFERROR(__xludf.DUMMYFUNCTION("""COMPUTED_VALUE"""),0.879473343693852)</f>
        <v>0.87947334369385199</v>
      </c>
      <c r="AC135" s="22"/>
      <c r="AD135" s="23"/>
      <c r="AE135" s="23"/>
      <c r="AF135" s="22"/>
      <c r="AG135" s="22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</row>
    <row r="136" spans="1:45" ht="27.75" customHeight="1" x14ac:dyDescent="0.4">
      <c r="A136" s="15" t="s">
        <v>27</v>
      </c>
      <c r="B136" s="15" t="s">
        <v>79</v>
      </c>
      <c r="C136" s="15" t="str">
        <f ca="1">IFERROR(__xludf.DUMMYFUNCTION("""COMPUTED_VALUE"""),"2022/07/18 (月)
休日午後")</f>
        <v>2022/07/18 (月)
休日午後</v>
      </c>
      <c r="D136" s="15" t="str">
        <f ca="1">IFERROR(__xludf.DUMMYFUNCTION("""COMPUTED_VALUE"""),"休日午後")</f>
        <v>休日午後</v>
      </c>
      <c r="E136" s="16">
        <f ca="1">IFERROR(__xludf.DUMMYFUNCTION("""COMPUTED_VALUE"""),2.17360758576021)</f>
        <v>2.1736075857602102</v>
      </c>
      <c r="F136" s="15" t="s">
        <v>2</v>
      </c>
      <c r="G136" s="32">
        <v>2</v>
      </c>
      <c r="H136" s="29" t="s">
        <v>15</v>
      </c>
      <c r="I136" s="27"/>
      <c r="J136" s="27" t="s">
        <v>91</v>
      </c>
      <c r="K136" s="23" t="b">
        <f ca="1">IFERROR(__xludf.DUMMYFUNCTION("""COMPUTED_VALUE"""),TRUE)</f>
        <v>1</v>
      </c>
      <c r="L136" s="22">
        <f ca="1">IFERROR(__xludf.DUMMYFUNCTION("""COMPUTED_VALUE"""),-0.3368635729046)</f>
        <v>-0.33686357290460001</v>
      </c>
      <c r="M136" s="23">
        <f ca="1">IFERROR(__xludf.DUMMYFUNCTION("""COMPUTED_VALUE"""),-0.241434213783662)</f>
        <v>-0.24143421378366201</v>
      </c>
      <c r="N136" s="23">
        <f ca="1">IFERROR(__xludf.DUMMYFUNCTION("""COMPUTED_VALUE"""),2.17360758576021)</f>
        <v>2.1736075857602102</v>
      </c>
      <c r="O136" s="23">
        <f ca="1">IFERROR(__xludf.DUMMYFUNCTION("""COMPUTED_VALUE"""),-0.56320896618415)</f>
        <v>-0.56320896618414995</v>
      </c>
      <c r="P136" s="23"/>
      <c r="Q136" s="24">
        <f ca="1">IFERROR(__xludf.DUMMYFUNCTION("""COMPUTED_VALUE"""),-0.0592341545581869)</f>
        <v>-5.9234154558186897E-2</v>
      </c>
      <c r="R136" s="23">
        <f ca="1">IFERROR(__xludf.DUMMYFUNCTION("""COMPUTED_VALUE"""),2.15523039564463)</f>
        <v>2.1552303956446299</v>
      </c>
      <c r="S136" s="23">
        <f ca="1">IFERROR(__xludf.DUMMYFUNCTION("""COMPUTED_VALUE"""),0.340144304263092)</f>
        <v>0.340144304263092</v>
      </c>
      <c r="T136" s="23">
        <f ca="1">IFERROR(__xludf.DUMMYFUNCTION("""COMPUTED_VALUE"""),0.0512539225871939)</f>
        <v>5.1253922587193898E-2</v>
      </c>
      <c r="U136" s="23"/>
      <c r="V136" s="23"/>
      <c r="W136" s="23">
        <f ca="1">IFERROR(__xludf.DUMMYFUNCTION("""COMPUTED_VALUE"""),0.114828563171264)</f>
        <v>0.114828563171264</v>
      </c>
      <c r="X136" s="23"/>
      <c r="Y136" s="23"/>
      <c r="Z136" s="23">
        <f ca="1">IFERROR(__xludf.DUMMYFUNCTION("""COMPUTED_VALUE"""),0.0537022768833652)</f>
        <v>5.3702276883365201E-2</v>
      </c>
      <c r="AA136" s="23"/>
      <c r="AB136" s="23">
        <f ca="1">IFERROR(__xludf.DUMMYFUNCTION("""COMPUTED_VALUE"""),0.191432059999276)</f>
        <v>0.19143205999927601</v>
      </c>
      <c r="AC136" s="22"/>
      <c r="AD136" s="23"/>
      <c r="AE136" s="23"/>
      <c r="AF136" s="22"/>
      <c r="AG136" s="22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</row>
    <row r="137" spans="1:45" ht="27.75" customHeight="1" x14ac:dyDescent="0.4">
      <c r="A137" s="15" t="s">
        <v>27</v>
      </c>
      <c r="B137" s="15" t="s">
        <v>79</v>
      </c>
      <c r="C137" s="15" t="str">
        <f ca="1">IFERROR(__xludf.DUMMYFUNCTION("""COMPUTED_VALUE"""),"2022/07/19 (火)
平日夜間")</f>
        <v>2022/07/19 (火)
平日夜間</v>
      </c>
      <c r="D137" s="15" t="str">
        <f ca="1">IFERROR(__xludf.DUMMYFUNCTION("""COMPUTED_VALUE"""),"平日夜間")</f>
        <v>平日夜間</v>
      </c>
      <c r="E137" s="16">
        <f ca="1">IFERROR(__xludf.DUMMYFUNCTION("""COMPUTED_VALUE"""),1.34104062529906)</f>
        <v>1.3410406252990601</v>
      </c>
      <c r="F137" s="15" t="s">
        <v>59</v>
      </c>
      <c r="G137" s="32">
        <v>0</v>
      </c>
      <c r="H137" s="29" t="s">
        <v>13</v>
      </c>
      <c r="I137" s="27"/>
      <c r="J137" s="27" t="s">
        <v>92</v>
      </c>
      <c r="K137" s="23" t="b">
        <f ca="1">IFERROR(__xludf.DUMMYFUNCTION("""COMPUTED_VALUE"""),TRUE)</f>
        <v>1</v>
      </c>
      <c r="L137" s="22">
        <f ca="1">IFERROR(__xludf.DUMMYFUNCTION("""COMPUTED_VALUE"""),-0.364000737367846)</f>
        <v>-0.36400073736784599</v>
      </c>
      <c r="M137" s="23">
        <f ca="1">IFERROR(__xludf.DUMMYFUNCTION("""COMPUTED_VALUE"""),-0.160246995531269)</f>
        <v>-0.160246995531269</v>
      </c>
      <c r="N137" s="23">
        <f ca="1">IFERROR(__xludf.DUMMYFUNCTION("""COMPUTED_VALUE"""),0.657554510897103)</f>
        <v>0.65755451089710304</v>
      </c>
      <c r="O137" s="23">
        <f ca="1">IFERROR(__xludf.DUMMYFUNCTION("""COMPUTED_VALUE"""),-0.405561844438489)</f>
        <v>-0.40556184443848903</v>
      </c>
      <c r="P137" s="23"/>
      <c r="Q137" s="24">
        <f ca="1">IFERROR(__xludf.DUMMYFUNCTION("""COMPUTED_VALUE"""),-0.665236270901372)</f>
        <v>-0.66523627090137205</v>
      </c>
      <c r="R137" s="23">
        <f ca="1">IFERROR(__xludf.DUMMYFUNCTION("""COMPUTED_VALUE"""),-0.0726002679952197)</f>
        <v>-7.2600267995219694E-2</v>
      </c>
      <c r="S137" s="23">
        <f ca="1">IFERROR(__xludf.DUMMYFUNCTION("""COMPUTED_VALUE"""),0.358969650228242)</f>
        <v>0.35896965022824201</v>
      </c>
      <c r="T137" s="23">
        <f ca="1">IFERROR(__xludf.DUMMYFUNCTION("""COMPUTED_VALUE"""),0.744056533105602)</f>
        <v>0.74405653310560205</v>
      </c>
      <c r="U137" s="23"/>
      <c r="V137" s="23"/>
      <c r="W137" s="23">
        <f ca="1">IFERROR(__xludf.DUMMYFUNCTION("""COMPUTED_VALUE"""),0.420864625204059)</f>
        <v>0.42086462520405898</v>
      </c>
      <c r="X137" s="23"/>
      <c r="Y137" s="23">
        <f ca="1">IFERROR(__xludf.DUMMYFUNCTION("""COMPUTED_VALUE"""),0.972372041581296)</f>
        <v>0.97237204158129598</v>
      </c>
      <c r="Z137" s="23">
        <f ca="1">IFERROR(__xludf.DUMMYFUNCTION("""COMPUTED_VALUE"""),-0.743616864061181)</f>
        <v>-0.74361686406118099</v>
      </c>
      <c r="AA137" s="23"/>
      <c r="AB137" s="23">
        <f ca="1">IFERROR(__xludf.DUMMYFUNCTION("""COMPUTED_VALUE"""),0.216336119580308)</f>
        <v>0.21633611958030799</v>
      </c>
      <c r="AC137" s="22"/>
      <c r="AD137" s="23"/>
      <c r="AE137" s="23"/>
      <c r="AF137" s="22"/>
      <c r="AG137" s="22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</row>
    <row r="138" spans="1:45" ht="27.75" customHeight="1" x14ac:dyDescent="0.35">
      <c r="A138" s="15" t="s">
        <v>27</v>
      </c>
      <c r="B138" s="15" t="s">
        <v>79</v>
      </c>
      <c r="C138" s="15" t="str">
        <f ca="1">IFERROR(__xludf.DUMMYFUNCTION("""COMPUTED_VALUE"""),"2022/07/20 (水)
平日夜間")</f>
        <v>2022/07/20 (水)
平日夜間</v>
      </c>
      <c r="D138" s="15" t="str">
        <f ca="1">IFERROR(__xludf.DUMMYFUNCTION("""COMPUTED_VALUE"""),"平日夜間")</f>
        <v>平日夜間</v>
      </c>
      <c r="E138" s="16">
        <f ca="1">IFERROR(__xludf.DUMMYFUNCTION("""COMPUTED_VALUE"""),1.01384037041953)</f>
        <v>1.01384037041953</v>
      </c>
      <c r="F138" s="15" t="s">
        <v>59</v>
      </c>
      <c r="G138" s="32">
        <v>0</v>
      </c>
      <c r="H138" s="27" t="s">
        <v>45</v>
      </c>
      <c r="I138" s="27"/>
      <c r="J138" s="27"/>
      <c r="K138" s="23" t="b">
        <f ca="1">IFERROR(__xludf.DUMMYFUNCTION("""COMPUTED_VALUE"""),FALSE)</f>
        <v>0</v>
      </c>
      <c r="L138" s="22">
        <f ca="1">IFERROR(__xludf.DUMMYFUNCTION("""COMPUTED_VALUE"""),0.609523366718651)</f>
        <v>0.60952336671865104</v>
      </c>
      <c r="M138" s="23">
        <f ca="1">IFERROR(__xludf.DUMMYFUNCTION("""COMPUTED_VALUE"""),0.852409459179116)</f>
        <v>0.85240945917911604</v>
      </c>
      <c r="N138" s="23">
        <f ca="1">IFERROR(__xludf.DUMMYFUNCTION("""COMPUTED_VALUE"""),0.0300944238103237)</f>
        <v>3.0094423810323699E-2</v>
      </c>
      <c r="O138" s="23">
        <f ca="1">IFERROR(__xludf.DUMMYFUNCTION("""COMPUTED_VALUE"""),0.252062763778243)</f>
        <v>0.25206276377824299</v>
      </c>
      <c r="P138" s="23"/>
      <c r="Q138" s="24">
        <f ca="1">IFERROR(__xludf.DUMMYFUNCTION("""COMPUTED_VALUE"""),-0.910452878317688)</f>
        <v>-0.91045287831768795</v>
      </c>
      <c r="R138" s="23">
        <f ca="1">IFERROR(__xludf.DUMMYFUNCTION("""COMPUTED_VALUE"""),0.945073632128706)</f>
        <v>0.94507363212870599</v>
      </c>
      <c r="S138" s="23">
        <f ca="1">IFERROR(__xludf.DUMMYFUNCTION("""COMPUTED_VALUE"""),0.989577405915345)</f>
        <v>0.98957740591534504</v>
      </c>
      <c r="T138" s="23">
        <f ca="1">IFERROR(__xludf.DUMMYFUNCTION("""COMPUTED_VALUE"""),0.938849599676672)</f>
        <v>0.93884959967667203</v>
      </c>
      <c r="U138" s="23"/>
      <c r="V138" s="23"/>
      <c r="W138" s="23">
        <f ca="1">IFERROR(__xludf.DUMMYFUNCTION("""COMPUTED_VALUE"""),-0.189124140282536)</f>
        <v>-0.18912414028253599</v>
      </c>
      <c r="X138" s="23"/>
      <c r="Y138" s="23">
        <f ca="1">IFERROR(__xludf.DUMMYFUNCTION("""COMPUTED_VALUE"""),0.628511455841985)</f>
        <v>0.62851145584198498</v>
      </c>
      <c r="Z138" s="23">
        <f ca="1">IFERROR(__xludf.DUMMYFUNCTION("""COMPUTED_VALUE"""),0.563121421360181)</f>
        <v>0.56312142136018095</v>
      </c>
      <c r="AA138" s="23"/>
      <c r="AB138" s="23">
        <f ca="1">IFERROR(__xludf.DUMMYFUNCTION("""COMPUTED_VALUE"""),0.940276022457639)</f>
        <v>0.94027602245763897</v>
      </c>
      <c r="AC138" s="22"/>
      <c r="AD138" s="23"/>
      <c r="AE138" s="23"/>
      <c r="AF138" s="22"/>
      <c r="AG138" s="22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</row>
    <row r="139" spans="1:45" ht="27.75" customHeight="1" x14ac:dyDescent="0.35">
      <c r="A139" s="15" t="s">
        <v>27</v>
      </c>
      <c r="B139" s="15" t="s">
        <v>79</v>
      </c>
      <c r="C139" s="15" t="str">
        <f ca="1">IFERROR(__xludf.DUMMYFUNCTION("""COMPUTED_VALUE"""),"2022/07/21 (木)
平日夜間")</f>
        <v>2022/07/21 (木)
平日夜間</v>
      </c>
      <c r="D139" s="15" t="str">
        <f ca="1">IFERROR(__xludf.DUMMYFUNCTION("""COMPUTED_VALUE"""),"平日夜間")</f>
        <v>平日夜間</v>
      </c>
      <c r="E139" s="16">
        <f ca="1">IFERROR(__xludf.DUMMYFUNCTION("""COMPUTED_VALUE"""),1.35223329762566)</f>
        <v>1.3522332976256599</v>
      </c>
      <c r="F139" s="15" t="s">
        <v>59</v>
      </c>
      <c r="G139" s="32">
        <v>0</v>
      </c>
      <c r="H139" s="27" t="s">
        <v>30</v>
      </c>
      <c r="I139" s="27"/>
      <c r="J139" s="27"/>
      <c r="K139" s="23" t="b">
        <f ca="1">IFERROR(__xludf.DUMMYFUNCTION("""COMPUTED_VALUE"""),FALSE)</f>
        <v>0</v>
      </c>
      <c r="L139" s="22">
        <f ca="1">IFERROR(__xludf.DUMMYFUNCTION("""COMPUTED_VALUE"""),0.234370830073696)</f>
        <v>0.234370830073696</v>
      </c>
      <c r="M139" s="23">
        <f ca="1">IFERROR(__xludf.DUMMYFUNCTION("""COMPUTED_VALUE"""),0.172022477149084)</f>
        <v>0.172022477149084</v>
      </c>
      <c r="N139" s="23">
        <f ca="1">IFERROR(__xludf.DUMMYFUNCTION("""COMPUTED_VALUE"""),0.496950324912896)</f>
        <v>0.49695032491289598</v>
      </c>
      <c r="O139" s="23">
        <f ca="1">IFERROR(__xludf.DUMMYFUNCTION("""COMPUTED_VALUE"""),0.689550925126601)</f>
        <v>0.68955092512660099</v>
      </c>
      <c r="P139" s="23"/>
      <c r="Q139" s="24">
        <f ca="1">IFERROR(__xludf.DUMMYFUNCTION("""COMPUTED_VALUE"""),0.831131171250934)</f>
        <v>0.83113117125093405</v>
      </c>
      <c r="R139" s="23">
        <f ca="1">IFERROR(__xludf.DUMMYFUNCTION("""COMPUTED_VALUE"""),-0.51685864887735)</f>
        <v>-0.51685864887735</v>
      </c>
      <c r="S139" s="23">
        <f ca="1">IFERROR(__xludf.DUMMYFUNCTION("""COMPUTED_VALUE"""),0.316896434672928)</f>
        <v>0.316896434672928</v>
      </c>
      <c r="T139" s="23">
        <f ca="1">IFERROR(__xludf.DUMMYFUNCTION("""COMPUTED_VALUE"""),0.00999525779687426)</f>
        <v>9.9952577968742597E-3</v>
      </c>
      <c r="U139" s="23"/>
      <c r="V139" s="23"/>
      <c r="W139" s="23">
        <f ca="1">IFERROR(__xludf.DUMMYFUNCTION("""COMPUTED_VALUE"""),0.341506832870266)</f>
        <v>0.34150683287026601</v>
      </c>
      <c r="X139" s="23"/>
      <c r="Y139" s="23">
        <f ca="1">IFERROR(__xludf.DUMMYFUNCTION("""COMPUTED_VALUE"""),0.571763132852098)</f>
        <v>0.57176313285209801</v>
      </c>
      <c r="Z139" s="23">
        <f ca="1">IFERROR(__xludf.DUMMYFUNCTION("""COMPUTED_VALUE"""),0.296001744595338)</f>
        <v>0.29600174459533801</v>
      </c>
      <c r="AA139" s="23"/>
      <c r="AB139" s="23">
        <f ca="1">IFERROR(__xludf.DUMMYFUNCTION("""COMPUTED_VALUE"""),0.0057172508148573)</f>
        <v>5.7172508148572998E-3</v>
      </c>
      <c r="AC139" s="22"/>
      <c r="AD139" s="23"/>
      <c r="AE139" s="23"/>
      <c r="AF139" s="22"/>
      <c r="AG139" s="22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</row>
    <row r="140" spans="1:45" ht="27.75" customHeight="1" x14ac:dyDescent="0.4">
      <c r="A140" s="15" t="s">
        <v>27</v>
      </c>
      <c r="B140" s="15" t="s">
        <v>79</v>
      </c>
      <c r="C140" s="15" t="str">
        <f ca="1">IFERROR(__xludf.DUMMYFUNCTION("""COMPUTED_VALUE"""),"2022/07/22 (金)
平日夜間")</f>
        <v>2022/07/22 (金)
平日夜間</v>
      </c>
      <c r="D140" s="15" t="str">
        <f ca="1">IFERROR(__xludf.DUMMYFUNCTION("""COMPUTED_VALUE"""),"平日夜間")</f>
        <v>平日夜間</v>
      </c>
      <c r="E140" s="16">
        <f ca="1">IFERROR(__xludf.DUMMYFUNCTION("""COMPUTED_VALUE"""),1.02093815409754)</f>
        <v>1.02093815409754</v>
      </c>
      <c r="F140" s="15" t="s">
        <v>11</v>
      </c>
      <c r="G140" s="32">
        <v>0</v>
      </c>
      <c r="H140" s="29" t="s">
        <v>10</v>
      </c>
      <c r="I140" s="27"/>
      <c r="J140" s="27"/>
      <c r="K140" s="23" t="b">
        <f ca="1">IFERROR(__xludf.DUMMYFUNCTION("""COMPUTED_VALUE"""),FALSE)</f>
        <v>0</v>
      </c>
      <c r="L140" s="22">
        <f ca="1">IFERROR(__xludf.DUMMYFUNCTION("""COMPUTED_VALUE"""),0.517258667021155)</f>
        <v>0.51725866702115497</v>
      </c>
      <c r="M140" s="23">
        <f ca="1">IFERROR(__xludf.DUMMYFUNCTION("""COMPUTED_VALUE"""),0.094870559156782)</f>
        <v>9.4870559156781997E-2</v>
      </c>
      <c r="N140" s="23">
        <f ca="1">IFERROR(__xludf.DUMMYFUNCTION("""COMPUTED_VALUE"""),-0.926501763498151)</f>
        <v>-0.92650176349815105</v>
      </c>
      <c r="O140" s="23">
        <f ca="1">IFERROR(__xludf.DUMMYFUNCTION("""COMPUTED_VALUE"""),-0.429307891940202)</f>
        <v>-0.42930789194020202</v>
      </c>
      <c r="P140" s="23"/>
      <c r="Q140" s="24">
        <f ca="1">IFERROR(__xludf.DUMMYFUNCTION("""COMPUTED_VALUE"""),0.550416983085241)</f>
        <v>0.55041698308524101</v>
      </c>
      <c r="R140" s="23">
        <f ca="1">IFERROR(__xludf.DUMMYFUNCTION("""COMPUTED_VALUE"""),-0.937605080358206)</f>
        <v>-0.937605080358206</v>
      </c>
      <c r="S140" s="23">
        <f ca="1">IFERROR(__xludf.DUMMYFUNCTION("""COMPUTED_VALUE"""),0.26605676506179)</f>
        <v>0.26605676506178999</v>
      </c>
      <c r="T140" s="23">
        <f ca="1">IFERROR(__xludf.DUMMYFUNCTION("""COMPUTED_VALUE"""),1.02093815409754)</f>
        <v>1.02093815409754</v>
      </c>
      <c r="U140" s="23"/>
      <c r="V140" s="23"/>
      <c r="W140" s="23">
        <f ca="1">IFERROR(__xludf.DUMMYFUNCTION("""COMPUTED_VALUE"""),0.0178974403203522)</f>
        <v>1.78974403203522E-2</v>
      </c>
      <c r="X140" s="23"/>
      <c r="Y140" s="23">
        <f ca="1">IFERROR(__xludf.DUMMYFUNCTION("""COMPUTED_VALUE"""),0.633716173706614)</f>
        <v>0.63371617370661404</v>
      </c>
      <c r="Z140" s="23">
        <f ca="1">IFERROR(__xludf.DUMMYFUNCTION("""COMPUTED_VALUE"""),0.631225046923472)</f>
        <v>0.63122504692347203</v>
      </c>
      <c r="AA140" s="23"/>
      <c r="AB140" s="23">
        <f ca="1">IFERROR(__xludf.DUMMYFUNCTION("""COMPUTED_VALUE"""),0.365614971312963)</f>
        <v>0.365614971312963</v>
      </c>
      <c r="AC140" s="22"/>
      <c r="AD140" s="23"/>
      <c r="AE140" s="23"/>
      <c r="AF140" s="22"/>
      <c r="AG140" s="22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</row>
    <row r="141" spans="1:45" ht="27.75" customHeight="1" x14ac:dyDescent="0.35">
      <c r="A141" s="15" t="s">
        <v>27</v>
      </c>
      <c r="B141" s="15" t="s">
        <v>79</v>
      </c>
      <c r="C141" s="15" t="str">
        <f ca="1">IFERROR(__xludf.DUMMYFUNCTION("""COMPUTED_VALUE"""),"2022/07/23 (土)
休日午前")</f>
        <v>2022/07/23 (土)
休日午前</v>
      </c>
      <c r="D141" s="15" t="str">
        <f ca="1">IFERROR(__xludf.DUMMYFUNCTION("""COMPUTED_VALUE"""),"休日午前")</f>
        <v>休日午前</v>
      </c>
      <c r="E141" s="16">
        <f ca="1">IFERROR(__xludf.DUMMYFUNCTION("""COMPUTED_VALUE"""),0.993255828519722)</f>
        <v>0.99325582851972205</v>
      </c>
      <c r="F141" s="15" t="s">
        <v>4</v>
      </c>
      <c r="G141" s="32">
        <v>0</v>
      </c>
      <c r="H141" s="27" t="s">
        <v>18</v>
      </c>
      <c r="I141" s="27"/>
      <c r="J141" s="27" t="s">
        <v>93</v>
      </c>
      <c r="K141" s="23" t="b">
        <f ca="1">IFERROR(__xludf.DUMMYFUNCTION("""COMPUTED_VALUE"""),FALSE)</f>
        <v>0</v>
      </c>
      <c r="L141" s="22">
        <f ca="1">IFERROR(__xludf.DUMMYFUNCTION("""COMPUTED_VALUE"""),0.13297198376873)</f>
        <v>0.13297198376873001</v>
      </c>
      <c r="M141" s="23">
        <f ca="1">IFERROR(__xludf.DUMMYFUNCTION("""COMPUTED_VALUE"""),0.993255828519722)</f>
        <v>0.99325582851972205</v>
      </c>
      <c r="N141" s="23">
        <f ca="1">IFERROR(__xludf.DUMMYFUNCTION("""COMPUTED_VALUE"""),-0.25743670917377)</f>
        <v>-0.25743670917376998</v>
      </c>
      <c r="O141" s="23">
        <f ca="1">IFERROR(__xludf.DUMMYFUNCTION("""COMPUTED_VALUE"""),-0.401505025262977)</f>
        <v>-0.40150502526297699</v>
      </c>
      <c r="P141" s="23"/>
      <c r="Q141" s="24">
        <f ca="1">IFERROR(__xludf.DUMMYFUNCTION("""COMPUTED_VALUE"""),0.789720126438784)</f>
        <v>0.78972012643878398</v>
      </c>
      <c r="R141" s="23">
        <f ca="1">IFERROR(__xludf.DUMMYFUNCTION("""COMPUTED_VALUE"""),-0.987913195367362)</f>
        <v>-0.987913195367362</v>
      </c>
      <c r="S141" s="23">
        <f ca="1">IFERROR(__xludf.DUMMYFUNCTION("""COMPUTED_VALUE"""),-0.95959316222385)</f>
        <v>-0.95959316222385005</v>
      </c>
      <c r="T141" s="23">
        <f ca="1">IFERROR(__xludf.DUMMYFUNCTION("""COMPUTED_VALUE"""),0.892067776784993)</f>
        <v>0.89206777678499305</v>
      </c>
      <c r="U141" s="23"/>
      <c r="V141" s="23"/>
      <c r="W141" s="23">
        <f ca="1">IFERROR(__xludf.DUMMYFUNCTION("""COMPUTED_VALUE"""),0.606053803520685)</f>
        <v>0.60605380352068505</v>
      </c>
      <c r="X141" s="23"/>
      <c r="Y141" s="23">
        <f ca="1">IFERROR(__xludf.DUMMYFUNCTION("""COMPUTED_VALUE"""),-0.20330524651195)</f>
        <v>-0.20330524651195001</v>
      </c>
      <c r="Z141" s="23">
        <f ca="1">IFERROR(__xludf.DUMMYFUNCTION("""COMPUTED_VALUE"""),0.659651310444461)</f>
        <v>0.65965131044446101</v>
      </c>
      <c r="AA141" s="23"/>
      <c r="AB141" s="23">
        <f ca="1">IFERROR(__xludf.DUMMYFUNCTION("""COMPUTED_VALUE"""),0.464094420022923)</f>
        <v>0.464094420022923</v>
      </c>
      <c r="AC141" s="22"/>
      <c r="AD141" s="23"/>
      <c r="AE141" s="23"/>
      <c r="AF141" s="22"/>
      <c r="AG141" s="22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</row>
    <row r="142" spans="1:45" ht="27.75" customHeight="1" x14ac:dyDescent="0.4">
      <c r="A142" s="15" t="s">
        <v>27</v>
      </c>
      <c r="B142" s="15" t="s">
        <v>79</v>
      </c>
      <c r="C142" s="15" t="str">
        <f ca="1">IFERROR(__xludf.DUMMYFUNCTION("""COMPUTED_VALUE"""),"2022/07/23 (土)
休日午後")</f>
        <v>2022/07/23 (土)
休日午後</v>
      </c>
      <c r="D142" s="15" t="str">
        <f ca="1">IFERROR(__xludf.DUMMYFUNCTION("""COMPUTED_VALUE"""),"休日午後")</f>
        <v>休日午後</v>
      </c>
      <c r="E142" s="16">
        <f ca="1">IFERROR(__xludf.DUMMYFUNCTION("""COMPUTED_VALUE"""),2.35726310206248)</f>
        <v>2.3572631020624799</v>
      </c>
      <c r="F142" s="15" t="s">
        <v>16</v>
      </c>
      <c r="G142" s="32">
        <v>2</v>
      </c>
      <c r="H142" s="29" t="s">
        <v>16</v>
      </c>
      <c r="I142" s="27"/>
      <c r="J142" s="27" t="s">
        <v>93</v>
      </c>
      <c r="K142" s="23" t="b">
        <f ca="1">IFERROR(__xludf.DUMMYFUNCTION("""COMPUTED_VALUE"""),TRUE)</f>
        <v>1</v>
      </c>
      <c r="L142" s="22">
        <f ca="1">IFERROR(__xludf.DUMMYFUNCTION("""COMPUTED_VALUE"""),0.383007548815211)</f>
        <v>0.38300754881521099</v>
      </c>
      <c r="M142" s="23">
        <f ca="1">IFERROR(__xludf.DUMMYFUNCTION("""COMPUTED_VALUE"""),-0.104017256147475)</f>
        <v>-0.10401725614747501</v>
      </c>
      <c r="N142" s="23">
        <f ca="1">IFERROR(__xludf.DUMMYFUNCTION("""COMPUTED_VALUE"""),-0.85869298003918)</f>
        <v>-0.85869298003918004</v>
      </c>
      <c r="O142" s="23">
        <f ca="1">IFERROR(__xludf.DUMMYFUNCTION("""COMPUTED_VALUE"""),-0.410720990059536)</f>
        <v>-0.410720990059536</v>
      </c>
      <c r="P142" s="23"/>
      <c r="Q142" s="24">
        <f ca="1">IFERROR(__xludf.DUMMYFUNCTION("""COMPUTED_VALUE"""),2.35726310206248)</f>
        <v>2.3572631020624799</v>
      </c>
      <c r="R142" s="23">
        <f ca="1">IFERROR(__xludf.DUMMYFUNCTION("""COMPUTED_VALUE"""),-0.644651730499168)</f>
        <v>-0.64465173049916802</v>
      </c>
      <c r="S142" s="23">
        <f ca="1">IFERROR(__xludf.DUMMYFUNCTION("""COMPUTED_VALUE"""),-0.116524616054394)</f>
        <v>-0.116524616054394</v>
      </c>
      <c r="T142" s="23">
        <f ca="1">IFERROR(__xludf.DUMMYFUNCTION("""COMPUTED_VALUE"""),0.608219084662667)</f>
        <v>0.60821908466266705</v>
      </c>
      <c r="U142" s="23"/>
      <c r="V142" s="23"/>
      <c r="W142" s="23">
        <f ca="1">IFERROR(__xludf.DUMMYFUNCTION("""COMPUTED_VALUE"""),0.175385916294332)</f>
        <v>0.17538591629433201</v>
      </c>
      <c r="X142" s="23"/>
      <c r="Y142" s="23">
        <f ca="1">IFERROR(__xludf.DUMMYFUNCTION("""COMPUTED_VALUE"""),-0.442365061931839)</f>
        <v>-0.442365061931839</v>
      </c>
      <c r="Z142" s="23">
        <f ca="1">IFERROR(__xludf.DUMMYFUNCTION("""COMPUTED_VALUE"""),0.970168225972735)</f>
        <v>0.970168225972735</v>
      </c>
      <c r="AA142" s="23"/>
      <c r="AB142" s="23">
        <f ca="1">IFERROR(__xludf.DUMMYFUNCTION("""COMPUTED_VALUE"""),0.904810762483387)</f>
        <v>0.90481076248338699</v>
      </c>
      <c r="AC142" s="22"/>
      <c r="AD142" s="23"/>
      <c r="AE142" s="23"/>
      <c r="AF142" s="22"/>
      <c r="AG142" s="22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</row>
    <row r="143" spans="1:45" ht="27.75" customHeight="1" x14ac:dyDescent="0.35">
      <c r="A143" s="15" t="s">
        <v>27</v>
      </c>
      <c r="B143" s="15" t="s">
        <v>79</v>
      </c>
      <c r="C143" s="15" t="str">
        <f ca="1">IFERROR(__xludf.DUMMYFUNCTION("""COMPUTED_VALUE"""),"2022/07/24 (日)
休日午前")</f>
        <v>2022/07/24 (日)
休日午前</v>
      </c>
      <c r="D143" s="15" t="str">
        <f ca="1">IFERROR(__xludf.DUMMYFUNCTION("""COMPUTED_VALUE"""),"休日午前")</f>
        <v>休日午前</v>
      </c>
      <c r="E143" s="16">
        <f ca="1">IFERROR(__xludf.DUMMYFUNCTION("""COMPUTED_VALUE"""),0.920481685035796)</f>
        <v>0.92048168503579597</v>
      </c>
      <c r="F143" s="15" t="s">
        <v>2</v>
      </c>
      <c r="G143" s="32">
        <v>0</v>
      </c>
      <c r="H143" s="27" t="s">
        <v>10</v>
      </c>
      <c r="I143" s="27"/>
      <c r="J143" s="27" t="s">
        <v>57</v>
      </c>
      <c r="K143" s="23" t="b">
        <f ca="1">IFERROR(__xludf.DUMMYFUNCTION("""COMPUTED_VALUE"""),TRUE)</f>
        <v>1</v>
      </c>
      <c r="L143" s="22">
        <f ca="1">IFERROR(__xludf.DUMMYFUNCTION("""COMPUTED_VALUE"""),0.0917186573934671)</f>
        <v>9.1718657393467101E-2</v>
      </c>
      <c r="M143" s="23">
        <f ca="1">IFERROR(__xludf.DUMMYFUNCTION("""COMPUTED_VALUE"""),-0.71185489611015)</f>
        <v>-0.71185489611014996</v>
      </c>
      <c r="N143" s="23">
        <f ca="1">IFERROR(__xludf.DUMMYFUNCTION("""COMPUTED_VALUE"""),0.128878947292799)</f>
        <v>0.128878947292799</v>
      </c>
      <c r="O143" s="23">
        <f ca="1">IFERROR(__xludf.DUMMYFUNCTION("""COMPUTED_VALUE"""),-0.584355068604556)</f>
        <v>-0.58435506860455599</v>
      </c>
      <c r="P143" s="23"/>
      <c r="Q143" s="24">
        <f ca="1">IFERROR(__xludf.DUMMYFUNCTION("""COMPUTED_VALUE"""),-0.859759843573451)</f>
        <v>-0.85975984357345103</v>
      </c>
      <c r="R143" s="23">
        <f ca="1">IFERROR(__xludf.DUMMYFUNCTION("""COMPUTED_VALUE"""),-0.762286973544331)</f>
        <v>-0.76228697354433095</v>
      </c>
      <c r="S143" s="23">
        <f ca="1">IFERROR(__xludf.DUMMYFUNCTION("""COMPUTED_VALUE"""),-0.87416961403968)</f>
        <v>-0.87416961403967997</v>
      </c>
      <c r="T143" s="23">
        <f ca="1">IFERROR(__xludf.DUMMYFUNCTION("""COMPUTED_VALUE"""),0.272128251498987)</f>
        <v>0.27212825149898701</v>
      </c>
      <c r="U143" s="23"/>
      <c r="V143" s="23"/>
      <c r="W143" s="23">
        <f ca="1">IFERROR(__xludf.DUMMYFUNCTION("""COMPUTED_VALUE"""),0.54219165307047)</f>
        <v>0.54219165307047001</v>
      </c>
      <c r="X143" s="23"/>
      <c r="Y143" s="23">
        <f ca="1">IFERROR(__xludf.DUMMYFUNCTION("""COMPUTED_VALUE"""),-0.184681584335396)</f>
        <v>-0.184681584335396</v>
      </c>
      <c r="Z143" s="23">
        <f ca="1">IFERROR(__xludf.DUMMYFUNCTION("""COMPUTED_VALUE"""),0.413054254487842)</f>
        <v>0.413054254487842</v>
      </c>
      <c r="AA143" s="23"/>
      <c r="AB143" s="23">
        <f ca="1">IFERROR(__xludf.DUMMYFUNCTION("""COMPUTED_VALUE"""),0.441011295437622)</f>
        <v>0.44101129543762202</v>
      </c>
      <c r="AC143" s="22"/>
      <c r="AD143" s="23"/>
      <c r="AE143" s="23"/>
      <c r="AF143" s="22"/>
      <c r="AG143" s="22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</row>
    <row r="144" spans="1:45" ht="27.75" customHeight="1" x14ac:dyDescent="0.35">
      <c r="A144" s="15" t="s">
        <v>27</v>
      </c>
      <c r="B144" s="15" t="s">
        <v>79</v>
      </c>
      <c r="C144" s="15" t="str">
        <f ca="1">IFERROR(__xludf.DUMMYFUNCTION("""COMPUTED_VALUE"""),"2022/07/24 (日)
休日午後")</f>
        <v>2022/07/24 (日)
休日午後</v>
      </c>
      <c r="D144" s="15" t="str">
        <f ca="1">IFERROR(__xludf.DUMMYFUNCTION("""COMPUTED_VALUE"""),"休日午後")</f>
        <v>休日午後</v>
      </c>
      <c r="E144" s="16">
        <f ca="1">IFERROR(__xludf.DUMMYFUNCTION("""COMPUTED_VALUE"""),0.990262152371914)</f>
        <v>0.99026215237191395</v>
      </c>
      <c r="F144" s="15" t="s">
        <v>18</v>
      </c>
      <c r="G144" s="32">
        <v>0</v>
      </c>
      <c r="H144" s="27" t="s">
        <v>11</v>
      </c>
      <c r="I144" s="27"/>
      <c r="J144" s="27" t="s">
        <v>57</v>
      </c>
      <c r="K144" s="23" t="b">
        <f ca="1">IFERROR(__xludf.DUMMYFUNCTION("""COMPUTED_VALUE"""),FALSE)</f>
        <v>0</v>
      </c>
      <c r="L144" s="22">
        <f ca="1">IFERROR(__xludf.DUMMYFUNCTION("""COMPUTED_VALUE"""),0.487166402018004)</f>
        <v>0.48716640201800399</v>
      </c>
      <c r="M144" s="23">
        <f ca="1">IFERROR(__xludf.DUMMYFUNCTION("""COMPUTED_VALUE"""),-0.223161409488155)</f>
        <v>-0.22316140948815499</v>
      </c>
      <c r="N144" s="23">
        <f ca="1">IFERROR(__xludf.DUMMYFUNCTION("""COMPUTED_VALUE"""),0.207731840501852)</f>
        <v>0.20773184050185201</v>
      </c>
      <c r="O144" s="23">
        <f ca="1">IFERROR(__xludf.DUMMYFUNCTION("""COMPUTED_VALUE"""),-0.238136619467143)</f>
        <v>-0.23813661946714301</v>
      </c>
      <c r="P144" s="23"/>
      <c r="Q144" s="24">
        <f ca="1">IFERROR(__xludf.DUMMYFUNCTION("""COMPUTED_VALUE"""),-0.613572108327253)</f>
        <v>-0.61357210832725295</v>
      </c>
      <c r="R144" s="23">
        <f ca="1">IFERROR(__xludf.DUMMYFUNCTION("""COMPUTED_VALUE"""),-0.633047552862173)</f>
        <v>-0.63304755286217296</v>
      </c>
      <c r="S144" s="23">
        <f ca="1">IFERROR(__xludf.DUMMYFUNCTION("""COMPUTED_VALUE"""),-0.0622945790818387)</f>
        <v>-6.2294579081838698E-2</v>
      </c>
      <c r="T144" s="23">
        <f ca="1">IFERROR(__xludf.DUMMYFUNCTION("""COMPUTED_VALUE"""),0.71997146602086)</f>
        <v>0.71997146602086004</v>
      </c>
      <c r="U144" s="23"/>
      <c r="V144" s="23"/>
      <c r="W144" s="23">
        <f ca="1">IFERROR(__xludf.DUMMYFUNCTION("""COMPUTED_VALUE"""),0.289254536924573)</f>
        <v>0.28925453692457298</v>
      </c>
      <c r="X144" s="23"/>
      <c r="Y144" s="23">
        <f ca="1">IFERROR(__xludf.DUMMYFUNCTION("""COMPUTED_VALUE"""),-0.535079698317135)</f>
        <v>-0.53507969831713498</v>
      </c>
      <c r="Z144" s="23">
        <f ca="1">IFERROR(__xludf.DUMMYFUNCTION("""COMPUTED_VALUE"""),0.508415231377209)</f>
        <v>0.50841523137720901</v>
      </c>
      <c r="AA144" s="23"/>
      <c r="AB144" s="23">
        <f ca="1">IFERROR(__xludf.DUMMYFUNCTION("""COMPUTED_VALUE"""),0.810423892078768)</f>
        <v>0.81042389207876797</v>
      </c>
      <c r="AC144" s="22"/>
      <c r="AD144" s="23"/>
      <c r="AE144" s="23"/>
      <c r="AF144" s="22"/>
      <c r="AG144" s="22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</row>
    <row r="145" spans="1:45" ht="27.75" customHeight="1" x14ac:dyDescent="0.4">
      <c r="A145" s="15" t="s">
        <v>27</v>
      </c>
      <c r="B145" s="15" t="s">
        <v>79</v>
      </c>
      <c r="C145" s="15" t="str">
        <f ca="1">IFERROR(__xludf.DUMMYFUNCTION("""COMPUTED_VALUE"""),"2022/07/25 (月)
平日夜間")</f>
        <v>2022/07/25 (月)
平日夜間</v>
      </c>
      <c r="D145" s="15" t="str">
        <f ca="1">IFERROR(__xludf.DUMMYFUNCTION("""COMPUTED_VALUE"""),"平日夜間")</f>
        <v>平日夜間</v>
      </c>
      <c r="E145" s="16">
        <f ca="1">IFERROR(__xludf.DUMMYFUNCTION("""COMPUTED_VALUE"""),2.93638673799233)</f>
        <v>2.9363867379923301</v>
      </c>
      <c r="F145" s="15" t="s">
        <v>14</v>
      </c>
      <c r="G145" s="32">
        <v>2</v>
      </c>
      <c r="H145" s="29" t="s">
        <v>14</v>
      </c>
      <c r="I145" s="27"/>
      <c r="J145" s="27" t="s">
        <v>94</v>
      </c>
      <c r="K145" s="23" t="b">
        <f ca="1">IFERROR(__xludf.DUMMYFUNCTION("""COMPUTED_VALUE"""),TRUE)</f>
        <v>1</v>
      </c>
      <c r="L145" s="22">
        <f ca="1">IFERROR(__xludf.DUMMYFUNCTION("""COMPUTED_VALUE"""),0.296093920217151)</f>
        <v>0.29609392021715097</v>
      </c>
      <c r="M145" s="23">
        <f ca="1">IFERROR(__xludf.DUMMYFUNCTION("""COMPUTED_VALUE"""),0.707448032695678)</f>
        <v>0.70744803269567802</v>
      </c>
      <c r="N145" s="23">
        <f ca="1">IFERROR(__xludf.DUMMYFUNCTION("""COMPUTED_VALUE"""),0.0461607972829873)</f>
        <v>4.6160797282987297E-2</v>
      </c>
      <c r="O145" s="23">
        <f ca="1">IFERROR(__xludf.DUMMYFUNCTION("""COMPUTED_VALUE"""),-0.848868541481187)</f>
        <v>-0.84886854148118696</v>
      </c>
      <c r="P145" s="23"/>
      <c r="Q145" s="24">
        <f ca="1">IFERROR(__xludf.DUMMYFUNCTION("""COMPUTED_VALUE"""),0.842398117611884)</f>
        <v>0.84239811761188399</v>
      </c>
      <c r="R145" s="23">
        <f ca="1">IFERROR(__xludf.DUMMYFUNCTION("""COMPUTED_VALUE"""),-0.271641748317467)</f>
        <v>-0.27164174831746701</v>
      </c>
      <c r="S145" s="23">
        <f ca="1">IFERROR(__xludf.DUMMYFUNCTION("""COMPUTED_VALUE"""),0.313332974935994)</f>
        <v>0.31333297493599399</v>
      </c>
      <c r="T145" s="23">
        <f ca="1">IFERROR(__xludf.DUMMYFUNCTION("""COMPUTED_VALUE"""),0.510468184635631)</f>
        <v>0.51046818463563104</v>
      </c>
      <c r="U145" s="23"/>
      <c r="V145" s="23"/>
      <c r="W145" s="23">
        <f ca="1">IFERROR(__xludf.DUMMYFUNCTION("""COMPUTED_VALUE"""),0.230759380303283)</f>
        <v>0.230759380303283</v>
      </c>
      <c r="X145" s="23"/>
      <c r="Y145" s="23">
        <f ca="1">IFERROR(__xludf.DUMMYFUNCTION("""COMPUTED_VALUE"""),2.93638673799233)</f>
        <v>2.9363867379923301</v>
      </c>
      <c r="Z145" s="23">
        <f ca="1">IFERROR(__xludf.DUMMYFUNCTION("""COMPUTED_VALUE"""),0.127205824033056)</f>
        <v>0.127205824033056</v>
      </c>
      <c r="AA145" s="23"/>
      <c r="AB145" s="23">
        <f ca="1">IFERROR(__xludf.DUMMYFUNCTION("""COMPUTED_VALUE"""),0.0809474788426019)</f>
        <v>8.0947478842601894E-2</v>
      </c>
      <c r="AC145" s="22"/>
      <c r="AD145" s="23"/>
      <c r="AE145" s="23"/>
      <c r="AF145" s="22"/>
      <c r="AG145" s="22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</row>
    <row r="146" spans="1:45" ht="27.75" customHeight="1" x14ac:dyDescent="0.35">
      <c r="A146" s="15" t="s">
        <v>27</v>
      </c>
      <c r="B146" s="15" t="s">
        <v>79</v>
      </c>
      <c r="C146" s="15" t="str">
        <f ca="1">IFERROR(__xludf.DUMMYFUNCTION("""COMPUTED_VALUE"""),"2022/07/26 (火)
平日夜間")</f>
        <v>2022/07/26 (火)
平日夜間</v>
      </c>
      <c r="D146" s="15" t="str">
        <f ca="1">IFERROR(__xludf.DUMMYFUNCTION("""COMPUTED_VALUE"""),"平日夜間")</f>
        <v>平日夜間</v>
      </c>
      <c r="E146" s="16">
        <f ca="1">IFERROR(__xludf.DUMMYFUNCTION("""COMPUTED_VALUE"""),0.922875042921423)</f>
        <v>0.92287504292142297</v>
      </c>
      <c r="F146" s="15" t="s">
        <v>31</v>
      </c>
      <c r="G146" s="32">
        <v>0</v>
      </c>
      <c r="H146" s="27" t="s">
        <v>8</v>
      </c>
      <c r="I146" s="27"/>
      <c r="J146" s="27" t="s">
        <v>95</v>
      </c>
      <c r="K146" s="23" t="b">
        <f ca="1">IFERROR(__xludf.DUMMYFUNCTION("""COMPUTED_VALUE"""),FALSE)</f>
        <v>0</v>
      </c>
      <c r="L146" s="22">
        <f ca="1">IFERROR(__xludf.DUMMYFUNCTION("""COMPUTED_VALUE"""),0.581933019766774)</f>
        <v>0.58193301976677403</v>
      </c>
      <c r="M146" s="23">
        <f ca="1">IFERROR(__xludf.DUMMYFUNCTION("""COMPUTED_VALUE"""),0.917325806368014)</f>
        <v>0.91732580636801397</v>
      </c>
      <c r="N146" s="23">
        <f ca="1">IFERROR(__xludf.DUMMYFUNCTION("""COMPUTED_VALUE"""),0.359473289898751)</f>
        <v>0.35947328989875099</v>
      </c>
      <c r="O146" s="23">
        <f ca="1">IFERROR(__xludf.DUMMYFUNCTION("""COMPUTED_VALUE"""),0.164957262348523)</f>
        <v>0.16495726234852301</v>
      </c>
      <c r="P146" s="23"/>
      <c r="Q146" s="24">
        <f ca="1">IFERROR(__xludf.DUMMYFUNCTION("""COMPUTED_VALUE"""),0.826047944945779)</f>
        <v>0.82604794494577904</v>
      </c>
      <c r="R146" s="23">
        <f ca="1">IFERROR(__xludf.DUMMYFUNCTION("""COMPUTED_VALUE"""),-0.0713303041556498)</f>
        <v>-7.1330304155649796E-2</v>
      </c>
      <c r="S146" s="23">
        <f ca="1">IFERROR(__xludf.DUMMYFUNCTION("""COMPUTED_VALUE"""),0.394330473983067)</f>
        <v>0.39433047398306698</v>
      </c>
      <c r="T146" s="23">
        <f ca="1">IFERROR(__xludf.DUMMYFUNCTION("""COMPUTED_VALUE"""),0.448354993120119)</f>
        <v>0.44835499312011901</v>
      </c>
      <c r="U146" s="23"/>
      <c r="V146" s="23"/>
      <c r="W146" s="23">
        <f ca="1">IFERROR(__xludf.DUMMYFUNCTION("""COMPUTED_VALUE"""),0.674072488006722)</f>
        <v>0.67407248800672204</v>
      </c>
      <c r="X146" s="23"/>
      <c r="Y146" s="23">
        <f ca="1">IFERROR(__xludf.DUMMYFUNCTION("""COMPUTED_VALUE"""),0.6845944188314)</f>
        <v>0.68459441883140004</v>
      </c>
      <c r="Z146" s="23">
        <f ca="1">IFERROR(__xludf.DUMMYFUNCTION("""COMPUTED_VALUE"""),-0.183190053479549)</f>
        <v>-0.183190053479549</v>
      </c>
      <c r="AA146" s="23"/>
      <c r="AB146" s="23">
        <f ca="1">IFERROR(__xludf.DUMMYFUNCTION("""COMPUTED_VALUE"""),0.611636791078798)</f>
        <v>0.61163679107879798</v>
      </c>
      <c r="AC146" s="22"/>
      <c r="AD146" s="23"/>
      <c r="AE146" s="23"/>
      <c r="AF146" s="22"/>
      <c r="AG146" s="22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</row>
    <row r="147" spans="1:45" ht="27.75" customHeight="1" x14ac:dyDescent="0.35">
      <c r="A147" s="15" t="s">
        <v>27</v>
      </c>
      <c r="B147" s="15" t="s">
        <v>79</v>
      </c>
      <c r="C147" s="15" t="str">
        <f ca="1">IFERROR(__xludf.DUMMYFUNCTION("""COMPUTED_VALUE"""),"2022/07/27 (水)
平日夜間")</f>
        <v>2022/07/27 (水)
平日夜間</v>
      </c>
      <c r="D147" s="15" t="str">
        <f ca="1">IFERROR(__xludf.DUMMYFUNCTION("""COMPUTED_VALUE"""),"平日夜間")</f>
        <v>平日夜間</v>
      </c>
      <c r="E147" s="16">
        <f ca="1">IFERROR(__xludf.DUMMYFUNCTION("""COMPUTED_VALUE"""),0.799310272750799)</f>
        <v>0.79931027275079902</v>
      </c>
      <c r="F147" s="15" t="s">
        <v>14</v>
      </c>
      <c r="G147" s="32">
        <v>0</v>
      </c>
      <c r="H147" s="27" t="s">
        <v>4</v>
      </c>
      <c r="I147" s="27"/>
      <c r="J147" s="27"/>
      <c r="K147" s="23" t="b">
        <f ca="1">IFERROR(__xludf.DUMMYFUNCTION("""COMPUTED_VALUE"""),FALSE)</f>
        <v>0</v>
      </c>
      <c r="L147" s="22">
        <f ca="1">IFERROR(__xludf.DUMMYFUNCTION("""COMPUTED_VALUE"""),0.100247632723251)</f>
        <v>0.100247632723251</v>
      </c>
      <c r="M147" s="23">
        <f ca="1">IFERROR(__xludf.DUMMYFUNCTION("""COMPUTED_VALUE"""),0.295394668501776)</f>
        <v>0.29539466850177598</v>
      </c>
      <c r="N147" s="23">
        <f ca="1">IFERROR(__xludf.DUMMYFUNCTION("""COMPUTED_VALUE"""),0.15887630955671)</f>
        <v>0.15887630955671</v>
      </c>
      <c r="O147" s="23">
        <f ca="1">IFERROR(__xludf.DUMMYFUNCTION("""COMPUTED_VALUE"""),0.209106352671076)</f>
        <v>0.209106352671076</v>
      </c>
      <c r="P147" s="23"/>
      <c r="Q147" s="24">
        <f ca="1">IFERROR(__xludf.DUMMYFUNCTION("""COMPUTED_VALUE"""),-0.300269398865461)</f>
        <v>-0.300269398865461</v>
      </c>
      <c r="R147" s="23">
        <f ca="1">IFERROR(__xludf.DUMMYFUNCTION("""COMPUTED_VALUE"""),-0.215657040937946)</f>
        <v>-0.21565704093794599</v>
      </c>
      <c r="S147" s="23">
        <f ca="1">IFERROR(__xludf.DUMMYFUNCTION("""COMPUTED_VALUE"""),0.49493363987064)</f>
        <v>0.49493363987063999</v>
      </c>
      <c r="T147" s="23">
        <f ca="1">IFERROR(__xludf.DUMMYFUNCTION("""COMPUTED_VALUE"""),-0.0537625540354707)</f>
        <v>-5.37625540354707E-2</v>
      </c>
      <c r="U147" s="23"/>
      <c r="V147" s="23"/>
      <c r="W147" s="23">
        <f ca="1">IFERROR(__xludf.DUMMYFUNCTION("""COMPUTED_VALUE"""),-0.867368493943325)</f>
        <v>-0.86736849394332505</v>
      </c>
      <c r="X147" s="23"/>
      <c r="Y147" s="23">
        <f ca="1">IFERROR(__xludf.DUMMYFUNCTION("""COMPUTED_VALUE"""),0.799310272750799)</f>
        <v>0.79931027275079902</v>
      </c>
      <c r="Z147" s="23">
        <f ca="1">IFERROR(__xludf.DUMMYFUNCTION("""COMPUTED_VALUE"""),0.387852737099497)</f>
        <v>0.38785273709949702</v>
      </c>
      <c r="AA147" s="23"/>
      <c r="AB147" s="23">
        <f ca="1">IFERROR(__xludf.DUMMYFUNCTION("""COMPUTED_VALUE"""),0.305705043687626)</f>
        <v>0.30570504368762602</v>
      </c>
      <c r="AC147" s="22"/>
      <c r="AD147" s="23"/>
      <c r="AE147" s="23"/>
      <c r="AF147" s="22"/>
      <c r="AG147" s="22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</row>
    <row r="148" spans="1:45" ht="27.75" customHeight="1" x14ac:dyDescent="0.35">
      <c r="A148" s="15" t="s">
        <v>27</v>
      </c>
      <c r="B148" s="15" t="s">
        <v>79</v>
      </c>
      <c r="C148" s="15" t="str">
        <f ca="1">IFERROR(__xludf.DUMMYFUNCTION("""COMPUTED_VALUE"""),"2022/07/28 (木)
平日夜間")</f>
        <v>2022/07/28 (木)
平日夜間</v>
      </c>
      <c r="D148" s="15" t="str">
        <f ca="1">IFERROR(__xludf.DUMMYFUNCTION("""COMPUTED_VALUE"""),"平日夜間")</f>
        <v>平日夜間</v>
      </c>
      <c r="E148" s="16">
        <f ca="1">IFERROR(__xludf.DUMMYFUNCTION("""COMPUTED_VALUE"""),0.994213873441946)</f>
        <v>0.99421387344194601</v>
      </c>
      <c r="F148" s="15" t="s">
        <v>18</v>
      </c>
      <c r="G148" s="32">
        <v>0</v>
      </c>
      <c r="H148" s="27" t="s">
        <v>29</v>
      </c>
      <c r="I148" s="27"/>
      <c r="J148" s="27"/>
      <c r="K148" s="23" t="b">
        <f ca="1">IFERROR(__xludf.DUMMYFUNCTION("""COMPUTED_VALUE"""),FALSE)</f>
        <v>0</v>
      </c>
      <c r="L148" s="22">
        <f ca="1">IFERROR(__xludf.DUMMYFUNCTION("""COMPUTED_VALUE"""),0.241236843014081)</f>
        <v>0.24123684301408099</v>
      </c>
      <c r="M148" s="23">
        <f ca="1">IFERROR(__xludf.DUMMYFUNCTION("""COMPUTED_VALUE"""),-0.523921269611988)</f>
        <v>-0.52392126961198804</v>
      </c>
      <c r="N148" s="23">
        <f ca="1">IFERROR(__xludf.DUMMYFUNCTION("""COMPUTED_VALUE"""),0.00423603772612746)</f>
        <v>4.23603772612746E-3</v>
      </c>
      <c r="O148" s="23">
        <f ca="1">IFERROR(__xludf.DUMMYFUNCTION("""COMPUTED_VALUE"""),0.463223625513826)</f>
        <v>0.46322362551382601</v>
      </c>
      <c r="P148" s="23"/>
      <c r="Q148" s="24">
        <f ca="1">IFERROR(__xludf.DUMMYFUNCTION("""COMPUTED_VALUE"""),0.252683654881791)</f>
        <v>0.25268365488179101</v>
      </c>
      <c r="R148" s="23">
        <f ca="1">IFERROR(__xludf.DUMMYFUNCTION("""COMPUTED_VALUE"""),-0.952779750628352)</f>
        <v>-0.95277975062835196</v>
      </c>
      <c r="S148" s="23">
        <f ca="1">IFERROR(__xludf.DUMMYFUNCTION("""COMPUTED_VALUE"""),0.543561049460457)</f>
        <v>0.54356104946045702</v>
      </c>
      <c r="T148" s="23">
        <f ca="1">IFERROR(__xludf.DUMMYFUNCTION("""COMPUTED_VALUE"""),0.393877731720871)</f>
        <v>0.39387773172087098</v>
      </c>
      <c r="U148" s="23"/>
      <c r="V148" s="23"/>
      <c r="W148" s="23">
        <f ca="1">IFERROR(__xludf.DUMMYFUNCTION("""COMPUTED_VALUE"""),0.832435410699153)</f>
        <v>0.83243541069915294</v>
      </c>
      <c r="X148" s="23"/>
      <c r="Y148" s="23">
        <f ca="1">IFERROR(__xludf.DUMMYFUNCTION("""COMPUTED_VALUE"""),0.478200209191361)</f>
        <v>0.47820020919136103</v>
      </c>
      <c r="Z148" s="23">
        <f ca="1">IFERROR(__xludf.DUMMYFUNCTION("""COMPUTED_VALUE"""),0.811286150419718)</f>
        <v>0.81128615041971797</v>
      </c>
      <c r="AA148" s="23"/>
      <c r="AB148" s="23">
        <f ca="1">IFERROR(__xludf.DUMMYFUNCTION("""COMPUTED_VALUE"""),0.189285383858061)</f>
        <v>0.18928538385806101</v>
      </c>
      <c r="AC148" s="22"/>
      <c r="AD148" s="23"/>
      <c r="AE148" s="23"/>
      <c r="AF148" s="22"/>
      <c r="AG148" s="22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</row>
    <row r="149" spans="1:45" ht="27.75" customHeight="1" x14ac:dyDescent="0.35">
      <c r="A149" s="15" t="s">
        <v>27</v>
      </c>
      <c r="B149" s="15" t="s">
        <v>79</v>
      </c>
      <c r="C149" s="15" t="str">
        <f ca="1">IFERROR(__xludf.DUMMYFUNCTION("""COMPUTED_VALUE"""),"2022/07/29 (金)
平日夜間")</f>
        <v>2022/07/29 (金)
平日夜間</v>
      </c>
      <c r="D149" s="15" t="str">
        <f ca="1">IFERROR(__xludf.DUMMYFUNCTION("""COMPUTED_VALUE"""),"平日夜間")</f>
        <v>平日夜間</v>
      </c>
      <c r="E149" s="16">
        <f ca="1">IFERROR(__xludf.DUMMYFUNCTION("""COMPUTED_VALUE"""),0.913130950163366)</f>
        <v>0.91313095016336598</v>
      </c>
      <c r="F149" s="15" t="s">
        <v>1</v>
      </c>
      <c r="G149" s="32">
        <v>0</v>
      </c>
      <c r="H149" s="27" t="s">
        <v>55</v>
      </c>
      <c r="I149" s="27"/>
      <c r="J149" s="27" t="s">
        <v>96</v>
      </c>
      <c r="K149" s="23" t="b">
        <f ca="1">IFERROR(__xludf.DUMMYFUNCTION("""COMPUTED_VALUE"""),FALSE)</f>
        <v>0</v>
      </c>
      <c r="L149" s="22">
        <f ca="1">IFERROR(__xludf.DUMMYFUNCTION("""COMPUTED_VALUE"""),0.200237108556822)</f>
        <v>0.200237108556822</v>
      </c>
      <c r="M149" s="23">
        <f ca="1">IFERROR(__xludf.DUMMYFUNCTION("""COMPUTED_VALUE"""),0.600699266291058)</f>
        <v>0.60069926629105797</v>
      </c>
      <c r="N149" s="23">
        <f ca="1">IFERROR(__xludf.DUMMYFUNCTION("""COMPUTED_VALUE"""),-0.473226968867905)</f>
        <v>-0.473226968867905</v>
      </c>
      <c r="O149" s="23">
        <f ca="1">IFERROR(__xludf.DUMMYFUNCTION("""COMPUTED_VALUE"""),-0.743340729433148)</f>
        <v>-0.743340729433148</v>
      </c>
      <c r="P149" s="23"/>
      <c r="Q149" s="24">
        <f ca="1">IFERROR(__xludf.DUMMYFUNCTION("""COMPUTED_VALUE"""),0.213327738024811)</f>
        <v>0.213327738024811</v>
      </c>
      <c r="R149" s="23">
        <f ca="1">IFERROR(__xludf.DUMMYFUNCTION("""COMPUTED_VALUE"""),-0.846735728962565)</f>
        <v>-0.84673572896256499</v>
      </c>
      <c r="S149" s="23">
        <f ca="1">IFERROR(__xludf.DUMMYFUNCTION("""COMPUTED_VALUE"""),0.202923747899353)</f>
        <v>0.202923747899353</v>
      </c>
      <c r="T149" s="23">
        <f ca="1">IFERROR(__xludf.DUMMYFUNCTION("""COMPUTED_VALUE"""),-0.051854444521578)</f>
        <v>-5.1854444521578003E-2</v>
      </c>
      <c r="U149" s="23"/>
      <c r="V149" s="23"/>
      <c r="W149" s="23">
        <f ca="1">IFERROR(__xludf.DUMMYFUNCTION("""COMPUTED_VALUE"""),0.20262477136761)</f>
        <v>0.20262477136761001</v>
      </c>
      <c r="X149" s="23"/>
      <c r="Y149" s="23">
        <f ca="1">IFERROR(__xludf.DUMMYFUNCTION("""COMPUTED_VALUE"""),0.659177794258471)</f>
        <v>0.65917779425847101</v>
      </c>
      <c r="Z149" s="23">
        <f ca="1">IFERROR(__xludf.DUMMYFUNCTION("""COMPUTED_VALUE"""),0.062484936332956)</f>
        <v>6.2484936332956001E-2</v>
      </c>
      <c r="AA149" s="23"/>
      <c r="AB149" s="23">
        <f ca="1">IFERROR(__xludf.DUMMYFUNCTION("""COMPUTED_VALUE"""),0.913130950163366)</f>
        <v>0.91313095016336598</v>
      </c>
      <c r="AC149" s="22"/>
      <c r="AD149" s="23"/>
      <c r="AE149" s="23"/>
      <c r="AF149" s="22"/>
      <c r="AG149" s="22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</row>
    <row r="150" spans="1:45" ht="27.75" customHeight="1" x14ac:dyDescent="0.4">
      <c r="A150" s="15" t="s">
        <v>27</v>
      </c>
      <c r="B150" s="15" t="s">
        <v>79</v>
      </c>
      <c r="C150" s="15" t="str">
        <f ca="1">IFERROR(__xludf.DUMMYFUNCTION("""COMPUTED_VALUE"""),"2022/07/30 (土)
休日午前")</f>
        <v>2022/07/30 (土)
休日午前</v>
      </c>
      <c r="D150" s="15" t="str">
        <f ca="1">IFERROR(__xludf.DUMMYFUNCTION("""COMPUTED_VALUE"""),"休日午前")</f>
        <v>休日午前</v>
      </c>
      <c r="E150" s="16">
        <f ca="1">IFERROR(__xludf.DUMMYFUNCTION("""COMPUTED_VALUE"""),1.27531223807359)</f>
        <v>1.27531223807359</v>
      </c>
      <c r="F150" s="15" t="s">
        <v>19</v>
      </c>
      <c r="G150" s="32">
        <v>0</v>
      </c>
      <c r="H150" s="29" t="s">
        <v>10</v>
      </c>
      <c r="I150" s="27"/>
      <c r="J150" s="27" t="s">
        <v>97</v>
      </c>
      <c r="K150" s="23" t="b">
        <f ca="1">IFERROR(__xludf.DUMMYFUNCTION("""COMPUTED_VALUE"""),FALSE)</f>
        <v>0</v>
      </c>
      <c r="L150" s="22">
        <f ca="1">IFERROR(__xludf.DUMMYFUNCTION("""COMPUTED_VALUE"""),-0.0137879909099536)</f>
        <v>-1.37879909099536E-2</v>
      </c>
      <c r="M150" s="23">
        <f ca="1">IFERROR(__xludf.DUMMYFUNCTION("""COMPUTED_VALUE"""),0.854834941654421)</f>
        <v>0.85483494165442098</v>
      </c>
      <c r="N150" s="23">
        <f ca="1">IFERROR(__xludf.DUMMYFUNCTION("""COMPUTED_VALUE"""),-0.54822362907864)</f>
        <v>-0.54822362907863997</v>
      </c>
      <c r="O150" s="23">
        <f ca="1">IFERROR(__xludf.DUMMYFUNCTION("""COMPUTED_VALUE"""),1.27531223807359)</f>
        <v>1.27531223807359</v>
      </c>
      <c r="P150" s="23"/>
      <c r="Q150" s="24">
        <f ca="1">IFERROR(__xludf.DUMMYFUNCTION("""COMPUTED_VALUE"""),-0.0471066805699833)</f>
        <v>-4.7106680569983302E-2</v>
      </c>
      <c r="R150" s="23">
        <f ca="1">IFERROR(__xludf.DUMMYFUNCTION("""COMPUTED_VALUE"""),-0.250171592054988)</f>
        <v>-0.25017159205498801</v>
      </c>
      <c r="S150" s="23">
        <f ca="1">IFERROR(__xludf.DUMMYFUNCTION("""COMPUTED_VALUE"""),0.839218548504988)</f>
        <v>0.839218548504988</v>
      </c>
      <c r="T150" s="23">
        <f ca="1">IFERROR(__xludf.DUMMYFUNCTION("""COMPUTED_VALUE"""),-0.238216837211534)</f>
        <v>-0.238216837211534</v>
      </c>
      <c r="U150" s="23"/>
      <c r="V150" s="23"/>
      <c r="W150" s="23">
        <f ca="1">IFERROR(__xludf.DUMMYFUNCTION("""COMPUTED_VALUE"""),0.805980820474317)</f>
        <v>0.80598082047431696</v>
      </c>
      <c r="X150" s="23"/>
      <c r="Y150" s="23">
        <f ca="1">IFERROR(__xludf.DUMMYFUNCTION("""COMPUTED_VALUE"""),-0.0443737327747086)</f>
        <v>-4.4373732774708602E-2</v>
      </c>
      <c r="Z150" s="23">
        <f ca="1">IFERROR(__xludf.DUMMYFUNCTION("""COMPUTED_VALUE"""),0.378840402097458)</f>
        <v>0.37884040209745801</v>
      </c>
      <c r="AA150" s="23"/>
      <c r="AB150" s="23">
        <f ca="1">IFERROR(__xludf.DUMMYFUNCTION("""COMPUTED_VALUE"""),0.420457684472263)</f>
        <v>0.420457684472263</v>
      </c>
      <c r="AC150" s="22"/>
      <c r="AD150" s="23"/>
      <c r="AE150" s="23"/>
      <c r="AF150" s="22"/>
      <c r="AG150" s="22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</row>
    <row r="151" spans="1:45" ht="27.75" customHeight="1" x14ac:dyDescent="0.35">
      <c r="A151" s="15" t="s">
        <v>27</v>
      </c>
      <c r="B151" s="15" t="s">
        <v>79</v>
      </c>
      <c r="C151" s="15" t="str">
        <f ca="1">IFERROR(__xludf.DUMMYFUNCTION("""COMPUTED_VALUE"""),"2022/07/30 (土)
休日午後")</f>
        <v>2022/07/30 (土)
休日午後</v>
      </c>
      <c r="D151" s="15" t="str">
        <f ca="1">IFERROR(__xludf.DUMMYFUNCTION("""COMPUTED_VALUE"""),"休日午後")</f>
        <v>休日午後</v>
      </c>
      <c r="E151" s="16">
        <f ca="1">IFERROR(__xludf.DUMMYFUNCTION("""COMPUTED_VALUE"""),0.940067365614329)</f>
        <v>0.94006736561432902</v>
      </c>
      <c r="F151" s="15" t="s">
        <v>10</v>
      </c>
      <c r="G151" s="32">
        <v>0</v>
      </c>
      <c r="H151" s="27" t="s">
        <v>45</v>
      </c>
      <c r="I151" s="27"/>
      <c r="J151" s="27" t="s">
        <v>97</v>
      </c>
      <c r="K151" s="23" t="b">
        <f ca="1">IFERROR(__xludf.DUMMYFUNCTION("""COMPUTED_VALUE"""),FALSE)</f>
        <v>0</v>
      </c>
      <c r="L151" s="22">
        <f ca="1">IFERROR(__xludf.DUMMYFUNCTION("""COMPUTED_VALUE"""),-0.990089559134923)</f>
        <v>-0.99008955913492303</v>
      </c>
      <c r="M151" s="23">
        <f ca="1">IFERROR(__xludf.DUMMYFUNCTION("""COMPUTED_VALUE"""),-0.648762690377149)</f>
        <v>-0.64876269037714895</v>
      </c>
      <c r="N151" s="23">
        <f ca="1">IFERROR(__xludf.DUMMYFUNCTION("""COMPUTED_VALUE"""),-0.964175216908462)</f>
        <v>-0.96417521690846197</v>
      </c>
      <c r="O151" s="23">
        <f ca="1">IFERROR(__xludf.DUMMYFUNCTION("""COMPUTED_VALUE"""),0.142611758457003)</f>
        <v>0.142611758457003</v>
      </c>
      <c r="P151" s="23"/>
      <c r="Q151" s="24">
        <f ca="1">IFERROR(__xludf.DUMMYFUNCTION("""COMPUTED_VALUE"""),0.911881825008097)</f>
        <v>0.911881825008097</v>
      </c>
      <c r="R151" s="23">
        <f ca="1">IFERROR(__xludf.DUMMYFUNCTION("""COMPUTED_VALUE"""),-0.412263267329388)</f>
        <v>-0.41226326732938801</v>
      </c>
      <c r="S151" s="23">
        <f ca="1">IFERROR(__xludf.DUMMYFUNCTION("""COMPUTED_VALUE"""),0.891334414969193)</f>
        <v>0.89133441496919297</v>
      </c>
      <c r="T151" s="23">
        <f ca="1">IFERROR(__xludf.DUMMYFUNCTION("""COMPUTED_VALUE"""),-0.909312707119605)</f>
        <v>-0.90931270711960499</v>
      </c>
      <c r="U151" s="23"/>
      <c r="V151" s="23"/>
      <c r="W151" s="23">
        <f ca="1">IFERROR(__xludf.DUMMYFUNCTION("""COMPUTED_VALUE"""),0.40147311766755)</f>
        <v>0.40147311766755001</v>
      </c>
      <c r="X151" s="23"/>
      <c r="Y151" s="23">
        <f ca="1">IFERROR(__xludf.DUMMYFUNCTION("""COMPUTED_VALUE"""),-0.589621996007436)</f>
        <v>-0.58962199600743603</v>
      </c>
      <c r="Z151" s="23">
        <f ca="1">IFERROR(__xludf.DUMMYFUNCTION("""COMPUTED_VALUE"""),0.940067365614329)</f>
        <v>0.94006736561432902</v>
      </c>
      <c r="AA151" s="23"/>
      <c r="AB151" s="23">
        <f ca="1">IFERROR(__xludf.DUMMYFUNCTION("""COMPUTED_VALUE"""),0.328193049131831)</f>
        <v>0.32819304913183101</v>
      </c>
      <c r="AC151" s="22"/>
      <c r="AD151" s="23"/>
      <c r="AE151" s="23"/>
      <c r="AF151" s="22"/>
      <c r="AG151" s="22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</row>
    <row r="152" spans="1:45" ht="27.75" customHeight="1" x14ac:dyDescent="0.4">
      <c r="A152" s="15" t="s">
        <v>27</v>
      </c>
      <c r="B152" s="15" t="s">
        <v>79</v>
      </c>
      <c r="C152" s="15" t="str">
        <f ca="1">IFERROR(__xludf.DUMMYFUNCTION("""COMPUTED_VALUE"""),"2022/07/31 (日)
休日午前")</f>
        <v>2022/07/31 (日)
休日午前</v>
      </c>
      <c r="D152" s="15" t="str">
        <f ca="1">IFERROR(__xludf.DUMMYFUNCTION("""COMPUTED_VALUE"""),"休日午前")</f>
        <v>休日午前</v>
      </c>
      <c r="E152" s="16">
        <f ca="1">IFERROR(__xludf.DUMMYFUNCTION("""COMPUTED_VALUE"""),2.51722539091841)</f>
        <v>2.5172253909184099</v>
      </c>
      <c r="F152" s="15" t="s">
        <v>2</v>
      </c>
      <c r="G152" s="32">
        <v>2</v>
      </c>
      <c r="H152" s="29" t="s">
        <v>2</v>
      </c>
      <c r="I152" s="27"/>
      <c r="J152" s="27" t="s">
        <v>98</v>
      </c>
      <c r="K152" s="23" t="b">
        <f ca="1">IFERROR(__xludf.DUMMYFUNCTION("""COMPUTED_VALUE"""),TRUE)</f>
        <v>1</v>
      </c>
      <c r="L152" s="22">
        <f ca="1">IFERROR(__xludf.DUMMYFUNCTION("""COMPUTED_VALUE"""),0.507394849827974)</f>
        <v>0.507394849827974</v>
      </c>
      <c r="M152" s="23">
        <f ca="1">IFERROR(__xludf.DUMMYFUNCTION("""COMPUTED_VALUE"""),-0.600100887293038)</f>
        <v>-0.60010088729303801</v>
      </c>
      <c r="N152" s="23">
        <f ca="1">IFERROR(__xludf.DUMMYFUNCTION("""COMPUTED_VALUE"""),2.16497452742534)</f>
        <v>2.1649745274253398</v>
      </c>
      <c r="O152" s="23">
        <f ca="1">IFERROR(__xludf.DUMMYFUNCTION("""COMPUTED_VALUE"""),-0.425600654469148)</f>
        <v>-0.42560065446914802</v>
      </c>
      <c r="P152" s="23"/>
      <c r="Q152" s="24">
        <f ca="1">IFERROR(__xludf.DUMMYFUNCTION("""COMPUTED_VALUE"""),0.533486195875007)</f>
        <v>0.53348619587500701</v>
      </c>
      <c r="R152" s="23">
        <f ca="1">IFERROR(__xludf.DUMMYFUNCTION("""COMPUTED_VALUE"""),-0.420270592949047)</f>
        <v>-0.42027059294904701</v>
      </c>
      <c r="S152" s="23">
        <f ca="1">IFERROR(__xludf.DUMMYFUNCTION("""COMPUTED_VALUE"""),0.605251867339865)</f>
        <v>0.60525186733986502</v>
      </c>
      <c r="T152" s="23">
        <f ca="1">IFERROR(__xludf.DUMMYFUNCTION("""COMPUTED_VALUE"""),-0.572353515175283)</f>
        <v>-0.57235351517528299</v>
      </c>
      <c r="U152" s="23"/>
      <c r="V152" s="23"/>
      <c r="W152" s="23">
        <f ca="1">IFERROR(__xludf.DUMMYFUNCTION("""COMPUTED_VALUE"""),0.781928345906777)</f>
        <v>0.78192834590677696</v>
      </c>
      <c r="X152" s="23"/>
      <c r="Y152" s="23">
        <f ca="1">IFERROR(__xludf.DUMMYFUNCTION("""COMPUTED_VALUE"""),-0.278715474045038)</f>
        <v>-0.27871547404503799</v>
      </c>
      <c r="Z152" s="23">
        <f ca="1">IFERROR(__xludf.DUMMYFUNCTION("""COMPUTED_VALUE"""),0.946068809546365)</f>
        <v>0.94606880954636496</v>
      </c>
      <c r="AA152" s="23"/>
      <c r="AB152" s="23">
        <f ca="1">IFERROR(__xludf.DUMMYFUNCTION("""COMPUTED_VALUE"""),0.96979734668972)</f>
        <v>0.96979734668971995</v>
      </c>
      <c r="AC152" s="22"/>
      <c r="AD152" s="23"/>
      <c r="AE152" s="23"/>
      <c r="AF152" s="22"/>
      <c r="AG152" s="22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</row>
    <row r="153" spans="1:45" ht="27.75" customHeight="1" x14ac:dyDescent="0.4">
      <c r="A153" s="15" t="s">
        <v>27</v>
      </c>
      <c r="B153" s="15" t="s">
        <v>79</v>
      </c>
      <c r="C153" s="15" t="str">
        <f ca="1">IFERROR(__xludf.DUMMYFUNCTION("""COMPUTED_VALUE"""),"2022/07/31 (日)
休日午後")</f>
        <v>2022/07/31 (日)
休日午後</v>
      </c>
      <c r="D153" s="15" t="str">
        <f ca="1">IFERROR(__xludf.DUMMYFUNCTION("""COMPUTED_VALUE"""),"休日午後")</f>
        <v>休日午後</v>
      </c>
      <c r="E153" s="16">
        <f ca="1">IFERROR(__xludf.DUMMYFUNCTION("""COMPUTED_VALUE"""),2.75067452221856)</f>
        <v>2.75067452221856</v>
      </c>
      <c r="F153" s="15" t="s">
        <v>2</v>
      </c>
      <c r="G153" s="32"/>
      <c r="H153" s="29" t="s">
        <v>5</v>
      </c>
      <c r="I153" s="27"/>
      <c r="J153" s="27" t="s">
        <v>98</v>
      </c>
      <c r="K153" s="23" t="b">
        <f ca="1">IFERROR(__xludf.DUMMYFUNCTION("""COMPUTED_VALUE"""),TRUE)</f>
        <v>1</v>
      </c>
      <c r="L153" s="22">
        <f ca="1">IFERROR(__xludf.DUMMYFUNCTION("""COMPUTED_VALUE"""),0.0175352725503754)</f>
        <v>1.7535272550375399E-2</v>
      </c>
      <c r="M153" s="23">
        <f ca="1">IFERROR(__xludf.DUMMYFUNCTION("""COMPUTED_VALUE"""),-0.584269245227556)</f>
        <v>-0.58426924522755597</v>
      </c>
      <c r="N153" s="23">
        <f ca="1">IFERROR(__xludf.DUMMYFUNCTION("""COMPUTED_VALUE"""),2.63605659573052)</f>
        <v>2.63605659573052</v>
      </c>
      <c r="O153" s="23">
        <f ca="1">IFERROR(__xludf.DUMMYFUNCTION("""COMPUTED_VALUE"""),-0.165781333098717)</f>
        <v>-0.16578133309871701</v>
      </c>
      <c r="P153" s="23"/>
      <c r="Q153" s="24">
        <f ca="1">IFERROR(__xludf.DUMMYFUNCTION("""COMPUTED_VALUE"""),0.214089791838411)</f>
        <v>0.21408979183841101</v>
      </c>
      <c r="R153" s="23">
        <f ca="1">IFERROR(__xludf.DUMMYFUNCTION("""COMPUTED_VALUE"""),-0.246393709005859)</f>
        <v>-0.246393709005859</v>
      </c>
      <c r="S153" s="23">
        <f ca="1">IFERROR(__xludf.DUMMYFUNCTION("""COMPUTED_VALUE"""),0.0886818656805614)</f>
        <v>8.8681865680561398E-2</v>
      </c>
      <c r="T153" s="23">
        <f ca="1">IFERROR(__xludf.DUMMYFUNCTION("""COMPUTED_VALUE"""),-0.719582886660401)</f>
        <v>-0.71958288666040104</v>
      </c>
      <c r="U153" s="23"/>
      <c r="V153" s="23"/>
      <c r="W153" s="23">
        <f ca="1">IFERROR(__xludf.DUMMYFUNCTION("""COMPUTED_VALUE"""),0.370298020601774)</f>
        <v>0.37029802060177403</v>
      </c>
      <c r="X153" s="23"/>
      <c r="Y153" s="23">
        <f ca="1">IFERROR(__xludf.DUMMYFUNCTION("""COMPUTED_VALUE"""),-0.935694365822773)</f>
        <v>-0.93569436582277299</v>
      </c>
      <c r="Z153" s="23">
        <f ca="1">IFERROR(__xludf.DUMMYFUNCTION("""COMPUTED_VALUE"""),0.198061727071013)</f>
        <v>0.19806172707101299</v>
      </c>
      <c r="AA153" s="23"/>
      <c r="AB153" s="23">
        <f ca="1">IFERROR(__xludf.DUMMYFUNCTION("""COMPUTED_VALUE"""),0.0308125818334403)</f>
        <v>3.0812581833440301E-2</v>
      </c>
      <c r="AC153" s="22"/>
      <c r="AD153" s="23"/>
      <c r="AE153" s="23"/>
      <c r="AF153" s="22"/>
      <c r="AG153" s="22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</row>
    <row r="154" spans="1:45" ht="27.75" customHeight="1" x14ac:dyDescent="0.4">
      <c r="A154" s="15" t="s">
        <v>27</v>
      </c>
      <c r="B154" s="15" t="s">
        <v>99</v>
      </c>
      <c r="C154" s="15" t="str">
        <f ca="1">IFERROR(__xludf.DUMMYFUNCTION("""COMPUTED_VALUE"""),"2022/08/01 (月)
平日夜間")</f>
        <v>2022/08/01 (月)
平日夜間</v>
      </c>
      <c r="D154" s="15" t="str">
        <f ca="1">IFERROR(__xludf.DUMMYFUNCTION("""COMPUTED_VALUE"""),"平日夜間")</f>
        <v>平日夜間</v>
      </c>
      <c r="E154" s="16">
        <f ca="1">IFERROR(__xludf.DUMMYFUNCTION("""COMPUTED_VALUE"""),2.01737406556442)</f>
        <v>2.0173740655644199</v>
      </c>
      <c r="F154" s="15" t="s">
        <v>16</v>
      </c>
      <c r="G154" s="32">
        <v>2</v>
      </c>
      <c r="H154" s="37" t="s">
        <v>16</v>
      </c>
      <c r="I154" s="28"/>
      <c r="J154" s="2" t="s">
        <v>100</v>
      </c>
      <c r="K154" s="23" t="b">
        <f ca="1">IFERROR(__xludf.DUMMYFUNCTION("""COMPUTED_VALUE"""),TRUE)</f>
        <v>1</v>
      </c>
      <c r="L154" s="22">
        <f ca="1">IFERROR(__xludf.DUMMYFUNCTION("""COMPUTED_VALUE"""),-0.876934622875475)</f>
        <v>-0.87693462287547497</v>
      </c>
      <c r="M154" s="23">
        <f ca="1">IFERROR(__xludf.DUMMYFUNCTION("""COMPUTED_VALUE"""),-0.0653525995742909)</f>
        <v>-6.5352599574290904E-2</v>
      </c>
      <c r="N154" s="23">
        <f ca="1">IFERROR(__xludf.DUMMYFUNCTION("""COMPUTED_VALUE"""),0.950755183144328)</f>
        <v>0.95075518314432805</v>
      </c>
      <c r="O154" s="23">
        <f ca="1">IFERROR(__xludf.DUMMYFUNCTION("""COMPUTED_VALUE"""),0.465317108275223)</f>
        <v>0.46531710827522299</v>
      </c>
      <c r="P154" s="23"/>
      <c r="Q154" s="24">
        <f ca="1">IFERROR(__xludf.DUMMYFUNCTION("""COMPUTED_VALUE"""),2.01737406556442)</f>
        <v>2.0173740655644199</v>
      </c>
      <c r="R154" s="23">
        <f ca="1">IFERROR(__xludf.DUMMYFUNCTION("""COMPUTED_VALUE"""),-0.96561303551939)</f>
        <v>-0.96561303551939004</v>
      </c>
      <c r="S154" s="23">
        <f ca="1">IFERROR(__xludf.DUMMYFUNCTION("""COMPUTED_VALUE"""),0.608401974363234)</f>
        <v>0.60840197436323395</v>
      </c>
      <c r="T154" s="23">
        <f ca="1">IFERROR(__xludf.DUMMYFUNCTION("""COMPUTED_VALUE"""),-0.303741271907884)</f>
        <v>-0.30374127190788403</v>
      </c>
      <c r="U154" s="23"/>
      <c r="V154" s="23"/>
      <c r="W154" s="23">
        <f ca="1">IFERROR(__xludf.DUMMYFUNCTION("""COMPUTED_VALUE"""),0.825257021273245)</f>
        <v>0.82525702127324496</v>
      </c>
      <c r="X154" s="23"/>
      <c r="Y154" s="23">
        <f ca="1">IFERROR(__xludf.DUMMYFUNCTION("""COMPUTED_VALUE"""),-0.621654580034725)</f>
        <v>-0.62165458003472496</v>
      </c>
      <c r="Z154" s="23">
        <f ca="1">IFERROR(__xludf.DUMMYFUNCTION("""COMPUTED_VALUE"""),0.655442886679102)</f>
        <v>0.655442886679102</v>
      </c>
      <c r="AA154" s="23"/>
      <c r="AB154" s="23">
        <f ca="1">IFERROR(__xludf.DUMMYFUNCTION("""COMPUTED_VALUE"""),-0.665106757191904)</f>
        <v>-0.66510675719190404</v>
      </c>
      <c r="AC154" s="22"/>
      <c r="AD154" s="23"/>
      <c r="AE154" s="23"/>
      <c r="AF154" s="22"/>
      <c r="AG154" s="22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</row>
    <row r="155" spans="1:45" ht="27.75" customHeight="1" x14ac:dyDescent="0.4">
      <c r="A155" s="15" t="s">
        <v>27</v>
      </c>
      <c r="B155" s="15" t="s">
        <v>99</v>
      </c>
      <c r="C155" s="15" t="str">
        <f ca="1">IFERROR(__xludf.DUMMYFUNCTION("""COMPUTED_VALUE"""),"2022/08/02 (火)
平日夜間")</f>
        <v>2022/08/02 (火)
平日夜間</v>
      </c>
      <c r="D155" s="15" t="str">
        <f ca="1">IFERROR(__xludf.DUMMYFUNCTION("""COMPUTED_VALUE"""),"平日夜間")</f>
        <v>平日夜間</v>
      </c>
      <c r="E155" s="16">
        <f ca="1">IFERROR(__xludf.DUMMYFUNCTION("""COMPUTED_VALUE"""),0.99791964625058)</f>
        <v>0.99791964625058005</v>
      </c>
      <c r="F155" s="15" t="s">
        <v>8</v>
      </c>
      <c r="G155" s="32"/>
      <c r="H155" s="38" t="s">
        <v>5</v>
      </c>
      <c r="I155" s="27"/>
      <c r="J155" s="27" t="s">
        <v>101</v>
      </c>
      <c r="K155" s="23" t="b">
        <f ca="1">IFERROR(__xludf.DUMMYFUNCTION("""COMPUTED_VALUE"""),TRUE)</f>
        <v>1</v>
      </c>
      <c r="L155" s="22">
        <f ca="1">IFERROR(__xludf.DUMMYFUNCTION("""COMPUTED_VALUE"""),0.858773436295011)</f>
        <v>0.85877343629501102</v>
      </c>
      <c r="M155" s="23">
        <f ca="1">IFERROR(__xludf.DUMMYFUNCTION("""COMPUTED_VALUE"""),-0.117392571801682)</f>
        <v>-0.117392571801682</v>
      </c>
      <c r="N155" s="23">
        <f ca="1">IFERROR(__xludf.DUMMYFUNCTION("""COMPUTED_VALUE"""),0.0740076121259565)</f>
        <v>7.4007612125956496E-2</v>
      </c>
      <c r="O155" s="23">
        <f ca="1">IFERROR(__xludf.DUMMYFUNCTION("""COMPUTED_VALUE"""),0.666729027173581)</f>
        <v>0.66672902717358096</v>
      </c>
      <c r="P155" s="23"/>
      <c r="Q155" s="24">
        <f ca="1">IFERROR(__xludf.DUMMYFUNCTION("""COMPUTED_VALUE"""),-0.142013197256469)</f>
        <v>-0.14201319725646899</v>
      </c>
      <c r="R155" s="23">
        <f ca="1">IFERROR(__xludf.DUMMYFUNCTION("""COMPUTED_VALUE"""),0.839636592922459)</f>
        <v>0.83963659292245896</v>
      </c>
      <c r="S155" s="23">
        <f ca="1">IFERROR(__xludf.DUMMYFUNCTION("""COMPUTED_VALUE"""),0.99791964625058)</f>
        <v>0.99791964625058005</v>
      </c>
      <c r="T155" s="23">
        <f ca="1">IFERROR(__xludf.DUMMYFUNCTION("""COMPUTED_VALUE"""),0.963020790806651)</f>
        <v>0.96302079080665104</v>
      </c>
      <c r="U155" s="23"/>
      <c r="V155" s="23"/>
      <c r="W155" s="23">
        <f ca="1">IFERROR(__xludf.DUMMYFUNCTION("""COMPUTED_VALUE"""),-0.378713521576212)</f>
        <v>-0.37871352157621202</v>
      </c>
      <c r="X155" s="23"/>
      <c r="Y155" s="23">
        <f ca="1">IFERROR(__xludf.DUMMYFUNCTION("""COMPUTED_VALUE"""),-0.0925060829119741)</f>
        <v>-9.2506082911974097E-2</v>
      </c>
      <c r="Z155" s="23">
        <f ca="1">IFERROR(__xludf.DUMMYFUNCTION("""COMPUTED_VALUE"""),0.741490873052462)</f>
        <v>0.74149087305246197</v>
      </c>
      <c r="AA155" s="23"/>
      <c r="AB155" s="23">
        <f ca="1">IFERROR(__xludf.DUMMYFUNCTION("""COMPUTED_VALUE"""),-0.928283070552021)</f>
        <v>-0.92828307055202097</v>
      </c>
      <c r="AC155" s="22"/>
      <c r="AD155" s="23"/>
      <c r="AE155" s="23"/>
      <c r="AF155" s="22"/>
      <c r="AG155" s="22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</row>
    <row r="156" spans="1:45" ht="27.75" customHeight="1" x14ac:dyDescent="0.35">
      <c r="A156" s="15" t="s">
        <v>27</v>
      </c>
      <c r="B156" s="15" t="s">
        <v>99</v>
      </c>
      <c r="C156" s="15" t="str">
        <f ca="1">IFERROR(__xludf.DUMMYFUNCTION("""COMPUTED_VALUE"""),"2022/08/03 (水)
平日夜間")</f>
        <v>2022/08/03 (水)
平日夜間</v>
      </c>
      <c r="D156" s="15" t="str">
        <f ca="1">IFERROR(__xludf.DUMMYFUNCTION("""COMPUTED_VALUE"""),"平日夜間")</f>
        <v>平日夜間</v>
      </c>
      <c r="E156" s="16">
        <f ca="1">IFERROR(__xludf.DUMMYFUNCTION("""COMPUTED_VALUE"""),0.994294551586459)</f>
        <v>0.99429455158645896</v>
      </c>
      <c r="F156" s="15" t="s">
        <v>18</v>
      </c>
      <c r="G156" s="32">
        <v>0</v>
      </c>
      <c r="H156" s="27" t="s">
        <v>2</v>
      </c>
      <c r="I156" s="27"/>
      <c r="J156" s="27"/>
      <c r="K156" s="23" t="b">
        <f ca="1">IFERROR(__xludf.DUMMYFUNCTION("""COMPUTED_VALUE"""),FALSE)</f>
        <v>0</v>
      </c>
      <c r="L156" s="22">
        <f ca="1">IFERROR(__xludf.DUMMYFUNCTION("""COMPUTED_VALUE"""),0.994294551586459)</f>
        <v>0.99429455158645896</v>
      </c>
      <c r="M156" s="23">
        <f ca="1">IFERROR(__xludf.DUMMYFUNCTION("""COMPUTED_VALUE"""),0.721314515044612)</f>
        <v>0.72131451504461197</v>
      </c>
      <c r="N156" s="23">
        <f ca="1">IFERROR(__xludf.DUMMYFUNCTION("""COMPUTED_VALUE"""),0.64068213365197)</f>
        <v>0.64068213365197002</v>
      </c>
      <c r="O156" s="23">
        <f ca="1">IFERROR(__xludf.DUMMYFUNCTION("""COMPUTED_VALUE"""),0.947640679386039)</f>
        <v>0.94764067938603902</v>
      </c>
      <c r="P156" s="23"/>
      <c r="Q156" s="24">
        <f ca="1">IFERROR(__xludf.DUMMYFUNCTION("""COMPUTED_VALUE"""),0.363540591103097)</f>
        <v>0.363540591103097</v>
      </c>
      <c r="R156" s="23">
        <f ca="1">IFERROR(__xludf.DUMMYFUNCTION("""COMPUTED_VALUE"""),0.189166656845707)</f>
        <v>0.18916665684570699</v>
      </c>
      <c r="S156" s="23">
        <f ca="1">IFERROR(__xludf.DUMMYFUNCTION("""COMPUTED_VALUE"""),0.136210712795366)</f>
        <v>0.13621071279536601</v>
      </c>
      <c r="T156" s="23">
        <f ca="1">IFERROR(__xludf.DUMMYFUNCTION("""COMPUTED_VALUE"""),0.909538349313436)</f>
        <v>0.90953834931343602</v>
      </c>
      <c r="U156" s="23"/>
      <c r="V156" s="23"/>
      <c r="W156" s="23">
        <f ca="1">IFERROR(__xludf.DUMMYFUNCTION("""COMPUTED_VALUE"""),-0.422795191619588)</f>
        <v>-0.42279519161958801</v>
      </c>
      <c r="X156" s="23"/>
      <c r="Y156" s="23">
        <f ca="1">IFERROR(__xludf.DUMMYFUNCTION("""COMPUTED_VALUE"""),-0.843020125923128)</f>
        <v>-0.84302012592312803</v>
      </c>
      <c r="Z156" s="23">
        <f ca="1">IFERROR(__xludf.DUMMYFUNCTION("""COMPUTED_VALUE"""),0.265334290433642)</f>
        <v>0.26533429043364198</v>
      </c>
      <c r="AA156" s="23"/>
      <c r="AB156" s="23">
        <f ca="1">IFERROR(__xludf.DUMMYFUNCTION("""COMPUTED_VALUE"""),0.337142475722899)</f>
        <v>0.33714247572289902</v>
      </c>
      <c r="AC156" s="22"/>
      <c r="AD156" s="23"/>
      <c r="AE156" s="23"/>
      <c r="AF156" s="22"/>
      <c r="AG156" s="22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</row>
    <row r="157" spans="1:45" ht="27.75" customHeight="1" x14ac:dyDescent="0.35">
      <c r="A157" s="15" t="s">
        <v>27</v>
      </c>
      <c r="B157" s="15" t="s">
        <v>99</v>
      </c>
      <c r="C157" s="15" t="str">
        <f ca="1">IFERROR(__xludf.DUMMYFUNCTION("""COMPUTED_VALUE"""),"2022/08/04 (木)
平日夜間")</f>
        <v>2022/08/04 (木)
平日夜間</v>
      </c>
      <c r="D157" s="15" t="str">
        <f ca="1">IFERROR(__xludf.DUMMYFUNCTION("""COMPUTED_VALUE"""),"平日夜間")</f>
        <v>平日夜間</v>
      </c>
      <c r="E157" s="16">
        <f ca="1">IFERROR(__xludf.DUMMYFUNCTION("""COMPUTED_VALUE"""),0.984373587341191)</f>
        <v>0.98437358734119096</v>
      </c>
      <c r="F157" s="15" t="s">
        <v>8</v>
      </c>
      <c r="G157" s="32">
        <v>0</v>
      </c>
      <c r="H157" s="27" t="s">
        <v>18</v>
      </c>
      <c r="I157" s="27"/>
      <c r="J157" s="27"/>
      <c r="K157" s="23" t="b">
        <f ca="1">IFERROR(__xludf.DUMMYFUNCTION("""COMPUTED_VALUE"""),FALSE)</f>
        <v>0</v>
      </c>
      <c r="L157" s="22">
        <f ca="1">IFERROR(__xludf.DUMMYFUNCTION("""COMPUTED_VALUE"""),0.742475820356863)</f>
        <v>0.74247582035686299</v>
      </c>
      <c r="M157" s="23">
        <f ca="1">IFERROR(__xludf.DUMMYFUNCTION("""COMPUTED_VALUE"""),-0.745807636397425)</f>
        <v>-0.74580763639742498</v>
      </c>
      <c r="N157" s="23">
        <f ca="1">IFERROR(__xludf.DUMMYFUNCTION("""COMPUTED_VALUE"""),0.307014581007575)</f>
        <v>0.307014581007575</v>
      </c>
      <c r="O157" s="23">
        <f ca="1">IFERROR(__xludf.DUMMYFUNCTION("""COMPUTED_VALUE"""),0.957792481887024)</f>
        <v>0.95779248188702404</v>
      </c>
      <c r="P157" s="23"/>
      <c r="Q157" s="24">
        <f ca="1">IFERROR(__xludf.DUMMYFUNCTION("""COMPUTED_VALUE"""),0.116914106234024)</f>
        <v>0.116914106234024</v>
      </c>
      <c r="R157" s="23">
        <f ca="1">IFERROR(__xludf.DUMMYFUNCTION("""COMPUTED_VALUE"""),-0.0585720429111604)</f>
        <v>-5.8572042911160402E-2</v>
      </c>
      <c r="S157" s="23">
        <f ca="1">IFERROR(__xludf.DUMMYFUNCTION("""COMPUTED_VALUE"""),0.984373587341191)</f>
        <v>0.98437358734119096</v>
      </c>
      <c r="T157" s="23">
        <f ca="1">IFERROR(__xludf.DUMMYFUNCTION("""COMPUTED_VALUE"""),-0.680385552555371)</f>
        <v>-0.68038555255537103</v>
      </c>
      <c r="U157" s="23"/>
      <c r="V157" s="23"/>
      <c r="W157" s="23">
        <f ca="1">IFERROR(__xludf.DUMMYFUNCTION("""COMPUTED_VALUE"""),0.0767367032423371)</f>
        <v>7.6736703242337098E-2</v>
      </c>
      <c r="X157" s="23"/>
      <c r="Y157" s="23">
        <f ca="1">IFERROR(__xludf.DUMMYFUNCTION("""COMPUTED_VALUE"""),-0.801753765556982)</f>
        <v>-0.80175376555698197</v>
      </c>
      <c r="Z157" s="23">
        <f ca="1">IFERROR(__xludf.DUMMYFUNCTION("""COMPUTED_VALUE"""),0.0132676350682798)</f>
        <v>1.32676350682798E-2</v>
      </c>
      <c r="AA157" s="23"/>
      <c r="AB157" s="23">
        <f ca="1">IFERROR(__xludf.DUMMYFUNCTION("""COMPUTED_VALUE"""),0.872621727858041)</f>
        <v>0.87262172785804104</v>
      </c>
      <c r="AC157" s="22"/>
      <c r="AD157" s="23"/>
      <c r="AE157" s="23"/>
      <c r="AF157" s="22"/>
      <c r="AG157" s="22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</row>
    <row r="158" spans="1:45" ht="27.75" customHeight="1" x14ac:dyDescent="0.4">
      <c r="A158" s="15" t="s">
        <v>27</v>
      </c>
      <c r="B158" s="15" t="s">
        <v>99</v>
      </c>
      <c r="C158" s="15" t="str">
        <f ca="1">IFERROR(__xludf.DUMMYFUNCTION("""COMPUTED_VALUE"""),"2022/08/05 (金)
平日夜間")</f>
        <v>2022/08/05 (金)
平日夜間</v>
      </c>
      <c r="D158" s="15" t="str">
        <f ca="1">IFERROR(__xludf.DUMMYFUNCTION("""COMPUTED_VALUE"""),"平日夜間")</f>
        <v>平日夜間</v>
      </c>
      <c r="E158" s="16">
        <f ca="1">IFERROR(__xludf.DUMMYFUNCTION("""COMPUTED_VALUE"""),1.4560649469749)</f>
        <v>1.4560649469749001</v>
      </c>
      <c r="F158" s="15" t="s">
        <v>31</v>
      </c>
      <c r="G158" s="32">
        <v>1</v>
      </c>
      <c r="H158" s="38" t="s">
        <v>31</v>
      </c>
      <c r="I158" s="27"/>
      <c r="J158" s="27" t="s">
        <v>102</v>
      </c>
      <c r="K158" s="23" t="b">
        <f ca="1">IFERROR(__xludf.DUMMYFUNCTION("""COMPUTED_VALUE"""),TRUE)</f>
        <v>1</v>
      </c>
      <c r="L158" s="22">
        <f ca="1">IFERROR(__xludf.DUMMYFUNCTION("""COMPUTED_VALUE"""),-0.55119869742254)</f>
        <v>-0.55119869742254002</v>
      </c>
      <c r="M158" s="23">
        <f ca="1">IFERROR(__xludf.DUMMYFUNCTION("""COMPUTED_VALUE"""),-0.730553181258337)</f>
        <v>-0.73055318125833701</v>
      </c>
      <c r="N158" s="23">
        <f ca="1">IFERROR(__xludf.DUMMYFUNCTION("""COMPUTED_VALUE"""),0.900276666921415)</f>
        <v>0.90027666692141495</v>
      </c>
      <c r="O158" s="23">
        <f ca="1">IFERROR(__xludf.DUMMYFUNCTION("""COMPUTED_VALUE"""),-0.0960908081326354)</f>
        <v>-9.6090808132635402E-2</v>
      </c>
      <c r="P158" s="23"/>
      <c r="Q158" s="24">
        <f ca="1">IFERROR(__xludf.DUMMYFUNCTION("""COMPUTED_VALUE"""),0.720077749650568)</f>
        <v>0.72007774965056803</v>
      </c>
      <c r="R158" s="23">
        <f ca="1">IFERROR(__xludf.DUMMYFUNCTION("""COMPUTED_VALUE"""),-0.595346253839422)</f>
        <v>-0.59534625383942197</v>
      </c>
      <c r="S158" s="23">
        <f ca="1">IFERROR(__xludf.DUMMYFUNCTION("""COMPUTED_VALUE"""),0.472436503421087)</f>
        <v>0.47243650342108701</v>
      </c>
      <c r="T158" s="23">
        <f ca="1">IFERROR(__xludf.DUMMYFUNCTION("""COMPUTED_VALUE"""),-0.705346113805811)</f>
        <v>-0.70534611380581103</v>
      </c>
      <c r="U158" s="23"/>
      <c r="V158" s="23"/>
      <c r="W158" s="23">
        <f ca="1">IFERROR(__xludf.DUMMYFUNCTION("""COMPUTED_VALUE"""),0.293370699271023)</f>
        <v>0.29337069927102299</v>
      </c>
      <c r="X158" s="23"/>
      <c r="Y158" s="23">
        <f ca="1">IFERROR(__xludf.DUMMYFUNCTION("""COMPUTED_VALUE"""),-0.377472099989242)</f>
        <v>-0.37747209998924203</v>
      </c>
      <c r="Z158" s="23">
        <f ca="1">IFERROR(__xludf.DUMMYFUNCTION("""COMPUTED_VALUE"""),0.899403172876377)</f>
        <v>0.89940317287637706</v>
      </c>
      <c r="AA158" s="23"/>
      <c r="AB158" s="23">
        <f ca="1">IFERROR(__xludf.DUMMYFUNCTION("""COMPUTED_VALUE"""),0.783340723085723)</f>
        <v>0.783340723085723</v>
      </c>
      <c r="AC158" s="22"/>
      <c r="AD158" s="23"/>
      <c r="AE158" s="23"/>
      <c r="AF158" s="22"/>
      <c r="AG158" s="22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</row>
    <row r="159" spans="1:45" ht="27.75" customHeight="1" x14ac:dyDescent="0.4">
      <c r="A159" s="15" t="s">
        <v>27</v>
      </c>
      <c r="B159" s="15" t="s">
        <v>99</v>
      </c>
      <c r="C159" s="15" t="str">
        <f ca="1">IFERROR(__xludf.DUMMYFUNCTION("""COMPUTED_VALUE"""),"2022/08/06 (土)
休日午前")</f>
        <v>2022/08/06 (土)
休日午前</v>
      </c>
      <c r="D159" s="15" t="str">
        <f ca="1">IFERROR(__xludf.DUMMYFUNCTION("""COMPUTED_VALUE"""),"休日午前")</f>
        <v>休日午前</v>
      </c>
      <c r="E159" s="16">
        <f ca="1">IFERROR(__xludf.DUMMYFUNCTION("""COMPUTED_VALUE"""),2.73281982195502)</f>
        <v>2.7328198219550202</v>
      </c>
      <c r="F159" s="15" t="s">
        <v>8</v>
      </c>
      <c r="G159" s="32">
        <v>2</v>
      </c>
      <c r="H159" s="38" t="s">
        <v>8</v>
      </c>
      <c r="I159" s="27"/>
      <c r="J159" s="27" t="s">
        <v>103</v>
      </c>
      <c r="K159" s="23" t="b">
        <f ca="1">IFERROR(__xludf.DUMMYFUNCTION("""COMPUTED_VALUE"""),TRUE)</f>
        <v>1</v>
      </c>
      <c r="L159" s="22">
        <f ca="1">IFERROR(__xludf.DUMMYFUNCTION("""COMPUTED_VALUE"""),-0.667015361700833)</f>
        <v>-0.66701536170083298</v>
      </c>
      <c r="M159" s="23">
        <f ca="1">IFERROR(__xludf.DUMMYFUNCTION("""COMPUTED_VALUE"""),-0.583954282379086)</f>
        <v>-0.58395428237908598</v>
      </c>
      <c r="N159" s="23">
        <f ca="1">IFERROR(__xludf.DUMMYFUNCTION("""COMPUTED_VALUE"""),-0.756402303122353)</f>
        <v>-0.75640230312235301</v>
      </c>
      <c r="O159" s="23">
        <f ca="1">IFERROR(__xludf.DUMMYFUNCTION("""COMPUTED_VALUE"""),1.87594925724494)</f>
        <v>1.8759492572449401</v>
      </c>
      <c r="P159" s="23"/>
      <c r="Q159" s="24">
        <f ca="1">IFERROR(__xludf.DUMMYFUNCTION("""COMPUTED_VALUE"""),-0.261317480058949)</f>
        <v>-0.261317480058949</v>
      </c>
      <c r="R159" s="23">
        <f ca="1">IFERROR(__xludf.DUMMYFUNCTION("""COMPUTED_VALUE"""),-0.232620677494675)</f>
        <v>-0.23262067749467499</v>
      </c>
      <c r="S159" s="23">
        <f ca="1">IFERROR(__xludf.DUMMYFUNCTION("""COMPUTED_VALUE"""),2.73281982195502)</f>
        <v>2.7328198219550202</v>
      </c>
      <c r="T159" s="23">
        <f ca="1">IFERROR(__xludf.DUMMYFUNCTION("""COMPUTED_VALUE"""),-0.232134238731336)</f>
        <v>-0.23213423873133601</v>
      </c>
      <c r="U159" s="23"/>
      <c r="V159" s="23"/>
      <c r="W159" s="23">
        <f ca="1">IFERROR(__xludf.DUMMYFUNCTION("""COMPUTED_VALUE"""),0.194610406380002)</f>
        <v>0.19461040638000199</v>
      </c>
      <c r="X159" s="23"/>
      <c r="Y159" s="23">
        <f ca="1">IFERROR(__xludf.DUMMYFUNCTION("""COMPUTED_VALUE"""),-0.997031965585084)</f>
        <v>-0.997031965585084</v>
      </c>
      <c r="Z159" s="23">
        <f ca="1">IFERROR(__xludf.DUMMYFUNCTION("""COMPUTED_VALUE"""),0.278325394776284)</f>
        <v>0.27832539477628399</v>
      </c>
      <c r="AA159" s="23"/>
      <c r="AB159" s="23">
        <f ca="1">IFERROR(__xludf.DUMMYFUNCTION("""COMPUTED_VALUE"""),0.434817847208396)</f>
        <v>0.434817847208396</v>
      </c>
      <c r="AC159" s="22"/>
      <c r="AD159" s="23"/>
      <c r="AE159" s="23"/>
      <c r="AF159" s="22"/>
      <c r="AG159" s="22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</row>
    <row r="160" spans="1:45" ht="27.75" customHeight="1" x14ac:dyDescent="0.4">
      <c r="A160" s="15" t="s">
        <v>27</v>
      </c>
      <c r="B160" s="15" t="s">
        <v>99</v>
      </c>
      <c r="C160" s="15" t="str">
        <f ca="1">IFERROR(__xludf.DUMMYFUNCTION("""COMPUTED_VALUE"""),"2022/08/06 (土)
休日午後")</f>
        <v>2022/08/06 (土)
休日午後</v>
      </c>
      <c r="D160" s="15" t="str">
        <f ca="1">IFERROR(__xludf.DUMMYFUNCTION("""COMPUTED_VALUE"""),"休日午後")</f>
        <v>休日午後</v>
      </c>
      <c r="E160" s="16">
        <f ca="1">IFERROR(__xludf.DUMMYFUNCTION("""COMPUTED_VALUE"""),2.02661189703921)</f>
        <v>2.02661189703921</v>
      </c>
      <c r="F160" s="15" t="s">
        <v>8</v>
      </c>
      <c r="G160" s="32">
        <v>-1</v>
      </c>
      <c r="H160" s="38" t="s">
        <v>18</v>
      </c>
      <c r="I160" s="27"/>
      <c r="J160" s="27" t="s">
        <v>103</v>
      </c>
      <c r="K160" s="23" t="b">
        <f ca="1">IFERROR(__xludf.DUMMYFUNCTION("""COMPUTED_VALUE"""),TRUE)</f>
        <v>1</v>
      </c>
      <c r="L160" s="22">
        <f ca="1">IFERROR(__xludf.DUMMYFUNCTION("""COMPUTED_VALUE"""),-0.459831037758136)</f>
        <v>-0.459831037758136</v>
      </c>
      <c r="M160" s="23">
        <f ca="1">IFERROR(__xludf.DUMMYFUNCTION("""COMPUTED_VALUE"""),-0.71620459534955)</f>
        <v>-0.71620459534955005</v>
      </c>
      <c r="N160" s="23">
        <f ca="1">IFERROR(__xludf.DUMMYFUNCTION("""COMPUTED_VALUE"""),-0.455673417315754)</f>
        <v>-0.455673417315754</v>
      </c>
      <c r="O160" s="23">
        <f ca="1">IFERROR(__xludf.DUMMYFUNCTION("""COMPUTED_VALUE"""),0.0130023975152775)</f>
        <v>1.30023975152775E-2</v>
      </c>
      <c r="P160" s="23"/>
      <c r="Q160" s="24">
        <f ca="1">IFERROR(__xludf.DUMMYFUNCTION("""COMPUTED_VALUE"""),0.512296143178177)</f>
        <v>0.51229614317817695</v>
      </c>
      <c r="R160" s="23">
        <f ca="1">IFERROR(__xludf.DUMMYFUNCTION("""COMPUTED_VALUE"""),-0.920208607085447)</f>
        <v>-0.92020860708544705</v>
      </c>
      <c r="S160" s="23">
        <f ca="1">IFERROR(__xludf.DUMMYFUNCTION("""COMPUTED_VALUE"""),2.02661189703921)</f>
        <v>2.02661189703921</v>
      </c>
      <c r="T160" s="23">
        <f ca="1">IFERROR(__xludf.DUMMYFUNCTION("""COMPUTED_VALUE"""),-0.271846388661799)</f>
        <v>-0.271846388661799</v>
      </c>
      <c r="U160" s="23"/>
      <c r="V160" s="23"/>
      <c r="W160" s="23">
        <f ca="1">IFERROR(__xludf.DUMMYFUNCTION("""COMPUTED_VALUE"""),0.601047740823261)</f>
        <v>0.60104774082326096</v>
      </c>
      <c r="X160" s="23"/>
      <c r="Y160" s="23">
        <f ca="1">IFERROR(__xludf.DUMMYFUNCTION("""COMPUTED_VALUE"""),-0.564112909120961)</f>
        <v>-0.56411290912096101</v>
      </c>
      <c r="Z160" s="23">
        <f ca="1">IFERROR(__xludf.DUMMYFUNCTION("""COMPUTED_VALUE"""),0.815919571380321)</f>
        <v>0.81591957138032101</v>
      </c>
      <c r="AA160" s="23"/>
      <c r="AB160" s="23">
        <f ca="1">IFERROR(__xludf.DUMMYFUNCTION("""COMPUTED_VALUE"""),0.608379749769781)</f>
        <v>0.60837974976978104</v>
      </c>
      <c r="AC160" s="22"/>
      <c r="AD160" s="23"/>
      <c r="AE160" s="23"/>
      <c r="AF160" s="22"/>
      <c r="AG160" s="22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</row>
    <row r="161" spans="1:45" ht="27.75" customHeight="1" x14ac:dyDescent="0.35">
      <c r="A161" s="15" t="s">
        <v>27</v>
      </c>
      <c r="B161" s="15" t="s">
        <v>99</v>
      </c>
      <c r="C161" s="15" t="str">
        <f ca="1">IFERROR(__xludf.DUMMYFUNCTION("""COMPUTED_VALUE"""),"2022/08/07 (日)
休日午前")</f>
        <v>2022/08/07 (日)
休日午前</v>
      </c>
      <c r="D161" s="15" t="str">
        <f ca="1">IFERROR(__xludf.DUMMYFUNCTION("""COMPUTED_VALUE"""),"休日午前")</f>
        <v>休日午前</v>
      </c>
      <c r="E161" s="16">
        <f ca="1">IFERROR(__xludf.DUMMYFUNCTION("""COMPUTED_VALUE"""),0.806140470465521)</f>
        <v>0.80614047046552095</v>
      </c>
      <c r="F161" s="15" t="s">
        <v>13</v>
      </c>
      <c r="G161" s="32">
        <v>0</v>
      </c>
      <c r="H161" s="27" t="s">
        <v>13</v>
      </c>
      <c r="I161" s="27"/>
      <c r="J161" s="27" t="s">
        <v>104</v>
      </c>
      <c r="K161" s="23" t="b">
        <f ca="1">IFERROR(__xludf.DUMMYFUNCTION("""COMPUTED_VALUE"""),FALSE)</f>
        <v>0</v>
      </c>
      <c r="L161" s="22">
        <f ca="1">IFERROR(__xludf.DUMMYFUNCTION("""COMPUTED_VALUE"""),-0.223168837996128)</f>
        <v>-0.22316883799612799</v>
      </c>
      <c r="M161" s="23">
        <f ca="1">IFERROR(__xludf.DUMMYFUNCTION("""COMPUTED_VALUE"""),-0.610750048648955)</f>
        <v>-0.61075004864895499</v>
      </c>
      <c r="N161" s="23">
        <f ca="1">IFERROR(__xludf.DUMMYFUNCTION("""COMPUTED_VALUE"""),-0.946008834597589)</f>
        <v>-0.946008834597589</v>
      </c>
      <c r="O161" s="23">
        <f ca="1">IFERROR(__xludf.DUMMYFUNCTION("""COMPUTED_VALUE"""),0.00385283100714839)</f>
        <v>3.8528310071483901E-3</v>
      </c>
      <c r="P161" s="23"/>
      <c r="Q161" s="24">
        <f ca="1">IFERROR(__xludf.DUMMYFUNCTION("""COMPUTED_VALUE"""),0.237036467795235)</f>
        <v>0.23703646779523499</v>
      </c>
      <c r="R161" s="23">
        <f ca="1">IFERROR(__xludf.DUMMYFUNCTION("""COMPUTED_VALUE"""),-0.451981501498569)</f>
        <v>-0.45198150149856903</v>
      </c>
      <c r="S161" s="23">
        <f ca="1">IFERROR(__xludf.DUMMYFUNCTION("""COMPUTED_VALUE"""),0.69205976108895)</f>
        <v>0.69205976108894995</v>
      </c>
      <c r="T161" s="23">
        <f ca="1">IFERROR(__xludf.DUMMYFUNCTION("""COMPUTED_VALUE"""),-0.0386273223445701)</f>
        <v>-3.86273223445701E-2</v>
      </c>
      <c r="U161" s="23"/>
      <c r="V161" s="23"/>
      <c r="W161" s="23">
        <f ca="1">IFERROR(__xludf.DUMMYFUNCTION("""COMPUTED_VALUE"""),0.806140470465521)</f>
        <v>0.80614047046552095</v>
      </c>
      <c r="X161" s="23"/>
      <c r="Y161" s="23">
        <f ca="1">IFERROR(__xludf.DUMMYFUNCTION("""COMPUTED_VALUE"""),-0.35945286756377)</f>
        <v>-0.35945286756376998</v>
      </c>
      <c r="Z161" s="23">
        <f ca="1">IFERROR(__xludf.DUMMYFUNCTION("""COMPUTED_VALUE"""),-0.0636034644709675)</f>
        <v>-6.36034644709675E-2</v>
      </c>
      <c r="AA161" s="23"/>
      <c r="AB161" s="23">
        <f ca="1">IFERROR(__xludf.DUMMYFUNCTION("""COMPUTED_VALUE"""),-0.740229164048602)</f>
        <v>-0.74022916404860195</v>
      </c>
      <c r="AC161" s="22"/>
      <c r="AD161" s="23"/>
      <c r="AE161" s="23"/>
      <c r="AF161" s="22"/>
      <c r="AG161" s="22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</row>
    <row r="162" spans="1:45" ht="27.75" customHeight="1" x14ac:dyDescent="0.35">
      <c r="A162" s="15" t="s">
        <v>27</v>
      </c>
      <c r="B162" s="15" t="s">
        <v>99</v>
      </c>
      <c r="C162" s="15" t="str">
        <f ca="1">IFERROR(__xludf.DUMMYFUNCTION("""COMPUTED_VALUE"""),"2022/08/07 (日)
休日午後")</f>
        <v>2022/08/07 (日)
休日午後</v>
      </c>
      <c r="D162" s="15" t="str">
        <f ca="1">IFERROR(__xludf.DUMMYFUNCTION("""COMPUTED_VALUE"""),"休日午後")</f>
        <v>休日午後</v>
      </c>
      <c r="E162" s="16">
        <f ca="1">IFERROR(__xludf.DUMMYFUNCTION("""COMPUTED_VALUE"""),0.866667475319758)</f>
        <v>0.86666747531975796</v>
      </c>
      <c r="F162" s="15" t="s">
        <v>38</v>
      </c>
      <c r="G162" s="32">
        <v>0</v>
      </c>
      <c r="H162" s="27" t="s">
        <v>31</v>
      </c>
      <c r="I162" s="27"/>
      <c r="J162" s="27" t="s">
        <v>104</v>
      </c>
      <c r="K162" s="23" t="b">
        <f ca="1">IFERROR(__xludf.DUMMYFUNCTION("""COMPUTED_VALUE"""),FALSE)</f>
        <v>0</v>
      </c>
      <c r="L162" s="22">
        <f ca="1">IFERROR(__xludf.DUMMYFUNCTION("""COMPUTED_VALUE"""),-0.963574138575541)</f>
        <v>-0.96357413857554097</v>
      </c>
      <c r="M162" s="23">
        <f ca="1">IFERROR(__xludf.DUMMYFUNCTION("""COMPUTED_VALUE"""),-0.000827928636493391)</f>
        <v>-8.27928636493391E-4</v>
      </c>
      <c r="N162" s="23">
        <f ca="1">IFERROR(__xludf.DUMMYFUNCTION("""COMPUTED_VALUE"""),-0.149437979233794)</f>
        <v>-0.14943797923379401</v>
      </c>
      <c r="O162" s="23">
        <f ca="1">IFERROR(__xludf.DUMMYFUNCTION("""COMPUTED_VALUE"""),0.521134200857567)</f>
        <v>0.52113420085756701</v>
      </c>
      <c r="P162" s="23"/>
      <c r="Q162" s="24">
        <f ca="1">IFERROR(__xludf.DUMMYFUNCTION("""COMPUTED_VALUE"""),0.353060471784935)</f>
        <v>0.35306047178493499</v>
      </c>
      <c r="R162" s="23">
        <f ca="1">IFERROR(__xludf.DUMMYFUNCTION("""COMPUTED_VALUE"""),-0.423602814012511)</f>
        <v>-0.42360281401251099</v>
      </c>
      <c r="S162" s="23">
        <f ca="1">IFERROR(__xludf.DUMMYFUNCTION("""COMPUTED_VALUE"""),0.698085668175226)</f>
        <v>0.69808566817522599</v>
      </c>
      <c r="T162" s="23">
        <f ca="1">IFERROR(__xludf.DUMMYFUNCTION("""COMPUTED_VALUE"""),-0.792206230913297)</f>
        <v>-0.792206230913297</v>
      </c>
      <c r="U162" s="23"/>
      <c r="V162" s="23"/>
      <c r="W162" s="23">
        <f ca="1">IFERROR(__xludf.DUMMYFUNCTION("""COMPUTED_VALUE"""),0.594063736305311)</f>
        <v>0.59406373630531095</v>
      </c>
      <c r="X162" s="23"/>
      <c r="Y162" s="23">
        <f ca="1">IFERROR(__xludf.DUMMYFUNCTION("""COMPUTED_VALUE"""),-0.83350862238895)</f>
        <v>-0.83350862238894996</v>
      </c>
      <c r="Z162" s="23">
        <f ca="1">IFERROR(__xludf.DUMMYFUNCTION("""COMPUTED_VALUE"""),-0.939510203818074)</f>
        <v>-0.93951020381807404</v>
      </c>
      <c r="AA162" s="23"/>
      <c r="AB162" s="23">
        <f ca="1">IFERROR(__xludf.DUMMYFUNCTION("""COMPUTED_VALUE"""),-0.753007185637967)</f>
        <v>-0.75300718563796698</v>
      </c>
      <c r="AC162" s="22"/>
      <c r="AD162" s="23"/>
      <c r="AE162" s="23"/>
      <c r="AF162" s="22"/>
      <c r="AG162" s="22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</row>
    <row r="163" spans="1:45" ht="27.75" customHeight="1" x14ac:dyDescent="0.4">
      <c r="A163" s="15" t="s">
        <v>27</v>
      </c>
      <c r="B163" s="15" t="s">
        <v>99</v>
      </c>
      <c r="C163" s="15" t="str">
        <f ca="1">IFERROR(__xludf.DUMMYFUNCTION("""COMPUTED_VALUE"""),"2022/08/08 (月)
平日夜間")</f>
        <v>2022/08/08 (月)
平日夜間</v>
      </c>
      <c r="D163" s="15" t="str">
        <f ca="1">IFERROR(__xludf.DUMMYFUNCTION("""COMPUTED_VALUE"""),"平日夜間")</f>
        <v>平日夜間</v>
      </c>
      <c r="E163" s="16">
        <f ca="1">IFERROR(__xludf.DUMMYFUNCTION("""COMPUTED_VALUE"""),2.8475290798746)</f>
        <v>2.8475290798746</v>
      </c>
      <c r="F163" s="15" t="s">
        <v>10</v>
      </c>
      <c r="G163" s="32">
        <v>2</v>
      </c>
      <c r="H163" s="38" t="s">
        <v>10</v>
      </c>
      <c r="I163" s="27"/>
      <c r="J163" s="27" t="s">
        <v>105</v>
      </c>
      <c r="K163" s="23" t="b">
        <f ca="1">IFERROR(__xludf.DUMMYFUNCTION("""COMPUTED_VALUE"""),TRUE)</f>
        <v>1</v>
      </c>
      <c r="L163" s="22">
        <f ca="1">IFERROR(__xludf.DUMMYFUNCTION("""COMPUTED_VALUE"""),0.589264196036763)</f>
        <v>0.58926419603676305</v>
      </c>
      <c r="M163" s="23">
        <f ca="1">IFERROR(__xludf.DUMMYFUNCTION("""COMPUTED_VALUE"""),0.303893067713932)</f>
        <v>0.30389306771393199</v>
      </c>
      <c r="N163" s="23">
        <f ca="1">IFERROR(__xludf.DUMMYFUNCTION("""COMPUTED_VALUE"""),0.0720822541618577)</f>
        <v>7.2082254161857706E-2</v>
      </c>
      <c r="O163" s="23">
        <f ca="1">IFERROR(__xludf.DUMMYFUNCTION("""COMPUTED_VALUE"""),-0.827383916058114)</f>
        <v>-0.82738391605811401</v>
      </c>
      <c r="P163" s="23"/>
      <c r="Q163" s="24">
        <f ca="1">IFERROR(__xludf.DUMMYFUNCTION("""COMPUTED_VALUE"""),0.783828339722375)</f>
        <v>0.78382833972237498</v>
      </c>
      <c r="R163" s="23">
        <f ca="1">IFERROR(__xludf.DUMMYFUNCTION("""COMPUTED_VALUE"""),-0.442525795918113)</f>
        <v>-0.44252579591811297</v>
      </c>
      <c r="S163" s="23">
        <f ca="1">IFERROR(__xludf.DUMMYFUNCTION("""COMPUTED_VALUE"""),0.704976048273498)</f>
        <v>0.70497604827349802</v>
      </c>
      <c r="T163" s="23">
        <f ca="1">IFERROR(__xludf.DUMMYFUNCTION("""COMPUTED_VALUE"""),0.428554854633781)</f>
        <v>0.42855485463378101</v>
      </c>
      <c r="U163" s="23"/>
      <c r="V163" s="23"/>
      <c r="W163" s="23">
        <f ca="1">IFERROR(__xludf.DUMMYFUNCTION("""COMPUTED_VALUE"""),0.750462840467274)</f>
        <v>0.75046284046727396</v>
      </c>
      <c r="X163" s="23"/>
      <c r="Y163" s="23">
        <f ca="1">IFERROR(__xludf.DUMMYFUNCTION("""COMPUTED_VALUE"""),0.143347582706849)</f>
        <v>0.143347582706849</v>
      </c>
      <c r="Z163" s="23">
        <f ca="1">IFERROR(__xludf.DUMMYFUNCTION("""COMPUTED_VALUE"""),2.8475290798746)</f>
        <v>2.8475290798746</v>
      </c>
      <c r="AA163" s="23"/>
      <c r="AB163" s="23">
        <f ca="1">IFERROR(__xludf.DUMMYFUNCTION("""COMPUTED_VALUE"""),0.2601093347985)</f>
        <v>0.26010933479850001</v>
      </c>
      <c r="AC163" s="22"/>
      <c r="AD163" s="23"/>
      <c r="AE163" s="23"/>
      <c r="AF163" s="22"/>
      <c r="AG163" s="22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</row>
    <row r="164" spans="1:45" ht="27.75" customHeight="1" x14ac:dyDescent="0.4">
      <c r="A164" s="15" t="s">
        <v>27</v>
      </c>
      <c r="B164" s="15" t="s">
        <v>99</v>
      </c>
      <c r="C164" s="15" t="str">
        <f ca="1">IFERROR(__xludf.DUMMYFUNCTION("""COMPUTED_VALUE"""),"2022/08/09 (火)
平日夜間")</f>
        <v>2022/08/09 (火)
平日夜間</v>
      </c>
      <c r="D164" s="15" t="str">
        <f ca="1">IFERROR(__xludf.DUMMYFUNCTION("""COMPUTED_VALUE"""),"平日夜間")</f>
        <v>平日夜間</v>
      </c>
      <c r="E164" s="16">
        <f ca="1">IFERROR(__xludf.DUMMYFUNCTION("""COMPUTED_VALUE"""),0.872123015216576)</f>
        <v>0.87212301521657598</v>
      </c>
      <c r="F164" s="15" t="s">
        <v>29</v>
      </c>
      <c r="G164" s="32">
        <v>0</v>
      </c>
      <c r="H164" s="29" t="s">
        <v>29</v>
      </c>
      <c r="I164" s="27"/>
      <c r="J164" s="27" t="s">
        <v>56</v>
      </c>
      <c r="K164" s="23" t="b">
        <f ca="1">IFERROR(__xludf.DUMMYFUNCTION("""COMPUTED_VALUE"""),FALSE)</f>
        <v>0</v>
      </c>
      <c r="L164" s="22">
        <f ca="1">IFERROR(__xludf.DUMMYFUNCTION("""COMPUTED_VALUE"""),0.0893639965978592)</f>
        <v>8.9363996597859194E-2</v>
      </c>
      <c r="M164" s="23">
        <f ca="1">IFERROR(__xludf.DUMMYFUNCTION("""COMPUTED_VALUE"""),0.683308853271904)</f>
        <v>0.68330885327190405</v>
      </c>
      <c r="N164" s="23">
        <f ca="1">IFERROR(__xludf.DUMMYFUNCTION("""COMPUTED_VALUE"""),-0.831808700802148)</f>
        <v>-0.83180870080214797</v>
      </c>
      <c r="O164" s="23">
        <f ca="1">IFERROR(__xludf.DUMMYFUNCTION("""COMPUTED_VALUE"""),0.838044583717177)</f>
        <v>0.83804458371717705</v>
      </c>
      <c r="P164" s="23"/>
      <c r="Q164" s="24">
        <f ca="1">IFERROR(__xludf.DUMMYFUNCTION("""COMPUTED_VALUE"""),-0.384239785648007)</f>
        <v>-0.38423978564800698</v>
      </c>
      <c r="R164" s="23">
        <f ca="1">IFERROR(__xludf.DUMMYFUNCTION("""COMPUTED_VALUE"""),-0.679324470839439)</f>
        <v>-0.67932447083943903</v>
      </c>
      <c r="S164" s="23">
        <f ca="1">IFERROR(__xludf.DUMMYFUNCTION("""COMPUTED_VALUE"""),0.292240893520547)</f>
        <v>0.292240893520547</v>
      </c>
      <c r="T164" s="23">
        <f ca="1">IFERROR(__xludf.DUMMYFUNCTION("""COMPUTED_VALUE"""),0.47240926344922)</f>
        <v>0.47240926344922002</v>
      </c>
      <c r="U164" s="23"/>
      <c r="V164" s="23"/>
      <c r="W164" s="23">
        <f ca="1">IFERROR(__xludf.DUMMYFUNCTION("""COMPUTED_VALUE"""),0.605881424187806)</f>
        <v>0.60588142418780599</v>
      </c>
      <c r="X164" s="23"/>
      <c r="Y164" s="23">
        <f ca="1">IFERROR(__xludf.DUMMYFUNCTION("""COMPUTED_VALUE"""),0.161101121020093)</f>
        <v>0.161101121020093</v>
      </c>
      <c r="Z164" s="23">
        <f ca="1">IFERROR(__xludf.DUMMYFUNCTION("""COMPUTED_VALUE"""),0.287697865709694)</f>
        <v>0.28769786570969402</v>
      </c>
      <c r="AA164" s="23"/>
      <c r="AB164" s="23">
        <f ca="1">IFERROR(__xludf.DUMMYFUNCTION("""COMPUTED_VALUE"""),0.0869606043841004)</f>
        <v>8.6960604384100401E-2</v>
      </c>
      <c r="AC164" s="22"/>
      <c r="AD164" s="23"/>
      <c r="AE164" s="23"/>
      <c r="AF164" s="22"/>
      <c r="AG164" s="22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</row>
    <row r="165" spans="1:45" ht="27.75" customHeight="1" x14ac:dyDescent="0.35">
      <c r="A165" s="15" t="s">
        <v>27</v>
      </c>
      <c r="B165" s="15" t="s">
        <v>99</v>
      </c>
      <c r="C165" s="15" t="str">
        <f ca="1">IFERROR(__xludf.DUMMYFUNCTION("""COMPUTED_VALUE"""),"2022/08/10 (水)
平日夜間")</f>
        <v>2022/08/10 (水)
平日夜間</v>
      </c>
      <c r="D165" s="15" t="str">
        <f ca="1">IFERROR(__xludf.DUMMYFUNCTION("""COMPUTED_VALUE"""),"平日夜間")</f>
        <v>平日夜間</v>
      </c>
      <c r="E165" s="16">
        <f ca="1">IFERROR(__xludf.DUMMYFUNCTION("""COMPUTED_VALUE"""),0.95913572672779)</f>
        <v>0.95913572672779002</v>
      </c>
      <c r="F165" s="15" t="s">
        <v>1</v>
      </c>
      <c r="G165" s="32">
        <v>0</v>
      </c>
      <c r="H165" s="27" t="s">
        <v>1</v>
      </c>
      <c r="I165" s="27"/>
      <c r="J165" s="27"/>
      <c r="K165" s="23" t="b">
        <f ca="1">IFERROR(__xludf.DUMMYFUNCTION("""COMPUTED_VALUE"""),FALSE)</f>
        <v>0</v>
      </c>
      <c r="L165" s="22">
        <f ca="1">IFERROR(__xludf.DUMMYFUNCTION("""COMPUTED_VALUE"""),0.232101170026345)</f>
        <v>0.23210117002634501</v>
      </c>
      <c r="M165" s="23">
        <f ca="1">IFERROR(__xludf.DUMMYFUNCTION("""COMPUTED_VALUE"""),-0.840468788545396)</f>
        <v>-0.84046878854539597</v>
      </c>
      <c r="N165" s="23">
        <f ca="1">IFERROR(__xludf.DUMMYFUNCTION("""COMPUTED_VALUE"""),0.534795366964627)</f>
        <v>0.53479536696462704</v>
      </c>
      <c r="O165" s="23">
        <f ca="1">IFERROR(__xludf.DUMMYFUNCTION("""COMPUTED_VALUE"""),-0.205399132420917)</f>
        <v>-0.20539913242091701</v>
      </c>
      <c r="P165" s="23"/>
      <c r="Q165" s="24">
        <f ca="1">IFERROR(__xludf.DUMMYFUNCTION("""COMPUTED_VALUE"""),-0.129990393437147)</f>
        <v>-0.12999039343714699</v>
      </c>
      <c r="R165" s="23">
        <f ca="1">IFERROR(__xludf.DUMMYFUNCTION("""COMPUTED_VALUE"""),-0.806690582136552)</f>
        <v>-0.80669058213655198</v>
      </c>
      <c r="S165" s="23">
        <f ca="1">IFERROR(__xludf.DUMMYFUNCTION("""COMPUTED_VALUE"""),-0.73252466562508)</f>
        <v>-0.73252466562508001</v>
      </c>
      <c r="T165" s="23">
        <f ca="1">IFERROR(__xludf.DUMMYFUNCTION("""COMPUTED_VALUE"""),-0.665495484616193)</f>
        <v>-0.66549548461619301</v>
      </c>
      <c r="U165" s="23"/>
      <c r="V165" s="23"/>
      <c r="W165" s="23">
        <f ca="1">IFERROR(__xludf.DUMMYFUNCTION("""COMPUTED_VALUE"""),-0.480901375458709)</f>
        <v>-0.48090137545870898</v>
      </c>
      <c r="X165" s="23"/>
      <c r="Y165" s="23">
        <f ca="1">IFERROR(__xludf.DUMMYFUNCTION("""COMPUTED_VALUE"""),-0.885177246799671)</f>
        <v>-0.88517724679967102</v>
      </c>
      <c r="Z165" s="23">
        <f ca="1">IFERROR(__xludf.DUMMYFUNCTION("""COMPUTED_VALUE"""),0.544482720175976)</f>
        <v>0.54448272017597599</v>
      </c>
      <c r="AA165" s="23"/>
      <c r="AB165" s="23">
        <f ca="1">IFERROR(__xludf.DUMMYFUNCTION("""COMPUTED_VALUE"""),0.95913572672779)</f>
        <v>0.95913572672779002</v>
      </c>
      <c r="AC165" s="22"/>
      <c r="AD165" s="23"/>
      <c r="AE165" s="23"/>
      <c r="AF165" s="22"/>
      <c r="AG165" s="22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</row>
    <row r="166" spans="1:45" ht="27.75" customHeight="1" x14ac:dyDescent="0.35">
      <c r="A166" s="15" t="s">
        <v>27</v>
      </c>
      <c r="B166" s="15" t="s">
        <v>99</v>
      </c>
      <c r="C166" s="15" t="str">
        <f ca="1">IFERROR(__xludf.DUMMYFUNCTION("""COMPUTED_VALUE"""),"2022/08/11 (木)
休日午前")</f>
        <v>2022/08/11 (木)
休日午前</v>
      </c>
      <c r="D166" s="15" t="str">
        <f ca="1">IFERROR(__xludf.DUMMYFUNCTION("""COMPUTED_VALUE"""),"休日午前")</f>
        <v>休日午前</v>
      </c>
      <c r="E166" s="16">
        <f ca="1">IFERROR(__xludf.DUMMYFUNCTION("""COMPUTED_VALUE"""),0.919039030333664)</f>
        <v>0.91903903033366396</v>
      </c>
      <c r="F166" s="15" t="s">
        <v>10</v>
      </c>
      <c r="G166" s="32">
        <v>0</v>
      </c>
      <c r="H166" s="27" t="s">
        <v>10</v>
      </c>
      <c r="I166" s="27"/>
      <c r="J166" s="27" t="s">
        <v>106</v>
      </c>
      <c r="K166" s="23" t="b">
        <f ca="1">IFERROR(__xludf.DUMMYFUNCTION("""COMPUTED_VALUE"""),FALSE)</f>
        <v>0</v>
      </c>
      <c r="L166" s="22">
        <f ca="1">IFERROR(__xludf.DUMMYFUNCTION("""COMPUTED_VALUE"""),0.235822089869007)</f>
        <v>0.23582208986900699</v>
      </c>
      <c r="M166" s="23">
        <f ca="1">IFERROR(__xludf.DUMMYFUNCTION("""COMPUTED_VALUE"""),-0.838427700380948)</f>
        <v>-0.83842770038094805</v>
      </c>
      <c r="N166" s="23">
        <f ca="1">IFERROR(__xludf.DUMMYFUNCTION("""COMPUTED_VALUE"""),0.697521456266893)</f>
        <v>0.69752145626689299</v>
      </c>
      <c r="O166" s="23">
        <f ca="1">IFERROR(__xludf.DUMMYFUNCTION("""COMPUTED_VALUE"""),-0.182560587004703)</f>
        <v>-0.18256058700470301</v>
      </c>
      <c r="P166" s="23"/>
      <c r="Q166" s="24">
        <f ca="1">IFERROR(__xludf.DUMMYFUNCTION("""COMPUTED_VALUE"""),-0.163582970843367)</f>
        <v>-0.16358297084336701</v>
      </c>
      <c r="R166" s="23">
        <f ca="1">IFERROR(__xludf.DUMMYFUNCTION("""COMPUTED_VALUE"""),-0.405579092329013)</f>
        <v>-0.40557909232901301</v>
      </c>
      <c r="S166" s="23">
        <f ca="1">IFERROR(__xludf.DUMMYFUNCTION("""COMPUTED_VALUE"""),-0.169009464758779)</f>
        <v>-0.16900946475877901</v>
      </c>
      <c r="T166" s="23">
        <f ca="1">IFERROR(__xludf.DUMMYFUNCTION("""COMPUTED_VALUE"""),-0.607650365104128)</f>
        <v>-0.60765036510412795</v>
      </c>
      <c r="U166" s="23"/>
      <c r="V166" s="23"/>
      <c r="W166" s="23">
        <f ca="1">IFERROR(__xludf.DUMMYFUNCTION("""COMPUTED_VALUE"""),-0.00591994751330471)</f>
        <v>-5.9199475133047104E-3</v>
      </c>
      <c r="X166" s="23"/>
      <c r="Y166" s="23">
        <f ca="1">IFERROR(__xludf.DUMMYFUNCTION("""COMPUTED_VALUE"""),-0.0563748153915939)</f>
        <v>-5.6374815391593898E-2</v>
      </c>
      <c r="Z166" s="23">
        <f ca="1">IFERROR(__xludf.DUMMYFUNCTION("""COMPUTED_VALUE"""),0.919039030333664)</f>
        <v>0.91903903033366396</v>
      </c>
      <c r="AA166" s="23"/>
      <c r="AB166" s="23">
        <f ca="1">IFERROR(__xludf.DUMMYFUNCTION("""COMPUTED_VALUE"""),-0.206692915008303)</f>
        <v>-0.206692915008303</v>
      </c>
      <c r="AC166" s="22"/>
      <c r="AD166" s="23"/>
      <c r="AE166" s="23"/>
      <c r="AF166" s="22"/>
      <c r="AG166" s="22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</row>
    <row r="167" spans="1:45" ht="27.75" customHeight="1" x14ac:dyDescent="0.35">
      <c r="A167" s="15" t="s">
        <v>27</v>
      </c>
      <c r="B167" s="15" t="s">
        <v>99</v>
      </c>
      <c r="C167" s="15" t="str">
        <f ca="1">IFERROR(__xludf.DUMMYFUNCTION("""COMPUTED_VALUE"""),"2022/08/11 (木)
休日午後")</f>
        <v>2022/08/11 (木)
休日午後</v>
      </c>
      <c r="D167" s="15" t="str">
        <f ca="1">IFERROR(__xludf.DUMMYFUNCTION("""COMPUTED_VALUE"""),"休日午後")</f>
        <v>休日午後</v>
      </c>
      <c r="E167" s="16">
        <f ca="1">IFERROR(__xludf.DUMMYFUNCTION("""COMPUTED_VALUE"""),0.803967311692437)</f>
        <v>0.80396731169243696</v>
      </c>
      <c r="F167" s="15" t="s">
        <v>38</v>
      </c>
      <c r="G167" s="32">
        <v>0</v>
      </c>
      <c r="H167" s="27" t="s">
        <v>18</v>
      </c>
      <c r="I167" s="27"/>
      <c r="J167" s="27" t="s">
        <v>106</v>
      </c>
      <c r="K167" s="23" t="b">
        <f ca="1">IFERROR(__xludf.DUMMYFUNCTION("""COMPUTED_VALUE"""),FALSE)</f>
        <v>0</v>
      </c>
      <c r="L167" s="22">
        <f ca="1">IFERROR(__xludf.DUMMYFUNCTION("""COMPUTED_VALUE"""),0.145160690934847)</f>
        <v>0.14516069093484699</v>
      </c>
      <c r="M167" s="23">
        <f ca="1">IFERROR(__xludf.DUMMYFUNCTION("""COMPUTED_VALUE"""),-0.822329738672064)</f>
        <v>-0.82232973867206405</v>
      </c>
      <c r="N167" s="23">
        <f ca="1">IFERROR(__xludf.DUMMYFUNCTION("""COMPUTED_VALUE"""),0.0682143173453226)</f>
        <v>6.82143173453226E-2</v>
      </c>
      <c r="O167" s="23">
        <f ca="1">IFERROR(__xludf.DUMMYFUNCTION("""COMPUTED_VALUE"""),-0.137945559561847)</f>
        <v>-0.13794555956184701</v>
      </c>
      <c r="P167" s="23"/>
      <c r="Q167" s="24">
        <f ca="1">IFERROR(__xludf.DUMMYFUNCTION("""COMPUTED_VALUE"""),-0.858661750082063)</f>
        <v>-0.85866175008206302</v>
      </c>
      <c r="R167" s="23">
        <f ca="1">IFERROR(__xludf.DUMMYFUNCTION("""COMPUTED_VALUE"""),-0.980094591010811)</f>
        <v>-0.98009459101081098</v>
      </c>
      <c r="S167" s="23">
        <f ca="1">IFERROR(__xludf.DUMMYFUNCTION("""COMPUTED_VALUE"""),-0.296113950689453)</f>
        <v>-0.29611395068945301</v>
      </c>
      <c r="T167" s="23">
        <f ca="1">IFERROR(__xludf.DUMMYFUNCTION("""COMPUTED_VALUE"""),-0.325381324916123)</f>
        <v>-0.32538132491612298</v>
      </c>
      <c r="U167" s="23"/>
      <c r="V167" s="23"/>
      <c r="W167" s="23">
        <f ca="1">IFERROR(__xludf.DUMMYFUNCTION("""COMPUTED_VALUE"""),-0.651562912541157)</f>
        <v>-0.65156291254115695</v>
      </c>
      <c r="X167" s="23"/>
      <c r="Y167" s="23">
        <f ca="1">IFERROR(__xludf.DUMMYFUNCTION("""COMPUTED_VALUE"""),-0.762186549565198)</f>
        <v>-0.76218654956519805</v>
      </c>
      <c r="Z167" s="23">
        <f ca="1">IFERROR(__xludf.DUMMYFUNCTION("""COMPUTED_VALUE"""),0.0422761938383515)</f>
        <v>4.2276193838351503E-2</v>
      </c>
      <c r="AA167" s="23"/>
      <c r="AB167" s="23">
        <f ca="1">IFERROR(__xludf.DUMMYFUNCTION("""COMPUTED_VALUE"""),-0.227051260298711)</f>
        <v>-0.22705126029871101</v>
      </c>
      <c r="AC167" s="22"/>
      <c r="AD167" s="23"/>
      <c r="AE167" s="23"/>
      <c r="AF167" s="22"/>
      <c r="AG167" s="22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</row>
    <row r="168" spans="1:45" ht="27.75" customHeight="1" x14ac:dyDescent="0.4">
      <c r="A168" s="15" t="s">
        <v>27</v>
      </c>
      <c r="B168" s="15" t="s">
        <v>99</v>
      </c>
      <c r="C168" s="15" t="str">
        <f ca="1">IFERROR(__xludf.DUMMYFUNCTION("""COMPUTED_VALUE"""),"2022/08/12 (金)
平日夜間")</f>
        <v>2022/08/12 (金)
平日夜間</v>
      </c>
      <c r="D168" s="15" t="str">
        <f ca="1">IFERROR(__xludf.DUMMYFUNCTION("""COMPUTED_VALUE"""),"平日夜間")</f>
        <v>平日夜間</v>
      </c>
      <c r="E168" s="16">
        <f ca="1">IFERROR(__xludf.DUMMYFUNCTION("""COMPUTED_VALUE"""),2.0578154055662)</f>
        <v>2.0578154055661999</v>
      </c>
      <c r="F168" s="15" t="s">
        <v>11</v>
      </c>
      <c r="G168" s="32">
        <v>2</v>
      </c>
      <c r="H168" s="38" t="s">
        <v>11</v>
      </c>
      <c r="I168" s="27"/>
      <c r="J168" s="27" t="s">
        <v>48</v>
      </c>
      <c r="K168" s="23" t="b">
        <f ca="1">IFERROR(__xludf.DUMMYFUNCTION("""COMPUTED_VALUE"""),TRUE)</f>
        <v>1</v>
      </c>
      <c r="L168" s="22">
        <f ca="1">IFERROR(__xludf.DUMMYFUNCTION("""COMPUTED_VALUE"""),-0.182882454084341)</f>
        <v>-0.18288245408434101</v>
      </c>
      <c r="M168" s="23">
        <f ca="1">IFERROR(__xludf.DUMMYFUNCTION("""COMPUTED_VALUE"""),-0.577123235724416)</f>
        <v>-0.57712323572441604</v>
      </c>
      <c r="N168" s="23">
        <f ca="1">IFERROR(__xludf.DUMMYFUNCTION("""COMPUTED_VALUE"""),-0.65899062684451)</f>
        <v>-0.65899062684451004</v>
      </c>
      <c r="O168" s="23">
        <f ca="1">IFERROR(__xludf.DUMMYFUNCTION("""COMPUTED_VALUE"""),-0.901174535682834)</f>
        <v>-0.90117453568283401</v>
      </c>
      <c r="P168" s="23"/>
      <c r="Q168" s="24">
        <f ca="1">IFERROR(__xludf.DUMMYFUNCTION("""COMPUTED_VALUE"""),0.7014317818114)</f>
        <v>0.70143178181139998</v>
      </c>
      <c r="R168" s="23">
        <f ca="1">IFERROR(__xludf.DUMMYFUNCTION("""COMPUTED_VALUE"""),-0.55357671553071)</f>
        <v>-0.55357671553070997</v>
      </c>
      <c r="S168" s="23">
        <f ca="1">IFERROR(__xludf.DUMMYFUNCTION("""COMPUTED_VALUE"""),0.963838647214705)</f>
        <v>0.96383864721470502</v>
      </c>
      <c r="T168" s="23">
        <f ca="1">IFERROR(__xludf.DUMMYFUNCTION("""COMPUTED_VALUE"""),2.0578154055662)</f>
        <v>2.0578154055661999</v>
      </c>
      <c r="U168" s="23"/>
      <c r="V168" s="23"/>
      <c r="W168" s="23">
        <f ca="1">IFERROR(__xludf.DUMMYFUNCTION("""COMPUTED_VALUE"""),-0.5162846014796)</f>
        <v>-0.51628460147959998</v>
      </c>
      <c r="X168" s="23"/>
      <c r="Y168" s="23">
        <f ca="1">IFERROR(__xludf.DUMMYFUNCTION("""COMPUTED_VALUE"""),0.676078841271833)</f>
        <v>0.67607884127183304</v>
      </c>
      <c r="Z168" s="23">
        <f ca="1">IFERROR(__xludf.DUMMYFUNCTION("""COMPUTED_VALUE"""),-0.452299782244405)</f>
        <v>-0.45229978224440498</v>
      </c>
      <c r="AA168" s="23"/>
      <c r="AB168" s="23">
        <f ca="1">IFERROR(__xludf.DUMMYFUNCTION("""COMPUTED_VALUE"""),0.620289511983342)</f>
        <v>0.62028951198334203</v>
      </c>
      <c r="AC168" s="22"/>
      <c r="AD168" s="23"/>
      <c r="AE168" s="23"/>
      <c r="AF168" s="22"/>
      <c r="AG168" s="22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</row>
    <row r="169" spans="1:45" ht="27.75" customHeight="1" x14ac:dyDescent="0.35">
      <c r="A169" s="15" t="s">
        <v>27</v>
      </c>
      <c r="B169" s="15" t="s">
        <v>99</v>
      </c>
      <c r="C169" s="15" t="str">
        <f ca="1">IFERROR(__xludf.DUMMYFUNCTION("""COMPUTED_VALUE"""),"2022/08/13 (土)
休日午前")</f>
        <v>2022/08/13 (土)
休日午前</v>
      </c>
      <c r="D169" s="15" t="str">
        <f ca="1">IFERROR(__xludf.DUMMYFUNCTION("""COMPUTED_VALUE"""),"休日午前")</f>
        <v>休日午前</v>
      </c>
      <c r="E169" s="16">
        <f ca="1">IFERROR(__xludf.DUMMYFUNCTION("""COMPUTED_VALUE"""),0.979001424887922)</f>
        <v>0.97900142488792197</v>
      </c>
      <c r="F169" s="15" t="s">
        <v>30</v>
      </c>
      <c r="G169" s="32">
        <v>0</v>
      </c>
      <c r="H169" s="27" t="s">
        <v>16</v>
      </c>
      <c r="I169" s="27"/>
      <c r="J169" s="27" t="s">
        <v>107</v>
      </c>
      <c r="K169" s="23" t="b">
        <f ca="1">IFERROR(__xludf.DUMMYFUNCTION("""COMPUTED_VALUE"""),FALSE)</f>
        <v>0</v>
      </c>
      <c r="L169" s="22">
        <f ca="1">IFERROR(__xludf.DUMMYFUNCTION("""COMPUTED_VALUE"""),-0.631368319342053)</f>
        <v>-0.63136831934205295</v>
      </c>
      <c r="M169" s="23">
        <f ca="1">IFERROR(__xludf.DUMMYFUNCTION("""COMPUTED_VALUE"""),-0.997584312390056)</f>
        <v>-0.99758431239005596</v>
      </c>
      <c r="N169" s="23">
        <f ca="1">IFERROR(__xludf.DUMMYFUNCTION("""COMPUTED_VALUE"""),-0.104958935125353)</f>
        <v>-0.104958935125353</v>
      </c>
      <c r="O169" s="23">
        <f ca="1">IFERROR(__xludf.DUMMYFUNCTION("""COMPUTED_VALUE"""),-0.197311039725965)</f>
        <v>-0.197311039725965</v>
      </c>
      <c r="P169" s="23"/>
      <c r="Q169" s="24">
        <f ca="1">IFERROR(__xludf.DUMMYFUNCTION("""COMPUTED_VALUE"""),0.827340157912527)</f>
        <v>0.82734015791252702</v>
      </c>
      <c r="R169" s="23">
        <f ca="1">IFERROR(__xludf.DUMMYFUNCTION("""COMPUTED_VALUE"""),-0.984958117577222)</f>
        <v>-0.98495811757722196</v>
      </c>
      <c r="S169" s="23">
        <f ca="1">IFERROR(__xludf.DUMMYFUNCTION("""COMPUTED_VALUE"""),-0.408867259576072)</f>
        <v>-0.40886725957607201</v>
      </c>
      <c r="T169" s="23">
        <f ca="1">IFERROR(__xludf.DUMMYFUNCTION("""COMPUTED_VALUE"""),0.248726441444735)</f>
        <v>0.24872644144473499</v>
      </c>
      <c r="U169" s="23"/>
      <c r="V169" s="23"/>
      <c r="W169" s="23">
        <f ca="1">IFERROR(__xludf.DUMMYFUNCTION("""COMPUTED_VALUE"""),-0.751849518446401)</f>
        <v>-0.75184951844640102</v>
      </c>
      <c r="X169" s="23"/>
      <c r="Y169" s="23">
        <f ca="1">IFERROR(__xludf.DUMMYFUNCTION("""COMPUTED_VALUE"""),0.0643361218004279)</f>
        <v>6.4336121800427901E-2</v>
      </c>
      <c r="Z169" s="23">
        <f ca="1">IFERROR(__xludf.DUMMYFUNCTION("""COMPUTED_VALUE"""),0.606272830541409)</f>
        <v>0.60627283054140901</v>
      </c>
      <c r="AA169" s="23"/>
      <c r="AB169" s="23">
        <f ca="1">IFERROR(__xludf.DUMMYFUNCTION("""COMPUTED_VALUE"""),0.118383320679299)</f>
        <v>0.11838332067929901</v>
      </c>
      <c r="AC169" s="22"/>
      <c r="AD169" s="23"/>
      <c r="AE169" s="23"/>
      <c r="AF169" s="22"/>
      <c r="AG169" s="22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</row>
    <row r="170" spans="1:45" ht="27.75" customHeight="1" x14ac:dyDescent="0.4">
      <c r="A170" s="15" t="s">
        <v>27</v>
      </c>
      <c r="B170" s="15" t="s">
        <v>99</v>
      </c>
      <c r="C170" s="15" t="str">
        <f ca="1">IFERROR(__xludf.DUMMYFUNCTION("""COMPUTED_VALUE"""),"2022/08/13 (土)
休日午後")</f>
        <v>2022/08/13 (土)
休日午後</v>
      </c>
      <c r="D170" s="15" t="str">
        <f ca="1">IFERROR(__xludf.DUMMYFUNCTION("""COMPUTED_VALUE"""),"休日午後")</f>
        <v>休日午後</v>
      </c>
      <c r="E170" s="16">
        <f ca="1">IFERROR(__xludf.DUMMYFUNCTION("""COMPUTED_VALUE"""),2.50122923744881)</f>
        <v>2.5012292374488099</v>
      </c>
      <c r="F170" s="15" t="s">
        <v>10</v>
      </c>
      <c r="G170" s="32">
        <v>2</v>
      </c>
      <c r="H170" s="29" t="s">
        <v>10</v>
      </c>
      <c r="I170" s="27"/>
      <c r="J170" s="27" t="s">
        <v>107</v>
      </c>
      <c r="K170" s="23" t="b">
        <f ca="1">IFERROR(__xludf.DUMMYFUNCTION("""COMPUTED_VALUE"""),FALSE)</f>
        <v>0</v>
      </c>
      <c r="L170" s="22">
        <f ca="1">IFERROR(__xludf.DUMMYFUNCTION("""COMPUTED_VALUE"""),-0.109623619995917)</f>
        <v>-0.10962361999591699</v>
      </c>
      <c r="M170" s="23">
        <f ca="1">IFERROR(__xludf.DUMMYFUNCTION("""COMPUTED_VALUE"""),-0.67523989081978)</f>
        <v>-0.67523989081977998</v>
      </c>
      <c r="N170" s="23">
        <f ca="1">IFERROR(__xludf.DUMMYFUNCTION("""COMPUTED_VALUE"""),-0.829734253704639)</f>
        <v>-0.82973425370463905</v>
      </c>
      <c r="O170" s="23">
        <f ca="1">IFERROR(__xludf.DUMMYFUNCTION("""COMPUTED_VALUE"""),-0.894504569848411)</f>
        <v>-0.89450456984841098</v>
      </c>
      <c r="P170" s="23"/>
      <c r="Q170" s="24">
        <f ca="1">IFERROR(__xludf.DUMMYFUNCTION("""COMPUTED_VALUE"""),0.937766142329289)</f>
        <v>0.93776614232928901</v>
      </c>
      <c r="R170" s="23">
        <f ca="1">IFERROR(__xludf.DUMMYFUNCTION("""COMPUTED_VALUE"""),-0.0904851438157494)</f>
        <v>-9.0485143815749403E-2</v>
      </c>
      <c r="S170" s="23">
        <f ca="1">IFERROR(__xludf.DUMMYFUNCTION("""COMPUTED_VALUE"""),-0.305083177961066)</f>
        <v>-0.30508317796106599</v>
      </c>
      <c r="T170" s="23">
        <f ca="1">IFERROR(__xludf.DUMMYFUNCTION("""COMPUTED_VALUE"""),0.77319371167762)</f>
        <v>0.77319371167761997</v>
      </c>
      <c r="U170" s="23"/>
      <c r="V170" s="23"/>
      <c r="W170" s="23">
        <f ca="1">IFERROR(__xludf.DUMMYFUNCTION("""COMPUTED_VALUE"""),-0.970068780713069)</f>
        <v>-0.97006878071306901</v>
      </c>
      <c r="X170" s="23"/>
      <c r="Y170" s="23">
        <f ca="1">IFERROR(__xludf.DUMMYFUNCTION("""COMPUTED_VALUE"""),0.389218195705828)</f>
        <v>0.389218195705828</v>
      </c>
      <c r="Z170" s="23">
        <f ca="1">IFERROR(__xludf.DUMMYFUNCTION("""COMPUTED_VALUE"""),2.50122923744881)</f>
        <v>2.5012292374488099</v>
      </c>
      <c r="AA170" s="23"/>
      <c r="AB170" s="23">
        <f ca="1">IFERROR(__xludf.DUMMYFUNCTION("""COMPUTED_VALUE"""),0.497672915404394)</f>
        <v>0.49767291540439401</v>
      </c>
      <c r="AC170" s="22"/>
      <c r="AD170" s="23"/>
      <c r="AE170" s="23"/>
      <c r="AF170" s="22"/>
      <c r="AG170" s="22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</row>
    <row r="171" spans="1:45" ht="27.75" customHeight="1" x14ac:dyDescent="0.35">
      <c r="A171" s="15" t="s">
        <v>27</v>
      </c>
      <c r="B171" s="15" t="s">
        <v>99</v>
      </c>
      <c r="C171" s="15" t="str">
        <f ca="1">IFERROR(__xludf.DUMMYFUNCTION("""COMPUTED_VALUE"""),"2022/08/14 (日)
休日午前")</f>
        <v>2022/08/14 (日)
休日午前</v>
      </c>
      <c r="D171" s="15" t="str">
        <f ca="1">IFERROR(__xludf.DUMMYFUNCTION("""COMPUTED_VALUE"""),"休日午前")</f>
        <v>休日午前</v>
      </c>
      <c r="E171" s="16">
        <f ca="1">IFERROR(__xludf.DUMMYFUNCTION("""COMPUTED_VALUE"""),0.884732386465355)</f>
        <v>0.88473238646535501</v>
      </c>
      <c r="F171" s="15" t="s">
        <v>2</v>
      </c>
      <c r="G171" s="32">
        <v>0</v>
      </c>
      <c r="H171" s="27" t="s">
        <v>14</v>
      </c>
      <c r="I171" s="27"/>
      <c r="J171" s="27" t="s">
        <v>108</v>
      </c>
      <c r="K171" s="23" t="b">
        <f ca="1">IFERROR(__xludf.DUMMYFUNCTION("""COMPUTED_VALUE"""),FALSE)</f>
        <v>0</v>
      </c>
      <c r="L171" s="22">
        <f ca="1">IFERROR(__xludf.DUMMYFUNCTION("""COMPUTED_VALUE"""),-0.506196288463535)</f>
        <v>-0.50619628846353504</v>
      </c>
      <c r="M171" s="23">
        <f ca="1">IFERROR(__xludf.DUMMYFUNCTION("""COMPUTED_VALUE"""),0.842952789954795)</f>
        <v>0.84295278995479495</v>
      </c>
      <c r="N171" s="23">
        <f ca="1">IFERROR(__xludf.DUMMYFUNCTION("""COMPUTED_VALUE"""),0.884732386465355)</f>
        <v>0.88473238646535501</v>
      </c>
      <c r="O171" s="23">
        <f ca="1">IFERROR(__xludf.DUMMYFUNCTION("""COMPUTED_VALUE"""),-0.0728736840447599)</f>
        <v>-7.2873684044759898E-2</v>
      </c>
      <c r="P171" s="23"/>
      <c r="Q171" s="24">
        <f ca="1">IFERROR(__xludf.DUMMYFUNCTION("""COMPUTED_VALUE"""),0.0808098574380271)</f>
        <v>8.08098574380271E-2</v>
      </c>
      <c r="R171" s="23">
        <f ca="1">IFERROR(__xludf.DUMMYFUNCTION("""COMPUTED_VALUE"""),-0.180193158414865)</f>
        <v>-0.180193158414865</v>
      </c>
      <c r="S171" s="23">
        <f ca="1">IFERROR(__xludf.DUMMYFUNCTION("""COMPUTED_VALUE"""),-0.503520566192962)</f>
        <v>-0.50352056619296204</v>
      </c>
      <c r="T171" s="23">
        <f ca="1">IFERROR(__xludf.DUMMYFUNCTION("""COMPUTED_VALUE"""),0.353214338510387)</f>
        <v>0.35321433851038703</v>
      </c>
      <c r="U171" s="23"/>
      <c r="V171" s="23"/>
      <c r="W171" s="23">
        <f ca="1">IFERROR(__xludf.DUMMYFUNCTION("""COMPUTED_VALUE"""),-0.0629300066273899)</f>
        <v>-6.2930006627389901E-2</v>
      </c>
      <c r="X171" s="23"/>
      <c r="Y171" s="23">
        <f ca="1">IFERROR(__xludf.DUMMYFUNCTION("""COMPUTED_VALUE"""),0.27051582495033)</f>
        <v>0.27051582495033</v>
      </c>
      <c r="Z171" s="23">
        <f ca="1">IFERROR(__xludf.DUMMYFUNCTION("""COMPUTED_VALUE"""),-0.196096677957632)</f>
        <v>-0.196096677957632</v>
      </c>
      <c r="AA171" s="23"/>
      <c r="AB171" s="23">
        <f ca="1">IFERROR(__xludf.DUMMYFUNCTION("""COMPUTED_VALUE"""),0.457945117761424)</f>
        <v>0.45794511776142399</v>
      </c>
      <c r="AC171" s="22"/>
      <c r="AD171" s="23"/>
      <c r="AE171" s="23"/>
      <c r="AF171" s="22"/>
      <c r="AG171" s="22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</row>
    <row r="172" spans="1:45" ht="27.75" customHeight="1" x14ac:dyDescent="0.4">
      <c r="A172" s="15" t="s">
        <v>27</v>
      </c>
      <c r="B172" s="15" t="s">
        <v>99</v>
      </c>
      <c r="C172" s="15" t="str">
        <f ca="1">IFERROR(__xludf.DUMMYFUNCTION("""COMPUTED_VALUE"""),"2022/08/14 (日)
休日午後")</f>
        <v>2022/08/14 (日)
休日午後</v>
      </c>
      <c r="D172" s="15" t="str">
        <f ca="1">IFERROR(__xludf.DUMMYFUNCTION("""COMPUTED_VALUE"""),"休日午後")</f>
        <v>休日午後</v>
      </c>
      <c r="E172" s="16">
        <f ca="1">IFERROR(__xludf.DUMMYFUNCTION("""COMPUTED_VALUE"""),0.905319542217264)</f>
        <v>0.90531954221726396</v>
      </c>
      <c r="F172" s="15" t="s">
        <v>14</v>
      </c>
      <c r="G172" s="32">
        <v>0</v>
      </c>
      <c r="H172" s="38" t="s">
        <v>45</v>
      </c>
      <c r="I172" s="27"/>
      <c r="J172" s="27" t="s">
        <v>108</v>
      </c>
      <c r="K172" s="23" t="b">
        <f ca="1">IFERROR(__xludf.DUMMYFUNCTION("""COMPUTED_VALUE"""),TRUE)</f>
        <v>1</v>
      </c>
      <c r="L172" s="22">
        <f ca="1">IFERROR(__xludf.DUMMYFUNCTION("""COMPUTED_VALUE"""),-0.956968118199806)</f>
        <v>-0.95696811819980598</v>
      </c>
      <c r="M172" s="23">
        <f ca="1">IFERROR(__xludf.DUMMYFUNCTION("""COMPUTED_VALUE"""),-0.114514064844471)</f>
        <v>-0.11451406484447101</v>
      </c>
      <c r="N172" s="23">
        <f ca="1">IFERROR(__xludf.DUMMYFUNCTION("""COMPUTED_VALUE"""),0.143427124881075)</f>
        <v>0.14342712488107501</v>
      </c>
      <c r="O172" s="23">
        <f ca="1">IFERROR(__xludf.DUMMYFUNCTION("""COMPUTED_VALUE"""),-0.276472173920436)</f>
        <v>-0.27647217392043599</v>
      </c>
      <c r="P172" s="23"/>
      <c r="Q172" s="24">
        <f ca="1">IFERROR(__xludf.DUMMYFUNCTION("""COMPUTED_VALUE"""),0.247082812708232)</f>
        <v>0.24708281270823201</v>
      </c>
      <c r="R172" s="23">
        <f ca="1">IFERROR(__xludf.DUMMYFUNCTION("""COMPUTED_VALUE"""),-0.301841074743173)</f>
        <v>-0.30184107474317301</v>
      </c>
      <c r="S172" s="23">
        <f ca="1">IFERROR(__xludf.DUMMYFUNCTION("""COMPUTED_VALUE"""),-0.11298368222799)</f>
        <v>-0.11298368222799</v>
      </c>
      <c r="T172" s="23">
        <f ca="1">IFERROR(__xludf.DUMMYFUNCTION("""COMPUTED_VALUE"""),0.745190039904267)</f>
        <v>0.74519003990426702</v>
      </c>
      <c r="U172" s="23"/>
      <c r="V172" s="23"/>
      <c r="W172" s="23">
        <f ca="1">IFERROR(__xludf.DUMMYFUNCTION("""COMPUTED_VALUE"""),-0.330643980267512)</f>
        <v>-0.33064398026751202</v>
      </c>
      <c r="X172" s="23"/>
      <c r="Y172" s="23">
        <f ca="1">IFERROR(__xludf.DUMMYFUNCTION("""COMPUTED_VALUE"""),0.905319542217264)</f>
        <v>0.90531954221726396</v>
      </c>
      <c r="Z172" s="23">
        <f ca="1">IFERROR(__xludf.DUMMYFUNCTION("""COMPUTED_VALUE"""),-0.272850517310377)</f>
        <v>-0.27285051731037702</v>
      </c>
      <c r="AA172" s="23"/>
      <c r="AB172" s="23">
        <f ca="1">IFERROR(__xludf.DUMMYFUNCTION("""COMPUTED_VALUE"""),0.272156156571515)</f>
        <v>0.27215615657151498</v>
      </c>
      <c r="AC172" s="22"/>
      <c r="AD172" s="23"/>
      <c r="AE172" s="23"/>
      <c r="AF172" s="22"/>
      <c r="AG172" s="22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</row>
    <row r="173" spans="1:45" ht="27.75" customHeight="1" x14ac:dyDescent="0.4">
      <c r="A173" s="15" t="s">
        <v>27</v>
      </c>
      <c r="B173" s="15" t="s">
        <v>99</v>
      </c>
      <c r="C173" s="15" t="str">
        <f ca="1">IFERROR(__xludf.DUMMYFUNCTION("""COMPUTED_VALUE"""),"2022/08/15 (月)
平日夜間")</f>
        <v>2022/08/15 (月)
平日夜間</v>
      </c>
      <c r="D173" s="15" t="str">
        <f ca="1">IFERROR(__xludf.DUMMYFUNCTION("""COMPUTED_VALUE"""),"平日夜間")</f>
        <v>平日夜間</v>
      </c>
      <c r="E173" s="16">
        <f ca="1">IFERROR(__xludf.DUMMYFUNCTION("""COMPUTED_VALUE"""),0.927979727905087)</f>
        <v>0.92797972790508698</v>
      </c>
      <c r="F173" s="15" t="s">
        <v>2</v>
      </c>
      <c r="G173" s="32"/>
      <c r="H173" s="38" t="s">
        <v>17</v>
      </c>
      <c r="I173" s="27"/>
      <c r="J173" s="27" t="s">
        <v>109</v>
      </c>
      <c r="K173" s="23" t="b">
        <f ca="1">IFERROR(__xludf.DUMMYFUNCTION("""COMPUTED_VALUE"""),TRUE)</f>
        <v>1</v>
      </c>
      <c r="L173" s="22">
        <f ca="1">IFERROR(__xludf.DUMMYFUNCTION("""COMPUTED_VALUE"""),-0.266080402507515)</f>
        <v>-0.26608040250751502</v>
      </c>
      <c r="M173" s="23">
        <f ca="1">IFERROR(__xludf.DUMMYFUNCTION("""COMPUTED_VALUE"""),-0.0810877241433805)</f>
        <v>-8.1087724143380502E-2</v>
      </c>
      <c r="N173" s="23">
        <f ca="1">IFERROR(__xludf.DUMMYFUNCTION("""COMPUTED_VALUE"""),0.927979727905087)</f>
        <v>0.92797972790508698</v>
      </c>
      <c r="O173" s="23">
        <f ca="1">IFERROR(__xludf.DUMMYFUNCTION("""COMPUTED_VALUE"""),-0.628074402295916)</f>
        <v>-0.62807440229591605</v>
      </c>
      <c r="P173" s="23"/>
      <c r="Q173" s="24">
        <f ca="1">IFERROR(__xludf.DUMMYFUNCTION("""COMPUTED_VALUE"""),0.320060786792402)</f>
        <v>0.32006078679240202</v>
      </c>
      <c r="R173" s="23">
        <f ca="1">IFERROR(__xludf.DUMMYFUNCTION("""COMPUTED_VALUE"""),0.369272380100969)</f>
        <v>0.36927238010096902</v>
      </c>
      <c r="S173" s="23">
        <f ca="1">IFERROR(__xludf.DUMMYFUNCTION("""COMPUTED_VALUE"""),0.626842526926855)</f>
        <v>0.62684252692685505</v>
      </c>
      <c r="T173" s="23">
        <f ca="1">IFERROR(__xludf.DUMMYFUNCTION("""COMPUTED_VALUE"""),0.750588314866911)</f>
        <v>0.75058831486691102</v>
      </c>
      <c r="U173" s="23"/>
      <c r="V173" s="23"/>
      <c r="W173" s="23">
        <f ca="1">IFERROR(__xludf.DUMMYFUNCTION("""COMPUTED_VALUE"""),-0.104025169320251)</f>
        <v>-0.10402516932025101</v>
      </c>
      <c r="X173" s="23"/>
      <c r="Y173" s="23">
        <f ca="1">IFERROR(__xludf.DUMMYFUNCTION("""COMPUTED_VALUE"""),0.338732594720564)</f>
        <v>0.338732594720564</v>
      </c>
      <c r="Z173" s="23">
        <f ca="1">IFERROR(__xludf.DUMMYFUNCTION("""COMPUTED_VALUE"""),0.628277878851848)</f>
        <v>0.62827787885184805</v>
      </c>
      <c r="AA173" s="23"/>
      <c r="AB173" s="23">
        <f ca="1">IFERROR(__xludf.DUMMYFUNCTION("""COMPUTED_VALUE"""),0.324572371087627)</f>
        <v>0.32457237108762699</v>
      </c>
      <c r="AC173" s="22"/>
      <c r="AD173" s="23"/>
      <c r="AE173" s="23"/>
      <c r="AF173" s="22"/>
      <c r="AG173" s="22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</row>
    <row r="174" spans="1:45" ht="27.75" customHeight="1" x14ac:dyDescent="0.4">
      <c r="A174" s="15" t="s">
        <v>27</v>
      </c>
      <c r="B174" s="15" t="s">
        <v>99</v>
      </c>
      <c r="C174" s="15" t="str">
        <f ca="1">IFERROR(__xludf.DUMMYFUNCTION("""COMPUTED_VALUE"""),"2022/08/16 (火)
平日夜間")</f>
        <v>2022/08/16 (火)
平日夜間</v>
      </c>
      <c r="D174" s="15" t="str">
        <f ca="1">IFERROR(__xludf.DUMMYFUNCTION("""COMPUTED_VALUE"""),"平日夜間")</f>
        <v>平日夜間</v>
      </c>
      <c r="E174" s="16">
        <f ca="1">IFERROR(__xludf.DUMMYFUNCTION("""COMPUTED_VALUE"""),2.04440585161011)</f>
        <v>2.0444058516101098</v>
      </c>
      <c r="F174" s="15" t="s">
        <v>8</v>
      </c>
      <c r="G174" s="32">
        <v>0</v>
      </c>
      <c r="H174" s="38" t="s">
        <v>38</v>
      </c>
      <c r="I174" s="27"/>
      <c r="J174" s="27" t="s">
        <v>110</v>
      </c>
      <c r="K174" s="23" t="b">
        <f ca="1">IFERROR(__xludf.DUMMYFUNCTION("""COMPUTED_VALUE"""),TRUE)</f>
        <v>1</v>
      </c>
      <c r="L174" s="22">
        <f ca="1">IFERROR(__xludf.DUMMYFUNCTION("""COMPUTED_VALUE"""),0.563267007855931)</f>
        <v>0.56326700785593098</v>
      </c>
      <c r="M174" s="23">
        <f ca="1">IFERROR(__xludf.DUMMYFUNCTION("""COMPUTED_VALUE"""),0.404755166755289)</f>
        <v>0.404755166755289</v>
      </c>
      <c r="N174" s="23">
        <f ca="1">IFERROR(__xludf.DUMMYFUNCTION("""COMPUTED_VALUE"""),0.922535079088571)</f>
        <v>0.92253507908857102</v>
      </c>
      <c r="O174" s="23">
        <f ca="1">IFERROR(__xludf.DUMMYFUNCTION("""COMPUTED_VALUE"""),-0.869412090916994)</f>
        <v>-0.86941209091699401</v>
      </c>
      <c r="P174" s="23"/>
      <c r="Q174" s="24">
        <f ca="1">IFERROR(__xludf.DUMMYFUNCTION("""COMPUTED_VALUE"""),0.359561943745847)</f>
        <v>0.35956194374584699</v>
      </c>
      <c r="R174" s="23">
        <f ca="1">IFERROR(__xludf.DUMMYFUNCTION("""COMPUTED_VALUE"""),0.0602061615135527)</f>
        <v>6.0206161513552701E-2</v>
      </c>
      <c r="S174" s="23">
        <f ca="1">IFERROR(__xludf.DUMMYFUNCTION("""COMPUTED_VALUE"""),2.04440585161011)</f>
        <v>2.0444058516101098</v>
      </c>
      <c r="T174" s="23">
        <f ca="1">IFERROR(__xludf.DUMMYFUNCTION("""COMPUTED_VALUE"""),0.427333960090815)</f>
        <v>0.42733396009081498</v>
      </c>
      <c r="U174" s="23"/>
      <c r="V174" s="23"/>
      <c r="W174" s="23">
        <f ca="1">IFERROR(__xludf.DUMMYFUNCTION("""COMPUTED_VALUE"""),-0.49417271489492)</f>
        <v>-0.49417271489491998</v>
      </c>
      <c r="X174" s="23"/>
      <c r="Y174" s="23">
        <f ca="1">IFERROR(__xludf.DUMMYFUNCTION("""COMPUTED_VALUE"""),-0.389659502872358)</f>
        <v>-0.38965950287235801</v>
      </c>
      <c r="Z174" s="23">
        <f ca="1">IFERROR(__xludf.DUMMYFUNCTION("""COMPUTED_VALUE"""),0.461368015466389)</f>
        <v>0.461368015466389</v>
      </c>
      <c r="AA174" s="23"/>
      <c r="AB174" s="23">
        <f ca="1">IFERROR(__xludf.DUMMYFUNCTION("""COMPUTED_VALUE"""),0.296921533867458)</f>
        <v>0.29692153386745801</v>
      </c>
      <c r="AC174" s="22"/>
      <c r="AD174" s="23"/>
      <c r="AE174" s="23"/>
      <c r="AF174" s="22"/>
      <c r="AG174" s="22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</row>
    <row r="175" spans="1:45" ht="27.75" customHeight="1" x14ac:dyDescent="0.4">
      <c r="A175" s="15" t="s">
        <v>27</v>
      </c>
      <c r="B175" s="15" t="s">
        <v>99</v>
      </c>
      <c r="C175" s="15" t="str">
        <f ca="1">IFERROR(__xludf.DUMMYFUNCTION("""COMPUTED_VALUE"""),"2022/08/17 (水)
平日夜間")</f>
        <v>2022/08/17 (水)
平日夜間</v>
      </c>
      <c r="D175" s="15" t="str">
        <f ca="1">IFERROR(__xludf.DUMMYFUNCTION("""COMPUTED_VALUE"""),"平日夜間")</f>
        <v>平日夜間</v>
      </c>
      <c r="E175" s="16">
        <f ca="1">IFERROR(__xludf.DUMMYFUNCTION("""COMPUTED_VALUE"""),2.54057402418243)</f>
        <v>2.5405740241824302</v>
      </c>
      <c r="F175" s="15" t="s">
        <v>1</v>
      </c>
      <c r="G175" s="32">
        <v>2</v>
      </c>
      <c r="H175" s="38" t="s">
        <v>1</v>
      </c>
      <c r="I175" s="27"/>
      <c r="J175" s="27" t="s">
        <v>111</v>
      </c>
      <c r="K175" s="23" t="b">
        <f ca="1">IFERROR(__xludf.DUMMYFUNCTION("""COMPUTED_VALUE"""),TRUE)</f>
        <v>1</v>
      </c>
      <c r="L175" s="22">
        <f ca="1">IFERROR(__xludf.DUMMYFUNCTION("""COMPUTED_VALUE"""),0.876731371334255)</f>
        <v>0.87673137133425505</v>
      </c>
      <c r="M175" s="23">
        <f ca="1">IFERROR(__xludf.DUMMYFUNCTION("""COMPUTED_VALUE"""),0.32762192165794)</f>
        <v>0.32762192165794002</v>
      </c>
      <c r="N175" s="23">
        <f ca="1">IFERROR(__xludf.DUMMYFUNCTION("""COMPUTED_VALUE"""),0.945779317825789)</f>
        <v>0.94577931782578895</v>
      </c>
      <c r="O175" s="23">
        <f ca="1">IFERROR(__xludf.DUMMYFUNCTION("""COMPUTED_VALUE"""),-0.446313029200813)</f>
        <v>-0.44631302920081301</v>
      </c>
      <c r="P175" s="23"/>
      <c r="Q175" s="24">
        <f ca="1">IFERROR(__xludf.DUMMYFUNCTION("""COMPUTED_VALUE"""),0.611656495119428)</f>
        <v>0.61165649511942799</v>
      </c>
      <c r="R175" s="23">
        <f ca="1">IFERROR(__xludf.DUMMYFUNCTION("""COMPUTED_VALUE"""),0.623244739337386)</f>
        <v>0.623244739337386</v>
      </c>
      <c r="S175" s="23">
        <f ca="1">IFERROR(__xludf.DUMMYFUNCTION("""COMPUTED_VALUE"""),0.123724425464132)</f>
        <v>0.123724425464132</v>
      </c>
      <c r="T175" s="23">
        <f ca="1">IFERROR(__xludf.DUMMYFUNCTION("""COMPUTED_VALUE"""),0.325852989291911)</f>
        <v>0.32585298929191098</v>
      </c>
      <c r="U175" s="23"/>
      <c r="V175" s="23"/>
      <c r="W175" s="23">
        <f ca="1">IFERROR(__xludf.DUMMYFUNCTION("""COMPUTED_VALUE"""),-0.573650713532579)</f>
        <v>-0.57365071353257902</v>
      </c>
      <c r="X175" s="23"/>
      <c r="Y175" s="23">
        <f ca="1">IFERROR(__xludf.DUMMYFUNCTION("""COMPUTED_VALUE"""),0.0357911305647271)</f>
        <v>3.5791130564727103E-2</v>
      </c>
      <c r="Z175" s="23">
        <f ca="1">IFERROR(__xludf.DUMMYFUNCTION("""COMPUTED_VALUE"""),0.685143646637008)</f>
        <v>0.685143646637008</v>
      </c>
      <c r="AA175" s="23"/>
      <c r="AB175" s="23">
        <f ca="1">IFERROR(__xludf.DUMMYFUNCTION("""COMPUTED_VALUE"""),2.54057402418243)</f>
        <v>2.5405740241824302</v>
      </c>
      <c r="AC175" s="22"/>
      <c r="AD175" s="23"/>
      <c r="AE175" s="23"/>
      <c r="AF175" s="22"/>
      <c r="AG175" s="22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</row>
    <row r="176" spans="1:45" ht="27.75" customHeight="1" x14ac:dyDescent="0.35">
      <c r="A176" s="15" t="s">
        <v>27</v>
      </c>
      <c r="B176" s="15" t="s">
        <v>99</v>
      </c>
      <c r="C176" s="15" t="str">
        <f ca="1">IFERROR(__xludf.DUMMYFUNCTION("""COMPUTED_VALUE"""),"2022/08/18 (木)
平日夜間")</f>
        <v>2022/08/18 (木)
平日夜間</v>
      </c>
      <c r="D176" s="15" t="str">
        <f ca="1">IFERROR(__xludf.DUMMYFUNCTION("""COMPUTED_VALUE"""),"平日夜間")</f>
        <v>平日夜間</v>
      </c>
      <c r="E176" s="16">
        <f ca="1">IFERROR(__xludf.DUMMYFUNCTION("""COMPUTED_VALUE"""),0.983431073744037)</f>
        <v>0.98343107374403704</v>
      </c>
      <c r="F176" s="15" t="s">
        <v>11</v>
      </c>
      <c r="G176" s="32">
        <v>0</v>
      </c>
      <c r="H176" s="27" t="s">
        <v>4</v>
      </c>
      <c r="I176" s="27"/>
      <c r="J176" s="27"/>
      <c r="K176" s="23" t="b">
        <f ca="1">IFERROR(__xludf.DUMMYFUNCTION("""COMPUTED_VALUE"""),FALSE)</f>
        <v>0</v>
      </c>
      <c r="L176" s="22">
        <f ca="1">IFERROR(__xludf.DUMMYFUNCTION("""COMPUTED_VALUE"""),0.582707392719868)</f>
        <v>0.58270739271986804</v>
      </c>
      <c r="M176" s="23">
        <f ca="1">IFERROR(__xludf.DUMMYFUNCTION("""COMPUTED_VALUE"""),0.826687920781783)</f>
        <v>0.82668792078178299</v>
      </c>
      <c r="N176" s="23">
        <f ca="1">IFERROR(__xludf.DUMMYFUNCTION("""COMPUTED_VALUE"""),0.48135726389569)</f>
        <v>0.48135726389569</v>
      </c>
      <c r="O176" s="23">
        <f ca="1">IFERROR(__xludf.DUMMYFUNCTION("""COMPUTED_VALUE"""),0.538420932843979)</f>
        <v>0.53842093284397896</v>
      </c>
      <c r="P176" s="23"/>
      <c r="Q176" s="24">
        <f ca="1">IFERROR(__xludf.DUMMYFUNCTION("""COMPUTED_VALUE"""),0.0903699210536963)</f>
        <v>9.0369921053696303E-2</v>
      </c>
      <c r="R176" s="23">
        <f ca="1">IFERROR(__xludf.DUMMYFUNCTION("""COMPUTED_VALUE"""),-0.792081159599098)</f>
        <v>-0.79208115959909797</v>
      </c>
      <c r="S176" s="23">
        <f ca="1">IFERROR(__xludf.DUMMYFUNCTION("""COMPUTED_VALUE"""),0.782996995607833)</f>
        <v>0.78299699560783298</v>
      </c>
      <c r="T176" s="23">
        <f ca="1">IFERROR(__xludf.DUMMYFUNCTION("""COMPUTED_VALUE"""),0.983431073744037)</f>
        <v>0.98343107374403704</v>
      </c>
      <c r="U176" s="23"/>
      <c r="V176" s="23"/>
      <c r="W176" s="23">
        <f ca="1">IFERROR(__xludf.DUMMYFUNCTION("""COMPUTED_VALUE"""),0.139131881192128)</f>
        <v>0.13913188119212799</v>
      </c>
      <c r="X176" s="23"/>
      <c r="Y176" s="23">
        <f ca="1">IFERROR(__xludf.DUMMYFUNCTION("""COMPUTED_VALUE"""),0.973981073243106)</f>
        <v>0.97398107324310601</v>
      </c>
      <c r="Z176" s="23">
        <f ca="1">IFERROR(__xludf.DUMMYFUNCTION("""COMPUTED_VALUE"""),0.521779461259242)</f>
        <v>0.52177946125924202</v>
      </c>
      <c r="AA176" s="23"/>
      <c r="AB176" s="23">
        <f ca="1">IFERROR(__xludf.DUMMYFUNCTION("""COMPUTED_VALUE"""),-0.601063772918111)</f>
        <v>-0.60106377291811097</v>
      </c>
      <c r="AC176" s="22"/>
      <c r="AD176" s="23"/>
      <c r="AE176" s="23"/>
      <c r="AF176" s="22"/>
      <c r="AG176" s="22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</row>
    <row r="177" spans="1:45" ht="27.75" customHeight="1" x14ac:dyDescent="0.4">
      <c r="A177" s="15" t="s">
        <v>27</v>
      </c>
      <c r="B177" s="15" t="s">
        <v>99</v>
      </c>
      <c r="C177" s="15" t="str">
        <f ca="1">IFERROR(__xludf.DUMMYFUNCTION("""COMPUTED_VALUE"""),"2022/08/19 (金)
平日夜間")</f>
        <v>2022/08/19 (金)
平日夜間</v>
      </c>
      <c r="D177" s="15" t="str">
        <f ca="1">IFERROR(__xludf.DUMMYFUNCTION("""COMPUTED_VALUE"""),"平日夜間")</f>
        <v>平日夜間</v>
      </c>
      <c r="E177" s="16">
        <f ca="1">IFERROR(__xludf.DUMMYFUNCTION("""COMPUTED_VALUE"""),2.40041970445064)</f>
        <v>2.4004197044506399</v>
      </c>
      <c r="F177" s="15" t="s">
        <v>2</v>
      </c>
      <c r="G177" s="32">
        <v>2</v>
      </c>
      <c r="H177" s="38" t="s">
        <v>2</v>
      </c>
      <c r="I177" s="27"/>
      <c r="J177" s="27" t="s">
        <v>112</v>
      </c>
      <c r="K177" s="23" t="b">
        <f ca="1">IFERROR(__xludf.DUMMYFUNCTION("""COMPUTED_VALUE"""),TRUE)</f>
        <v>1</v>
      </c>
      <c r="L177" s="22">
        <f ca="1">IFERROR(__xludf.DUMMYFUNCTION("""COMPUTED_VALUE"""),0.910926534065722)</f>
        <v>0.91092653406572199</v>
      </c>
      <c r="M177" s="23">
        <f ca="1">IFERROR(__xludf.DUMMYFUNCTION("""COMPUTED_VALUE"""),0.957552606874263)</f>
        <v>0.95755260687426302</v>
      </c>
      <c r="N177" s="23">
        <f ca="1">IFERROR(__xludf.DUMMYFUNCTION("""COMPUTED_VALUE"""),2.40041970445064)</f>
        <v>2.4004197044506399</v>
      </c>
      <c r="O177" s="23">
        <f ca="1">IFERROR(__xludf.DUMMYFUNCTION("""COMPUTED_VALUE"""),-0.703883014783449)</f>
        <v>-0.70388301478344895</v>
      </c>
      <c r="P177" s="23"/>
      <c r="Q177" s="24">
        <f ca="1">IFERROR(__xludf.DUMMYFUNCTION("""COMPUTED_VALUE"""),2.00962812162701)</f>
        <v>2.00962812162701</v>
      </c>
      <c r="R177" s="23">
        <f ca="1">IFERROR(__xludf.DUMMYFUNCTION("""COMPUTED_VALUE"""),-0.779609373368567)</f>
        <v>-0.77960937336856695</v>
      </c>
      <c r="S177" s="23">
        <f ca="1">IFERROR(__xludf.DUMMYFUNCTION("""COMPUTED_VALUE"""),0.233385076923573)</f>
        <v>0.23338507692357299</v>
      </c>
      <c r="T177" s="23">
        <f ca="1">IFERROR(__xludf.DUMMYFUNCTION("""COMPUTED_VALUE"""),1.10514506058035)</f>
        <v>1.1051450605803499</v>
      </c>
      <c r="U177" s="23"/>
      <c r="V177" s="23"/>
      <c r="W177" s="23">
        <f ca="1">IFERROR(__xludf.DUMMYFUNCTION("""COMPUTED_VALUE"""),0.0358839368355483)</f>
        <v>3.5883936835548302E-2</v>
      </c>
      <c r="X177" s="23"/>
      <c r="Y177" s="23">
        <f ca="1">IFERROR(__xludf.DUMMYFUNCTION("""COMPUTED_VALUE"""),0.868517658746192)</f>
        <v>0.86851765874619202</v>
      </c>
      <c r="Z177" s="23">
        <f ca="1">IFERROR(__xludf.DUMMYFUNCTION("""COMPUTED_VALUE"""),-0.35187917243833)</f>
        <v>-0.35187917243833</v>
      </c>
      <c r="AA177" s="23"/>
      <c r="AB177" s="23">
        <f ca="1">IFERROR(__xludf.DUMMYFUNCTION("""COMPUTED_VALUE"""),0.96401931091201)</f>
        <v>0.96401931091200999</v>
      </c>
      <c r="AC177" s="22"/>
      <c r="AD177" s="23"/>
      <c r="AE177" s="23"/>
      <c r="AF177" s="22"/>
      <c r="AG177" s="22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</row>
    <row r="178" spans="1:45" ht="27.75" customHeight="1" x14ac:dyDescent="0.35">
      <c r="A178" s="15" t="s">
        <v>27</v>
      </c>
      <c r="B178" s="15" t="s">
        <v>99</v>
      </c>
      <c r="C178" s="15" t="str">
        <f ca="1">IFERROR(__xludf.DUMMYFUNCTION("""COMPUTED_VALUE"""),"2022/08/20 (土)
休日午前")</f>
        <v>2022/08/20 (土)
休日午前</v>
      </c>
      <c r="D178" s="15" t="str">
        <f ca="1">IFERROR(__xludf.DUMMYFUNCTION("""COMPUTED_VALUE"""),"休日午前")</f>
        <v>休日午前</v>
      </c>
      <c r="E178" s="16">
        <f ca="1">IFERROR(__xludf.DUMMYFUNCTION("""COMPUTED_VALUE"""),0.912328485702846)</f>
        <v>0.91232848570284597</v>
      </c>
      <c r="F178" s="15" t="s">
        <v>11</v>
      </c>
      <c r="G178" s="32"/>
      <c r="H178" s="27" t="s">
        <v>5</v>
      </c>
      <c r="I178" s="27"/>
      <c r="J178" s="27" t="s">
        <v>113</v>
      </c>
      <c r="K178" s="23" t="b">
        <f ca="1">IFERROR(__xludf.DUMMYFUNCTION("""COMPUTED_VALUE"""),FALSE)</f>
        <v>0</v>
      </c>
      <c r="L178" s="22">
        <f ca="1">IFERROR(__xludf.DUMMYFUNCTION("""COMPUTED_VALUE"""),-0.310222053647043)</f>
        <v>-0.31022205364704297</v>
      </c>
      <c r="M178" s="23">
        <f ca="1">IFERROR(__xludf.DUMMYFUNCTION("""COMPUTED_VALUE"""),0.597652643213529)</f>
        <v>0.59765264321352896</v>
      </c>
      <c r="N178" s="23">
        <f ca="1">IFERROR(__xludf.DUMMYFUNCTION("""COMPUTED_VALUE"""),-0.294781367667564)</f>
        <v>-0.29478136766756402</v>
      </c>
      <c r="O178" s="23">
        <f ca="1">IFERROR(__xludf.DUMMYFUNCTION("""COMPUTED_VALUE"""),-0.115576967389106)</f>
        <v>-0.115576967389106</v>
      </c>
      <c r="P178" s="23"/>
      <c r="Q178" s="24">
        <f ca="1">IFERROR(__xludf.DUMMYFUNCTION("""COMPUTED_VALUE"""),-0.581172049779049)</f>
        <v>-0.58117204977904902</v>
      </c>
      <c r="R178" s="23">
        <f ca="1">IFERROR(__xludf.DUMMYFUNCTION("""COMPUTED_VALUE"""),-0.179621115636213)</f>
        <v>-0.179621115636213</v>
      </c>
      <c r="S178" s="23">
        <f ca="1">IFERROR(__xludf.DUMMYFUNCTION("""COMPUTED_VALUE"""),-0.456446948964515)</f>
        <v>-0.45644694896451499</v>
      </c>
      <c r="T178" s="23">
        <f ca="1">IFERROR(__xludf.DUMMYFUNCTION("""COMPUTED_VALUE"""),0.912328485702846)</f>
        <v>0.91232848570284597</v>
      </c>
      <c r="U178" s="23"/>
      <c r="V178" s="23"/>
      <c r="W178" s="23">
        <f ca="1">IFERROR(__xludf.DUMMYFUNCTION("""COMPUTED_VALUE"""),0.48222164146751)</f>
        <v>0.48222164146751001</v>
      </c>
      <c r="X178" s="23"/>
      <c r="Y178" s="23">
        <f ca="1">IFERROR(__xludf.DUMMYFUNCTION("""COMPUTED_VALUE"""),-0.709409901221179)</f>
        <v>-0.70940990122117897</v>
      </c>
      <c r="Z178" s="23">
        <f ca="1">IFERROR(__xludf.DUMMYFUNCTION("""COMPUTED_VALUE"""),-0.653434577978293)</f>
        <v>-0.65343457797829296</v>
      </c>
      <c r="AA178" s="23"/>
      <c r="AB178" s="23">
        <f ca="1">IFERROR(__xludf.DUMMYFUNCTION("""COMPUTED_VALUE"""),0.803708000732182)</f>
        <v>0.80370800073218196</v>
      </c>
      <c r="AC178" s="22"/>
      <c r="AD178" s="23"/>
      <c r="AE178" s="23"/>
      <c r="AF178" s="22"/>
      <c r="AG178" s="22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</row>
    <row r="179" spans="1:45" ht="27.75" customHeight="1" x14ac:dyDescent="0.35">
      <c r="A179" s="15" t="s">
        <v>27</v>
      </c>
      <c r="B179" s="15" t="s">
        <v>99</v>
      </c>
      <c r="C179" s="15" t="str">
        <f ca="1">IFERROR(__xludf.DUMMYFUNCTION("""COMPUTED_VALUE"""),"2022/08/20 (土)
休日午後")</f>
        <v>2022/08/20 (土)
休日午後</v>
      </c>
      <c r="D179" s="15" t="str">
        <f ca="1">IFERROR(__xludf.DUMMYFUNCTION("""COMPUTED_VALUE"""),"休日午後")</f>
        <v>休日午後</v>
      </c>
      <c r="E179" s="16">
        <f ca="1">IFERROR(__xludf.DUMMYFUNCTION("""COMPUTED_VALUE"""),0.992121167550923)</f>
        <v>0.99212116755092306</v>
      </c>
      <c r="F179" s="15" t="s">
        <v>4</v>
      </c>
      <c r="G179" s="32">
        <v>-1</v>
      </c>
      <c r="H179" s="27" t="s">
        <v>19</v>
      </c>
      <c r="I179" s="27"/>
      <c r="J179" s="27" t="s">
        <v>113</v>
      </c>
      <c r="K179" s="23" t="b">
        <f ca="1">IFERROR(__xludf.DUMMYFUNCTION("""COMPUTED_VALUE"""),TRUE)</f>
        <v>1</v>
      </c>
      <c r="L179" s="22">
        <f ca="1">IFERROR(__xludf.DUMMYFUNCTION("""COMPUTED_VALUE"""),-0.518831594594728)</f>
        <v>-0.51883159459472805</v>
      </c>
      <c r="M179" s="23">
        <f ca="1">IFERROR(__xludf.DUMMYFUNCTION("""COMPUTED_VALUE"""),0.992121167550923)</f>
        <v>0.99212116755092306</v>
      </c>
      <c r="N179" s="23">
        <f ca="1">IFERROR(__xludf.DUMMYFUNCTION("""COMPUTED_VALUE"""),-0.36764735546348)</f>
        <v>-0.36764735546347999</v>
      </c>
      <c r="O179" s="23">
        <f ca="1">IFERROR(__xludf.DUMMYFUNCTION("""COMPUTED_VALUE"""),-0.257343996444901)</f>
        <v>-0.25734399644490102</v>
      </c>
      <c r="P179" s="23"/>
      <c r="Q179" s="24">
        <f ca="1">IFERROR(__xludf.DUMMYFUNCTION("""COMPUTED_VALUE"""),-0.873964394884113)</f>
        <v>-0.87396439488411304</v>
      </c>
      <c r="R179" s="23">
        <f ca="1">IFERROR(__xludf.DUMMYFUNCTION("""COMPUTED_VALUE"""),0.361228550825792)</f>
        <v>0.36122855082579203</v>
      </c>
      <c r="S179" s="23">
        <f ca="1">IFERROR(__xludf.DUMMYFUNCTION("""COMPUTED_VALUE"""),-0.494099951764559)</f>
        <v>-0.49409995176455901</v>
      </c>
      <c r="T179" s="23">
        <f ca="1">IFERROR(__xludf.DUMMYFUNCTION("""COMPUTED_VALUE"""),0.490909166068077)</f>
        <v>0.490909166068077</v>
      </c>
      <c r="U179" s="23"/>
      <c r="V179" s="23"/>
      <c r="W179" s="23">
        <f ca="1">IFERROR(__xludf.DUMMYFUNCTION("""COMPUTED_VALUE"""),0.194444330224453)</f>
        <v>0.19444433022445301</v>
      </c>
      <c r="X179" s="23"/>
      <c r="Y179" s="23">
        <f ca="1">IFERROR(__xludf.DUMMYFUNCTION("""COMPUTED_VALUE"""),-0.136223401373995)</f>
        <v>-0.136223401373995</v>
      </c>
      <c r="Z179" s="23">
        <f ca="1">IFERROR(__xludf.DUMMYFUNCTION("""COMPUTED_VALUE"""),-0.179449893831922)</f>
        <v>-0.179449893831922</v>
      </c>
      <c r="AA179" s="23"/>
      <c r="AB179" s="23">
        <f ca="1">IFERROR(__xludf.DUMMYFUNCTION("""COMPUTED_VALUE"""),0.358435437411172)</f>
        <v>0.35843543741117201</v>
      </c>
      <c r="AC179" s="22"/>
      <c r="AD179" s="23"/>
      <c r="AE179" s="23"/>
      <c r="AF179" s="22"/>
      <c r="AG179" s="22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</row>
    <row r="180" spans="1:45" ht="27.75" customHeight="1" x14ac:dyDescent="0.4">
      <c r="A180" s="15" t="s">
        <v>27</v>
      </c>
      <c r="B180" s="15" t="s">
        <v>99</v>
      </c>
      <c r="C180" s="15" t="str">
        <f ca="1">IFERROR(__xludf.DUMMYFUNCTION("""COMPUTED_VALUE"""),"2022/08/21 (日)
休日午前")</f>
        <v>2022/08/21 (日)
休日午前</v>
      </c>
      <c r="D180" s="15" t="str">
        <f ca="1">IFERROR(__xludf.DUMMYFUNCTION("""COMPUTED_VALUE"""),"休日午前")</f>
        <v>休日午前</v>
      </c>
      <c r="E180" s="16">
        <f ca="1">IFERROR(__xludf.DUMMYFUNCTION("""COMPUTED_VALUE"""),2.2086830367667)</f>
        <v>2.2086830367667001</v>
      </c>
      <c r="F180" s="15" t="s">
        <v>38</v>
      </c>
      <c r="G180" s="32">
        <v>2</v>
      </c>
      <c r="H180" s="29" t="s">
        <v>38</v>
      </c>
      <c r="I180" s="27"/>
      <c r="J180" s="27" t="s">
        <v>68</v>
      </c>
      <c r="K180" s="23" t="b">
        <f ca="1">IFERROR(__xludf.DUMMYFUNCTION("""COMPUTED_VALUE"""),FALSE)</f>
        <v>0</v>
      </c>
      <c r="L180" s="22">
        <f ca="1">IFERROR(__xludf.DUMMYFUNCTION("""COMPUTED_VALUE"""),-0.920737400675565)</f>
        <v>-0.92073740067556498</v>
      </c>
      <c r="M180" s="23">
        <f ca="1">IFERROR(__xludf.DUMMYFUNCTION("""COMPUTED_VALUE"""),-0.03846686187285)</f>
        <v>-3.8466861872849999E-2</v>
      </c>
      <c r="N180" s="23">
        <f ca="1">IFERROR(__xludf.DUMMYFUNCTION("""COMPUTED_VALUE"""),0.595383828978698)</f>
        <v>0.59538382897869802</v>
      </c>
      <c r="O180" s="23">
        <f ca="1">IFERROR(__xludf.DUMMYFUNCTION("""COMPUTED_VALUE"""),-0.403912810175385)</f>
        <v>-0.403912810175385</v>
      </c>
      <c r="P180" s="23"/>
      <c r="Q180" s="24">
        <f ca="1">IFERROR(__xludf.DUMMYFUNCTION("""COMPUTED_VALUE"""),0.733988039481276)</f>
        <v>0.733988039481276</v>
      </c>
      <c r="R180" s="23">
        <f ca="1">IFERROR(__xludf.DUMMYFUNCTION("""COMPUTED_VALUE"""),0.255158878483487)</f>
        <v>0.25515887848348701</v>
      </c>
      <c r="S180" s="23">
        <f ca="1">IFERROR(__xludf.DUMMYFUNCTION("""COMPUTED_VALUE"""),-0.701084223515213)</f>
        <v>-0.70108422351521305</v>
      </c>
      <c r="T180" s="23">
        <f ca="1">IFERROR(__xludf.DUMMYFUNCTION("""COMPUTED_VALUE"""),0.0890423669067388)</f>
        <v>8.9042366906738807E-2</v>
      </c>
      <c r="U180" s="23"/>
      <c r="V180" s="23"/>
      <c r="W180" s="23">
        <f ca="1">IFERROR(__xludf.DUMMYFUNCTION("""COMPUTED_VALUE"""),-0.345844992546654)</f>
        <v>-0.34584499254665402</v>
      </c>
      <c r="X180" s="23"/>
      <c r="Y180" s="23">
        <f ca="1">IFERROR(__xludf.DUMMYFUNCTION("""COMPUTED_VALUE"""),0.364946697913213)</f>
        <v>0.36494669791321299</v>
      </c>
      <c r="Z180" s="23">
        <f ca="1">IFERROR(__xludf.DUMMYFUNCTION("""COMPUTED_VALUE"""),-0.57939161308667)</f>
        <v>-0.57939161308666998</v>
      </c>
      <c r="AA180" s="23"/>
      <c r="AB180" s="23">
        <f ca="1">IFERROR(__xludf.DUMMYFUNCTION("""COMPUTED_VALUE"""),0.671865849527528)</f>
        <v>0.67186584952752804</v>
      </c>
      <c r="AC180" s="22"/>
      <c r="AD180" s="23"/>
      <c r="AE180" s="23"/>
      <c r="AF180" s="22"/>
      <c r="AG180" s="22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</row>
    <row r="181" spans="1:45" ht="27.75" customHeight="1" x14ac:dyDescent="0.4">
      <c r="A181" s="15" t="s">
        <v>27</v>
      </c>
      <c r="B181" s="15" t="s">
        <v>99</v>
      </c>
      <c r="C181" s="15" t="str">
        <f ca="1">IFERROR(__xludf.DUMMYFUNCTION("""COMPUTED_VALUE"""),"2022/08/21 (日)
休日午後")</f>
        <v>2022/08/21 (日)
休日午後</v>
      </c>
      <c r="D181" s="15" t="str">
        <f ca="1">IFERROR(__xludf.DUMMYFUNCTION("""COMPUTED_VALUE"""),"休日午後")</f>
        <v>休日午後</v>
      </c>
      <c r="E181" s="16">
        <f ca="1">IFERROR(__xludf.DUMMYFUNCTION("""COMPUTED_VALUE"""),2.02492262129554)</f>
        <v>2.02492262129554</v>
      </c>
      <c r="F181" s="15" t="s">
        <v>29</v>
      </c>
      <c r="G181" s="32">
        <v>2</v>
      </c>
      <c r="H181" s="29" t="s">
        <v>29</v>
      </c>
      <c r="I181" s="27"/>
      <c r="J181" s="27" t="s">
        <v>68</v>
      </c>
      <c r="K181" s="23" t="b">
        <f ca="1">IFERROR(__xludf.DUMMYFUNCTION("""COMPUTED_VALUE"""),TRUE)</f>
        <v>1</v>
      </c>
      <c r="L181" s="22">
        <f ca="1">IFERROR(__xludf.DUMMYFUNCTION("""COMPUTED_VALUE"""),-0.227056662215566)</f>
        <v>-0.227056662215566</v>
      </c>
      <c r="M181" s="23">
        <f ca="1">IFERROR(__xludf.DUMMYFUNCTION("""COMPUTED_VALUE"""),-0.91744850622726)</f>
        <v>-0.91744850622726004</v>
      </c>
      <c r="N181" s="23">
        <f ca="1">IFERROR(__xludf.DUMMYFUNCTION("""COMPUTED_VALUE"""),0.920545675854006)</f>
        <v>0.92054567585400604</v>
      </c>
      <c r="O181" s="23">
        <f ca="1">IFERROR(__xludf.DUMMYFUNCTION("""COMPUTED_VALUE"""),-0.614824620953482)</f>
        <v>-0.614824620953482</v>
      </c>
      <c r="P181" s="23"/>
      <c r="Q181" s="24">
        <f ca="1">IFERROR(__xludf.DUMMYFUNCTION("""COMPUTED_VALUE"""),0.965935280958947)</f>
        <v>0.96593528095894698</v>
      </c>
      <c r="R181" s="23">
        <f ca="1">IFERROR(__xludf.DUMMYFUNCTION("""COMPUTED_VALUE"""),0.896314617420554)</f>
        <v>0.89631461742055396</v>
      </c>
      <c r="S181" s="23">
        <f ca="1">IFERROR(__xludf.DUMMYFUNCTION("""COMPUTED_VALUE"""),-0.111600496614612)</f>
        <v>-0.11160049661461199</v>
      </c>
      <c r="T181" s="23">
        <f ca="1">IFERROR(__xludf.DUMMYFUNCTION("""COMPUTED_VALUE"""),0.213874026039811)</f>
        <v>0.21387402603981101</v>
      </c>
      <c r="U181" s="23"/>
      <c r="V181" s="23"/>
      <c r="W181" s="23">
        <f ca="1">IFERROR(__xludf.DUMMYFUNCTION("""COMPUTED_VALUE"""),-0.40926170277224)</f>
        <v>-0.40926170277224</v>
      </c>
      <c r="X181" s="23"/>
      <c r="Y181" s="23">
        <f ca="1">IFERROR(__xludf.DUMMYFUNCTION("""COMPUTED_VALUE"""),0.614203585983667)</f>
        <v>0.61420358598366698</v>
      </c>
      <c r="Z181" s="23">
        <f ca="1">IFERROR(__xludf.DUMMYFUNCTION("""COMPUTED_VALUE"""),-0.282608025699664)</f>
        <v>-0.28260802569966398</v>
      </c>
      <c r="AA181" s="23"/>
      <c r="AB181" s="23">
        <f ca="1">IFERROR(__xludf.DUMMYFUNCTION("""COMPUTED_VALUE"""),0.385970422509726)</f>
        <v>0.38597042250972602</v>
      </c>
      <c r="AC181" s="22"/>
      <c r="AD181" s="23"/>
      <c r="AE181" s="23"/>
      <c r="AF181" s="22"/>
      <c r="AG181" s="22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</row>
    <row r="182" spans="1:45" ht="27.75" customHeight="1" x14ac:dyDescent="0.4">
      <c r="A182" s="15" t="s">
        <v>27</v>
      </c>
      <c r="B182" s="15" t="s">
        <v>99</v>
      </c>
      <c r="C182" s="15" t="str">
        <f ca="1">IFERROR(__xludf.DUMMYFUNCTION("""COMPUTED_VALUE"""),"2022/08/22 (月)
平日夜間")</f>
        <v>2022/08/22 (月)
平日夜間</v>
      </c>
      <c r="D182" s="15" t="str">
        <f ca="1">IFERROR(__xludf.DUMMYFUNCTION("""COMPUTED_VALUE"""),"平日夜間")</f>
        <v>平日夜間</v>
      </c>
      <c r="E182" s="16">
        <f ca="1">IFERROR(__xludf.DUMMYFUNCTION("""COMPUTED_VALUE"""),2.74066859381357)</f>
        <v>2.7406685938135702</v>
      </c>
      <c r="F182" s="15" t="s">
        <v>14</v>
      </c>
      <c r="G182" s="32">
        <v>2</v>
      </c>
      <c r="H182" s="38" t="s">
        <v>14</v>
      </c>
      <c r="I182" s="27"/>
      <c r="J182" s="27" t="s">
        <v>114</v>
      </c>
      <c r="K182" s="23" t="b">
        <f ca="1">IFERROR(__xludf.DUMMYFUNCTION("""COMPUTED_VALUE"""),TRUE)</f>
        <v>1</v>
      </c>
      <c r="L182" s="22">
        <f ca="1">IFERROR(__xludf.DUMMYFUNCTION("""COMPUTED_VALUE"""),0.482597907130079)</f>
        <v>0.482597907130079</v>
      </c>
      <c r="M182" s="23">
        <f ca="1">IFERROR(__xludf.DUMMYFUNCTION("""COMPUTED_VALUE"""),-0.307137927808012)</f>
        <v>-0.30713792780801202</v>
      </c>
      <c r="N182" s="23">
        <f ca="1">IFERROR(__xludf.DUMMYFUNCTION("""COMPUTED_VALUE"""),0.211148056110743)</f>
        <v>0.211148056110743</v>
      </c>
      <c r="O182" s="23">
        <f ca="1">IFERROR(__xludf.DUMMYFUNCTION("""COMPUTED_VALUE"""),-0.42736847299154)</f>
        <v>-0.42736847299154002</v>
      </c>
      <c r="P182" s="23"/>
      <c r="Q182" s="24">
        <f ca="1">IFERROR(__xludf.DUMMYFUNCTION("""COMPUTED_VALUE"""),0.908939795600034)</f>
        <v>0.90893979560003402</v>
      </c>
      <c r="R182" s="23">
        <f ca="1">IFERROR(__xludf.DUMMYFUNCTION("""COMPUTED_VALUE"""),-0.912931478384925)</f>
        <v>-0.91293147838492505</v>
      </c>
      <c r="S182" s="23">
        <f ca="1">IFERROR(__xludf.DUMMYFUNCTION("""COMPUTED_VALUE"""),0.338695761454892)</f>
        <v>0.338695761454892</v>
      </c>
      <c r="T182" s="23">
        <f ca="1">IFERROR(__xludf.DUMMYFUNCTION("""COMPUTED_VALUE"""),0.554083547473872)</f>
        <v>0.55408354747387201</v>
      </c>
      <c r="U182" s="23"/>
      <c r="V182" s="23"/>
      <c r="W182" s="23">
        <f ca="1">IFERROR(__xludf.DUMMYFUNCTION("""COMPUTED_VALUE"""),0.957558127786884)</f>
        <v>0.95755812778688398</v>
      </c>
      <c r="X182" s="23"/>
      <c r="Y182" s="23">
        <f ca="1">IFERROR(__xludf.DUMMYFUNCTION("""COMPUTED_VALUE"""),2.74066859381357)</f>
        <v>2.7406685938135702</v>
      </c>
      <c r="Z182" s="23">
        <f ca="1">IFERROR(__xludf.DUMMYFUNCTION("""COMPUTED_VALUE"""),0.257020308533404)</f>
        <v>0.25702030853340402</v>
      </c>
      <c r="AA182" s="23"/>
      <c r="AB182" s="23">
        <f ca="1">IFERROR(__xludf.DUMMYFUNCTION("""COMPUTED_VALUE"""),0.878766436957686)</f>
        <v>0.87876643695768597</v>
      </c>
      <c r="AC182" s="22"/>
      <c r="AD182" s="23"/>
      <c r="AE182" s="23"/>
      <c r="AF182" s="22"/>
      <c r="AG182" s="22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</row>
    <row r="183" spans="1:45" ht="27.75" customHeight="1" x14ac:dyDescent="0.4">
      <c r="A183" s="15" t="s">
        <v>27</v>
      </c>
      <c r="B183" s="15" t="s">
        <v>99</v>
      </c>
      <c r="C183" s="15" t="str">
        <f ca="1">IFERROR(__xludf.DUMMYFUNCTION("""COMPUTED_VALUE"""),"2022/08/23 (火)
平日夜間")</f>
        <v>2022/08/23 (火)
平日夜間</v>
      </c>
      <c r="D183" s="15" t="str">
        <f ca="1">IFERROR(__xludf.DUMMYFUNCTION("""COMPUTED_VALUE"""),"平日夜間")</f>
        <v>平日夜間</v>
      </c>
      <c r="E183" s="16">
        <f ca="1">IFERROR(__xludf.DUMMYFUNCTION("""COMPUTED_VALUE"""),2.94681684212938)</f>
        <v>2.9468168421293801</v>
      </c>
      <c r="F183" s="15" t="s">
        <v>4</v>
      </c>
      <c r="G183" s="32">
        <v>2</v>
      </c>
      <c r="H183" s="38" t="s">
        <v>4</v>
      </c>
      <c r="I183" s="27"/>
      <c r="J183" s="27" t="s">
        <v>115</v>
      </c>
      <c r="K183" s="23" t="b">
        <f ca="1">IFERROR(__xludf.DUMMYFUNCTION("""COMPUTED_VALUE"""),TRUE)</f>
        <v>1</v>
      </c>
      <c r="L183" s="22">
        <f ca="1">IFERROR(__xludf.DUMMYFUNCTION("""COMPUTED_VALUE"""),0.18210954256017)</f>
        <v>0.18210954256017001</v>
      </c>
      <c r="M183" s="23">
        <f ca="1">IFERROR(__xludf.DUMMYFUNCTION("""COMPUTED_VALUE"""),2.94681684212938)</f>
        <v>2.9468168421293801</v>
      </c>
      <c r="N183" s="23">
        <f ca="1">IFERROR(__xludf.DUMMYFUNCTION("""COMPUTED_VALUE"""),0.344313802899143)</f>
        <v>0.34431380289914298</v>
      </c>
      <c r="O183" s="23">
        <f ca="1">IFERROR(__xludf.DUMMYFUNCTION("""COMPUTED_VALUE"""),0.259999835168863)</f>
        <v>0.25999983516886299</v>
      </c>
      <c r="P183" s="23"/>
      <c r="Q183" s="24">
        <f ca="1">IFERROR(__xludf.DUMMYFUNCTION("""COMPUTED_VALUE"""),0.389113364936169)</f>
        <v>0.38911336493616899</v>
      </c>
      <c r="R183" s="23">
        <f ca="1">IFERROR(__xludf.DUMMYFUNCTION("""COMPUTED_VALUE"""),-0.981788400751193)</f>
        <v>-0.981788400751193</v>
      </c>
      <c r="S183" s="23">
        <f ca="1">IFERROR(__xludf.DUMMYFUNCTION("""COMPUTED_VALUE"""),0.58175148126444)</f>
        <v>0.58175148126443998</v>
      </c>
      <c r="T183" s="23">
        <f ca="1">IFERROR(__xludf.DUMMYFUNCTION("""COMPUTED_VALUE"""),0.136343789285387)</f>
        <v>0.13634378928538701</v>
      </c>
      <c r="U183" s="23"/>
      <c r="V183" s="23"/>
      <c r="W183" s="23">
        <f ca="1">IFERROR(__xludf.DUMMYFUNCTION("""COMPUTED_VALUE"""),-0.591874713829492)</f>
        <v>-0.59187471382949197</v>
      </c>
      <c r="X183" s="23"/>
      <c r="Y183" s="23">
        <f ca="1">IFERROR(__xludf.DUMMYFUNCTION("""COMPUTED_VALUE"""),-0.151152255977626)</f>
        <v>-0.15115225597762599</v>
      </c>
      <c r="Z183" s="23">
        <f ca="1">IFERROR(__xludf.DUMMYFUNCTION("""COMPUTED_VALUE"""),0.186238867125607)</f>
        <v>0.186238867125607</v>
      </c>
      <c r="AA183" s="23"/>
      <c r="AB183" s="23">
        <f ca="1">IFERROR(__xludf.DUMMYFUNCTION("""COMPUTED_VALUE"""),0.570255884791837)</f>
        <v>0.57025588479183698</v>
      </c>
      <c r="AC183" s="22"/>
      <c r="AD183" s="23"/>
      <c r="AE183" s="23"/>
      <c r="AF183" s="22"/>
      <c r="AG183" s="22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</row>
    <row r="184" spans="1:45" ht="27.75" customHeight="1" x14ac:dyDescent="0.4">
      <c r="A184" s="15" t="s">
        <v>27</v>
      </c>
      <c r="B184" s="15" t="s">
        <v>99</v>
      </c>
      <c r="C184" s="15" t="str">
        <f ca="1">IFERROR(__xludf.DUMMYFUNCTION("""COMPUTED_VALUE"""),"2022/08/24 (水)
平日夜間")</f>
        <v>2022/08/24 (水)
平日夜間</v>
      </c>
      <c r="D184" s="15" t="str">
        <f ca="1">IFERROR(__xludf.DUMMYFUNCTION("""COMPUTED_VALUE"""),"平日夜間")</f>
        <v>平日夜間</v>
      </c>
      <c r="E184" s="16">
        <f ca="1">IFERROR(__xludf.DUMMYFUNCTION("""COMPUTED_VALUE"""),0.970234702341646)</f>
        <v>0.97023470234164599</v>
      </c>
      <c r="F184" s="15" t="s">
        <v>10</v>
      </c>
      <c r="G184" s="32">
        <v>0</v>
      </c>
      <c r="H184" s="38" t="s">
        <v>8</v>
      </c>
      <c r="I184" s="27"/>
      <c r="J184" s="27" t="s">
        <v>36</v>
      </c>
      <c r="K184" s="23" t="b">
        <f ca="1">IFERROR(__xludf.DUMMYFUNCTION("""COMPUTED_VALUE"""),TRUE)</f>
        <v>1</v>
      </c>
      <c r="L184" s="22">
        <f ca="1">IFERROR(__xludf.DUMMYFUNCTION("""COMPUTED_VALUE"""),0.646632425772019)</f>
        <v>0.64663242577201896</v>
      </c>
      <c r="M184" s="23">
        <f ca="1">IFERROR(__xludf.DUMMYFUNCTION("""COMPUTED_VALUE"""),-0.325639970777015)</f>
        <v>-0.32563997077701501</v>
      </c>
      <c r="N184" s="23">
        <f ca="1">IFERROR(__xludf.DUMMYFUNCTION("""COMPUTED_VALUE"""),0.840919580979132)</f>
        <v>0.840919580979132</v>
      </c>
      <c r="O184" s="23">
        <f ca="1">IFERROR(__xludf.DUMMYFUNCTION("""COMPUTED_VALUE"""),0.393447721668442)</f>
        <v>0.393447721668442</v>
      </c>
      <c r="P184" s="23"/>
      <c r="Q184" s="24">
        <f ca="1">IFERROR(__xludf.DUMMYFUNCTION("""COMPUTED_VALUE"""),0.928060221823606)</f>
        <v>0.92806022182360604</v>
      </c>
      <c r="R184" s="23">
        <f ca="1">IFERROR(__xludf.DUMMYFUNCTION("""COMPUTED_VALUE"""),0.326929361243297)</f>
        <v>0.32692936124329702</v>
      </c>
      <c r="S184" s="23">
        <f ca="1">IFERROR(__xludf.DUMMYFUNCTION("""COMPUTED_VALUE"""),0.917385716225474)</f>
        <v>0.91738571622547405</v>
      </c>
      <c r="T184" s="23">
        <f ca="1">IFERROR(__xludf.DUMMYFUNCTION("""COMPUTED_VALUE"""),0.633607393616855)</f>
        <v>0.63360739361685503</v>
      </c>
      <c r="U184" s="23"/>
      <c r="V184" s="23"/>
      <c r="W184" s="23">
        <f ca="1">IFERROR(__xludf.DUMMYFUNCTION("""COMPUTED_VALUE"""),-0.918887789543232)</f>
        <v>-0.91888778954323203</v>
      </c>
      <c r="X184" s="23"/>
      <c r="Y184" s="23">
        <f ca="1">IFERROR(__xludf.DUMMYFUNCTION("""COMPUTED_VALUE"""),0.486316930817504)</f>
        <v>0.48631693081750399</v>
      </c>
      <c r="Z184" s="23">
        <f ca="1">IFERROR(__xludf.DUMMYFUNCTION("""COMPUTED_VALUE"""),0.970234702341646)</f>
        <v>0.97023470234164599</v>
      </c>
      <c r="AA184" s="23"/>
      <c r="AB184" s="23">
        <f ca="1">IFERROR(__xludf.DUMMYFUNCTION("""COMPUTED_VALUE"""),0.8786326134081)</f>
        <v>0.87863261340809995</v>
      </c>
      <c r="AC184" s="22"/>
      <c r="AD184" s="23"/>
      <c r="AE184" s="23"/>
      <c r="AF184" s="22"/>
      <c r="AG184" s="22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</row>
    <row r="185" spans="1:45" ht="27.75" customHeight="1" x14ac:dyDescent="0.35">
      <c r="A185" s="15" t="s">
        <v>27</v>
      </c>
      <c r="B185" s="15" t="s">
        <v>99</v>
      </c>
      <c r="C185" s="15" t="str">
        <f ca="1">IFERROR(__xludf.DUMMYFUNCTION("""COMPUTED_VALUE"""),"2022/08/25 (木)
平日夜間")</f>
        <v>2022/08/25 (木)
平日夜間</v>
      </c>
      <c r="D185" s="15" t="str">
        <f ca="1">IFERROR(__xludf.DUMMYFUNCTION("""COMPUTED_VALUE"""),"平日夜間")</f>
        <v>平日夜間</v>
      </c>
      <c r="E185" s="16">
        <f ca="1">IFERROR(__xludf.DUMMYFUNCTION("""COMPUTED_VALUE"""),0.947092931378718)</f>
        <v>0.94709293137871797</v>
      </c>
      <c r="F185" s="15" t="s">
        <v>14</v>
      </c>
      <c r="G185" s="32">
        <v>0</v>
      </c>
      <c r="H185" s="27" t="s">
        <v>45</v>
      </c>
      <c r="I185" s="27"/>
      <c r="J185" s="27"/>
      <c r="K185" s="23" t="b">
        <f ca="1">IFERROR(__xludf.DUMMYFUNCTION("""COMPUTED_VALUE"""),FALSE)</f>
        <v>0</v>
      </c>
      <c r="L185" s="22">
        <f ca="1">IFERROR(__xludf.DUMMYFUNCTION("""COMPUTED_VALUE"""),0.788814099027077)</f>
        <v>0.788814099027077</v>
      </c>
      <c r="M185" s="23">
        <f ca="1">IFERROR(__xludf.DUMMYFUNCTION("""COMPUTED_VALUE"""),0.83251613931433)</f>
        <v>0.83251613931432999</v>
      </c>
      <c r="N185" s="23">
        <f ca="1">IFERROR(__xludf.DUMMYFUNCTION("""COMPUTED_VALUE"""),0.256769395829155)</f>
        <v>0.25676939582915498</v>
      </c>
      <c r="O185" s="23">
        <f ca="1">IFERROR(__xludf.DUMMYFUNCTION("""COMPUTED_VALUE"""),0.305101204744771)</f>
        <v>0.30510120474477098</v>
      </c>
      <c r="P185" s="23"/>
      <c r="Q185" s="24">
        <f ca="1">IFERROR(__xludf.DUMMYFUNCTION("""COMPUTED_VALUE"""),-0.199039308815929)</f>
        <v>-0.19903930881592899</v>
      </c>
      <c r="R185" s="23">
        <f ca="1">IFERROR(__xludf.DUMMYFUNCTION("""COMPUTED_VALUE"""),-0.9781485411804)</f>
        <v>-0.97814854118039996</v>
      </c>
      <c r="S185" s="23">
        <f ca="1">IFERROR(__xludf.DUMMYFUNCTION("""COMPUTED_VALUE"""),0.759166566853098)</f>
        <v>0.75916656685309802</v>
      </c>
      <c r="T185" s="23">
        <f ca="1">IFERROR(__xludf.DUMMYFUNCTION("""COMPUTED_VALUE"""),0.900105285804738)</f>
        <v>0.90010528580473803</v>
      </c>
      <c r="U185" s="23"/>
      <c r="V185" s="23"/>
      <c r="W185" s="23">
        <f ca="1">IFERROR(__xludf.DUMMYFUNCTION("""COMPUTED_VALUE"""),0.00227218688443731)</f>
        <v>2.2721868844373101E-3</v>
      </c>
      <c r="X185" s="23"/>
      <c r="Y185" s="23">
        <f ca="1">IFERROR(__xludf.DUMMYFUNCTION("""COMPUTED_VALUE"""),0.947092931378718)</f>
        <v>0.94709293137871797</v>
      </c>
      <c r="Z185" s="23">
        <f ca="1">IFERROR(__xludf.DUMMYFUNCTION("""COMPUTED_VALUE"""),0.769203552581482)</f>
        <v>0.76920355258148199</v>
      </c>
      <c r="AA185" s="23"/>
      <c r="AB185" s="23">
        <f ca="1">IFERROR(__xludf.DUMMYFUNCTION("""COMPUTED_VALUE"""),0.817872122138303)</f>
        <v>0.81787212213830296</v>
      </c>
      <c r="AC185" s="22"/>
      <c r="AD185" s="23"/>
      <c r="AE185" s="23"/>
      <c r="AF185" s="22"/>
      <c r="AG185" s="22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</row>
    <row r="186" spans="1:45" ht="27.75" customHeight="1" x14ac:dyDescent="0.35">
      <c r="A186" s="15" t="s">
        <v>27</v>
      </c>
      <c r="B186" s="15" t="s">
        <v>99</v>
      </c>
      <c r="C186" s="15" t="str">
        <f ca="1">IFERROR(__xludf.DUMMYFUNCTION("""COMPUTED_VALUE"""),"2022/08/26 (金)
平日夜間")</f>
        <v>2022/08/26 (金)
平日夜間</v>
      </c>
      <c r="D186" s="15" t="str">
        <f ca="1">IFERROR(__xludf.DUMMYFUNCTION("""COMPUTED_VALUE"""),"平日夜間")</f>
        <v>平日夜間</v>
      </c>
      <c r="E186" s="16">
        <f ca="1">IFERROR(__xludf.DUMMYFUNCTION("""COMPUTED_VALUE"""),1.50219151603034)</f>
        <v>1.5021915160303401</v>
      </c>
      <c r="F186" s="15" t="s">
        <v>11</v>
      </c>
      <c r="G186" s="32">
        <v>0</v>
      </c>
      <c r="H186" s="27" t="s">
        <v>30</v>
      </c>
      <c r="I186" s="27"/>
      <c r="J186" s="27"/>
      <c r="K186" s="23" t="b">
        <f ca="1">IFERROR(__xludf.DUMMYFUNCTION("""COMPUTED_VALUE"""),FALSE)</f>
        <v>0</v>
      </c>
      <c r="L186" s="22">
        <f ca="1">IFERROR(__xludf.DUMMYFUNCTION("""COMPUTED_VALUE"""),0.602574224650087)</f>
        <v>0.60257422465008703</v>
      </c>
      <c r="M186" s="23">
        <f ca="1">IFERROR(__xludf.DUMMYFUNCTION("""COMPUTED_VALUE"""),0.86931141056642)</f>
        <v>0.86931141056642003</v>
      </c>
      <c r="N186" s="23">
        <f ca="1">IFERROR(__xludf.DUMMYFUNCTION("""COMPUTED_VALUE"""),0.566576126945247)</f>
        <v>0.56657612694524695</v>
      </c>
      <c r="O186" s="23">
        <f ca="1">IFERROR(__xludf.DUMMYFUNCTION("""COMPUTED_VALUE"""),0.472743311733668)</f>
        <v>0.47274331173366801</v>
      </c>
      <c r="P186" s="23"/>
      <c r="Q186" s="24">
        <f ca="1">IFERROR(__xludf.DUMMYFUNCTION("""COMPUTED_VALUE"""),-0.738537146503042)</f>
        <v>-0.73853714650304203</v>
      </c>
      <c r="R186" s="23">
        <f ca="1">IFERROR(__xludf.DUMMYFUNCTION("""COMPUTED_VALUE"""),0.944560963615447)</f>
        <v>0.94456096361544695</v>
      </c>
      <c r="S186" s="23">
        <f ca="1">IFERROR(__xludf.DUMMYFUNCTION("""COMPUTED_VALUE"""),0.240902076087205)</f>
        <v>0.24090207608720501</v>
      </c>
      <c r="T186" s="23">
        <f ca="1">IFERROR(__xludf.DUMMYFUNCTION("""COMPUTED_VALUE"""),1.50219151603034)</f>
        <v>1.5021915160303401</v>
      </c>
      <c r="U186" s="23"/>
      <c r="V186" s="23"/>
      <c r="W186" s="23">
        <f ca="1">IFERROR(__xludf.DUMMYFUNCTION("""COMPUTED_VALUE"""),0.681573239236418)</f>
        <v>0.68157323923641799</v>
      </c>
      <c r="X186" s="23"/>
      <c r="Y186" s="23">
        <f ca="1">IFERROR(__xludf.DUMMYFUNCTION("""COMPUTED_VALUE"""),0.132891377460559)</f>
        <v>0.13289137746055901</v>
      </c>
      <c r="Z186" s="23">
        <f ca="1">IFERROR(__xludf.DUMMYFUNCTION("""COMPUTED_VALUE"""),0.801881187485837)</f>
        <v>0.80188118748583703</v>
      </c>
      <c r="AA186" s="23"/>
      <c r="AB186" s="23">
        <f ca="1">IFERROR(__xludf.DUMMYFUNCTION("""COMPUTED_VALUE"""),0.887240984790204)</f>
        <v>0.88724098479020397</v>
      </c>
      <c r="AC186" s="22"/>
      <c r="AD186" s="23"/>
      <c r="AE186" s="23"/>
      <c r="AF186" s="22"/>
      <c r="AG186" s="22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</row>
    <row r="187" spans="1:45" ht="27.75" customHeight="1" x14ac:dyDescent="0.35">
      <c r="A187" s="15" t="s">
        <v>27</v>
      </c>
      <c r="B187" s="15" t="s">
        <v>99</v>
      </c>
      <c r="C187" s="15" t="str">
        <f ca="1">IFERROR(__xludf.DUMMYFUNCTION("""COMPUTED_VALUE"""),"2022/08/27 (土)
休日午前")</f>
        <v>2022/08/27 (土)
休日午前</v>
      </c>
      <c r="D187" s="15" t="str">
        <f ca="1">IFERROR(__xludf.DUMMYFUNCTION("""COMPUTED_VALUE"""),"休日午前")</f>
        <v>休日午前</v>
      </c>
      <c r="E187" s="16">
        <f ca="1">IFERROR(__xludf.DUMMYFUNCTION("""COMPUTED_VALUE"""),1.55720659798615)</f>
        <v>1.55720659798615</v>
      </c>
      <c r="F187" s="15" t="s">
        <v>19</v>
      </c>
      <c r="G187" s="32">
        <v>0</v>
      </c>
      <c r="H187" s="27" t="s">
        <v>4</v>
      </c>
      <c r="I187" s="27"/>
      <c r="J187" s="27" t="s">
        <v>116</v>
      </c>
      <c r="K187" s="23" t="b">
        <f ca="1">IFERROR(__xludf.DUMMYFUNCTION("""COMPUTED_VALUE"""),FALSE)</f>
        <v>0</v>
      </c>
      <c r="L187" s="22">
        <f ca="1">IFERROR(__xludf.DUMMYFUNCTION("""COMPUTED_VALUE"""),0.305884732813258)</f>
        <v>0.30588473281325801</v>
      </c>
      <c r="M187" s="23">
        <f ca="1">IFERROR(__xludf.DUMMYFUNCTION("""COMPUTED_VALUE"""),0.426609563937258)</f>
        <v>0.42660956393725802</v>
      </c>
      <c r="N187" s="23">
        <f ca="1">IFERROR(__xludf.DUMMYFUNCTION("""COMPUTED_VALUE"""),-0.760907420179576)</f>
        <v>-0.76090742017957602</v>
      </c>
      <c r="O187" s="23">
        <f ca="1">IFERROR(__xludf.DUMMYFUNCTION("""COMPUTED_VALUE"""),1.55720659798615)</f>
        <v>1.55720659798615</v>
      </c>
      <c r="P187" s="23"/>
      <c r="Q187" s="24">
        <f ca="1">IFERROR(__xludf.DUMMYFUNCTION("""COMPUTED_VALUE"""),-0.702641276651689)</f>
        <v>-0.70264127665168896</v>
      </c>
      <c r="R187" s="23">
        <f ca="1">IFERROR(__xludf.DUMMYFUNCTION("""COMPUTED_VALUE"""),0.326497990528115)</f>
        <v>0.32649799052811501</v>
      </c>
      <c r="S187" s="23">
        <f ca="1">IFERROR(__xludf.DUMMYFUNCTION("""COMPUTED_VALUE"""),-0.375437572568768)</f>
        <v>-0.37543757256876797</v>
      </c>
      <c r="T187" s="23">
        <f ca="1">IFERROR(__xludf.DUMMYFUNCTION("""COMPUTED_VALUE"""),0.327434922190423)</f>
        <v>0.32743492219042297</v>
      </c>
      <c r="U187" s="23"/>
      <c r="V187" s="23"/>
      <c r="W187" s="23">
        <f ca="1">IFERROR(__xludf.DUMMYFUNCTION("""COMPUTED_VALUE"""),0.100653376043295)</f>
        <v>0.100653376043295</v>
      </c>
      <c r="X187" s="23"/>
      <c r="Y187" s="23">
        <f ca="1">IFERROR(__xludf.DUMMYFUNCTION("""COMPUTED_VALUE"""),-0.186686396473762)</f>
        <v>-0.18668639647376201</v>
      </c>
      <c r="Z187" s="23">
        <f ca="1">IFERROR(__xludf.DUMMYFUNCTION("""COMPUTED_VALUE"""),0.751734112307891)</f>
        <v>0.751734112307891</v>
      </c>
      <c r="AA187" s="23"/>
      <c r="AB187" s="23">
        <f ca="1">IFERROR(__xludf.DUMMYFUNCTION("""COMPUTED_VALUE"""),-0.765684480898614)</f>
        <v>-0.76568448089861396</v>
      </c>
      <c r="AC187" s="22"/>
      <c r="AD187" s="23"/>
      <c r="AE187" s="23"/>
      <c r="AF187" s="22"/>
      <c r="AG187" s="22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</row>
    <row r="188" spans="1:45" ht="27.75" customHeight="1" x14ac:dyDescent="0.4">
      <c r="A188" s="15" t="s">
        <v>27</v>
      </c>
      <c r="B188" s="15" t="s">
        <v>99</v>
      </c>
      <c r="C188" s="15" t="str">
        <f ca="1">IFERROR(__xludf.DUMMYFUNCTION("""COMPUTED_VALUE"""),"2022/08/27 (土)
休日午後")</f>
        <v>2022/08/27 (土)
休日午後</v>
      </c>
      <c r="D188" s="15" t="str">
        <f ca="1">IFERROR(__xludf.DUMMYFUNCTION("""COMPUTED_VALUE"""),"休日午後")</f>
        <v>休日午後</v>
      </c>
      <c r="E188" s="16">
        <f ca="1">IFERROR(__xludf.DUMMYFUNCTION("""COMPUTED_VALUE"""),0.878833578933195)</f>
        <v>0.87883357893319503</v>
      </c>
      <c r="F188" s="15" t="s">
        <v>38</v>
      </c>
      <c r="G188" s="32"/>
      <c r="H188" s="38" t="s">
        <v>12</v>
      </c>
      <c r="I188" s="27"/>
      <c r="J188" s="27" t="s">
        <v>116</v>
      </c>
      <c r="K188" s="23" t="b">
        <f ca="1">IFERROR(__xludf.DUMMYFUNCTION("""COMPUTED_VALUE"""),TRUE)</f>
        <v>1</v>
      </c>
      <c r="L188" s="22">
        <f ca="1">IFERROR(__xludf.DUMMYFUNCTION("""COMPUTED_VALUE"""),0.0224870228228466)</f>
        <v>2.2487022822846599E-2</v>
      </c>
      <c r="M188" s="23">
        <f ca="1">IFERROR(__xludf.DUMMYFUNCTION("""COMPUTED_VALUE"""),0.752751523180355)</f>
        <v>0.75275152318035499</v>
      </c>
      <c r="N188" s="23">
        <f ca="1">IFERROR(__xludf.DUMMYFUNCTION("""COMPUTED_VALUE"""),-0.254287591739982)</f>
        <v>-0.254287591739982</v>
      </c>
      <c r="O188" s="23">
        <f ca="1">IFERROR(__xludf.DUMMYFUNCTION("""COMPUTED_VALUE"""),0.031533717967817)</f>
        <v>3.1533717967817003E-2</v>
      </c>
      <c r="P188" s="23"/>
      <c r="Q188" s="24">
        <f ca="1">IFERROR(__xludf.DUMMYFUNCTION("""COMPUTED_VALUE"""),-0.741603100281717)</f>
        <v>-0.74160310028171705</v>
      </c>
      <c r="R188" s="23">
        <f ca="1">IFERROR(__xludf.DUMMYFUNCTION("""COMPUTED_VALUE"""),0.512752429160283)</f>
        <v>0.51275242916028296</v>
      </c>
      <c r="S188" s="23">
        <f ca="1">IFERROR(__xludf.DUMMYFUNCTION("""COMPUTED_VALUE"""),-0.199418850835832)</f>
        <v>-0.199418850835832</v>
      </c>
      <c r="T188" s="23">
        <f ca="1">IFERROR(__xludf.DUMMYFUNCTION("""COMPUTED_VALUE"""),0.214987861145811)</f>
        <v>0.214987861145811</v>
      </c>
      <c r="U188" s="23"/>
      <c r="V188" s="23"/>
      <c r="W188" s="23">
        <f ca="1">IFERROR(__xludf.DUMMYFUNCTION("""COMPUTED_VALUE"""),0.0639864988021268)</f>
        <v>6.3986498802126798E-2</v>
      </c>
      <c r="X188" s="23"/>
      <c r="Y188" s="23">
        <f ca="1">IFERROR(__xludf.DUMMYFUNCTION("""COMPUTED_VALUE"""),-0.0971671244768803)</f>
        <v>-9.7167124476880307E-2</v>
      </c>
      <c r="Z188" s="23">
        <f ca="1">IFERROR(__xludf.DUMMYFUNCTION("""COMPUTED_VALUE"""),0.695724933936969)</f>
        <v>0.69572493393696899</v>
      </c>
      <c r="AA188" s="23"/>
      <c r="AB188" s="23">
        <f ca="1">IFERROR(__xludf.DUMMYFUNCTION("""COMPUTED_VALUE"""),-0.997795838720347)</f>
        <v>-0.99779583872034705</v>
      </c>
      <c r="AC188" s="22"/>
      <c r="AD188" s="23"/>
      <c r="AE188" s="23"/>
      <c r="AF188" s="22"/>
      <c r="AG188" s="22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</row>
    <row r="189" spans="1:45" ht="27.75" customHeight="1" x14ac:dyDescent="0.4">
      <c r="A189" s="15" t="s">
        <v>27</v>
      </c>
      <c r="B189" s="15" t="s">
        <v>99</v>
      </c>
      <c r="C189" s="15" t="str">
        <f ca="1">IFERROR(__xludf.DUMMYFUNCTION("""COMPUTED_VALUE"""),"2022/08/28 (日)
休日午前")</f>
        <v>2022/08/28 (日)
休日午前</v>
      </c>
      <c r="D189" s="15" t="str">
        <f ca="1">IFERROR(__xludf.DUMMYFUNCTION("""COMPUTED_VALUE"""),"休日午前")</f>
        <v>休日午前</v>
      </c>
      <c r="E189" s="16">
        <f ca="1">IFERROR(__xludf.DUMMYFUNCTION("""COMPUTED_VALUE"""),1.21604899483913)</f>
        <v>1.21604899483913</v>
      </c>
      <c r="F189" s="15" t="s">
        <v>11</v>
      </c>
      <c r="G189" s="32">
        <v>1</v>
      </c>
      <c r="H189" s="29" t="s">
        <v>11</v>
      </c>
      <c r="I189" s="27"/>
      <c r="J189" s="27" t="s">
        <v>117</v>
      </c>
      <c r="K189" s="23" t="b">
        <f ca="1">IFERROR(__xludf.DUMMYFUNCTION("""COMPUTED_VALUE"""),TRUE)</f>
        <v>1</v>
      </c>
      <c r="L189" s="22">
        <f ca="1">IFERROR(__xludf.DUMMYFUNCTION("""COMPUTED_VALUE"""),0.519371606166599)</f>
        <v>0.51937160616659905</v>
      </c>
      <c r="M189" s="23">
        <f ca="1">IFERROR(__xludf.DUMMYFUNCTION("""COMPUTED_VALUE"""),-0.7440494391927)</f>
        <v>-0.74404943919269995</v>
      </c>
      <c r="N189" s="23">
        <f ca="1">IFERROR(__xludf.DUMMYFUNCTION("""COMPUTED_VALUE"""),0.316983798038006)</f>
        <v>0.31698379803800603</v>
      </c>
      <c r="O189" s="23">
        <f ca="1">IFERROR(__xludf.DUMMYFUNCTION("""COMPUTED_VALUE"""),1.04531568902539)</f>
        <v>1.0453156890253901</v>
      </c>
      <c r="P189" s="23"/>
      <c r="Q189" s="24">
        <f ca="1">IFERROR(__xludf.DUMMYFUNCTION("""COMPUTED_VALUE"""),-0.248253130216628)</f>
        <v>-0.24825313021662801</v>
      </c>
      <c r="R189" s="23">
        <f ca="1">IFERROR(__xludf.DUMMYFUNCTION("""COMPUTED_VALUE"""),0.714946079912334)</f>
        <v>0.71494607991233405</v>
      </c>
      <c r="S189" s="23">
        <f ca="1">IFERROR(__xludf.DUMMYFUNCTION("""COMPUTED_VALUE"""),-0.181974588668675)</f>
        <v>-0.181974588668675</v>
      </c>
      <c r="T189" s="23">
        <f ca="1">IFERROR(__xludf.DUMMYFUNCTION("""COMPUTED_VALUE"""),1.21604899483913)</f>
        <v>1.21604899483913</v>
      </c>
      <c r="U189" s="23"/>
      <c r="V189" s="23"/>
      <c r="W189" s="23">
        <f ca="1">IFERROR(__xludf.DUMMYFUNCTION("""COMPUTED_VALUE"""),0.694925036404352)</f>
        <v>0.69492503640435199</v>
      </c>
      <c r="X189" s="23"/>
      <c r="Y189" s="23">
        <f ca="1">IFERROR(__xludf.DUMMYFUNCTION("""COMPUTED_VALUE"""),-0.0725811894552197)</f>
        <v>-7.25811894552197E-2</v>
      </c>
      <c r="Z189" s="23">
        <f ca="1">IFERROR(__xludf.DUMMYFUNCTION("""COMPUTED_VALUE"""),-0.0548359734878052)</f>
        <v>-5.4835973487805202E-2</v>
      </c>
      <c r="AA189" s="23"/>
      <c r="AB189" s="23">
        <f ca="1">IFERROR(__xludf.DUMMYFUNCTION("""COMPUTED_VALUE"""),0.442957435752507)</f>
        <v>0.44295743575250701</v>
      </c>
      <c r="AC189" s="22"/>
      <c r="AD189" s="23"/>
      <c r="AE189" s="23"/>
      <c r="AF189" s="22"/>
      <c r="AG189" s="22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</row>
    <row r="190" spans="1:45" ht="27.75" customHeight="1" x14ac:dyDescent="0.4">
      <c r="A190" s="15" t="s">
        <v>27</v>
      </c>
      <c r="B190" s="15" t="s">
        <v>99</v>
      </c>
      <c r="C190" s="15" t="str">
        <f ca="1">IFERROR(__xludf.DUMMYFUNCTION("""COMPUTED_VALUE"""),"2022/08/28 (日)
休日午後")</f>
        <v>2022/08/28 (日)
休日午後</v>
      </c>
      <c r="D190" s="15" t="str">
        <f ca="1">IFERROR(__xludf.DUMMYFUNCTION("""COMPUTED_VALUE"""),"休日午後")</f>
        <v>休日午後</v>
      </c>
      <c r="E190" s="16">
        <f ca="1">IFERROR(__xludf.DUMMYFUNCTION("""COMPUTED_VALUE"""),2.10743834812459)</f>
        <v>2.1074383481245902</v>
      </c>
      <c r="F190" s="15" t="s">
        <v>15</v>
      </c>
      <c r="G190" s="32">
        <v>2</v>
      </c>
      <c r="H190" s="38" t="s">
        <v>15</v>
      </c>
      <c r="I190" s="27"/>
      <c r="J190" s="27" t="s">
        <v>117</v>
      </c>
      <c r="K190" s="23" t="b">
        <f ca="1">IFERROR(__xludf.DUMMYFUNCTION("""COMPUTED_VALUE"""),TRUE)</f>
        <v>1</v>
      </c>
      <c r="L190" s="22">
        <f ca="1">IFERROR(__xludf.DUMMYFUNCTION("""COMPUTED_VALUE"""),0.276030037373139)</f>
        <v>0.27603003737313903</v>
      </c>
      <c r="M190" s="23">
        <f ca="1">IFERROR(__xludf.DUMMYFUNCTION("""COMPUTED_VALUE"""),-0.220546808683442)</f>
        <v>-0.22054680868344201</v>
      </c>
      <c r="N190" s="23">
        <f ca="1">IFERROR(__xludf.DUMMYFUNCTION("""COMPUTED_VALUE"""),0.848051454339455)</f>
        <v>0.84805145433945495</v>
      </c>
      <c r="O190" s="23">
        <f ca="1">IFERROR(__xludf.DUMMYFUNCTION("""COMPUTED_VALUE"""),0.651419358924971)</f>
        <v>0.65141935892497105</v>
      </c>
      <c r="P190" s="23"/>
      <c r="Q190" s="24">
        <f ca="1">IFERROR(__xludf.DUMMYFUNCTION("""COMPUTED_VALUE"""),-0.718482996211537)</f>
        <v>-0.718482996211537</v>
      </c>
      <c r="R190" s="23">
        <f ca="1">IFERROR(__xludf.DUMMYFUNCTION("""COMPUTED_VALUE"""),2.10743834812459)</f>
        <v>2.1074383481245902</v>
      </c>
      <c r="S190" s="23">
        <f ca="1">IFERROR(__xludf.DUMMYFUNCTION("""COMPUTED_VALUE"""),-0.366071850145229)</f>
        <v>-0.36607185014522903</v>
      </c>
      <c r="T190" s="23">
        <f ca="1">IFERROR(__xludf.DUMMYFUNCTION("""COMPUTED_VALUE"""),-0.865616186461075)</f>
        <v>-0.86561618646107497</v>
      </c>
      <c r="U190" s="23"/>
      <c r="V190" s="23"/>
      <c r="W190" s="23">
        <f ca="1">IFERROR(__xludf.DUMMYFUNCTION("""COMPUTED_VALUE"""),0.911500368674227)</f>
        <v>0.91150036867422701</v>
      </c>
      <c r="X190" s="23"/>
      <c r="Y190" s="23">
        <f ca="1">IFERROR(__xludf.DUMMYFUNCTION("""COMPUTED_VALUE"""),-0.571685265783669)</f>
        <v>-0.57168526578366896</v>
      </c>
      <c r="Z190" s="23">
        <f ca="1">IFERROR(__xludf.DUMMYFUNCTION("""COMPUTED_VALUE"""),-0.919717271171897)</f>
        <v>-0.91971727117189706</v>
      </c>
      <c r="AA190" s="23"/>
      <c r="AB190" s="23">
        <f ca="1">IFERROR(__xludf.DUMMYFUNCTION("""COMPUTED_VALUE"""),0.179817602033647)</f>
        <v>0.17981760203364699</v>
      </c>
      <c r="AC190" s="22"/>
      <c r="AD190" s="23"/>
      <c r="AE190" s="23"/>
      <c r="AF190" s="22"/>
      <c r="AG190" s="22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</row>
    <row r="191" spans="1:45" ht="27.75" customHeight="1" x14ac:dyDescent="0.4">
      <c r="A191" s="15" t="s">
        <v>27</v>
      </c>
      <c r="B191" s="15" t="s">
        <v>99</v>
      </c>
      <c r="C191" s="15" t="str">
        <f ca="1">IFERROR(__xludf.DUMMYFUNCTION("""COMPUTED_VALUE"""),"2022/08/29 (月)
平日夜間")</f>
        <v>2022/08/29 (月)
平日夜間</v>
      </c>
      <c r="D191" s="15" t="str">
        <f ca="1">IFERROR(__xludf.DUMMYFUNCTION("""COMPUTED_VALUE"""),"平日夜間")</f>
        <v>平日夜間</v>
      </c>
      <c r="E191" s="16">
        <f ca="1">IFERROR(__xludf.DUMMYFUNCTION("""COMPUTED_VALUE"""),2.1955423387441)</f>
        <v>2.1955423387441</v>
      </c>
      <c r="F191" s="15" t="s">
        <v>30</v>
      </c>
      <c r="G191" s="32">
        <v>2</v>
      </c>
      <c r="H191" s="38" t="s">
        <v>30</v>
      </c>
      <c r="I191" s="27"/>
      <c r="J191" s="27" t="s">
        <v>118</v>
      </c>
      <c r="K191" s="23" t="b">
        <f ca="1">IFERROR(__xludf.DUMMYFUNCTION("""COMPUTED_VALUE"""),TRUE)</f>
        <v>1</v>
      </c>
      <c r="L191" s="22">
        <f ca="1">IFERROR(__xludf.DUMMYFUNCTION("""COMPUTED_VALUE"""),0.521000656874574)</f>
        <v>0.52100065687457398</v>
      </c>
      <c r="M191" s="23">
        <f ca="1">IFERROR(__xludf.DUMMYFUNCTION("""COMPUTED_VALUE"""),-0.841099061708069)</f>
        <v>-0.84109906170806903</v>
      </c>
      <c r="N191" s="23">
        <f ca="1">IFERROR(__xludf.DUMMYFUNCTION("""COMPUTED_VALUE"""),0.844452180002003)</f>
        <v>0.84445218000200295</v>
      </c>
      <c r="O191" s="23">
        <f ca="1">IFERROR(__xludf.DUMMYFUNCTION("""COMPUTED_VALUE"""),-0.371386283211629)</f>
        <v>-0.37138628321162898</v>
      </c>
      <c r="P191" s="23"/>
      <c r="Q191" s="24">
        <f ca="1">IFERROR(__xludf.DUMMYFUNCTION("""COMPUTED_VALUE"""),0.0675611017085138)</f>
        <v>6.7561101708513802E-2</v>
      </c>
      <c r="R191" s="23">
        <f ca="1">IFERROR(__xludf.DUMMYFUNCTION("""COMPUTED_VALUE"""),-0.437925799102355)</f>
        <v>-0.43792579910235502</v>
      </c>
      <c r="S191" s="23">
        <f ca="1">IFERROR(__xludf.DUMMYFUNCTION("""COMPUTED_VALUE"""),0.439731718829504)</f>
        <v>0.43973171882950401</v>
      </c>
      <c r="T191" s="23">
        <f ca="1">IFERROR(__xludf.DUMMYFUNCTION("""COMPUTED_VALUE"""),0.251949469252954)</f>
        <v>0.25194946925295397</v>
      </c>
      <c r="U191" s="23"/>
      <c r="V191" s="23"/>
      <c r="W191" s="23">
        <f ca="1">IFERROR(__xludf.DUMMYFUNCTION("""COMPUTED_VALUE"""),0.589930273467033)</f>
        <v>0.58993027346703297</v>
      </c>
      <c r="X191" s="23"/>
      <c r="Y191" s="23">
        <f ca="1">IFERROR(__xludf.DUMMYFUNCTION("""COMPUTED_VALUE"""),-0.600469720297917)</f>
        <v>-0.60046972029791701</v>
      </c>
      <c r="Z191" s="23">
        <f ca="1">IFERROR(__xludf.DUMMYFUNCTION("""COMPUTED_VALUE"""),0.244909508054182)</f>
        <v>0.24490950805418199</v>
      </c>
      <c r="AA191" s="23"/>
      <c r="AB191" s="23">
        <f ca="1">IFERROR(__xludf.DUMMYFUNCTION("""COMPUTED_VALUE"""),0.861515821833198)</f>
        <v>0.86151582183319797</v>
      </c>
      <c r="AC191" s="22"/>
      <c r="AD191" s="23"/>
      <c r="AE191" s="23"/>
      <c r="AF191" s="22"/>
      <c r="AG191" s="22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</row>
    <row r="192" spans="1:45" ht="27.75" customHeight="1" x14ac:dyDescent="0.35">
      <c r="A192" s="15" t="s">
        <v>27</v>
      </c>
      <c r="B192" s="15" t="s">
        <v>99</v>
      </c>
      <c r="C192" s="15" t="str">
        <f ca="1">IFERROR(__xludf.DUMMYFUNCTION("""COMPUTED_VALUE"""),"2022/08/30 (火)
平日夜間")</f>
        <v>2022/08/30 (火)
平日夜間</v>
      </c>
      <c r="D192" s="15" t="str">
        <f ca="1">IFERROR(__xludf.DUMMYFUNCTION("""COMPUTED_VALUE"""),"平日夜間")</f>
        <v>平日夜間</v>
      </c>
      <c r="E192" s="16">
        <f ca="1">IFERROR(__xludf.DUMMYFUNCTION("""COMPUTED_VALUE"""),0.927981607401433)</f>
        <v>0.92798160740143298</v>
      </c>
      <c r="F192" s="15" t="s">
        <v>29</v>
      </c>
      <c r="G192" s="32"/>
      <c r="H192" s="27" t="s">
        <v>5</v>
      </c>
      <c r="I192" s="27"/>
      <c r="J192" s="27" t="s">
        <v>56</v>
      </c>
      <c r="K192" s="23" t="b">
        <f ca="1">IFERROR(__xludf.DUMMYFUNCTION("""COMPUTED_VALUE"""),FALSE)</f>
        <v>0</v>
      </c>
      <c r="L192" s="22">
        <f ca="1">IFERROR(__xludf.DUMMYFUNCTION("""COMPUTED_VALUE"""),-0.366456343839445)</f>
        <v>-0.36645634383944498</v>
      </c>
      <c r="M192" s="23">
        <f ca="1">IFERROR(__xludf.DUMMYFUNCTION("""COMPUTED_VALUE"""),-0.747039951431254)</f>
        <v>-0.74703995143125401</v>
      </c>
      <c r="N192" s="23">
        <f ca="1">IFERROR(__xludf.DUMMYFUNCTION("""COMPUTED_VALUE"""),0.853085500806953)</f>
        <v>0.853085500806953</v>
      </c>
      <c r="O192" s="23">
        <f ca="1">IFERROR(__xludf.DUMMYFUNCTION("""COMPUTED_VALUE"""),0.876791584470692)</f>
        <v>0.87679158447069205</v>
      </c>
      <c r="P192" s="23"/>
      <c r="Q192" s="24">
        <f ca="1">IFERROR(__xludf.DUMMYFUNCTION("""COMPUTED_VALUE"""),-0.896977631831187)</f>
        <v>-0.89697763183118695</v>
      </c>
      <c r="R192" s="23">
        <f ca="1">IFERROR(__xludf.DUMMYFUNCTION("""COMPUTED_VALUE"""),0.195002394522669)</f>
        <v>0.19500239452266899</v>
      </c>
      <c r="S192" s="23">
        <f ca="1">IFERROR(__xludf.DUMMYFUNCTION("""COMPUTED_VALUE"""),0.0794703692720126)</f>
        <v>7.9470369272012606E-2</v>
      </c>
      <c r="T192" s="23">
        <f ca="1">IFERROR(__xludf.DUMMYFUNCTION("""COMPUTED_VALUE"""),0.0898659774547716)</f>
        <v>8.9865977454771595E-2</v>
      </c>
      <c r="U192" s="23"/>
      <c r="V192" s="23"/>
      <c r="W192" s="23">
        <f ca="1">IFERROR(__xludf.DUMMYFUNCTION("""COMPUTED_VALUE"""),0.317841194110829)</f>
        <v>0.31784119411082901</v>
      </c>
      <c r="X192" s="23"/>
      <c r="Y192" s="23">
        <f ca="1">IFERROR(__xludf.DUMMYFUNCTION("""COMPUTED_VALUE"""),-0.428957986735669)</f>
        <v>-0.42895798673566898</v>
      </c>
      <c r="Z192" s="23">
        <f ca="1">IFERROR(__xludf.DUMMYFUNCTION("""COMPUTED_VALUE"""),0.898611521443808)</f>
        <v>0.89861152144380796</v>
      </c>
      <c r="AA192" s="23"/>
      <c r="AB192" s="23">
        <f ca="1">IFERROR(__xludf.DUMMYFUNCTION("""COMPUTED_VALUE"""),0.103136171069444)</f>
        <v>0.103136171069444</v>
      </c>
      <c r="AC192" s="22"/>
      <c r="AD192" s="23"/>
      <c r="AE192" s="23"/>
      <c r="AF192" s="22"/>
      <c r="AG192" s="22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</row>
    <row r="193" spans="1:45" ht="27.75" customHeight="1" x14ac:dyDescent="0.4">
      <c r="A193" s="15" t="s">
        <v>27</v>
      </c>
      <c r="B193" s="15" t="s">
        <v>99</v>
      </c>
      <c r="C193" s="15" t="str">
        <f ca="1">IFERROR(__xludf.DUMMYFUNCTION("""COMPUTED_VALUE"""),"2022/08/31 (水)
平日夜間")</f>
        <v>2022/08/31 (水)
平日夜間</v>
      </c>
      <c r="D193" s="15" t="str">
        <f ca="1">IFERROR(__xludf.DUMMYFUNCTION("""COMPUTED_VALUE"""),"平日夜間")</f>
        <v>平日夜間</v>
      </c>
      <c r="E193" s="16">
        <f ca="1">IFERROR(__xludf.DUMMYFUNCTION("""COMPUTED_VALUE"""),0.85340757429633)</f>
        <v>0.85340757429632996</v>
      </c>
      <c r="F193" s="15" t="s">
        <v>19</v>
      </c>
      <c r="G193" s="32"/>
      <c r="H193" s="38" t="s">
        <v>17</v>
      </c>
      <c r="I193" s="27"/>
      <c r="J193" s="27" t="s">
        <v>119</v>
      </c>
      <c r="K193" s="23" t="b">
        <f ca="1">IFERROR(__xludf.DUMMYFUNCTION("""COMPUTED_VALUE"""),TRUE)</f>
        <v>1</v>
      </c>
      <c r="L193" s="22">
        <f ca="1">IFERROR(__xludf.DUMMYFUNCTION("""COMPUTED_VALUE"""),-0.104765205466391)</f>
        <v>-0.104765205466391</v>
      </c>
      <c r="M193" s="23">
        <f ca="1">IFERROR(__xludf.DUMMYFUNCTION("""COMPUTED_VALUE"""),0.171530993431635)</f>
        <v>0.171530993431635</v>
      </c>
      <c r="N193" s="23">
        <f ca="1">IFERROR(__xludf.DUMMYFUNCTION("""COMPUTED_VALUE"""),0.433935216329095)</f>
        <v>0.43393521632909499</v>
      </c>
      <c r="O193" s="23">
        <f ca="1">IFERROR(__xludf.DUMMYFUNCTION("""COMPUTED_VALUE"""),0.85340757429633)</f>
        <v>0.85340757429632996</v>
      </c>
      <c r="P193" s="23"/>
      <c r="Q193" s="24">
        <f ca="1">IFERROR(__xludf.DUMMYFUNCTION("""COMPUTED_VALUE"""),0.0582391051516721)</f>
        <v>5.8239105151672098E-2</v>
      </c>
      <c r="R193" s="23">
        <f ca="1">IFERROR(__xludf.DUMMYFUNCTION("""COMPUTED_VALUE"""),0.294294113921196)</f>
        <v>0.29429411392119598</v>
      </c>
      <c r="S193" s="23">
        <f ca="1">IFERROR(__xludf.DUMMYFUNCTION("""COMPUTED_VALUE"""),0.259578842076007)</f>
        <v>0.25957884207600701</v>
      </c>
      <c r="T193" s="23">
        <f ca="1">IFERROR(__xludf.DUMMYFUNCTION("""COMPUTED_VALUE"""),0.251510511669748)</f>
        <v>0.25151051166974803</v>
      </c>
      <c r="U193" s="23"/>
      <c r="V193" s="23"/>
      <c r="W193" s="23">
        <f ca="1">IFERROR(__xludf.DUMMYFUNCTION("""COMPUTED_VALUE"""),-0.846122756018777)</f>
        <v>-0.84612275601877696</v>
      </c>
      <c r="X193" s="23"/>
      <c r="Y193" s="23">
        <f ca="1">IFERROR(__xludf.DUMMYFUNCTION("""COMPUTED_VALUE"""),0.232218838810875)</f>
        <v>0.23221883881087499</v>
      </c>
      <c r="Z193" s="23">
        <f ca="1">IFERROR(__xludf.DUMMYFUNCTION("""COMPUTED_VALUE"""),0.274048998285219)</f>
        <v>0.274048998285219</v>
      </c>
      <c r="AA193" s="23"/>
      <c r="AB193" s="23">
        <f ca="1">IFERROR(__xludf.DUMMYFUNCTION("""COMPUTED_VALUE"""),0.425172646622875)</f>
        <v>0.42517264662287502</v>
      </c>
      <c r="AC193" s="22"/>
      <c r="AD193" s="23"/>
      <c r="AE193" s="23"/>
      <c r="AF193" s="22"/>
      <c r="AG193" s="22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</row>
    <row r="194" spans="1:45" ht="27.75" customHeight="1" x14ac:dyDescent="0.35">
      <c r="A194" s="15" t="s">
        <v>27</v>
      </c>
      <c r="B194" s="15" t="s">
        <v>120</v>
      </c>
      <c r="C194" s="15" t="str">
        <f ca="1">IFERROR(__xludf.DUMMYFUNCTION("""COMPUTED_VALUE"""),"2022/09/01 (木)
平日夜間")</f>
        <v>2022/09/01 (木)
平日夜間</v>
      </c>
      <c r="D194" s="15" t="str">
        <f ca="1">IFERROR(__xludf.DUMMYFUNCTION("""COMPUTED_VALUE"""),"平日夜間")</f>
        <v>平日夜間</v>
      </c>
      <c r="E194" s="16">
        <f ca="1">IFERROR(__xludf.DUMMYFUNCTION("""COMPUTED_VALUE"""),1.64681810293078)</f>
        <v>1.64681810293078</v>
      </c>
      <c r="F194" s="15" t="s">
        <v>10</v>
      </c>
      <c r="G194" s="39">
        <v>0</v>
      </c>
      <c r="H194" s="27" t="s">
        <v>29</v>
      </c>
      <c r="I194" s="27"/>
      <c r="J194" s="27"/>
      <c r="K194" s="23" t="b">
        <f ca="1">IFERROR(__xludf.DUMMYFUNCTION("""COMPUTED_VALUE"""),FALSE)</f>
        <v>0</v>
      </c>
      <c r="L194" s="22">
        <f ca="1">IFERROR(__xludf.DUMMYFUNCTION("""COMPUTED_VALUE"""),-0.692704869901264)</f>
        <v>-0.69270486990126401</v>
      </c>
      <c r="M194" s="23">
        <f ca="1">IFERROR(__xludf.DUMMYFUNCTION("""COMPUTED_VALUE"""),0.135397946044265)</f>
        <v>0.135397946044265</v>
      </c>
      <c r="N194" s="23">
        <f ca="1">IFERROR(__xludf.DUMMYFUNCTION("""COMPUTED_VALUE"""),0.733417485715265)</f>
        <v>0.73341748571526499</v>
      </c>
      <c r="O194" s="23">
        <f ca="1">IFERROR(__xludf.DUMMYFUNCTION("""COMPUTED_VALUE"""),0.234810107635952)</f>
        <v>0.234810107635952</v>
      </c>
      <c r="P194" s="23">
        <f ca="1">IFERROR(__xludf.DUMMYFUNCTION("""COMPUTED_VALUE"""),0.981951433670131)</f>
        <v>0.98195143367013105</v>
      </c>
      <c r="Q194" s="24">
        <f ca="1">IFERROR(__xludf.DUMMYFUNCTION("""COMPUTED_VALUE"""),0.0775042259084561)</f>
        <v>7.7504225908456098E-2</v>
      </c>
      <c r="R194" s="23">
        <f ca="1">IFERROR(__xludf.DUMMYFUNCTION("""COMPUTED_VALUE"""),0.891890973369705)</f>
        <v>0.89189097336970502</v>
      </c>
      <c r="S194" s="23">
        <f ca="1">IFERROR(__xludf.DUMMYFUNCTION("""COMPUTED_VALUE"""),0.279473292774376)</f>
        <v>0.27947329277437599</v>
      </c>
      <c r="T194" s="23">
        <f ca="1">IFERROR(__xludf.DUMMYFUNCTION("""COMPUTED_VALUE"""),0.0608114551255953)</f>
        <v>6.0811455125595298E-2</v>
      </c>
      <c r="U194" s="23">
        <f ca="1">IFERROR(__xludf.DUMMYFUNCTION("""COMPUTED_VALUE"""),-0.176047293303663)</f>
        <v>-0.176047293303663</v>
      </c>
      <c r="V194" s="23"/>
      <c r="W194" s="23">
        <f ca="1">IFERROR(__xludf.DUMMYFUNCTION("""COMPUTED_VALUE"""),0.088368481846055)</f>
        <v>8.8368481846055003E-2</v>
      </c>
      <c r="X194" s="23"/>
      <c r="Y194" s="23">
        <f ca="1">IFERROR(__xludf.DUMMYFUNCTION("""COMPUTED_VALUE"""),0.252780135800306)</f>
        <v>0.25278013580030601</v>
      </c>
      <c r="Z194" s="23">
        <f ca="1">IFERROR(__xludf.DUMMYFUNCTION("""COMPUTED_VALUE"""),1.06359109982345)</f>
        <v>1.0635910998234499</v>
      </c>
      <c r="AA194" s="23"/>
      <c r="AB194" s="23">
        <f ca="1">IFERROR(__xludf.DUMMYFUNCTION("""COMPUTED_VALUE"""),-0.806732982850962)</f>
        <v>-0.80673298285096195</v>
      </c>
      <c r="AC194" s="22"/>
      <c r="AD194" s="23"/>
      <c r="AE194" s="23"/>
      <c r="AF194" s="22"/>
      <c r="AG194" s="22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</row>
    <row r="195" spans="1:45" ht="27.75" customHeight="1" x14ac:dyDescent="0.4">
      <c r="A195" s="15" t="s">
        <v>27</v>
      </c>
      <c r="B195" s="15" t="s">
        <v>120</v>
      </c>
      <c r="C195" s="15" t="str">
        <f ca="1">IFERROR(__xludf.DUMMYFUNCTION("""COMPUTED_VALUE"""),"2022/09/02 (金)
平日夜間")</f>
        <v>2022/09/02 (金)
平日夜間</v>
      </c>
      <c r="D195" s="15" t="str">
        <f ca="1">IFERROR(__xludf.DUMMYFUNCTION("""COMPUTED_VALUE"""),"平日夜間")</f>
        <v>平日夜間</v>
      </c>
      <c r="E195" s="16">
        <f ca="1">IFERROR(__xludf.DUMMYFUNCTION("""COMPUTED_VALUE"""),2.2137139774123)</f>
        <v>2.2137139774122998</v>
      </c>
      <c r="F195" s="15" t="s">
        <v>11</v>
      </c>
      <c r="G195" s="39">
        <v>2</v>
      </c>
      <c r="H195" s="40" t="s">
        <v>11</v>
      </c>
      <c r="I195" s="27"/>
      <c r="J195" s="27" t="s">
        <v>121</v>
      </c>
      <c r="K195" s="23" t="b">
        <f ca="1">IFERROR(__xludf.DUMMYFUNCTION("""COMPUTED_VALUE"""),TRUE)</f>
        <v>1</v>
      </c>
      <c r="L195" s="22">
        <f ca="1">IFERROR(__xludf.DUMMYFUNCTION("""COMPUTED_VALUE"""),-0.126551846103203)</f>
        <v>-0.126551846103203</v>
      </c>
      <c r="M195" s="23">
        <f ca="1">IFERROR(__xludf.DUMMYFUNCTION("""COMPUTED_VALUE"""),-0.774948210492749)</f>
        <v>-0.77494821049274898</v>
      </c>
      <c r="N195" s="23">
        <f ca="1">IFERROR(__xludf.DUMMYFUNCTION("""COMPUTED_VALUE"""),-0.375267981446288)</f>
        <v>-0.37526798144628798</v>
      </c>
      <c r="O195" s="23">
        <f ca="1">IFERROR(__xludf.DUMMYFUNCTION("""COMPUTED_VALUE"""),-0.367296493566793)</f>
        <v>-0.367296493566793</v>
      </c>
      <c r="P195" s="23">
        <f ca="1">IFERROR(__xludf.DUMMYFUNCTION("""COMPUTED_VALUE"""),0.94262129864867)</f>
        <v>0.94262129864866995</v>
      </c>
      <c r="Q195" s="24">
        <f ca="1">IFERROR(__xludf.DUMMYFUNCTION("""COMPUTED_VALUE"""),0.726768053899876)</f>
        <v>0.72676805389987598</v>
      </c>
      <c r="R195" s="23">
        <f ca="1">IFERROR(__xludf.DUMMYFUNCTION("""COMPUTED_VALUE"""),-0.529630640700324)</f>
        <v>-0.52963064070032395</v>
      </c>
      <c r="S195" s="23">
        <f ca="1">IFERROR(__xludf.DUMMYFUNCTION("""COMPUTED_VALUE"""),0.294312722639006)</f>
        <v>0.29431272263900599</v>
      </c>
      <c r="T195" s="23">
        <f ca="1">IFERROR(__xludf.DUMMYFUNCTION("""COMPUTED_VALUE"""),2.2137139774123)</f>
        <v>2.2137139774122998</v>
      </c>
      <c r="U195" s="23">
        <f ca="1">IFERROR(__xludf.DUMMYFUNCTION("""COMPUTED_VALUE"""),-0.378877633935055)</f>
        <v>-0.37887763393505502</v>
      </c>
      <c r="V195" s="23"/>
      <c r="W195" s="23">
        <f ca="1">IFERROR(__xludf.DUMMYFUNCTION("""COMPUTED_VALUE"""),-0.871796603355715)</f>
        <v>-0.87179660335571496</v>
      </c>
      <c r="X195" s="23"/>
      <c r="Y195" s="23">
        <f ca="1">IFERROR(__xludf.DUMMYFUNCTION("""COMPUTED_VALUE"""),0.563794104921654)</f>
        <v>0.56379410492165405</v>
      </c>
      <c r="Z195" s="23">
        <f ca="1">IFERROR(__xludf.DUMMYFUNCTION("""COMPUTED_VALUE"""),1.34192596367679)</f>
        <v>1.34192596367679</v>
      </c>
      <c r="AA195" s="23"/>
      <c r="AB195" s="23">
        <f ca="1">IFERROR(__xludf.DUMMYFUNCTION("""COMPUTED_VALUE"""),-0.521174301191107)</f>
        <v>-0.52117430119110697</v>
      </c>
      <c r="AC195" s="22"/>
      <c r="AD195" s="23"/>
      <c r="AE195" s="23"/>
      <c r="AF195" s="22"/>
      <c r="AG195" s="22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</row>
    <row r="196" spans="1:45" ht="27.75" customHeight="1" x14ac:dyDescent="0.4">
      <c r="A196" s="15" t="s">
        <v>27</v>
      </c>
      <c r="B196" s="15" t="s">
        <v>120</v>
      </c>
      <c r="C196" s="15" t="str">
        <f ca="1">IFERROR(__xludf.DUMMYFUNCTION("""COMPUTED_VALUE"""),"2022/09/03 (土)
休日午前")</f>
        <v>2022/09/03 (土)
休日午前</v>
      </c>
      <c r="D196" s="15" t="str">
        <f ca="1">IFERROR(__xludf.DUMMYFUNCTION("""COMPUTED_VALUE"""),"休日午前")</f>
        <v>休日午前</v>
      </c>
      <c r="E196" s="16">
        <f ca="1">IFERROR(__xludf.DUMMYFUNCTION("""COMPUTED_VALUE"""),2.77007434234845)</f>
        <v>2.7700743423484502</v>
      </c>
      <c r="F196" s="15" t="s">
        <v>8</v>
      </c>
      <c r="G196" s="39">
        <v>2</v>
      </c>
      <c r="H196" s="40" t="s">
        <v>8</v>
      </c>
      <c r="I196" s="27"/>
      <c r="J196" s="27" t="s">
        <v>122</v>
      </c>
      <c r="K196" s="23" t="b">
        <f ca="1">IFERROR(__xludf.DUMMYFUNCTION("""COMPUTED_VALUE"""),TRUE)</f>
        <v>1</v>
      </c>
      <c r="L196" s="22">
        <f ca="1">IFERROR(__xludf.DUMMYFUNCTION("""COMPUTED_VALUE"""),-0.462255943287402)</f>
        <v>-0.46225594328740199</v>
      </c>
      <c r="M196" s="23">
        <f ca="1">IFERROR(__xludf.DUMMYFUNCTION("""COMPUTED_VALUE"""),-0.654963223551306)</f>
        <v>-0.65496322355130598</v>
      </c>
      <c r="N196" s="23">
        <f ca="1">IFERROR(__xludf.DUMMYFUNCTION("""COMPUTED_VALUE"""),-0.184767728387084)</f>
        <v>-0.184767728387084</v>
      </c>
      <c r="O196" s="23">
        <f ca="1">IFERROR(__xludf.DUMMYFUNCTION("""COMPUTED_VALUE"""),-0.952235150457816)</f>
        <v>-0.95223515045781604</v>
      </c>
      <c r="P196" s="23">
        <f ca="1">IFERROR(__xludf.DUMMYFUNCTION("""COMPUTED_VALUE"""),0.450136598699214)</f>
        <v>0.45013659869921402</v>
      </c>
      <c r="Q196" s="24">
        <f ca="1">IFERROR(__xludf.DUMMYFUNCTION("""COMPUTED_VALUE"""),-0.632105115822649)</f>
        <v>-0.63210511582264906</v>
      </c>
      <c r="R196" s="23">
        <f ca="1">IFERROR(__xludf.DUMMYFUNCTION("""COMPUTED_VALUE"""),-0.461615313813936)</f>
        <v>-0.461615313813936</v>
      </c>
      <c r="S196" s="23">
        <f ca="1">IFERROR(__xludf.DUMMYFUNCTION("""COMPUTED_VALUE"""),2.77007434234845)</f>
        <v>2.7700743423484502</v>
      </c>
      <c r="T196" s="23">
        <f ca="1">IFERROR(__xludf.DUMMYFUNCTION("""COMPUTED_VALUE"""),-0.52663061020937)</f>
        <v>-0.52663061020936996</v>
      </c>
      <c r="U196" s="23">
        <f ca="1">IFERROR(__xludf.DUMMYFUNCTION("""COMPUTED_VALUE"""),-0.589329225566089)</f>
        <v>-0.58932922556608902</v>
      </c>
      <c r="V196" s="23"/>
      <c r="W196" s="23">
        <f ca="1">IFERROR(__xludf.DUMMYFUNCTION("""COMPUTED_VALUE"""),-0.903202273633678)</f>
        <v>-0.903202273633678</v>
      </c>
      <c r="X196" s="23"/>
      <c r="Y196" s="23">
        <f ca="1">IFERROR(__xludf.DUMMYFUNCTION("""COMPUTED_VALUE"""),0.233952750929845)</f>
        <v>0.23395275092984499</v>
      </c>
      <c r="Z196" s="23">
        <f ca="1">IFERROR(__xludf.DUMMYFUNCTION("""COMPUTED_VALUE"""),-0.935942425167465)</f>
        <v>-0.93594242516746495</v>
      </c>
      <c r="AA196" s="23"/>
      <c r="AB196" s="23">
        <f ca="1">IFERROR(__xludf.DUMMYFUNCTION("""COMPUTED_VALUE"""),-0.909096436267752)</f>
        <v>-0.90909643626775205</v>
      </c>
      <c r="AC196" s="22"/>
      <c r="AD196" s="23"/>
      <c r="AE196" s="23"/>
      <c r="AF196" s="22"/>
      <c r="AG196" s="22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</row>
    <row r="197" spans="1:45" ht="27.75" customHeight="1" x14ac:dyDescent="0.4">
      <c r="A197" s="15" t="s">
        <v>27</v>
      </c>
      <c r="B197" s="15" t="s">
        <v>120</v>
      </c>
      <c r="C197" s="15" t="str">
        <f ca="1">IFERROR(__xludf.DUMMYFUNCTION("""COMPUTED_VALUE"""),"2022/09/03 (土)
休日午後")</f>
        <v>2022/09/03 (土)
休日午後</v>
      </c>
      <c r="D197" s="15" t="str">
        <f ca="1">IFERROR(__xludf.DUMMYFUNCTION("""COMPUTED_VALUE"""),"休日午後")</f>
        <v>休日午後</v>
      </c>
      <c r="E197" s="16">
        <f ca="1">IFERROR(__xludf.DUMMYFUNCTION("""COMPUTED_VALUE"""),2.92700525128466)</f>
        <v>2.92700525128466</v>
      </c>
      <c r="F197" s="15" t="s">
        <v>10</v>
      </c>
      <c r="G197" s="39">
        <v>2</v>
      </c>
      <c r="H197" s="40" t="s">
        <v>14</v>
      </c>
      <c r="I197" s="27"/>
      <c r="J197" s="27" t="s">
        <v>122</v>
      </c>
      <c r="K197" s="23" t="b">
        <f ca="1">IFERROR(__xludf.DUMMYFUNCTION("""COMPUTED_VALUE"""),TRUE)</f>
        <v>1</v>
      </c>
      <c r="L197" s="22">
        <f ca="1">IFERROR(__xludf.DUMMYFUNCTION("""COMPUTED_VALUE"""),-0.727430215125668)</f>
        <v>-0.72743021512566797</v>
      </c>
      <c r="M197" s="23">
        <f ca="1">IFERROR(__xludf.DUMMYFUNCTION("""COMPUTED_VALUE"""),-0.983806205015094)</f>
        <v>-0.98380620501509397</v>
      </c>
      <c r="N197" s="23">
        <f ca="1">IFERROR(__xludf.DUMMYFUNCTION("""COMPUTED_VALUE"""),-0.423449175072976)</f>
        <v>-0.42344917507297603</v>
      </c>
      <c r="O197" s="23">
        <f ca="1">IFERROR(__xludf.DUMMYFUNCTION("""COMPUTED_VALUE"""),-0.841574364448633)</f>
        <v>-0.84157436444863298</v>
      </c>
      <c r="P197" s="23">
        <f ca="1">IFERROR(__xludf.DUMMYFUNCTION("""COMPUTED_VALUE"""),0.371579511753362)</f>
        <v>0.37157951175336201</v>
      </c>
      <c r="Q197" s="24">
        <f ca="1">IFERROR(__xludf.DUMMYFUNCTION("""COMPUTED_VALUE"""),-0.632859739533685)</f>
        <v>-0.63285973953368502</v>
      </c>
      <c r="R197" s="23">
        <f ca="1">IFERROR(__xludf.DUMMYFUNCTION("""COMPUTED_VALUE"""),-0.154932598613223)</f>
        <v>-0.154932598613223</v>
      </c>
      <c r="S197" s="23">
        <f ca="1">IFERROR(__xludf.DUMMYFUNCTION("""COMPUTED_VALUE"""),0.578267825044525)</f>
        <v>0.57826782504452501</v>
      </c>
      <c r="T197" s="23">
        <f ca="1">IFERROR(__xludf.DUMMYFUNCTION("""COMPUTED_VALUE"""),0.916698890373777)</f>
        <v>0.91669889037377705</v>
      </c>
      <c r="U197" s="23">
        <f ca="1">IFERROR(__xludf.DUMMYFUNCTION("""COMPUTED_VALUE"""),-0.0472298833617705)</f>
        <v>-4.7229883361770503E-2</v>
      </c>
      <c r="V197" s="23"/>
      <c r="W197" s="23">
        <f ca="1">IFERROR(__xludf.DUMMYFUNCTION("""COMPUTED_VALUE"""),-0.1534259465129)</f>
        <v>-0.15342594651290001</v>
      </c>
      <c r="X197" s="23"/>
      <c r="Y197" s="23">
        <f ca="1">IFERROR(__xludf.DUMMYFUNCTION("""COMPUTED_VALUE"""),2.50566377246996)</f>
        <v>2.5056637724699602</v>
      </c>
      <c r="Z197" s="23">
        <f ca="1">IFERROR(__xludf.DUMMYFUNCTION("""COMPUTED_VALUE"""),2.89385125635579)</f>
        <v>2.8938512563557901</v>
      </c>
      <c r="AA197" s="23"/>
      <c r="AB197" s="23">
        <f ca="1">IFERROR(__xludf.DUMMYFUNCTION("""COMPUTED_VALUE"""),-0.341301110832447)</f>
        <v>-0.34130111083244702</v>
      </c>
      <c r="AC197" s="22"/>
      <c r="AD197" s="23"/>
      <c r="AE197" s="23"/>
      <c r="AF197" s="22"/>
      <c r="AG197" s="22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</row>
    <row r="198" spans="1:45" ht="27.75" customHeight="1" x14ac:dyDescent="0.35">
      <c r="A198" s="15" t="s">
        <v>27</v>
      </c>
      <c r="B198" s="15" t="s">
        <v>120</v>
      </c>
      <c r="C198" s="15" t="str">
        <f ca="1">IFERROR(__xludf.DUMMYFUNCTION("""COMPUTED_VALUE"""),"2022/09/04 (日)
休日午前")</f>
        <v>2022/09/04 (日)
休日午前</v>
      </c>
      <c r="D198" s="15" t="str">
        <f ca="1">IFERROR(__xludf.DUMMYFUNCTION("""COMPUTED_VALUE"""),"休日午前")</f>
        <v>休日午前</v>
      </c>
      <c r="E198" s="16">
        <f ca="1">IFERROR(__xludf.DUMMYFUNCTION("""COMPUTED_VALUE"""),1.68995739665705)</f>
        <v>1.68995739665705</v>
      </c>
      <c r="F198" s="15" t="s">
        <v>11</v>
      </c>
      <c r="G198" s="39">
        <v>1</v>
      </c>
      <c r="H198" s="27" t="s">
        <v>11</v>
      </c>
      <c r="I198" s="27"/>
      <c r="J198" s="27" t="s">
        <v>123</v>
      </c>
      <c r="K198" s="23" t="b">
        <f ca="1">IFERROR(__xludf.DUMMYFUNCTION("""COMPUTED_VALUE"""),FALSE)</f>
        <v>0</v>
      </c>
      <c r="L198" s="22">
        <f ca="1">IFERROR(__xludf.DUMMYFUNCTION("""COMPUTED_VALUE"""),-0.664381909406436)</f>
        <v>-0.66438190940643604</v>
      </c>
      <c r="M198" s="23">
        <f ca="1">IFERROR(__xludf.DUMMYFUNCTION("""COMPUTED_VALUE"""),-0.972957449678697)</f>
        <v>-0.97295744967869702</v>
      </c>
      <c r="N198" s="23">
        <f ca="1">IFERROR(__xludf.DUMMYFUNCTION("""COMPUTED_VALUE"""),-0.884822443899357)</f>
        <v>-0.88482244389935705</v>
      </c>
      <c r="O198" s="23">
        <f ca="1">IFERROR(__xludf.DUMMYFUNCTION("""COMPUTED_VALUE"""),-0.974661572472071)</f>
        <v>-0.97466157247207097</v>
      </c>
      <c r="P198" s="23">
        <f ca="1">IFERROR(__xludf.DUMMYFUNCTION("""COMPUTED_VALUE"""),0.458762568106209)</f>
        <v>0.45876256810620902</v>
      </c>
      <c r="Q198" s="24">
        <f ca="1">IFERROR(__xludf.DUMMYFUNCTION("""COMPUTED_VALUE"""),-0.242707638973421)</f>
        <v>-0.24270763897342101</v>
      </c>
      <c r="R198" s="23">
        <f ca="1">IFERROR(__xludf.DUMMYFUNCTION("""COMPUTED_VALUE"""),-0.525839548136908)</f>
        <v>-0.52583954813690803</v>
      </c>
      <c r="S198" s="23">
        <f ca="1">IFERROR(__xludf.DUMMYFUNCTION("""COMPUTED_VALUE"""),0.690954194303663)</f>
        <v>0.69095419430366301</v>
      </c>
      <c r="T198" s="23">
        <f ca="1">IFERROR(__xludf.DUMMYFUNCTION("""COMPUTED_VALUE"""),1.68995739665705)</f>
        <v>1.68995739665705</v>
      </c>
      <c r="U198" s="23">
        <f ca="1">IFERROR(__xludf.DUMMYFUNCTION("""COMPUTED_VALUE"""),-0.9307302779291)</f>
        <v>-0.93073027792910001</v>
      </c>
      <c r="V198" s="23"/>
      <c r="W198" s="23">
        <f ca="1">IFERROR(__xludf.DUMMYFUNCTION("""COMPUTED_VALUE"""),-0.585490385820756)</f>
        <v>-0.58549038582075597</v>
      </c>
      <c r="X198" s="23"/>
      <c r="Y198" s="23">
        <f ca="1">IFERROR(__xludf.DUMMYFUNCTION("""COMPUTED_VALUE"""),0.688398246969874)</f>
        <v>0.68839824696987395</v>
      </c>
      <c r="Z198" s="23">
        <f ca="1">IFERROR(__xludf.DUMMYFUNCTION("""COMPUTED_VALUE"""),-0.362695113798203)</f>
        <v>-0.36269511379820302</v>
      </c>
      <c r="AA198" s="23"/>
      <c r="AB198" s="23">
        <f ca="1">IFERROR(__xludf.DUMMYFUNCTION("""COMPUTED_VALUE"""),-0.952369725411404)</f>
        <v>-0.95236972541140397</v>
      </c>
      <c r="AC198" s="22"/>
      <c r="AD198" s="23"/>
      <c r="AE198" s="23"/>
      <c r="AF198" s="22"/>
      <c r="AG198" s="22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</row>
    <row r="199" spans="1:45" ht="27.75" customHeight="1" x14ac:dyDescent="0.35">
      <c r="A199" s="15" t="s">
        <v>27</v>
      </c>
      <c r="B199" s="15" t="s">
        <v>120</v>
      </c>
      <c r="C199" s="15" t="str">
        <f ca="1">IFERROR(__xludf.DUMMYFUNCTION("""COMPUTED_VALUE"""),"2022/09/04 (日)
休日午後")</f>
        <v>2022/09/04 (日)
休日午後</v>
      </c>
      <c r="D199" s="15" t="str">
        <f ca="1">IFERROR(__xludf.DUMMYFUNCTION("""COMPUTED_VALUE"""),"休日午後")</f>
        <v>休日午後</v>
      </c>
      <c r="E199" s="16">
        <f ca="1">IFERROR(__xludf.DUMMYFUNCTION("""COMPUTED_VALUE"""),0.90553411991644)</f>
        <v>0.90553411991643995</v>
      </c>
      <c r="F199" s="15" t="s">
        <v>8</v>
      </c>
      <c r="G199" s="39">
        <v>0</v>
      </c>
      <c r="H199" s="27" t="s">
        <v>45</v>
      </c>
      <c r="I199" s="27"/>
      <c r="J199" s="27" t="s">
        <v>123</v>
      </c>
      <c r="K199" s="23" t="b">
        <f ca="1">IFERROR(__xludf.DUMMYFUNCTION("""COMPUTED_VALUE"""),FALSE)</f>
        <v>0</v>
      </c>
      <c r="L199" s="22">
        <f ca="1">IFERROR(__xludf.DUMMYFUNCTION("""COMPUTED_VALUE"""),-0.730750282874)</f>
        <v>-0.73075028287400001</v>
      </c>
      <c r="M199" s="23">
        <f ca="1">IFERROR(__xludf.DUMMYFUNCTION("""COMPUTED_VALUE"""),-0.132863417635827)</f>
        <v>-0.13286341763582701</v>
      </c>
      <c r="N199" s="23">
        <f ca="1">IFERROR(__xludf.DUMMYFUNCTION("""COMPUTED_VALUE"""),-0.411431301253029)</f>
        <v>-0.41143130125302901</v>
      </c>
      <c r="O199" s="23">
        <f ca="1">IFERROR(__xludf.DUMMYFUNCTION("""COMPUTED_VALUE"""),-0.646418755658752)</f>
        <v>-0.64641875565875195</v>
      </c>
      <c r="P199" s="23">
        <f ca="1">IFERROR(__xludf.DUMMYFUNCTION("""COMPUTED_VALUE"""),0.277169278171917)</f>
        <v>0.277169278171917</v>
      </c>
      <c r="Q199" s="24">
        <f ca="1">IFERROR(__xludf.DUMMYFUNCTION("""COMPUTED_VALUE"""),-0.0598614902452678)</f>
        <v>-5.9861490245267802E-2</v>
      </c>
      <c r="R199" s="23">
        <f ca="1">IFERROR(__xludf.DUMMYFUNCTION("""COMPUTED_VALUE"""),-0.619414955212796)</f>
        <v>-0.61941495521279599</v>
      </c>
      <c r="S199" s="23">
        <f ca="1">IFERROR(__xludf.DUMMYFUNCTION("""COMPUTED_VALUE"""),0.90553411991644)</f>
        <v>0.90553411991643995</v>
      </c>
      <c r="T199" s="23">
        <f ca="1">IFERROR(__xludf.DUMMYFUNCTION("""COMPUTED_VALUE"""),0.638864156559974)</f>
        <v>0.63886415655997397</v>
      </c>
      <c r="U199" s="23">
        <f ca="1">IFERROR(__xludf.DUMMYFUNCTION("""COMPUTED_VALUE"""),-0.184785819200397)</f>
        <v>-0.18478581920039699</v>
      </c>
      <c r="V199" s="23"/>
      <c r="W199" s="23">
        <f ca="1">IFERROR(__xludf.DUMMYFUNCTION("""COMPUTED_VALUE"""),-0.455507728373279)</f>
        <v>-0.45550772837327902</v>
      </c>
      <c r="X199" s="23"/>
      <c r="Y199" s="23">
        <f ca="1">IFERROR(__xludf.DUMMYFUNCTION("""COMPUTED_VALUE"""),0.351533461696704)</f>
        <v>0.35153346169670402</v>
      </c>
      <c r="Z199" s="23">
        <f ca="1">IFERROR(__xludf.DUMMYFUNCTION("""COMPUTED_VALUE"""),-0.622920137136278)</f>
        <v>-0.62292013713627803</v>
      </c>
      <c r="AA199" s="23"/>
      <c r="AB199" s="23">
        <f ca="1">IFERROR(__xludf.DUMMYFUNCTION("""COMPUTED_VALUE"""),-0.112883415285508)</f>
        <v>-0.11288341528550799</v>
      </c>
      <c r="AC199" s="22"/>
      <c r="AD199" s="23"/>
      <c r="AE199" s="23"/>
      <c r="AF199" s="22"/>
      <c r="AG199" s="22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</row>
    <row r="200" spans="1:45" ht="27.75" customHeight="1" x14ac:dyDescent="0.35">
      <c r="A200" s="15" t="s">
        <v>27</v>
      </c>
      <c r="B200" s="15" t="s">
        <v>120</v>
      </c>
      <c r="C200" s="15" t="str">
        <f ca="1">IFERROR(__xludf.DUMMYFUNCTION("""COMPUTED_VALUE"""),"2022/09/05 (月)
平日夜間")</f>
        <v>2022/09/05 (月)
平日夜間</v>
      </c>
      <c r="D200" s="15" t="str">
        <f ca="1">IFERROR(__xludf.DUMMYFUNCTION("""COMPUTED_VALUE"""),"平日夜間")</f>
        <v>平日夜間</v>
      </c>
      <c r="E200" s="16">
        <f ca="1">IFERROR(__xludf.DUMMYFUNCTION("""COMPUTED_VALUE"""),1.85028297524415)</f>
        <v>1.8502829752441501</v>
      </c>
      <c r="F200" s="15" t="s">
        <v>10</v>
      </c>
      <c r="G200" s="39">
        <v>0</v>
      </c>
      <c r="H200" s="27" t="s">
        <v>29</v>
      </c>
      <c r="I200" s="27"/>
      <c r="J200" s="27" t="s">
        <v>124</v>
      </c>
      <c r="K200" s="23" t="b">
        <f ca="1">IFERROR(__xludf.DUMMYFUNCTION("""COMPUTED_VALUE"""),FALSE)</f>
        <v>0</v>
      </c>
      <c r="L200" s="22">
        <f ca="1">IFERROR(__xludf.DUMMYFUNCTION("""COMPUTED_VALUE"""),0.117749936475384)</f>
        <v>0.117749936475384</v>
      </c>
      <c r="M200" s="23">
        <f ca="1">IFERROR(__xludf.DUMMYFUNCTION("""COMPUTED_VALUE"""),0.646384059644179)</f>
        <v>0.646384059644179</v>
      </c>
      <c r="N200" s="23">
        <f ca="1">IFERROR(__xludf.DUMMYFUNCTION("""COMPUTED_VALUE"""),0.575644742954007)</f>
        <v>0.57564474295400703</v>
      </c>
      <c r="O200" s="23">
        <f ca="1">IFERROR(__xludf.DUMMYFUNCTION("""COMPUTED_VALUE"""),-0.712258471754079)</f>
        <v>-0.71225847175407897</v>
      </c>
      <c r="P200" s="23">
        <f ca="1">IFERROR(__xludf.DUMMYFUNCTION("""COMPUTED_VALUE"""),0.482860002712706)</f>
        <v>0.48286000271270602</v>
      </c>
      <c r="Q200" s="24">
        <f ca="1">IFERROR(__xludf.DUMMYFUNCTION("""COMPUTED_VALUE"""),-0.8111792797434)</f>
        <v>-0.81117927974339998</v>
      </c>
      <c r="R200" s="23">
        <f ca="1">IFERROR(__xludf.DUMMYFUNCTION("""COMPUTED_VALUE"""),-0.344985515047293)</f>
        <v>-0.34498551504729302</v>
      </c>
      <c r="S200" s="23">
        <f ca="1">IFERROR(__xludf.DUMMYFUNCTION("""COMPUTED_VALUE"""),0.21715943545248)</f>
        <v>0.21715943545248001</v>
      </c>
      <c r="T200" s="23">
        <f ca="1">IFERROR(__xludf.DUMMYFUNCTION("""COMPUTED_VALUE"""),0.209511536433753)</f>
        <v>0.209511536433753</v>
      </c>
      <c r="U200" s="23">
        <f ca="1">IFERROR(__xludf.DUMMYFUNCTION("""COMPUTED_VALUE"""),0.288040224795912)</f>
        <v>0.28804022479591201</v>
      </c>
      <c r="V200" s="23"/>
      <c r="W200" s="23">
        <f ca="1">IFERROR(__xludf.DUMMYFUNCTION("""COMPUTED_VALUE"""),-0.684369242888743)</f>
        <v>-0.68436924288874301</v>
      </c>
      <c r="X200" s="23"/>
      <c r="Y200" s="23">
        <f ca="1">IFERROR(__xludf.DUMMYFUNCTION("""COMPUTED_VALUE"""),0.0493385667900978)</f>
        <v>4.93385667900978E-2</v>
      </c>
      <c r="Z200" s="23">
        <f ca="1">IFERROR(__xludf.DUMMYFUNCTION("""COMPUTED_VALUE"""),1.14915858465434)</f>
        <v>1.14915858465434</v>
      </c>
      <c r="AA200" s="23"/>
      <c r="AB200" s="23">
        <f ca="1">IFERROR(__xludf.DUMMYFUNCTION("""COMPUTED_VALUE"""),-0.463884186890989)</f>
        <v>-0.46388418689098898</v>
      </c>
      <c r="AC200" s="22"/>
      <c r="AD200" s="23"/>
      <c r="AE200" s="23"/>
      <c r="AF200" s="22"/>
      <c r="AG200" s="22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</row>
    <row r="201" spans="1:45" ht="27.75" customHeight="1" x14ac:dyDescent="0.35">
      <c r="A201" s="15" t="s">
        <v>27</v>
      </c>
      <c r="B201" s="15" t="s">
        <v>120</v>
      </c>
      <c r="C201" s="15" t="str">
        <f ca="1">IFERROR(__xludf.DUMMYFUNCTION("""COMPUTED_VALUE"""),"2022/09/06 (火)
平日夜間")</f>
        <v>2022/09/06 (火)
平日夜間</v>
      </c>
      <c r="D201" s="15" t="str">
        <f ca="1">IFERROR(__xludf.DUMMYFUNCTION("""COMPUTED_VALUE"""),"平日夜間")</f>
        <v>平日夜間</v>
      </c>
      <c r="E201" s="16">
        <f ca="1">IFERROR(__xludf.DUMMYFUNCTION("""COMPUTED_VALUE"""),0.982630573430833)</f>
        <v>0.98263057343083304</v>
      </c>
      <c r="F201" s="15" t="s">
        <v>29</v>
      </c>
      <c r="G201" s="39">
        <v>0</v>
      </c>
      <c r="H201" s="27" t="s">
        <v>125</v>
      </c>
      <c r="I201" s="27"/>
      <c r="J201" s="27" t="s">
        <v>44</v>
      </c>
      <c r="K201" s="23" t="b">
        <f ca="1">IFERROR(__xludf.DUMMYFUNCTION("""COMPUTED_VALUE"""),FALSE)</f>
        <v>0</v>
      </c>
      <c r="L201" s="22">
        <f ca="1">IFERROR(__xludf.DUMMYFUNCTION("""COMPUTED_VALUE"""),0.730666027298071)</f>
        <v>0.73066602729807095</v>
      </c>
      <c r="M201" s="23">
        <f ca="1">IFERROR(__xludf.DUMMYFUNCTION("""COMPUTED_VALUE"""),-0.538889401332872)</f>
        <v>-0.538889401332872</v>
      </c>
      <c r="N201" s="23">
        <f ca="1">IFERROR(__xludf.DUMMYFUNCTION("""COMPUTED_VALUE"""),0.0467984741771569)</f>
        <v>4.67984741771569E-2</v>
      </c>
      <c r="O201" s="23">
        <f ca="1">IFERROR(__xludf.DUMMYFUNCTION("""COMPUTED_VALUE"""),-0.755416858833926)</f>
        <v>-0.75541685883392595</v>
      </c>
      <c r="P201" s="23">
        <f ca="1">IFERROR(__xludf.DUMMYFUNCTION("""COMPUTED_VALUE"""),0.702914781217273)</f>
        <v>0.70291478121727302</v>
      </c>
      <c r="Q201" s="24">
        <f ca="1">IFERROR(__xludf.DUMMYFUNCTION("""COMPUTED_VALUE"""),-0.158954609322304)</f>
        <v>-0.15895460932230401</v>
      </c>
      <c r="R201" s="23">
        <f ca="1">IFERROR(__xludf.DUMMYFUNCTION("""COMPUTED_VALUE"""),0.390867309089123)</f>
        <v>0.39086730908912298</v>
      </c>
      <c r="S201" s="23">
        <f ca="1">IFERROR(__xludf.DUMMYFUNCTION("""COMPUTED_VALUE"""),-0.00639758347457197)</f>
        <v>-6.3975834745719704E-3</v>
      </c>
      <c r="T201" s="23">
        <f ca="1">IFERROR(__xludf.DUMMYFUNCTION("""COMPUTED_VALUE"""),0.259586909949739)</f>
        <v>0.25958690994973899</v>
      </c>
      <c r="U201" s="23">
        <f ca="1">IFERROR(__xludf.DUMMYFUNCTION("""COMPUTED_VALUE"""),0.160211287466541)</f>
        <v>0.16021128746654101</v>
      </c>
      <c r="V201" s="23"/>
      <c r="W201" s="23">
        <f ca="1">IFERROR(__xludf.DUMMYFUNCTION("""COMPUTED_VALUE"""),-0.323347155660441)</f>
        <v>-0.32334715566044098</v>
      </c>
      <c r="X201" s="23"/>
      <c r="Y201" s="23">
        <f ca="1">IFERROR(__xludf.DUMMYFUNCTION("""COMPUTED_VALUE"""),0.649188274252895)</f>
        <v>0.64918827425289505</v>
      </c>
      <c r="Z201" s="23">
        <f ca="1">IFERROR(__xludf.DUMMYFUNCTION("""COMPUTED_VALUE"""),0.67202744574249)</f>
        <v>0.67202744574248996</v>
      </c>
      <c r="AA201" s="23"/>
      <c r="AB201" s="23">
        <f ca="1">IFERROR(__xludf.DUMMYFUNCTION("""COMPUTED_VALUE"""),-0.197452586450749)</f>
        <v>-0.19745258645074901</v>
      </c>
      <c r="AC201" s="22"/>
      <c r="AD201" s="23"/>
      <c r="AE201" s="23"/>
      <c r="AF201" s="22"/>
      <c r="AG201" s="22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</row>
    <row r="202" spans="1:45" ht="27.75" customHeight="1" x14ac:dyDescent="0.35">
      <c r="A202" s="15" t="s">
        <v>27</v>
      </c>
      <c r="B202" s="15" t="s">
        <v>120</v>
      </c>
      <c r="C202" s="15" t="str">
        <f ca="1">IFERROR(__xludf.DUMMYFUNCTION("""COMPUTED_VALUE"""),"2022/09/07 (水)
平日夜間")</f>
        <v>2022/09/07 (水)
平日夜間</v>
      </c>
      <c r="D202" s="15" t="str">
        <f ca="1">IFERROR(__xludf.DUMMYFUNCTION("""COMPUTED_VALUE"""),"平日夜間")</f>
        <v>平日夜間</v>
      </c>
      <c r="E202" s="16">
        <f ca="1">IFERROR(__xludf.DUMMYFUNCTION("""COMPUTED_VALUE"""),1.54050901663179)</f>
        <v>1.5405090166317901</v>
      </c>
      <c r="F202" s="15" t="s">
        <v>10</v>
      </c>
      <c r="G202" s="39">
        <v>0</v>
      </c>
      <c r="H202" s="27" t="s">
        <v>45</v>
      </c>
      <c r="I202" s="27"/>
      <c r="K202" s="23" t="b">
        <f ca="1">IFERROR(__xludf.DUMMYFUNCTION("""COMPUTED_VALUE"""),FALSE)</f>
        <v>0</v>
      </c>
      <c r="L202" s="22">
        <f ca="1">IFERROR(__xludf.DUMMYFUNCTION("""COMPUTED_VALUE"""),0.678871039712457)</f>
        <v>0.67887103971245699</v>
      </c>
      <c r="M202" s="23">
        <f ca="1">IFERROR(__xludf.DUMMYFUNCTION("""COMPUTED_VALUE"""),0.883089803800325)</f>
        <v>0.88308980380032498</v>
      </c>
      <c r="N202" s="23">
        <f ca="1">IFERROR(__xludf.DUMMYFUNCTION("""COMPUTED_VALUE"""),0.242164211976594)</f>
        <v>0.24216421197659399</v>
      </c>
      <c r="O202" s="23">
        <f ca="1">IFERROR(__xludf.DUMMYFUNCTION("""COMPUTED_VALUE"""),-0.737305282847038)</f>
        <v>-0.737305282847038</v>
      </c>
      <c r="P202" s="23">
        <f ca="1">IFERROR(__xludf.DUMMYFUNCTION("""COMPUTED_VALUE"""),0.156562909706581)</f>
        <v>0.15656290970658099</v>
      </c>
      <c r="Q202" s="24">
        <f ca="1">IFERROR(__xludf.DUMMYFUNCTION("""COMPUTED_VALUE"""),-0.884714963563195)</f>
        <v>-0.88471496356319501</v>
      </c>
      <c r="R202" s="23">
        <f ca="1">IFERROR(__xludf.DUMMYFUNCTION("""COMPUTED_VALUE"""),0.488221972883554)</f>
        <v>0.48822197288355401</v>
      </c>
      <c r="S202" s="23">
        <f ca="1">IFERROR(__xludf.DUMMYFUNCTION("""COMPUTED_VALUE"""),-0.329593851077103)</f>
        <v>-0.32959385107710298</v>
      </c>
      <c r="T202" s="23">
        <f ca="1">IFERROR(__xludf.DUMMYFUNCTION("""COMPUTED_VALUE"""),0.555537697803244)</f>
        <v>0.55553769780324402</v>
      </c>
      <c r="U202" s="23">
        <f ca="1">IFERROR(__xludf.DUMMYFUNCTION("""COMPUTED_VALUE"""),0.381985545841218)</f>
        <v>0.38198554584121802</v>
      </c>
      <c r="V202" s="23"/>
      <c r="W202" s="23">
        <f ca="1">IFERROR(__xludf.DUMMYFUNCTION("""COMPUTED_VALUE"""),-0.831440467934989)</f>
        <v>-0.83144046793498905</v>
      </c>
      <c r="X202" s="23"/>
      <c r="Y202" s="23">
        <f ca="1">IFERROR(__xludf.DUMMYFUNCTION("""COMPUTED_VALUE"""),0.334229707252281)</f>
        <v>0.33422970725228102</v>
      </c>
      <c r="Z202" s="23">
        <f ca="1">IFERROR(__xludf.DUMMYFUNCTION("""COMPUTED_VALUE"""),1.07913629799375)</f>
        <v>1.07913629799375</v>
      </c>
      <c r="AA202" s="23"/>
      <c r="AB202" s="23">
        <f ca="1">IFERROR(__xludf.DUMMYFUNCTION("""COMPUTED_VALUE"""),-0.195790345930046)</f>
        <v>-0.19579034593004599</v>
      </c>
      <c r="AC202" s="22"/>
      <c r="AD202" s="23"/>
      <c r="AE202" s="23"/>
      <c r="AF202" s="22"/>
      <c r="AG202" s="22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</row>
    <row r="203" spans="1:45" ht="27.75" customHeight="1" x14ac:dyDescent="0.35">
      <c r="A203" s="15" t="s">
        <v>27</v>
      </c>
      <c r="B203" s="15" t="s">
        <v>120</v>
      </c>
      <c r="C203" s="15" t="str">
        <f ca="1">IFERROR(__xludf.DUMMYFUNCTION("""COMPUTED_VALUE"""),"2022/09/08 (木)
平日夜間")</f>
        <v>2022/09/08 (木)
平日夜間</v>
      </c>
      <c r="D203" s="15" t="str">
        <f ca="1">IFERROR(__xludf.DUMMYFUNCTION("""COMPUTED_VALUE"""),"平日夜間")</f>
        <v>平日夜間</v>
      </c>
      <c r="E203" s="16">
        <f ca="1">IFERROR(__xludf.DUMMYFUNCTION("""COMPUTED_VALUE"""),1.68741465718187)</f>
        <v>1.68741465718187</v>
      </c>
      <c r="F203" s="15" t="s">
        <v>10</v>
      </c>
      <c r="G203" s="39">
        <v>0</v>
      </c>
      <c r="H203" s="27" t="s">
        <v>126</v>
      </c>
      <c r="I203" s="27"/>
      <c r="J203" s="27"/>
      <c r="K203" s="23" t="b">
        <f ca="1">IFERROR(__xludf.DUMMYFUNCTION("""COMPUTED_VALUE"""),FALSE)</f>
        <v>0</v>
      </c>
      <c r="L203" s="22">
        <f ca="1">IFERROR(__xludf.DUMMYFUNCTION("""COMPUTED_VALUE"""),0.266025343379881)</f>
        <v>0.26602534337988099</v>
      </c>
      <c r="M203" s="23">
        <f ca="1">IFERROR(__xludf.DUMMYFUNCTION("""COMPUTED_VALUE"""),-0.973549297610081)</f>
        <v>-0.97354929761008102</v>
      </c>
      <c r="N203" s="23">
        <f ca="1">IFERROR(__xludf.DUMMYFUNCTION("""COMPUTED_VALUE"""),0.0247688518499999)</f>
        <v>2.4768851849999898E-2</v>
      </c>
      <c r="O203" s="23">
        <f ca="1">IFERROR(__xludf.DUMMYFUNCTION("""COMPUTED_VALUE"""),0.267830040862993)</f>
        <v>0.267830040862993</v>
      </c>
      <c r="P203" s="23">
        <f ca="1">IFERROR(__xludf.DUMMYFUNCTION("""COMPUTED_VALUE"""),0.335995173964325)</f>
        <v>0.33599517396432499</v>
      </c>
      <c r="Q203" s="24">
        <f ca="1">IFERROR(__xludf.DUMMYFUNCTION("""COMPUTED_VALUE"""),-0.489305939319506)</f>
        <v>-0.489305939319506</v>
      </c>
      <c r="R203" s="23">
        <f ca="1">IFERROR(__xludf.DUMMYFUNCTION("""COMPUTED_VALUE"""),0.384796080386981)</f>
        <v>0.38479608038698099</v>
      </c>
      <c r="S203" s="23">
        <f ca="1">IFERROR(__xludf.DUMMYFUNCTION("""COMPUTED_VALUE"""),0.0891329362389599)</f>
        <v>8.9132936238959903E-2</v>
      </c>
      <c r="T203" s="23">
        <f ca="1">IFERROR(__xludf.DUMMYFUNCTION("""COMPUTED_VALUE"""),0.78798520843519)</f>
        <v>0.78798520843519004</v>
      </c>
      <c r="U203" s="23">
        <f ca="1">IFERROR(__xludf.DUMMYFUNCTION("""COMPUTED_VALUE"""),-0.486551428338909)</f>
        <v>-0.48655142833890902</v>
      </c>
      <c r="V203" s="23"/>
      <c r="W203" s="23">
        <f ca="1">IFERROR(__xludf.DUMMYFUNCTION("""COMPUTED_VALUE"""),0.0578394573267027)</f>
        <v>5.7839457326702703E-2</v>
      </c>
      <c r="X203" s="23"/>
      <c r="Y203" s="23">
        <f ca="1">IFERROR(__xludf.DUMMYFUNCTION("""COMPUTED_VALUE"""),0.943295956986743)</f>
        <v>0.94329595698674296</v>
      </c>
      <c r="Z203" s="23">
        <f ca="1">IFERROR(__xludf.DUMMYFUNCTION("""COMPUTED_VALUE"""),1.54453849028867)</f>
        <v>1.5445384902886701</v>
      </c>
      <c r="AA203" s="23"/>
      <c r="AB203" s="23">
        <f ca="1">IFERROR(__xludf.DUMMYFUNCTION("""COMPUTED_VALUE"""),-0.63171155804009)</f>
        <v>-0.63171155804009005</v>
      </c>
      <c r="AC203" s="22"/>
      <c r="AD203" s="23"/>
      <c r="AE203" s="23"/>
      <c r="AF203" s="22"/>
      <c r="AG203" s="22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</row>
    <row r="204" spans="1:45" ht="27.75" customHeight="1" x14ac:dyDescent="0.35">
      <c r="A204" s="15" t="s">
        <v>27</v>
      </c>
      <c r="B204" s="15" t="s">
        <v>120</v>
      </c>
      <c r="C204" s="15" t="str">
        <f ca="1">IFERROR(__xludf.DUMMYFUNCTION("""COMPUTED_VALUE"""),"2022/09/09 (金)
平日夜間")</f>
        <v>2022/09/09 (金)
平日夜間</v>
      </c>
      <c r="D204" s="15" t="str">
        <f ca="1">IFERROR(__xludf.DUMMYFUNCTION("""COMPUTED_VALUE"""),"平日夜間")</f>
        <v>平日夜間</v>
      </c>
      <c r="E204" s="16">
        <f ca="1">IFERROR(__xludf.DUMMYFUNCTION("""COMPUTED_VALUE"""),1.61086614306562)</f>
        <v>1.6108661430656199</v>
      </c>
      <c r="F204" s="15" t="s">
        <v>10</v>
      </c>
      <c r="G204" s="39">
        <v>0</v>
      </c>
      <c r="H204" s="27" t="s">
        <v>127</v>
      </c>
      <c r="I204" s="27"/>
      <c r="J204" s="27"/>
      <c r="K204" s="23" t="b">
        <f ca="1">IFERROR(__xludf.DUMMYFUNCTION("""COMPUTED_VALUE"""),FALSE)</f>
        <v>0</v>
      </c>
      <c r="L204" s="22">
        <f ca="1">IFERROR(__xludf.DUMMYFUNCTION("""COMPUTED_VALUE"""),0.0535943379662562)</f>
        <v>5.3594337966256199E-2</v>
      </c>
      <c r="M204" s="23">
        <f ca="1">IFERROR(__xludf.DUMMYFUNCTION("""COMPUTED_VALUE"""),0.435962026611507)</f>
        <v>0.43596202661150701</v>
      </c>
      <c r="N204" s="23">
        <f ca="1">IFERROR(__xludf.DUMMYFUNCTION("""COMPUTED_VALUE"""),-0.849379525916072)</f>
        <v>-0.84937952591607202</v>
      </c>
      <c r="O204" s="23">
        <f ca="1">IFERROR(__xludf.DUMMYFUNCTION("""COMPUTED_VALUE"""),-0.16780461992728)</f>
        <v>-0.16780461992727999</v>
      </c>
      <c r="P204" s="23">
        <f ca="1">IFERROR(__xludf.DUMMYFUNCTION("""COMPUTED_VALUE"""),0.445095546497564)</f>
        <v>0.445095546497564</v>
      </c>
      <c r="Q204" s="24">
        <f ca="1">IFERROR(__xludf.DUMMYFUNCTION("""COMPUTED_VALUE"""),-0.948796561852887)</f>
        <v>-0.94879656185288697</v>
      </c>
      <c r="R204" s="23">
        <f ca="1">IFERROR(__xludf.DUMMYFUNCTION("""COMPUTED_VALUE"""),-0.795834760076552)</f>
        <v>-0.79583476007655196</v>
      </c>
      <c r="S204" s="23">
        <f ca="1">IFERROR(__xludf.DUMMYFUNCTION("""COMPUTED_VALUE"""),0.256538151244875)</f>
        <v>0.256538151244875</v>
      </c>
      <c r="T204" s="23">
        <f ca="1">IFERROR(__xludf.DUMMYFUNCTION("""COMPUTED_VALUE"""),1.35161842291808)</f>
        <v>1.3516184229180801</v>
      </c>
      <c r="U204" s="23">
        <f ca="1">IFERROR(__xludf.DUMMYFUNCTION("""COMPUTED_VALUE"""),-0.754871623371675)</f>
        <v>-0.75487162337167502</v>
      </c>
      <c r="V204" s="23"/>
      <c r="W204" s="23">
        <f ca="1">IFERROR(__xludf.DUMMYFUNCTION("""COMPUTED_VALUE"""),0.717738458110953)</f>
        <v>0.71773845811095305</v>
      </c>
      <c r="X204" s="23"/>
      <c r="Y204" s="23">
        <f ca="1">IFERROR(__xludf.DUMMYFUNCTION("""COMPUTED_VALUE"""),0.0502782651248088)</f>
        <v>5.0278265124808798E-2</v>
      </c>
      <c r="Z204" s="23">
        <f ca="1">IFERROR(__xludf.DUMMYFUNCTION("""COMPUTED_VALUE"""),1.19983023803865)</f>
        <v>1.1998302380386501</v>
      </c>
      <c r="AA204" s="23"/>
      <c r="AB204" s="23">
        <f ca="1">IFERROR(__xludf.DUMMYFUNCTION("""COMPUTED_VALUE"""),-0.616127378340525)</f>
        <v>-0.616127378340525</v>
      </c>
      <c r="AC204" s="22"/>
      <c r="AD204" s="23"/>
      <c r="AE204" s="23"/>
      <c r="AF204" s="22"/>
      <c r="AG204" s="22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</row>
    <row r="205" spans="1:45" ht="27.75" customHeight="1" x14ac:dyDescent="0.35">
      <c r="A205" s="15" t="s">
        <v>27</v>
      </c>
      <c r="B205" s="15" t="s">
        <v>120</v>
      </c>
      <c r="C205" s="15" t="str">
        <f ca="1">IFERROR(__xludf.DUMMYFUNCTION("""COMPUTED_VALUE"""),"2022/09/10 (土)
休日午前")</f>
        <v>2022/09/10 (土)
休日午前</v>
      </c>
      <c r="D205" s="15" t="str">
        <f ca="1">IFERROR(__xludf.DUMMYFUNCTION("""COMPUTED_VALUE"""),"休日午前")</f>
        <v>休日午前</v>
      </c>
      <c r="E205" s="16">
        <f ca="1">IFERROR(__xludf.DUMMYFUNCTION("""COMPUTED_VALUE"""),1.90822490603516)</f>
        <v>1.9082249060351599</v>
      </c>
      <c r="F205" s="15" t="s">
        <v>19</v>
      </c>
      <c r="G205" s="39">
        <v>0</v>
      </c>
      <c r="H205" s="27" t="s">
        <v>4</v>
      </c>
      <c r="I205" s="27"/>
      <c r="J205" s="27" t="s">
        <v>128</v>
      </c>
      <c r="K205" s="23" t="b">
        <f ca="1">IFERROR(__xludf.DUMMYFUNCTION("""COMPUTED_VALUE"""),FALSE)</f>
        <v>0</v>
      </c>
      <c r="L205" s="22">
        <f ca="1">IFERROR(__xludf.DUMMYFUNCTION("""COMPUTED_VALUE"""),0.0753697580242731)</f>
        <v>7.5369758024273106E-2</v>
      </c>
      <c r="M205" s="23">
        <f ca="1">IFERROR(__xludf.DUMMYFUNCTION("""COMPUTED_VALUE"""),0.180914554304891)</f>
        <v>0.18091455430489101</v>
      </c>
      <c r="N205" s="23">
        <f ca="1">IFERROR(__xludf.DUMMYFUNCTION("""COMPUTED_VALUE"""),-0.316421084965845)</f>
        <v>-0.31642108496584498</v>
      </c>
      <c r="O205" s="23">
        <f ca="1">IFERROR(__xludf.DUMMYFUNCTION("""COMPUTED_VALUE"""),1.72030093241425)</f>
        <v>1.72030093241425</v>
      </c>
      <c r="P205" s="23">
        <f ca="1">IFERROR(__xludf.DUMMYFUNCTION("""COMPUTED_VALUE"""),0.292018822022574)</f>
        <v>0.29201882202257401</v>
      </c>
      <c r="Q205" s="24">
        <f ca="1">IFERROR(__xludf.DUMMYFUNCTION("""COMPUTED_VALUE"""),-0.578489674111227)</f>
        <v>-0.57848967411122698</v>
      </c>
      <c r="R205" s="23">
        <f ca="1">IFERROR(__xludf.DUMMYFUNCTION("""COMPUTED_VALUE"""),-0.297637832794919)</f>
        <v>-0.29763783279491901</v>
      </c>
      <c r="S205" s="23">
        <f ca="1">IFERROR(__xludf.DUMMYFUNCTION("""COMPUTED_VALUE"""),-0.731667270977944)</f>
        <v>-0.73166727097794404</v>
      </c>
      <c r="T205" s="23">
        <f ca="1">IFERROR(__xludf.DUMMYFUNCTION("""COMPUTED_VALUE"""),1.6027054832965)</f>
        <v>1.6027054832965</v>
      </c>
      <c r="U205" s="23">
        <f ca="1">IFERROR(__xludf.DUMMYFUNCTION("""COMPUTED_VALUE"""),-0.454705928376167)</f>
        <v>-0.45470592837616702</v>
      </c>
      <c r="V205" s="23"/>
      <c r="W205" s="23">
        <f ca="1">IFERROR(__xludf.DUMMYFUNCTION("""COMPUTED_VALUE"""),0.551835799688694)</f>
        <v>0.55183579968869401</v>
      </c>
      <c r="X205" s="23"/>
      <c r="Y205" s="23">
        <f ca="1">IFERROR(__xludf.DUMMYFUNCTION("""COMPUTED_VALUE"""),-0.374755934966165)</f>
        <v>-0.37475593496616499</v>
      </c>
      <c r="Z205" s="23">
        <f ca="1">IFERROR(__xludf.DUMMYFUNCTION("""COMPUTED_VALUE"""),0.874390514120448)</f>
        <v>0.87439051412044799</v>
      </c>
      <c r="AA205" s="23"/>
      <c r="AB205" s="23">
        <f ca="1">IFERROR(__xludf.DUMMYFUNCTION("""COMPUTED_VALUE"""),-0.485451609034156)</f>
        <v>-0.48545160903415602</v>
      </c>
      <c r="AC205" s="22"/>
      <c r="AD205" s="23"/>
      <c r="AE205" s="23"/>
      <c r="AF205" s="22"/>
      <c r="AG205" s="22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</row>
    <row r="206" spans="1:45" ht="27.75" customHeight="1" x14ac:dyDescent="0.35">
      <c r="A206" s="15" t="s">
        <v>27</v>
      </c>
      <c r="B206" s="15" t="s">
        <v>120</v>
      </c>
      <c r="C206" s="15" t="str">
        <f ca="1">IFERROR(__xludf.DUMMYFUNCTION("""COMPUTED_VALUE"""),"2022/09/10 (土)
休日午後")</f>
        <v>2022/09/10 (土)
休日午後</v>
      </c>
      <c r="D206" s="15" t="str">
        <f ca="1">IFERROR(__xludf.DUMMYFUNCTION("""COMPUTED_VALUE"""),"休日午後")</f>
        <v>休日午後</v>
      </c>
      <c r="E206" s="16">
        <f ca="1">IFERROR(__xludf.DUMMYFUNCTION("""COMPUTED_VALUE"""),1.89104071130297)</f>
        <v>1.8910407113029699</v>
      </c>
      <c r="F206" s="15" t="s">
        <v>10</v>
      </c>
      <c r="G206" s="39">
        <v>0</v>
      </c>
      <c r="H206" s="27" t="s">
        <v>31</v>
      </c>
      <c r="I206" s="27"/>
      <c r="J206" s="27" t="s">
        <v>128</v>
      </c>
      <c r="K206" s="23" t="b">
        <f ca="1">IFERROR(__xludf.DUMMYFUNCTION("""COMPUTED_VALUE"""),FALSE)</f>
        <v>0</v>
      </c>
      <c r="L206" s="22">
        <f ca="1">IFERROR(__xludf.DUMMYFUNCTION("""COMPUTED_VALUE"""),-0.267550033773792)</f>
        <v>-0.267550033773792</v>
      </c>
      <c r="M206" s="23">
        <f ca="1">IFERROR(__xludf.DUMMYFUNCTION("""COMPUTED_VALUE"""),0.619555458106907)</f>
        <v>0.61955545810690704</v>
      </c>
      <c r="N206" s="23">
        <f ca="1">IFERROR(__xludf.DUMMYFUNCTION("""COMPUTED_VALUE"""),-0.863928953815286)</f>
        <v>-0.863928953815286</v>
      </c>
      <c r="O206" s="23">
        <f ca="1">IFERROR(__xludf.DUMMYFUNCTION("""COMPUTED_VALUE"""),-0.217343968711317)</f>
        <v>-0.217343968711317</v>
      </c>
      <c r="P206" s="23">
        <f ca="1">IFERROR(__xludf.DUMMYFUNCTION("""COMPUTED_VALUE"""),0.39091281552595)</f>
        <v>0.39091281552594997</v>
      </c>
      <c r="Q206" s="24">
        <f ca="1">IFERROR(__xludf.DUMMYFUNCTION("""COMPUTED_VALUE"""),-0.0894717499979793)</f>
        <v>-8.94717499979793E-2</v>
      </c>
      <c r="R206" s="23">
        <f ca="1">IFERROR(__xludf.DUMMYFUNCTION("""COMPUTED_VALUE"""),-0.834342279524398)</f>
        <v>-0.83434227952439799</v>
      </c>
      <c r="S206" s="23">
        <f ca="1">IFERROR(__xludf.DUMMYFUNCTION("""COMPUTED_VALUE"""),-0.816584685858721)</f>
        <v>-0.81658468585872102</v>
      </c>
      <c r="T206" s="23">
        <f ca="1">IFERROR(__xludf.DUMMYFUNCTION("""COMPUTED_VALUE"""),0.89173509367153)</f>
        <v>0.89173509367153003</v>
      </c>
      <c r="U206" s="23">
        <f ca="1">IFERROR(__xludf.DUMMYFUNCTION("""COMPUTED_VALUE"""),-0.0123351469826518)</f>
        <v>-1.23351469826518E-2</v>
      </c>
      <c r="V206" s="23"/>
      <c r="W206" s="23">
        <f ca="1">IFERROR(__xludf.DUMMYFUNCTION("""COMPUTED_VALUE"""),0.371360230219145)</f>
        <v>0.37136023021914499</v>
      </c>
      <c r="X206" s="23"/>
      <c r="Y206" s="23">
        <f ca="1">IFERROR(__xludf.DUMMYFUNCTION("""COMPUTED_VALUE"""),-0.931320817551147)</f>
        <v>-0.93132081755114704</v>
      </c>
      <c r="Z206" s="23">
        <f ca="1">IFERROR(__xludf.DUMMYFUNCTION("""COMPUTED_VALUE"""),0.116817944260533)</f>
        <v>0.116817944260533</v>
      </c>
      <c r="AA206" s="23"/>
      <c r="AB206" s="23">
        <f ca="1">IFERROR(__xludf.DUMMYFUNCTION("""COMPUTED_VALUE"""),-0.73462586008106)</f>
        <v>-0.73462586008106001</v>
      </c>
      <c r="AC206" s="22"/>
      <c r="AD206" s="23"/>
      <c r="AE206" s="23"/>
      <c r="AF206" s="22"/>
      <c r="AG206" s="22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</row>
    <row r="207" spans="1:45" ht="27.75" customHeight="1" x14ac:dyDescent="0.35">
      <c r="A207" s="15" t="s">
        <v>27</v>
      </c>
      <c r="B207" s="15" t="s">
        <v>120</v>
      </c>
      <c r="C207" s="15" t="str">
        <f ca="1">IFERROR(__xludf.DUMMYFUNCTION("""COMPUTED_VALUE"""),"2022/09/11 (日)
休日午前")</f>
        <v>2022/09/11 (日)
休日午前</v>
      </c>
      <c r="D207" s="15" t="str">
        <f ca="1">IFERROR(__xludf.DUMMYFUNCTION("""COMPUTED_VALUE"""),"休日午前")</f>
        <v>休日午前</v>
      </c>
      <c r="E207" s="16">
        <f ca="1">IFERROR(__xludf.DUMMYFUNCTION("""COMPUTED_VALUE"""),2.19630266395485)</f>
        <v>2.19630266395485</v>
      </c>
      <c r="F207" s="15" t="s">
        <v>125</v>
      </c>
      <c r="G207" s="39">
        <v>0</v>
      </c>
      <c r="H207" s="27" t="s">
        <v>13</v>
      </c>
      <c r="I207" s="27"/>
      <c r="J207" s="27" t="s">
        <v>129</v>
      </c>
      <c r="K207" s="23" t="b">
        <f ca="1">IFERROR(__xludf.DUMMYFUNCTION("""COMPUTED_VALUE"""),FALSE)</f>
        <v>0</v>
      </c>
      <c r="L207" s="22">
        <f ca="1">IFERROR(__xludf.DUMMYFUNCTION("""COMPUTED_VALUE"""),-0.303715097271666)</f>
        <v>-0.30371509727166601</v>
      </c>
      <c r="M207" s="23">
        <f ca="1">IFERROR(__xludf.DUMMYFUNCTION("""COMPUTED_VALUE"""),-0.249982423712512)</f>
        <v>-0.249982423712512</v>
      </c>
      <c r="N207" s="23">
        <f ca="1">IFERROR(__xludf.DUMMYFUNCTION("""COMPUTED_VALUE"""),0.281844230391)</f>
        <v>0.28184423039099998</v>
      </c>
      <c r="O207" s="23">
        <f ca="1">IFERROR(__xludf.DUMMYFUNCTION("""COMPUTED_VALUE"""),-0.0252661063831274)</f>
        <v>-2.5266106383127401E-2</v>
      </c>
      <c r="P207" s="23">
        <f ca="1">IFERROR(__xludf.DUMMYFUNCTION("""COMPUTED_VALUE"""),0.350704129357467)</f>
        <v>0.35070412935746698</v>
      </c>
      <c r="Q207" s="24">
        <f ca="1">IFERROR(__xludf.DUMMYFUNCTION("""COMPUTED_VALUE"""),-0.603452813134677)</f>
        <v>-0.60345281313467702</v>
      </c>
      <c r="R207" s="23">
        <f ca="1">IFERROR(__xludf.DUMMYFUNCTION("""COMPUTED_VALUE"""),-0.398729801043158)</f>
        <v>-0.39872980104315803</v>
      </c>
      <c r="S207" s="23">
        <f ca="1">IFERROR(__xludf.DUMMYFUNCTION("""COMPUTED_VALUE"""),-0.00876443483035105)</f>
        <v>-8.7644348303510498E-3</v>
      </c>
      <c r="T207" s="23">
        <f ca="1">IFERROR(__xludf.DUMMYFUNCTION("""COMPUTED_VALUE"""),1.44225073568906)</f>
        <v>1.4422507356890599</v>
      </c>
      <c r="U207" s="23">
        <f ca="1">IFERROR(__xludf.DUMMYFUNCTION("""COMPUTED_VALUE"""),-0.811623778444002)</f>
        <v>-0.81162377844400202</v>
      </c>
      <c r="V207" s="23"/>
      <c r="W207" s="23">
        <f ca="1">IFERROR(__xludf.DUMMYFUNCTION("""COMPUTED_VALUE"""),0.711352156619222)</f>
        <v>0.71135215661922202</v>
      </c>
      <c r="X207" s="23"/>
      <c r="Y207" s="23">
        <f ca="1">IFERROR(__xludf.DUMMYFUNCTION("""COMPUTED_VALUE"""),-0.408515315996103)</f>
        <v>-0.40851531599610302</v>
      </c>
      <c r="Z207" s="23">
        <f ca="1">IFERROR(__xludf.DUMMYFUNCTION("""COMPUTED_VALUE"""),0.887292400515777)</f>
        <v>0.88729240051577696</v>
      </c>
      <c r="AA207" s="23"/>
      <c r="AB207" s="23">
        <f ca="1">IFERROR(__xludf.DUMMYFUNCTION("""COMPUTED_VALUE"""),-0.282258454747599)</f>
        <v>-0.28225845474759897</v>
      </c>
      <c r="AC207" s="22"/>
      <c r="AD207" s="23"/>
      <c r="AE207" s="23"/>
      <c r="AF207" s="22"/>
      <c r="AG207" s="22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</row>
    <row r="208" spans="1:45" ht="27.75" customHeight="1" x14ac:dyDescent="0.4">
      <c r="A208" s="15" t="s">
        <v>27</v>
      </c>
      <c r="B208" s="15" t="s">
        <v>120</v>
      </c>
      <c r="C208" s="15" t="str">
        <f ca="1">IFERROR(__xludf.DUMMYFUNCTION("""COMPUTED_VALUE"""),"2022/09/11 (日)
休日午後")</f>
        <v>2022/09/11 (日)
休日午後</v>
      </c>
      <c r="D208" s="15" t="str">
        <f ca="1">IFERROR(__xludf.DUMMYFUNCTION("""COMPUTED_VALUE"""),"休日午後")</f>
        <v>休日午後</v>
      </c>
      <c r="E208" s="16">
        <f ca="1">IFERROR(__xludf.DUMMYFUNCTION("""COMPUTED_VALUE"""),2.14780649106703)</f>
        <v>2.1478064910670298</v>
      </c>
      <c r="F208" s="15" t="s">
        <v>125</v>
      </c>
      <c r="G208" s="39">
        <v>2</v>
      </c>
      <c r="H208" s="40" t="s">
        <v>125</v>
      </c>
      <c r="I208" s="27"/>
      <c r="J208" s="41" t="s">
        <v>129</v>
      </c>
      <c r="K208" s="23" t="b">
        <f ca="1">IFERROR(__xludf.DUMMYFUNCTION("""COMPUTED_VALUE"""),TRUE)</f>
        <v>1</v>
      </c>
      <c r="L208" s="22">
        <f ca="1">IFERROR(__xludf.DUMMYFUNCTION("""COMPUTED_VALUE"""),-0.375964690700707)</f>
        <v>-0.37596469070070698</v>
      </c>
      <c r="M208" s="23">
        <f ca="1">IFERROR(__xludf.DUMMYFUNCTION("""COMPUTED_VALUE"""),-0.215230871696753)</f>
        <v>-0.21523087169675301</v>
      </c>
      <c r="N208" s="23">
        <f ca="1">IFERROR(__xludf.DUMMYFUNCTION("""COMPUTED_VALUE"""),0.659440607826242)</f>
        <v>0.65944060782624203</v>
      </c>
      <c r="O208" s="23">
        <f ca="1">IFERROR(__xludf.DUMMYFUNCTION("""COMPUTED_VALUE"""),-0.705851259362585)</f>
        <v>-0.70585125936258497</v>
      </c>
      <c r="P208" s="23">
        <f ca="1">IFERROR(__xludf.DUMMYFUNCTION("""COMPUTED_VALUE"""),0.081571359748757)</f>
        <v>8.1571359748756997E-2</v>
      </c>
      <c r="Q208" s="24">
        <f ca="1">IFERROR(__xludf.DUMMYFUNCTION("""COMPUTED_VALUE"""),-0.254720902844106)</f>
        <v>-0.25472090284410598</v>
      </c>
      <c r="R208" s="23">
        <f ca="1">IFERROR(__xludf.DUMMYFUNCTION("""COMPUTED_VALUE"""),-0.767512973397404)</f>
        <v>-0.76751297339740399</v>
      </c>
      <c r="S208" s="23">
        <f ca="1">IFERROR(__xludf.DUMMYFUNCTION("""COMPUTED_VALUE"""),-0.556557698784973)</f>
        <v>-0.55655769878497297</v>
      </c>
      <c r="T208" s="23">
        <f ca="1">IFERROR(__xludf.DUMMYFUNCTION("""COMPUTED_VALUE"""),0.345526313896211)</f>
        <v>0.34552631389621102</v>
      </c>
      <c r="U208" s="23">
        <f ca="1">IFERROR(__xludf.DUMMYFUNCTION("""COMPUTED_VALUE"""),-0.0554607821909336)</f>
        <v>-5.5460782190933602E-2</v>
      </c>
      <c r="V208" s="23"/>
      <c r="W208" s="23">
        <f ca="1">IFERROR(__xludf.DUMMYFUNCTION("""COMPUTED_VALUE"""),0.799202698083965)</f>
        <v>0.79920269808396505</v>
      </c>
      <c r="X208" s="23"/>
      <c r="Y208" s="23">
        <f ca="1">IFERROR(__xludf.DUMMYFUNCTION("""COMPUTED_VALUE"""),-0.519445658671148)</f>
        <v>-0.519445658671148</v>
      </c>
      <c r="Z208" s="23">
        <f ca="1">IFERROR(__xludf.DUMMYFUNCTION("""COMPUTED_VALUE"""),0.236228079875796)</f>
        <v>0.236228079875796</v>
      </c>
      <c r="AA208" s="23"/>
      <c r="AB208" s="23">
        <f ca="1">IFERROR(__xludf.DUMMYFUNCTION("""COMPUTED_VALUE"""),-0.267466865557543)</f>
        <v>-0.26746686555754301</v>
      </c>
      <c r="AC208" s="22"/>
      <c r="AD208" s="23"/>
      <c r="AE208" s="23"/>
      <c r="AF208" s="22"/>
      <c r="AG208" s="22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</row>
    <row r="209" spans="1:45" ht="27.75" customHeight="1" x14ac:dyDescent="0.4">
      <c r="A209" s="15" t="s">
        <v>27</v>
      </c>
      <c r="B209" s="15" t="s">
        <v>120</v>
      </c>
      <c r="C209" s="15" t="str">
        <f ca="1">IFERROR(__xludf.DUMMYFUNCTION("""COMPUTED_VALUE"""),"2022/09/12 (月)
平日夜間")</f>
        <v>2022/09/12 (月)
平日夜間</v>
      </c>
      <c r="D209" s="15" t="str">
        <f ca="1">IFERROR(__xludf.DUMMYFUNCTION("""COMPUTED_VALUE"""),"平日夜間")</f>
        <v>平日夜間</v>
      </c>
      <c r="E209" s="16">
        <f ca="1">IFERROR(__xludf.DUMMYFUNCTION("""COMPUTED_VALUE"""),2.07071281882344)</f>
        <v>2.07071281882344</v>
      </c>
      <c r="F209" s="15" t="s">
        <v>1</v>
      </c>
      <c r="G209" s="39">
        <v>2</v>
      </c>
      <c r="H209" s="40" t="s">
        <v>1</v>
      </c>
      <c r="I209" s="27"/>
      <c r="J209" s="27" t="s">
        <v>130</v>
      </c>
      <c r="K209" s="23" t="b">
        <f ca="1">IFERROR(__xludf.DUMMYFUNCTION("""COMPUTED_VALUE"""),TRUE)</f>
        <v>1</v>
      </c>
      <c r="L209" s="22">
        <f ca="1">IFERROR(__xludf.DUMMYFUNCTION("""COMPUTED_VALUE"""),0.020946163982114)</f>
        <v>2.0946163982114002E-2</v>
      </c>
      <c r="M209" s="23">
        <f ca="1">IFERROR(__xludf.DUMMYFUNCTION("""COMPUTED_VALUE"""),0.000721458710896127)</f>
        <v>7.2145871089612703E-4</v>
      </c>
      <c r="N209" s="23">
        <f ca="1">IFERROR(__xludf.DUMMYFUNCTION("""COMPUTED_VALUE"""),0.0851708600427634)</f>
        <v>8.5170860042763405E-2</v>
      </c>
      <c r="O209" s="23">
        <f ca="1">IFERROR(__xludf.DUMMYFUNCTION("""COMPUTED_VALUE"""),-0.64552713535591)</f>
        <v>-0.64552713535591</v>
      </c>
      <c r="P209" s="23">
        <f ca="1">IFERROR(__xludf.DUMMYFUNCTION("""COMPUTED_VALUE"""),0.329175841708278)</f>
        <v>0.32917584170827802</v>
      </c>
      <c r="Q209" s="24">
        <f ca="1">IFERROR(__xludf.DUMMYFUNCTION("""COMPUTED_VALUE"""),0.00379119613826306)</f>
        <v>3.79119613826306E-3</v>
      </c>
      <c r="R209" s="23">
        <f ca="1">IFERROR(__xludf.DUMMYFUNCTION("""COMPUTED_VALUE"""),-0.656770710969654)</f>
        <v>-0.656770710969654</v>
      </c>
      <c r="S209" s="23">
        <f ca="1">IFERROR(__xludf.DUMMYFUNCTION("""COMPUTED_VALUE"""),-0.81463937311583)</f>
        <v>-0.81463937311583001</v>
      </c>
      <c r="T209" s="23">
        <f ca="1">IFERROR(__xludf.DUMMYFUNCTION("""COMPUTED_VALUE"""),0.368947084615611)</f>
        <v>0.36894708461561099</v>
      </c>
      <c r="U209" s="23">
        <f ca="1">IFERROR(__xludf.DUMMYFUNCTION("""COMPUTED_VALUE"""),0.356362534131768)</f>
        <v>0.35636253413176799</v>
      </c>
      <c r="V209" s="23"/>
      <c r="W209" s="23">
        <f ca="1">IFERROR(__xludf.DUMMYFUNCTION("""COMPUTED_VALUE"""),0.718490457826877)</f>
        <v>0.71849045782687704</v>
      </c>
      <c r="X209" s="23"/>
      <c r="Y209" s="23">
        <f ca="1">IFERROR(__xludf.DUMMYFUNCTION("""COMPUTED_VALUE"""),-0.962931764742888)</f>
        <v>-0.962931764742888</v>
      </c>
      <c r="Z209" s="23">
        <f ca="1">IFERROR(__xludf.DUMMYFUNCTION("""COMPUTED_VALUE"""),1.54204468931262)</f>
        <v>1.5420446893126201</v>
      </c>
      <c r="AA209" s="23"/>
      <c r="AB209" s="23">
        <f ca="1">IFERROR(__xludf.DUMMYFUNCTION("""COMPUTED_VALUE"""),2.07071281882344)</f>
        <v>2.07071281882344</v>
      </c>
      <c r="AC209" s="22"/>
      <c r="AD209" s="23"/>
      <c r="AE209" s="23"/>
      <c r="AF209" s="22"/>
      <c r="AG209" s="22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</row>
    <row r="210" spans="1:45" ht="27.75" customHeight="1" x14ac:dyDescent="0.35">
      <c r="A210" s="15" t="s">
        <v>27</v>
      </c>
      <c r="B210" s="15" t="s">
        <v>120</v>
      </c>
      <c r="C210" s="15" t="str">
        <f ca="1">IFERROR(__xludf.DUMMYFUNCTION("""COMPUTED_VALUE"""),"2022/09/13 (火)
平日夜間")</f>
        <v>2022/09/13 (火)
平日夜間</v>
      </c>
      <c r="D210" s="15" t="str">
        <f ca="1">IFERROR(__xludf.DUMMYFUNCTION("""COMPUTED_VALUE"""),"平日夜間")</f>
        <v>平日夜間</v>
      </c>
      <c r="E210" s="16">
        <f ca="1">IFERROR(__xludf.DUMMYFUNCTION("""COMPUTED_VALUE"""),0.876553831145235)</f>
        <v>0.876553831145235</v>
      </c>
      <c r="F210" s="15" t="s">
        <v>18</v>
      </c>
      <c r="G210" s="39">
        <v>0</v>
      </c>
      <c r="H210" s="27" t="s">
        <v>2</v>
      </c>
      <c r="I210" s="27"/>
      <c r="J210" s="27" t="s">
        <v>56</v>
      </c>
      <c r="K210" s="23" t="b">
        <f ca="1">IFERROR(__xludf.DUMMYFUNCTION("""COMPUTED_VALUE"""),FALSE)</f>
        <v>0</v>
      </c>
      <c r="L210" s="22">
        <f ca="1">IFERROR(__xludf.DUMMYFUNCTION("""COMPUTED_VALUE"""),0.876553831145235)</f>
        <v>0.876553831145235</v>
      </c>
      <c r="M210" s="23">
        <f ca="1">IFERROR(__xludf.DUMMYFUNCTION("""COMPUTED_VALUE"""),-0.404972158091908)</f>
        <v>-0.40497215809190801</v>
      </c>
      <c r="N210" s="23">
        <f ca="1">IFERROR(__xludf.DUMMYFUNCTION("""COMPUTED_VALUE"""),0.701367265807284)</f>
        <v>0.70136726580728403</v>
      </c>
      <c r="O210" s="23">
        <f ca="1">IFERROR(__xludf.DUMMYFUNCTION("""COMPUTED_VALUE"""),-0.61644894101403)</f>
        <v>-0.61644894101403003</v>
      </c>
      <c r="P210" s="23">
        <f ca="1">IFERROR(__xludf.DUMMYFUNCTION("""COMPUTED_VALUE"""),0.151360201697861)</f>
        <v>0.15136020169786099</v>
      </c>
      <c r="Q210" s="24">
        <f ca="1">IFERROR(__xludf.DUMMYFUNCTION("""COMPUTED_VALUE"""),-0.565563819826796)</f>
        <v>-0.56556381982679604</v>
      </c>
      <c r="R210" s="23">
        <f ca="1">IFERROR(__xludf.DUMMYFUNCTION("""COMPUTED_VALUE"""),0.553046927696122)</f>
        <v>0.55304692769612196</v>
      </c>
      <c r="S210" s="23">
        <f ca="1">IFERROR(__xludf.DUMMYFUNCTION("""COMPUTED_VALUE"""),-0.60721561569688)</f>
        <v>-0.60721561569687998</v>
      </c>
      <c r="T210" s="23">
        <f ca="1">IFERROR(__xludf.DUMMYFUNCTION("""COMPUTED_VALUE"""),0.434341837285022)</f>
        <v>0.43434183728502201</v>
      </c>
      <c r="U210" s="23">
        <f ca="1">IFERROR(__xludf.DUMMYFUNCTION("""COMPUTED_VALUE"""),0.370491141539032)</f>
        <v>0.37049114153903201</v>
      </c>
      <c r="V210" s="23"/>
      <c r="W210" s="23">
        <f ca="1">IFERROR(__xludf.DUMMYFUNCTION("""COMPUTED_VALUE"""),0.127712292494016)</f>
        <v>0.127712292494016</v>
      </c>
      <c r="X210" s="23"/>
      <c r="Y210" s="23">
        <f ca="1">IFERROR(__xludf.DUMMYFUNCTION("""COMPUTED_VALUE"""),-0.781939950927782)</f>
        <v>-0.78193995092778201</v>
      </c>
      <c r="Z210" s="23">
        <f ca="1">IFERROR(__xludf.DUMMYFUNCTION("""COMPUTED_VALUE"""),-0.915378719957452)</f>
        <v>-0.91537871995745201</v>
      </c>
      <c r="AA210" s="23"/>
      <c r="AB210" s="23">
        <f ca="1">IFERROR(__xludf.DUMMYFUNCTION("""COMPUTED_VALUE"""),0.776274732846692)</f>
        <v>0.77627473284669202</v>
      </c>
      <c r="AC210" s="22"/>
      <c r="AD210" s="23"/>
      <c r="AE210" s="23"/>
      <c r="AF210" s="22"/>
      <c r="AG210" s="22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</row>
    <row r="211" spans="1:45" ht="27.75" customHeight="1" x14ac:dyDescent="0.35">
      <c r="A211" s="15" t="s">
        <v>27</v>
      </c>
      <c r="B211" s="15" t="s">
        <v>120</v>
      </c>
      <c r="C211" s="15" t="str">
        <f ca="1">IFERROR(__xludf.DUMMYFUNCTION("""COMPUTED_VALUE"""),"2022/09/14 (水)
平日夜間")</f>
        <v>2022/09/14 (水)
平日夜間</v>
      </c>
      <c r="D211" s="15" t="str">
        <f ca="1">IFERROR(__xludf.DUMMYFUNCTION("""COMPUTED_VALUE"""),"平日夜間")</f>
        <v>平日夜間</v>
      </c>
      <c r="E211" s="16">
        <f ca="1">IFERROR(__xludf.DUMMYFUNCTION("""COMPUTED_VALUE"""),0.995272320017578)</f>
        <v>0.99527232001757804</v>
      </c>
      <c r="F211" s="15" t="s">
        <v>2</v>
      </c>
      <c r="G211" s="39">
        <v>0</v>
      </c>
      <c r="H211" s="27" t="s">
        <v>126</v>
      </c>
      <c r="I211" s="27"/>
      <c r="J211" s="27"/>
      <c r="K211" s="23" t="b">
        <f ca="1">IFERROR(__xludf.DUMMYFUNCTION("""COMPUTED_VALUE"""),FALSE)</f>
        <v>0</v>
      </c>
      <c r="L211" s="22">
        <f ca="1">IFERROR(__xludf.DUMMYFUNCTION("""COMPUTED_VALUE"""),0.0219356867684137)</f>
        <v>2.19356867684137E-2</v>
      </c>
      <c r="M211" s="23">
        <f ca="1">IFERROR(__xludf.DUMMYFUNCTION("""COMPUTED_VALUE"""),0.0365313967461526)</f>
        <v>3.6531396746152599E-2</v>
      </c>
      <c r="N211" s="23">
        <f ca="1">IFERROR(__xludf.DUMMYFUNCTION("""COMPUTED_VALUE"""),0.995272320017578)</f>
        <v>0.99527232001757804</v>
      </c>
      <c r="O211" s="23">
        <f ca="1">IFERROR(__xludf.DUMMYFUNCTION("""COMPUTED_VALUE"""),-0.810395821792377)</f>
        <v>-0.81039582179237701</v>
      </c>
      <c r="P211" s="23">
        <f ca="1">IFERROR(__xludf.DUMMYFUNCTION("""COMPUTED_VALUE"""),0.248650348448571)</f>
        <v>0.24865034844857101</v>
      </c>
      <c r="Q211" s="24">
        <f ca="1">IFERROR(__xludf.DUMMYFUNCTION("""COMPUTED_VALUE"""),0.616320722751467)</f>
        <v>0.61632072275146699</v>
      </c>
      <c r="R211" s="23">
        <f ca="1">IFERROR(__xludf.DUMMYFUNCTION("""COMPUTED_VALUE"""),-0.501517695452546)</f>
        <v>-0.50151769545254599</v>
      </c>
      <c r="S211" s="23">
        <f ca="1">IFERROR(__xludf.DUMMYFUNCTION("""COMPUTED_VALUE"""),0.990320171455022)</f>
        <v>0.99032017145502205</v>
      </c>
      <c r="T211" s="23">
        <f ca="1">IFERROR(__xludf.DUMMYFUNCTION("""COMPUTED_VALUE"""),0.453628929978151)</f>
        <v>0.45362892997815102</v>
      </c>
      <c r="U211" s="23">
        <f ca="1">IFERROR(__xludf.DUMMYFUNCTION("""COMPUTED_VALUE"""),0.0609945107703862)</f>
        <v>6.0994510770386201E-2</v>
      </c>
      <c r="V211" s="23"/>
      <c r="W211" s="23">
        <f ca="1">IFERROR(__xludf.DUMMYFUNCTION("""COMPUTED_VALUE"""),-0.201030688436345)</f>
        <v>-0.201030688436345</v>
      </c>
      <c r="X211" s="23"/>
      <c r="Y211" s="23">
        <f ca="1">IFERROR(__xludf.DUMMYFUNCTION("""COMPUTED_VALUE"""),0.228458883626118)</f>
        <v>0.22845888362611799</v>
      </c>
      <c r="Z211" s="23">
        <f ca="1">IFERROR(__xludf.DUMMYFUNCTION("""COMPUTED_VALUE"""),-0.310686802888596)</f>
        <v>-0.31068680288859601</v>
      </c>
      <c r="AA211" s="23"/>
      <c r="AB211" s="23">
        <f ca="1">IFERROR(__xludf.DUMMYFUNCTION("""COMPUTED_VALUE"""),0.698569464713417)</f>
        <v>0.69856946471341697</v>
      </c>
      <c r="AC211" s="22"/>
      <c r="AD211" s="23"/>
      <c r="AE211" s="23"/>
      <c r="AF211" s="22"/>
      <c r="AG211" s="22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</row>
    <row r="212" spans="1:45" ht="27.75" customHeight="1" x14ac:dyDescent="0.4">
      <c r="A212" s="15" t="s">
        <v>27</v>
      </c>
      <c r="B212" s="15" t="s">
        <v>120</v>
      </c>
      <c r="C212" s="15" t="str">
        <f ca="1">IFERROR(__xludf.DUMMYFUNCTION("""COMPUTED_VALUE"""),"2022/09/15 (木)
平日夜間")</f>
        <v>2022/09/15 (木)
平日夜間</v>
      </c>
      <c r="D212" s="15" t="str">
        <f ca="1">IFERROR(__xludf.DUMMYFUNCTION("""COMPUTED_VALUE"""),"平日夜間")</f>
        <v>平日夜間</v>
      </c>
      <c r="E212" s="16">
        <f ca="1">IFERROR(__xludf.DUMMYFUNCTION("""COMPUTED_VALUE"""),0.970441767499644)</f>
        <v>0.97044176749964395</v>
      </c>
      <c r="F212" s="15" t="s">
        <v>126</v>
      </c>
      <c r="G212" s="39">
        <v>0</v>
      </c>
      <c r="H212" s="40" t="s">
        <v>31</v>
      </c>
      <c r="I212" s="27"/>
      <c r="J212" s="27" t="s">
        <v>131</v>
      </c>
      <c r="K212" s="23" t="b">
        <f ca="1">IFERROR(__xludf.DUMMYFUNCTION("""COMPUTED_VALUE"""),TRUE)</f>
        <v>1</v>
      </c>
      <c r="L212" s="22">
        <f ca="1">IFERROR(__xludf.DUMMYFUNCTION("""COMPUTED_VALUE"""),-0.473329617096318)</f>
        <v>-0.47332961709631799</v>
      </c>
      <c r="M212" s="23">
        <f ca="1">IFERROR(__xludf.DUMMYFUNCTION("""COMPUTED_VALUE"""),-0.610382205479106)</f>
        <v>-0.61038220547910604</v>
      </c>
      <c r="N212" s="23">
        <f ca="1">IFERROR(__xludf.DUMMYFUNCTION("""COMPUTED_VALUE"""),0.73265397119752)</f>
        <v>0.73265397119751996</v>
      </c>
      <c r="O212" s="23">
        <f ca="1">IFERROR(__xludf.DUMMYFUNCTION("""COMPUTED_VALUE"""),0.658632037298403)</f>
        <v>0.65863203729840303</v>
      </c>
      <c r="P212" s="23">
        <f ca="1">IFERROR(__xludf.DUMMYFUNCTION("""COMPUTED_VALUE"""),0.920471662066213)</f>
        <v>0.920471662066213</v>
      </c>
      <c r="Q212" s="24">
        <f ca="1">IFERROR(__xludf.DUMMYFUNCTION("""COMPUTED_VALUE"""),0.970048432539251)</f>
        <v>0.97004843253925099</v>
      </c>
      <c r="R212" s="23">
        <f ca="1">IFERROR(__xludf.DUMMYFUNCTION("""COMPUTED_VALUE"""),-0.564359114711559)</f>
        <v>-0.56435911471155897</v>
      </c>
      <c r="S212" s="23">
        <f ca="1">IFERROR(__xludf.DUMMYFUNCTION("""COMPUTED_VALUE"""),0.533301719257234)</f>
        <v>0.53330171925723402</v>
      </c>
      <c r="T212" s="23">
        <f ca="1">IFERROR(__xludf.DUMMYFUNCTION("""COMPUTED_VALUE"""),0.496004748118416)</f>
        <v>0.49600474811841599</v>
      </c>
      <c r="U212" s="23">
        <f ca="1">IFERROR(__xludf.DUMMYFUNCTION("""COMPUTED_VALUE"""),-0.143122608726697)</f>
        <v>-0.14312260872669699</v>
      </c>
      <c r="V212" s="23"/>
      <c r="W212" s="23">
        <f ca="1">IFERROR(__xludf.DUMMYFUNCTION("""COMPUTED_VALUE"""),0.474009464204478)</f>
        <v>0.47400946420447798</v>
      </c>
      <c r="X212" s="23"/>
      <c r="Y212" s="23">
        <f ca="1">IFERROR(__xludf.DUMMYFUNCTION("""COMPUTED_VALUE"""),-0.943475006222951)</f>
        <v>-0.943475006222951</v>
      </c>
      <c r="Z212" s="23">
        <f ca="1">IFERROR(__xludf.DUMMYFUNCTION("""COMPUTED_VALUE"""),0.404077833169379)</f>
        <v>0.40407783316937901</v>
      </c>
      <c r="AA212" s="23"/>
      <c r="AB212" s="23">
        <f ca="1">IFERROR(__xludf.DUMMYFUNCTION("""COMPUTED_VALUE"""),0.162972613158066)</f>
        <v>0.16297261315806599</v>
      </c>
      <c r="AC212" s="22"/>
      <c r="AD212" s="23"/>
      <c r="AE212" s="23"/>
      <c r="AF212" s="22"/>
      <c r="AG212" s="22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</row>
    <row r="213" spans="1:45" ht="27.75" customHeight="1" x14ac:dyDescent="0.4">
      <c r="A213" s="15" t="s">
        <v>27</v>
      </c>
      <c r="B213" s="15" t="s">
        <v>120</v>
      </c>
      <c r="C213" s="15" t="str">
        <f ca="1">IFERROR(__xludf.DUMMYFUNCTION("""COMPUTED_VALUE"""),"2022/09/16 (金)
平日夜間")</f>
        <v>2022/09/16 (金)
平日夜間</v>
      </c>
      <c r="D213" s="15" t="str">
        <f ca="1">IFERROR(__xludf.DUMMYFUNCTION("""COMPUTED_VALUE"""),"平日夜間")</f>
        <v>平日夜間</v>
      </c>
      <c r="E213" s="16">
        <f ca="1">IFERROR(__xludf.DUMMYFUNCTION("""COMPUTED_VALUE"""),1.86637971879126)</f>
        <v>1.8663797187912601</v>
      </c>
      <c r="F213" s="15" t="s">
        <v>11</v>
      </c>
      <c r="G213" s="39">
        <v>0</v>
      </c>
      <c r="H213" s="40" t="s">
        <v>4</v>
      </c>
      <c r="I213" s="27"/>
      <c r="J213" s="27" t="s">
        <v>132</v>
      </c>
      <c r="K213" s="23" t="b">
        <f ca="1">IFERROR(__xludf.DUMMYFUNCTION("""COMPUTED_VALUE"""),TRUE)</f>
        <v>1</v>
      </c>
      <c r="L213" s="22">
        <f ca="1">IFERROR(__xludf.DUMMYFUNCTION("""COMPUTED_VALUE"""),0.488524674557989)</f>
        <v>0.48852467455798898</v>
      </c>
      <c r="M213" s="23">
        <f ca="1">IFERROR(__xludf.DUMMYFUNCTION("""COMPUTED_VALUE"""),0.326445725495701)</f>
        <v>0.326445725495701</v>
      </c>
      <c r="N213" s="23">
        <f ca="1">IFERROR(__xludf.DUMMYFUNCTION("""COMPUTED_VALUE"""),-0.846310689061148)</f>
        <v>-0.84631068906114804</v>
      </c>
      <c r="O213" s="23">
        <f ca="1">IFERROR(__xludf.DUMMYFUNCTION("""COMPUTED_VALUE"""),-0.979797528477685)</f>
        <v>-0.97979752847768498</v>
      </c>
      <c r="P213" s="23">
        <f ca="1">IFERROR(__xludf.DUMMYFUNCTION("""COMPUTED_VALUE"""),0.512014191162492)</f>
        <v>0.51201419116249203</v>
      </c>
      <c r="Q213" s="24">
        <f ca="1">IFERROR(__xludf.DUMMYFUNCTION("""COMPUTED_VALUE"""),0.184461270769599)</f>
        <v>0.18446127076959901</v>
      </c>
      <c r="R213" s="23">
        <f ca="1">IFERROR(__xludf.DUMMYFUNCTION("""COMPUTED_VALUE"""),-0.910891172087769)</f>
        <v>-0.91089117208776904</v>
      </c>
      <c r="S213" s="23">
        <f ca="1">IFERROR(__xludf.DUMMYFUNCTION("""COMPUTED_VALUE"""),0.473826533327851)</f>
        <v>0.47382653332785102</v>
      </c>
      <c r="T213" s="23">
        <f ca="1">IFERROR(__xludf.DUMMYFUNCTION("""COMPUTED_VALUE"""),1.86637971879126)</f>
        <v>1.8663797187912601</v>
      </c>
      <c r="U213" s="23">
        <f ca="1">IFERROR(__xludf.DUMMYFUNCTION("""COMPUTED_VALUE"""),-0.467321710375529)</f>
        <v>-0.467321710375529</v>
      </c>
      <c r="V213" s="23"/>
      <c r="W213" s="23">
        <f ca="1">IFERROR(__xludf.DUMMYFUNCTION("""COMPUTED_VALUE"""),0.0739682499518048)</f>
        <v>7.3968249951804801E-2</v>
      </c>
      <c r="X213" s="23"/>
      <c r="Y213" s="23">
        <f ca="1">IFERROR(__xludf.DUMMYFUNCTION("""COMPUTED_VALUE"""),0.147976406802557)</f>
        <v>0.147976406802557</v>
      </c>
      <c r="Z213" s="23">
        <f ca="1">IFERROR(__xludf.DUMMYFUNCTION("""COMPUTED_VALUE"""),-0.555451254398715)</f>
        <v>-0.55545125439871501</v>
      </c>
      <c r="AA213" s="23"/>
      <c r="AB213" s="23">
        <f ca="1">IFERROR(__xludf.DUMMYFUNCTION("""COMPUTED_VALUE"""),0.328868128063037)</f>
        <v>0.328868128063037</v>
      </c>
      <c r="AC213" s="22"/>
      <c r="AD213" s="23"/>
      <c r="AE213" s="23"/>
      <c r="AF213" s="22"/>
      <c r="AG213" s="22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</row>
    <row r="214" spans="1:45" ht="27.75" customHeight="1" x14ac:dyDescent="0.35">
      <c r="A214" s="15" t="s">
        <v>27</v>
      </c>
      <c r="B214" s="15" t="s">
        <v>120</v>
      </c>
      <c r="C214" s="15" t="str">
        <f ca="1">IFERROR(__xludf.DUMMYFUNCTION("""COMPUTED_VALUE"""),"2022/09/17 (土)
休日午前")</f>
        <v>2022/09/17 (土)
休日午前</v>
      </c>
      <c r="D214" s="15" t="str">
        <f ca="1">IFERROR(__xludf.DUMMYFUNCTION("""COMPUTED_VALUE"""),"休日午前")</f>
        <v>休日午前</v>
      </c>
      <c r="E214" s="16">
        <f ca="1">IFERROR(__xludf.DUMMYFUNCTION("""COMPUTED_VALUE"""),1.71456755225621)</f>
        <v>1.71456755225621</v>
      </c>
      <c r="F214" s="15" t="s">
        <v>11</v>
      </c>
      <c r="G214" s="39">
        <v>0</v>
      </c>
      <c r="H214" s="27" t="s">
        <v>31</v>
      </c>
      <c r="I214" s="27"/>
      <c r="J214" s="27" t="s">
        <v>133</v>
      </c>
      <c r="K214" s="23" t="b">
        <f ca="1">IFERROR(__xludf.DUMMYFUNCTION("""COMPUTED_VALUE"""),FALSE)</f>
        <v>0</v>
      </c>
      <c r="L214" s="22">
        <f ca="1">IFERROR(__xludf.DUMMYFUNCTION("""COMPUTED_VALUE"""),-0.0649104021752515)</f>
        <v>-6.49104021752515E-2</v>
      </c>
      <c r="M214" s="23">
        <f ca="1">IFERROR(__xludf.DUMMYFUNCTION("""COMPUTED_VALUE"""),-0.0626984984284451)</f>
        <v>-6.2698498428445104E-2</v>
      </c>
      <c r="N214" s="23">
        <f ca="1">IFERROR(__xludf.DUMMYFUNCTION("""COMPUTED_VALUE"""),-0.206899244396567)</f>
        <v>-0.20689924439656701</v>
      </c>
      <c r="O214" s="23">
        <f ca="1">IFERROR(__xludf.DUMMYFUNCTION("""COMPUTED_VALUE"""),-0.831095024544999)</f>
        <v>-0.83109502454499895</v>
      </c>
      <c r="P214" s="23">
        <f ca="1">IFERROR(__xludf.DUMMYFUNCTION("""COMPUTED_VALUE"""),0.322101143542278)</f>
        <v>0.32210114354227798</v>
      </c>
      <c r="Q214" s="24">
        <f ca="1">IFERROR(__xludf.DUMMYFUNCTION("""COMPUTED_VALUE"""),0.0605865535020522)</f>
        <v>6.05865535020522E-2</v>
      </c>
      <c r="R214" s="23">
        <f ca="1">IFERROR(__xludf.DUMMYFUNCTION("""COMPUTED_VALUE"""),-0.690395330057953)</f>
        <v>-0.69039533005795295</v>
      </c>
      <c r="S214" s="23">
        <f ca="1">IFERROR(__xludf.DUMMYFUNCTION("""COMPUTED_VALUE"""),-0.392454455485406)</f>
        <v>-0.39245445548540597</v>
      </c>
      <c r="T214" s="23">
        <f ca="1">IFERROR(__xludf.DUMMYFUNCTION("""COMPUTED_VALUE"""),1.71456755225621)</f>
        <v>1.71456755225621</v>
      </c>
      <c r="U214" s="23">
        <f ca="1">IFERROR(__xludf.DUMMYFUNCTION("""COMPUTED_VALUE"""),-0.179915724815309)</f>
        <v>-0.17991572481530901</v>
      </c>
      <c r="V214" s="23"/>
      <c r="W214" s="23">
        <f ca="1">IFERROR(__xludf.DUMMYFUNCTION("""COMPUTED_VALUE"""),0.0101725352827017)</f>
        <v>1.0172535282701701E-2</v>
      </c>
      <c r="X214" s="23"/>
      <c r="Y214" s="23">
        <f ca="1">IFERROR(__xludf.DUMMYFUNCTION("""COMPUTED_VALUE"""),0.351324849954586)</f>
        <v>0.35132484995458602</v>
      </c>
      <c r="Z214" s="23">
        <f ca="1">IFERROR(__xludf.DUMMYFUNCTION("""COMPUTED_VALUE"""),-0.996985364076343)</f>
        <v>-0.99698536407634297</v>
      </c>
      <c r="AA214" s="23"/>
      <c r="AB214" s="23">
        <f ca="1">IFERROR(__xludf.DUMMYFUNCTION("""COMPUTED_VALUE"""),-0.691200232821532)</f>
        <v>-0.69120023282153198</v>
      </c>
      <c r="AC214" s="22"/>
      <c r="AD214" s="23"/>
      <c r="AE214" s="23"/>
      <c r="AF214" s="22"/>
      <c r="AG214" s="22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</row>
    <row r="215" spans="1:45" ht="27.75" customHeight="1" x14ac:dyDescent="0.4">
      <c r="A215" s="15" t="s">
        <v>27</v>
      </c>
      <c r="B215" s="15" t="s">
        <v>120</v>
      </c>
      <c r="C215" s="15" t="str">
        <f ca="1">IFERROR(__xludf.DUMMYFUNCTION("""COMPUTED_VALUE"""),"2022/09/17 (土)
休日午後")</f>
        <v>2022/09/17 (土)
休日午後</v>
      </c>
      <c r="D215" s="15" t="str">
        <f ca="1">IFERROR(__xludf.DUMMYFUNCTION("""COMPUTED_VALUE"""),"休日午後")</f>
        <v>休日午後</v>
      </c>
      <c r="E215" s="16">
        <f ca="1">IFERROR(__xludf.DUMMYFUNCTION("""COMPUTED_VALUE"""),0.754878029936639)</f>
        <v>0.75487802993663899</v>
      </c>
      <c r="F215" s="15" t="s">
        <v>16</v>
      </c>
      <c r="G215" s="39"/>
      <c r="H215" s="40" t="s">
        <v>12</v>
      </c>
      <c r="I215" s="27"/>
      <c r="J215" s="27" t="s">
        <v>133</v>
      </c>
      <c r="K215" s="23" t="b">
        <f ca="1">IFERROR(__xludf.DUMMYFUNCTION("""COMPUTED_VALUE"""),TRUE)</f>
        <v>1</v>
      </c>
      <c r="L215" s="22">
        <f ca="1">IFERROR(__xludf.DUMMYFUNCTION("""COMPUTED_VALUE"""),-0.325570911731456)</f>
        <v>-0.32557091173145603</v>
      </c>
      <c r="M215" s="23">
        <f ca="1">IFERROR(__xludf.DUMMYFUNCTION("""COMPUTED_VALUE"""),-0.380127890594611)</f>
        <v>-0.380127890594611</v>
      </c>
      <c r="N215" s="23">
        <f ca="1">IFERROR(__xludf.DUMMYFUNCTION("""COMPUTED_VALUE"""),-0.119246119091425)</f>
        <v>-0.119246119091425</v>
      </c>
      <c r="O215" s="23">
        <f ca="1">IFERROR(__xludf.DUMMYFUNCTION("""COMPUTED_VALUE"""),-0.876754088254758)</f>
        <v>-0.87675408825475798</v>
      </c>
      <c r="P215" s="23">
        <f ca="1">IFERROR(__xludf.DUMMYFUNCTION("""COMPUTED_VALUE"""),0.720189978005369)</f>
        <v>0.72018997800536899</v>
      </c>
      <c r="Q215" s="24">
        <f ca="1">IFERROR(__xludf.DUMMYFUNCTION("""COMPUTED_VALUE"""),0.754878029936639)</f>
        <v>0.75487802993663899</v>
      </c>
      <c r="R215" s="23">
        <f ca="1">IFERROR(__xludf.DUMMYFUNCTION("""COMPUTED_VALUE"""),-0.64355647438361)</f>
        <v>-0.64355647438360997</v>
      </c>
      <c r="S215" s="23">
        <f ca="1">IFERROR(__xludf.DUMMYFUNCTION("""COMPUTED_VALUE"""),-0.589042717618848)</f>
        <v>-0.58904271761884797</v>
      </c>
      <c r="T215" s="23">
        <f ca="1">IFERROR(__xludf.DUMMYFUNCTION("""COMPUTED_VALUE"""),-0.734552722041325)</f>
        <v>-0.73455272204132505</v>
      </c>
      <c r="U215" s="23">
        <f ca="1">IFERROR(__xludf.DUMMYFUNCTION("""COMPUTED_VALUE"""),-0.0816408755687787)</f>
        <v>-8.1640875568778706E-2</v>
      </c>
      <c r="V215" s="23"/>
      <c r="W215" s="23">
        <f ca="1">IFERROR(__xludf.DUMMYFUNCTION("""COMPUTED_VALUE"""),0.0437020190388008)</f>
        <v>4.3702019038800798E-2</v>
      </c>
      <c r="X215" s="23"/>
      <c r="Y215" s="23">
        <f ca="1">IFERROR(__xludf.DUMMYFUNCTION("""COMPUTED_VALUE"""),-0.503802655687985)</f>
        <v>-0.50380265568798499</v>
      </c>
      <c r="Z215" s="23">
        <f ca="1">IFERROR(__xludf.DUMMYFUNCTION("""COMPUTED_VALUE"""),-0.78775722103339)</f>
        <v>-0.78775722103338996</v>
      </c>
      <c r="AA215" s="23"/>
      <c r="AB215" s="23">
        <f ca="1">IFERROR(__xludf.DUMMYFUNCTION("""COMPUTED_VALUE"""),-0.899920343123224)</f>
        <v>-0.899920343123224</v>
      </c>
      <c r="AC215" s="22"/>
      <c r="AD215" s="23"/>
      <c r="AE215" s="23"/>
      <c r="AF215" s="22"/>
      <c r="AG215" s="22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</row>
    <row r="216" spans="1:45" ht="27.75" customHeight="1" x14ac:dyDescent="0.4">
      <c r="A216" s="15" t="s">
        <v>27</v>
      </c>
      <c r="B216" s="15" t="s">
        <v>120</v>
      </c>
      <c r="C216" s="15" t="str">
        <f ca="1">IFERROR(__xludf.DUMMYFUNCTION("""COMPUTED_VALUE"""),"2022/09/18 (日)
休日午前")</f>
        <v>2022/09/18 (日)
休日午前</v>
      </c>
      <c r="D216" s="15" t="str">
        <f ca="1">IFERROR(__xludf.DUMMYFUNCTION("""COMPUTED_VALUE"""),"休日午前")</f>
        <v>休日午前</v>
      </c>
      <c r="E216" s="16">
        <f ca="1">IFERROR(__xludf.DUMMYFUNCTION("""COMPUTED_VALUE"""),2.83834737146708)</f>
        <v>2.8383473714670799</v>
      </c>
      <c r="F216" s="15" t="s">
        <v>19</v>
      </c>
      <c r="G216" s="39">
        <v>2</v>
      </c>
      <c r="H216" s="42" t="s">
        <v>38</v>
      </c>
      <c r="I216" s="27"/>
      <c r="J216" s="27" t="s">
        <v>134</v>
      </c>
      <c r="K216" s="23" t="b">
        <f ca="1">IFERROR(__xludf.DUMMYFUNCTION("""COMPUTED_VALUE"""),TRUE)</f>
        <v>1</v>
      </c>
      <c r="L216" s="22">
        <f ca="1">IFERROR(__xludf.DUMMYFUNCTION("""COMPUTED_VALUE"""),-0.852137994896087)</f>
        <v>-0.85213799489608699</v>
      </c>
      <c r="M216" s="23">
        <f ca="1">IFERROR(__xludf.DUMMYFUNCTION("""COMPUTED_VALUE"""),0.476827388302647)</f>
        <v>0.47682738830264698</v>
      </c>
      <c r="N216" s="23">
        <f ca="1">IFERROR(__xludf.DUMMYFUNCTION("""COMPUTED_VALUE"""),0.980242826278442)</f>
        <v>0.98024282627844195</v>
      </c>
      <c r="O216" s="23">
        <f ca="1">IFERROR(__xludf.DUMMYFUNCTION("""COMPUTED_VALUE"""),2.54149797574231)</f>
        <v>2.5414979757423102</v>
      </c>
      <c r="P216" s="23">
        <f ca="1">IFERROR(__xludf.DUMMYFUNCTION("""COMPUTED_VALUE"""),0.693408651117644)</f>
        <v>0.69340865111764405</v>
      </c>
      <c r="Q216" s="24">
        <f ca="1">IFERROR(__xludf.DUMMYFUNCTION("""COMPUTED_VALUE"""),0.125037185264309)</f>
        <v>0.12503718526430899</v>
      </c>
      <c r="R216" s="23">
        <f ca="1">IFERROR(__xludf.DUMMYFUNCTION("""COMPUTED_VALUE"""),-0.388654764281971)</f>
        <v>-0.38865476428197099</v>
      </c>
      <c r="S216" s="23">
        <f ca="1">IFERROR(__xludf.DUMMYFUNCTION("""COMPUTED_VALUE"""),-0.121010651940319)</f>
        <v>-0.121010651940319</v>
      </c>
      <c r="T216" s="23">
        <f ca="1">IFERROR(__xludf.DUMMYFUNCTION("""COMPUTED_VALUE"""),-0.347696265255491)</f>
        <v>-0.34769626525549102</v>
      </c>
      <c r="U216" s="23">
        <f ca="1">IFERROR(__xludf.DUMMYFUNCTION("""COMPUTED_VALUE"""),-0.363388348340833)</f>
        <v>-0.363388348340833</v>
      </c>
      <c r="V216" s="23"/>
      <c r="W216" s="23">
        <f ca="1">IFERROR(__xludf.DUMMYFUNCTION("""COMPUTED_VALUE"""),0.899981610388876)</f>
        <v>0.89998161038887603</v>
      </c>
      <c r="X216" s="23"/>
      <c r="Y216" s="23">
        <f ca="1">IFERROR(__xludf.DUMMYFUNCTION("""COMPUTED_VALUE"""),-0.608837096562716)</f>
        <v>-0.60883709656271601</v>
      </c>
      <c r="Z216" s="23">
        <f ca="1">IFERROR(__xludf.DUMMYFUNCTION("""COMPUTED_VALUE"""),-0.930931959653914)</f>
        <v>-0.93093195965391395</v>
      </c>
      <c r="AA216" s="23"/>
      <c r="AB216" s="23">
        <f ca="1">IFERROR(__xludf.DUMMYFUNCTION("""COMPUTED_VALUE"""),-0.114557539929348)</f>
        <v>-0.114557539929348</v>
      </c>
      <c r="AC216" s="22"/>
      <c r="AD216" s="23"/>
      <c r="AE216" s="23"/>
      <c r="AF216" s="22"/>
      <c r="AG216" s="22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</row>
    <row r="217" spans="1:45" ht="27.75" customHeight="1" x14ac:dyDescent="0.4">
      <c r="A217" s="15" t="s">
        <v>27</v>
      </c>
      <c r="B217" s="15" t="s">
        <v>120</v>
      </c>
      <c r="C217" s="15" t="str">
        <f ca="1">IFERROR(__xludf.DUMMYFUNCTION("""COMPUTED_VALUE"""),"2022/09/18 (日)
休日午後")</f>
        <v>2022/09/18 (日)
休日午後</v>
      </c>
      <c r="D217" s="15" t="str">
        <f ca="1">IFERROR(__xludf.DUMMYFUNCTION("""COMPUTED_VALUE"""),"休日午後")</f>
        <v>休日午後</v>
      </c>
      <c r="E217" s="16">
        <f ca="1">IFERROR(__xludf.DUMMYFUNCTION("""COMPUTED_VALUE"""),2.4417322353273)</f>
        <v>2.4417322353272999</v>
      </c>
      <c r="F217" s="15" t="s">
        <v>16</v>
      </c>
      <c r="G217" s="39">
        <v>2</v>
      </c>
      <c r="H217" s="40" t="s">
        <v>16</v>
      </c>
      <c r="I217" s="27"/>
      <c r="J217" s="27" t="s">
        <v>134</v>
      </c>
      <c r="K217" s="23" t="b">
        <f ca="1">IFERROR(__xludf.DUMMYFUNCTION("""COMPUTED_VALUE"""),TRUE)</f>
        <v>1</v>
      </c>
      <c r="L217" s="22">
        <f ca="1">IFERROR(__xludf.DUMMYFUNCTION("""COMPUTED_VALUE"""),-0.805336627803431)</f>
        <v>-0.80533662780343096</v>
      </c>
      <c r="M217" s="23">
        <f ca="1">IFERROR(__xludf.DUMMYFUNCTION("""COMPUTED_VALUE"""),0.00957070607893118)</f>
        <v>9.5707060789311793E-3</v>
      </c>
      <c r="N217" s="23">
        <f ca="1">IFERROR(__xludf.DUMMYFUNCTION("""COMPUTED_VALUE"""),0.131135967607478)</f>
        <v>0.131135967607478</v>
      </c>
      <c r="O217" s="23">
        <f ca="1">IFERROR(__xludf.DUMMYFUNCTION("""COMPUTED_VALUE"""),-0.324479770849579)</f>
        <v>-0.32447977084957902</v>
      </c>
      <c r="P217" s="23">
        <f ca="1">IFERROR(__xludf.DUMMYFUNCTION("""COMPUTED_VALUE"""),0.804307313742279)</f>
        <v>0.80430731374227904</v>
      </c>
      <c r="Q217" s="24">
        <f ca="1">IFERROR(__xludf.DUMMYFUNCTION("""COMPUTED_VALUE"""),2.4417322353273)</f>
        <v>2.4417322353272999</v>
      </c>
      <c r="R217" s="23">
        <f ca="1">IFERROR(__xludf.DUMMYFUNCTION("""COMPUTED_VALUE"""),-0.819711099564363)</f>
        <v>-0.81971109956436305</v>
      </c>
      <c r="S217" s="23">
        <f ca="1">IFERROR(__xludf.DUMMYFUNCTION("""COMPUTED_VALUE"""),-0.800214084293867)</f>
        <v>-0.80021408429386698</v>
      </c>
      <c r="T217" s="23">
        <f ca="1">IFERROR(__xludf.DUMMYFUNCTION("""COMPUTED_VALUE"""),-0.274508313885953)</f>
        <v>-0.27450831388595298</v>
      </c>
      <c r="U217" s="23">
        <f ca="1">IFERROR(__xludf.DUMMYFUNCTION("""COMPUTED_VALUE"""),-0.981710040330795)</f>
        <v>-0.98171004033079501</v>
      </c>
      <c r="V217" s="23"/>
      <c r="W217" s="23">
        <f ca="1">IFERROR(__xludf.DUMMYFUNCTION("""COMPUTED_VALUE"""),0.213101966234836)</f>
        <v>0.21310196623483599</v>
      </c>
      <c r="X217" s="23"/>
      <c r="Y217" s="23">
        <f ca="1">IFERROR(__xludf.DUMMYFUNCTION("""COMPUTED_VALUE"""),-0.559588859040901)</f>
        <v>-0.55958885904090105</v>
      </c>
      <c r="Z217" s="23">
        <f ca="1">IFERROR(__xludf.DUMMYFUNCTION("""COMPUTED_VALUE"""),-0.850448607607345)</f>
        <v>-0.85044860760734498</v>
      </c>
      <c r="AA217" s="23"/>
      <c r="AB217" s="23">
        <f ca="1">IFERROR(__xludf.DUMMYFUNCTION("""COMPUTED_VALUE"""),-0.324260551570273)</f>
        <v>-0.324260551570273</v>
      </c>
      <c r="AC217" s="22"/>
      <c r="AD217" s="23"/>
      <c r="AE217" s="23"/>
      <c r="AF217" s="22"/>
      <c r="AG217" s="22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</row>
    <row r="218" spans="1:45" ht="27.75" customHeight="1" x14ac:dyDescent="0.4">
      <c r="A218" s="15" t="s">
        <v>27</v>
      </c>
      <c r="B218" s="15" t="s">
        <v>120</v>
      </c>
      <c r="C218" s="15" t="str">
        <f ca="1">IFERROR(__xludf.DUMMYFUNCTION("""COMPUTED_VALUE"""),"2022/09/19 (月)
休日午前")</f>
        <v>2022/09/19 (月)
休日午前</v>
      </c>
      <c r="D218" s="15" t="str">
        <f ca="1">IFERROR(__xludf.DUMMYFUNCTION("""COMPUTED_VALUE"""),"休日午前")</f>
        <v>休日午前</v>
      </c>
      <c r="E218" s="16">
        <f ca="1">IFERROR(__xludf.DUMMYFUNCTION("""COMPUTED_VALUE"""),2.35736349944473)</f>
        <v>2.3573634994447299</v>
      </c>
      <c r="F218" s="15" t="s">
        <v>18</v>
      </c>
      <c r="G218" s="39">
        <v>2</v>
      </c>
      <c r="H218" s="40" t="s">
        <v>18</v>
      </c>
      <c r="I218" s="27"/>
      <c r="J218" s="27" t="s">
        <v>135</v>
      </c>
      <c r="K218" s="23" t="b">
        <f ca="1">IFERROR(__xludf.DUMMYFUNCTION("""COMPUTED_VALUE"""),FALSE)</f>
        <v>0</v>
      </c>
      <c r="L218" s="22">
        <f ca="1">IFERROR(__xludf.DUMMYFUNCTION("""COMPUTED_VALUE"""),2.35736349944473)</f>
        <v>2.3573634994447299</v>
      </c>
      <c r="M218" s="23">
        <f ca="1">IFERROR(__xludf.DUMMYFUNCTION("""COMPUTED_VALUE"""),0.105354951044909)</f>
        <v>0.105354951044909</v>
      </c>
      <c r="N218" s="23">
        <f ca="1">IFERROR(__xludf.DUMMYFUNCTION("""COMPUTED_VALUE"""),0.404064027628472)</f>
        <v>0.40406402762847199</v>
      </c>
      <c r="O218" s="23">
        <f ca="1">IFERROR(__xludf.DUMMYFUNCTION("""COMPUTED_VALUE"""),-0.95753461836246)</f>
        <v>-0.95753461836246001</v>
      </c>
      <c r="P218" s="23">
        <f ca="1">IFERROR(__xludf.DUMMYFUNCTION("""COMPUTED_VALUE"""),0.449869163011848)</f>
        <v>0.44986916301184798</v>
      </c>
      <c r="Q218" s="24">
        <f ca="1">IFERROR(__xludf.DUMMYFUNCTION("""COMPUTED_VALUE"""),-0.631813519011512)</f>
        <v>-0.63181351901151195</v>
      </c>
      <c r="R218" s="23">
        <f ca="1">IFERROR(__xludf.DUMMYFUNCTION("""COMPUTED_VALUE"""),-0.376867034873528)</f>
        <v>-0.37686703487352802</v>
      </c>
      <c r="S218" s="23">
        <f ca="1">IFERROR(__xludf.DUMMYFUNCTION("""COMPUTED_VALUE"""),-0.429992048164004)</f>
        <v>-0.42999204816400399</v>
      </c>
      <c r="T218" s="23">
        <f ca="1">IFERROR(__xludf.DUMMYFUNCTION("""COMPUTED_VALUE"""),1.9976940006825)</f>
        <v>1.9976940006824999</v>
      </c>
      <c r="U218" s="23">
        <f ca="1">IFERROR(__xludf.DUMMYFUNCTION("""COMPUTED_VALUE"""),-0.401375860249793)</f>
        <v>-0.40137586024979299</v>
      </c>
      <c r="V218" s="23"/>
      <c r="W218" s="23">
        <f ca="1">IFERROR(__xludf.DUMMYFUNCTION("""COMPUTED_VALUE"""),0.916007903681008)</f>
        <v>0.91600790368100804</v>
      </c>
      <c r="X218" s="23"/>
      <c r="Y218" s="23">
        <f ca="1">IFERROR(__xludf.DUMMYFUNCTION("""COMPUTED_VALUE"""),-0.0235995140812701)</f>
        <v>-2.35995140812701E-2</v>
      </c>
      <c r="Z218" s="23">
        <f ca="1">IFERROR(__xludf.DUMMYFUNCTION("""COMPUTED_VALUE"""),-0.534860506548591)</f>
        <v>-0.53486050654859096</v>
      </c>
      <c r="AA218" s="23"/>
      <c r="AB218" s="23">
        <f ca="1">IFERROR(__xludf.DUMMYFUNCTION("""COMPUTED_VALUE"""),0.612857082256691)</f>
        <v>0.612857082256691</v>
      </c>
      <c r="AC218" s="22"/>
      <c r="AD218" s="23"/>
      <c r="AE218" s="23"/>
      <c r="AF218" s="22"/>
      <c r="AG218" s="22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</row>
    <row r="219" spans="1:45" ht="27.75" customHeight="1" x14ac:dyDescent="0.4">
      <c r="A219" s="15" t="s">
        <v>27</v>
      </c>
      <c r="B219" s="15" t="s">
        <v>120</v>
      </c>
      <c r="C219" s="15" t="str">
        <f ca="1">IFERROR(__xludf.DUMMYFUNCTION("""COMPUTED_VALUE"""),"2022/09/19 (月)
休日午後")</f>
        <v>2022/09/19 (月)
休日午後</v>
      </c>
      <c r="D219" s="15" t="str">
        <f ca="1">IFERROR(__xludf.DUMMYFUNCTION("""COMPUTED_VALUE"""),"休日午後")</f>
        <v>休日午後</v>
      </c>
      <c r="E219" s="16">
        <f ca="1">IFERROR(__xludf.DUMMYFUNCTION("""COMPUTED_VALUE"""),2.6317479495638)</f>
        <v>2.6317479495637999</v>
      </c>
      <c r="F219" s="15" t="s">
        <v>2</v>
      </c>
      <c r="G219" s="39">
        <v>0</v>
      </c>
      <c r="H219" s="40" t="s">
        <v>13</v>
      </c>
      <c r="I219" s="27"/>
      <c r="J219" s="27" t="s">
        <v>135</v>
      </c>
      <c r="K219" s="23" t="b">
        <f ca="1">IFERROR(__xludf.DUMMYFUNCTION("""COMPUTED_VALUE"""),TRUE)</f>
        <v>1</v>
      </c>
      <c r="L219" s="22">
        <f ca="1">IFERROR(__xludf.DUMMYFUNCTION("""COMPUTED_VALUE"""),-0.617473477839334)</f>
        <v>-0.61747347783933404</v>
      </c>
      <c r="M219" s="23">
        <f ca="1">IFERROR(__xludf.DUMMYFUNCTION("""COMPUTED_VALUE"""),-0.934676643368736)</f>
        <v>-0.93467664336873602</v>
      </c>
      <c r="N219" s="23">
        <f ca="1">IFERROR(__xludf.DUMMYFUNCTION("""COMPUTED_VALUE"""),2.6317479495638)</f>
        <v>2.6317479495637999</v>
      </c>
      <c r="O219" s="23">
        <f ca="1">IFERROR(__xludf.DUMMYFUNCTION("""COMPUTED_VALUE"""),-0.959597984142445)</f>
        <v>-0.95959798414244502</v>
      </c>
      <c r="P219" s="23">
        <f ca="1">IFERROR(__xludf.DUMMYFUNCTION("""COMPUTED_VALUE"""),0.328670611106952)</f>
        <v>0.328670611106952</v>
      </c>
      <c r="Q219" s="24">
        <f ca="1">IFERROR(__xludf.DUMMYFUNCTION("""COMPUTED_VALUE"""),-0.563000529751661)</f>
        <v>-0.56300052975166104</v>
      </c>
      <c r="R219" s="23">
        <f ca="1">IFERROR(__xludf.DUMMYFUNCTION("""COMPUTED_VALUE"""),-0.187900365200508)</f>
        <v>-0.18790036520050801</v>
      </c>
      <c r="S219" s="23">
        <f ca="1">IFERROR(__xludf.DUMMYFUNCTION("""COMPUTED_VALUE"""),-0.834678347870141)</f>
        <v>-0.83467834787014095</v>
      </c>
      <c r="T219" s="23">
        <f ca="1">IFERROR(__xludf.DUMMYFUNCTION("""COMPUTED_VALUE"""),0.23095363276463)</f>
        <v>0.23095363276462999</v>
      </c>
      <c r="U219" s="23">
        <f ca="1">IFERROR(__xludf.DUMMYFUNCTION("""COMPUTED_VALUE"""),-0.672315262980848)</f>
        <v>-0.67231526298084798</v>
      </c>
      <c r="V219" s="23"/>
      <c r="W219" s="23">
        <f ca="1">IFERROR(__xludf.DUMMYFUNCTION("""COMPUTED_VALUE"""),0.512072130990199)</f>
        <v>0.51207213099019899</v>
      </c>
      <c r="X219" s="23"/>
      <c r="Y219" s="23">
        <f ca="1">IFERROR(__xludf.DUMMYFUNCTION("""COMPUTED_VALUE"""),-0.434989440285067)</f>
        <v>-0.43498944028506698</v>
      </c>
      <c r="Z219" s="23">
        <f ca="1">IFERROR(__xludf.DUMMYFUNCTION("""COMPUTED_VALUE"""),-0.795829648177751)</f>
        <v>-0.79582964817775104</v>
      </c>
      <c r="AA219" s="23"/>
      <c r="AB219" s="23">
        <f ca="1">IFERROR(__xludf.DUMMYFUNCTION("""COMPUTED_VALUE"""),0.206063988083692)</f>
        <v>0.206063988083692</v>
      </c>
      <c r="AC219" s="22"/>
      <c r="AD219" s="23"/>
      <c r="AE219" s="23"/>
      <c r="AF219" s="22"/>
      <c r="AG219" s="22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</row>
    <row r="220" spans="1:45" ht="27.75" customHeight="1" x14ac:dyDescent="0.35">
      <c r="A220" s="15" t="s">
        <v>27</v>
      </c>
      <c r="B220" s="15" t="s">
        <v>120</v>
      </c>
      <c r="C220" s="15" t="str">
        <f ca="1">IFERROR(__xludf.DUMMYFUNCTION("""COMPUTED_VALUE"""),"2022/09/20 (火)
平日夜間")</f>
        <v>2022/09/20 (火)
平日夜間</v>
      </c>
      <c r="D220" s="15" t="str">
        <f ca="1">IFERROR(__xludf.DUMMYFUNCTION("""COMPUTED_VALUE"""),"平日夜間")</f>
        <v>平日夜間</v>
      </c>
      <c r="E220" s="16">
        <f ca="1">IFERROR(__xludf.DUMMYFUNCTION("""COMPUTED_VALUE"""),0.902408398281801)</f>
        <v>0.90240839828180097</v>
      </c>
      <c r="F220" s="15" t="s">
        <v>1</v>
      </c>
      <c r="G220" s="39">
        <v>0</v>
      </c>
      <c r="H220" s="27" t="s">
        <v>1</v>
      </c>
      <c r="I220" s="27"/>
      <c r="J220" s="27" t="s">
        <v>136</v>
      </c>
      <c r="K220" s="23" t="b">
        <f ca="1">IFERROR(__xludf.DUMMYFUNCTION("""COMPUTED_VALUE"""),FALSE)</f>
        <v>0</v>
      </c>
      <c r="L220" s="22">
        <f ca="1">IFERROR(__xludf.DUMMYFUNCTION("""COMPUTED_VALUE"""),-0.829382411559123)</f>
        <v>-0.82938241155912296</v>
      </c>
      <c r="M220" s="23">
        <f ca="1">IFERROR(__xludf.DUMMYFUNCTION("""COMPUTED_VALUE"""),-0.507305210280314)</f>
        <v>-0.50730521028031395</v>
      </c>
      <c r="N220" s="23">
        <f ca="1">IFERROR(__xludf.DUMMYFUNCTION("""COMPUTED_VALUE"""),0.663316301546708)</f>
        <v>0.66331630154670795</v>
      </c>
      <c r="O220" s="23">
        <f ca="1">IFERROR(__xludf.DUMMYFUNCTION("""COMPUTED_VALUE"""),0.350410741397917)</f>
        <v>0.350410741397917</v>
      </c>
      <c r="P220" s="23">
        <f ca="1">IFERROR(__xludf.DUMMYFUNCTION("""COMPUTED_VALUE"""),0.272713111178664)</f>
        <v>0.27271311117866398</v>
      </c>
      <c r="Q220" s="24">
        <f ca="1">IFERROR(__xludf.DUMMYFUNCTION("""COMPUTED_VALUE"""),-0.579406457861587)</f>
        <v>-0.57940645786158695</v>
      </c>
      <c r="R220" s="23">
        <f ca="1">IFERROR(__xludf.DUMMYFUNCTION("""COMPUTED_VALUE"""),-0.318588019317208)</f>
        <v>-0.31858801931720798</v>
      </c>
      <c r="S220" s="23">
        <f ca="1">IFERROR(__xludf.DUMMYFUNCTION("""COMPUTED_VALUE"""),0.0797861441134208)</f>
        <v>7.9786144113420804E-2</v>
      </c>
      <c r="T220" s="23">
        <f ca="1">IFERROR(__xludf.DUMMYFUNCTION("""COMPUTED_VALUE"""),0.722317396020471)</f>
        <v>0.72231739602047096</v>
      </c>
      <c r="U220" s="23">
        <f ca="1">IFERROR(__xludf.DUMMYFUNCTION("""COMPUTED_VALUE"""),-0.561326059249481)</f>
        <v>-0.56132605924948098</v>
      </c>
      <c r="V220" s="23"/>
      <c r="W220" s="23">
        <f ca="1">IFERROR(__xludf.DUMMYFUNCTION("""COMPUTED_VALUE"""),0.635277723795168)</f>
        <v>0.635277723795168</v>
      </c>
      <c r="X220" s="23"/>
      <c r="Y220" s="23">
        <f ca="1">IFERROR(__xludf.DUMMYFUNCTION("""COMPUTED_VALUE"""),0.867490019303758)</f>
        <v>0.86749001930375802</v>
      </c>
      <c r="Z220" s="23">
        <f ca="1">IFERROR(__xludf.DUMMYFUNCTION("""COMPUTED_VALUE"""),0.415886659699581)</f>
        <v>0.415886659699581</v>
      </c>
      <c r="AA220" s="23"/>
      <c r="AB220" s="23">
        <f ca="1">IFERROR(__xludf.DUMMYFUNCTION("""COMPUTED_VALUE"""),0.902408398281801)</f>
        <v>0.90240839828180097</v>
      </c>
      <c r="AC220" s="22"/>
      <c r="AD220" s="23"/>
      <c r="AE220" s="23"/>
      <c r="AF220" s="22"/>
      <c r="AG220" s="22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</row>
    <row r="221" spans="1:45" ht="27.75" customHeight="1" x14ac:dyDescent="0.4">
      <c r="A221" s="15" t="s">
        <v>27</v>
      </c>
      <c r="B221" s="15" t="s">
        <v>120</v>
      </c>
      <c r="C221" s="15" t="str">
        <f ca="1">IFERROR(__xludf.DUMMYFUNCTION("""COMPUTED_VALUE"""),"2022/09/21 (水)
平日夜間")</f>
        <v>2022/09/21 (水)
平日夜間</v>
      </c>
      <c r="D221" s="15" t="str">
        <f ca="1">IFERROR(__xludf.DUMMYFUNCTION("""COMPUTED_VALUE"""),"平日夜間")</f>
        <v>平日夜間</v>
      </c>
      <c r="E221" s="16">
        <f ca="1">IFERROR(__xludf.DUMMYFUNCTION("""COMPUTED_VALUE"""),2.54321442038639)</f>
        <v>2.54321442038639</v>
      </c>
      <c r="F221" s="15" t="s">
        <v>10</v>
      </c>
      <c r="G221" s="39">
        <v>2</v>
      </c>
      <c r="H221" s="40" t="s">
        <v>10</v>
      </c>
      <c r="I221" s="27"/>
      <c r="J221" s="27" t="s">
        <v>137</v>
      </c>
      <c r="K221" s="23" t="b">
        <f ca="1">IFERROR(__xludf.DUMMYFUNCTION("""COMPUTED_VALUE"""),TRUE)</f>
        <v>1</v>
      </c>
      <c r="L221" s="22">
        <f ca="1">IFERROR(__xludf.DUMMYFUNCTION("""COMPUTED_VALUE"""),-0.831168248564709)</f>
        <v>-0.83116824856470894</v>
      </c>
      <c r="M221" s="23">
        <f ca="1">IFERROR(__xludf.DUMMYFUNCTION("""COMPUTED_VALUE"""),-0.931735813672707)</f>
        <v>-0.93173581367270697</v>
      </c>
      <c r="N221" s="23">
        <f ca="1">IFERROR(__xludf.DUMMYFUNCTION("""COMPUTED_VALUE"""),0.286109716302885)</f>
        <v>0.28610971630288501</v>
      </c>
      <c r="O221" s="23">
        <f ca="1">IFERROR(__xludf.DUMMYFUNCTION("""COMPUTED_VALUE"""),0.0251011659447148)</f>
        <v>2.5101165944714801E-2</v>
      </c>
      <c r="P221" s="23">
        <f ca="1">IFERROR(__xludf.DUMMYFUNCTION("""COMPUTED_VALUE"""),0.27097694048633)</f>
        <v>0.27097694048632998</v>
      </c>
      <c r="Q221" s="24">
        <f ca="1">IFERROR(__xludf.DUMMYFUNCTION("""COMPUTED_VALUE"""),-0.0197577483448589)</f>
        <v>-1.97577483448589E-2</v>
      </c>
      <c r="R221" s="23">
        <f ca="1">IFERROR(__xludf.DUMMYFUNCTION("""COMPUTED_VALUE"""),0.917243187906045)</f>
        <v>0.91724318790604498</v>
      </c>
      <c r="S221" s="23">
        <f ca="1">IFERROR(__xludf.DUMMYFUNCTION("""COMPUTED_VALUE"""),0.541590893924792)</f>
        <v>0.54159089392479198</v>
      </c>
      <c r="T221" s="23">
        <f ca="1">IFERROR(__xludf.DUMMYFUNCTION("""COMPUTED_VALUE"""),0.629079358181269)</f>
        <v>0.62907935818126903</v>
      </c>
      <c r="U221" s="23">
        <f ca="1">IFERROR(__xludf.DUMMYFUNCTION("""COMPUTED_VALUE"""),0.247126354334732)</f>
        <v>0.24712635433473201</v>
      </c>
      <c r="V221" s="23"/>
      <c r="W221" s="23">
        <f ca="1">IFERROR(__xludf.DUMMYFUNCTION("""COMPUTED_VALUE"""),-0.765651929060283)</f>
        <v>-0.76565192906028301</v>
      </c>
      <c r="X221" s="23"/>
      <c r="Y221" s="23">
        <f ca="1">IFERROR(__xludf.DUMMYFUNCTION("""COMPUTED_VALUE"""),0.607774833741797)</f>
        <v>0.60777483374179697</v>
      </c>
      <c r="Z221" s="23">
        <f ca="1">IFERROR(__xludf.DUMMYFUNCTION("""COMPUTED_VALUE"""),2.29525400327364)</f>
        <v>2.2952540032736399</v>
      </c>
      <c r="AA221" s="23"/>
      <c r="AB221" s="23">
        <f ca="1">IFERROR(__xludf.DUMMYFUNCTION("""COMPUTED_VALUE"""),0.205046642442813)</f>
        <v>0.20504664244281301</v>
      </c>
      <c r="AC221" s="22"/>
      <c r="AD221" s="23"/>
      <c r="AE221" s="23"/>
      <c r="AF221" s="22"/>
      <c r="AG221" s="22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</row>
    <row r="222" spans="1:45" ht="27.75" customHeight="1" x14ac:dyDescent="0.4">
      <c r="A222" s="15" t="s">
        <v>27</v>
      </c>
      <c r="B222" s="15" t="s">
        <v>120</v>
      </c>
      <c r="C222" s="15" t="str">
        <f ca="1">IFERROR(__xludf.DUMMYFUNCTION("""COMPUTED_VALUE"""),"2022/09/22 (木)
平日夜間")</f>
        <v>2022/09/22 (木)
平日夜間</v>
      </c>
      <c r="D222" s="15" t="str">
        <f ca="1">IFERROR(__xludf.DUMMYFUNCTION("""COMPUTED_VALUE"""),"平日夜間")</f>
        <v>平日夜間</v>
      </c>
      <c r="E222" s="16">
        <f ca="1">IFERROR(__xludf.DUMMYFUNCTION("""COMPUTED_VALUE"""),1.14428379994448)</f>
        <v>1.1442837999444799</v>
      </c>
      <c r="F222" s="15" t="s">
        <v>11</v>
      </c>
      <c r="G222" s="39">
        <v>0</v>
      </c>
      <c r="H222" s="40" t="s">
        <v>5</v>
      </c>
      <c r="I222" s="27"/>
      <c r="J222" s="27" t="s">
        <v>73</v>
      </c>
      <c r="K222" s="23" t="b">
        <f ca="1">IFERROR(__xludf.DUMMYFUNCTION("""COMPUTED_VALUE"""),TRUE)</f>
        <v>1</v>
      </c>
      <c r="L222" s="22">
        <f ca="1">IFERROR(__xludf.DUMMYFUNCTION("""COMPUTED_VALUE"""),0.7127183335281)</f>
        <v>0.71271833352809999</v>
      </c>
      <c r="M222" s="23">
        <f ca="1">IFERROR(__xludf.DUMMYFUNCTION("""COMPUTED_VALUE"""),-0.62947616655869)</f>
        <v>-0.62947616655868999</v>
      </c>
      <c r="N222" s="23">
        <f ca="1">IFERROR(__xludf.DUMMYFUNCTION("""COMPUTED_VALUE"""),0.669123684861266)</f>
        <v>0.66912368486126605</v>
      </c>
      <c r="O222" s="23">
        <f ca="1">IFERROR(__xludf.DUMMYFUNCTION("""COMPUTED_VALUE"""),-0.957687801234864)</f>
        <v>-0.95768780123486397</v>
      </c>
      <c r="P222" s="23">
        <f ca="1">IFERROR(__xludf.DUMMYFUNCTION("""COMPUTED_VALUE"""),0.267320903427593)</f>
        <v>0.26732090342759302</v>
      </c>
      <c r="Q222" s="24">
        <f ca="1">IFERROR(__xludf.DUMMYFUNCTION("""COMPUTED_VALUE"""),0.645019317166938)</f>
        <v>0.64501931716693806</v>
      </c>
      <c r="R222" s="23">
        <f ca="1">IFERROR(__xludf.DUMMYFUNCTION("""COMPUTED_VALUE"""),0.953868113723515)</f>
        <v>0.95386811372351499</v>
      </c>
      <c r="S222" s="23">
        <f ca="1">IFERROR(__xludf.DUMMYFUNCTION("""COMPUTED_VALUE"""),0.585913663364986)</f>
        <v>0.58591366336498596</v>
      </c>
      <c r="T222" s="23">
        <f ca="1">IFERROR(__xludf.DUMMYFUNCTION("""COMPUTED_VALUE"""),1.14428379994448)</f>
        <v>1.1442837999444799</v>
      </c>
      <c r="U222" s="23">
        <f ca="1">IFERROR(__xludf.DUMMYFUNCTION("""COMPUTED_VALUE"""),-0.973906125113996)</f>
        <v>-0.97390612511399599</v>
      </c>
      <c r="V222" s="23"/>
      <c r="W222" s="23">
        <f ca="1">IFERROR(__xludf.DUMMYFUNCTION("""COMPUTED_VALUE"""),-0.468458286812384)</f>
        <v>-0.46845828681238399</v>
      </c>
      <c r="X222" s="23"/>
      <c r="Y222" s="23">
        <f ca="1">IFERROR(__xludf.DUMMYFUNCTION("""COMPUTED_VALUE"""),0.555140470899457)</f>
        <v>0.55514047089945695</v>
      </c>
      <c r="Z222" s="23">
        <f ca="1">IFERROR(__xludf.DUMMYFUNCTION("""COMPUTED_VALUE"""),-0.732530493138419)</f>
        <v>-0.732530493138419</v>
      </c>
      <c r="AA222" s="23"/>
      <c r="AB222" s="23">
        <f ca="1">IFERROR(__xludf.DUMMYFUNCTION("""COMPUTED_VALUE"""),0.58873549374201)</f>
        <v>0.58873549374200995</v>
      </c>
      <c r="AC222" s="22"/>
      <c r="AD222" s="23"/>
      <c r="AE222" s="23"/>
      <c r="AF222" s="22"/>
      <c r="AG222" s="22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</row>
    <row r="223" spans="1:45" ht="27.75" customHeight="1" x14ac:dyDescent="0.4">
      <c r="A223" s="15" t="s">
        <v>27</v>
      </c>
      <c r="B223" s="15" t="s">
        <v>120</v>
      </c>
      <c r="C223" s="15" t="str">
        <f ca="1">IFERROR(__xludf.DUMMYFUNCTION("""COMPUTED_VALUE"""),"2022/09/23 (金)
休日午前")</f>
        <v>2022/09/23 (金)
休日午前</v>
      </c>
      <c r="D223" s="15" t="str">
        <f ca="1">IFERROR(__xludf.DUMMYFUNCTION("""COMPUTED_VALUE"""),"休日午前")</f>
        <v>休日午前</v>
      </c>
      <c r="E223" s="16">
        <f ca="1">IFERROR(__xludf.DUMMYFUNCTION("""COMPUTED_VALUE"""),1.18978270396709)</f>
        <v>1.1897827039670901</v>
      </c>
      <c r="F223" s="15" t="s">
        <v>11</v>
      </c>
      <c r="G223" s="39">
        <v>0</v>
      </c>
      <c r="H223" s="40" t="s">
        <v>5</v>
      </c>
      <c r="I223" s="27"/>
      <c r="J223" s="27" t="s">
        <v>138</v>
      </c>
      <c r="K223" s="23" t="b">
        <f ca="1">IFERROR(__xludf.DUMMYFUNCTION("""COMPUTED_VALUE"""),FALSE)</f>
        <v>0</v>
      </c>
      <c r="L223" s="22">
        <f ca="1">IFERROR(__xludf.DUMMYFUNCTION("""COMPUTED_VALUE"""),0.763984247503782)</f>
        <v>0.76398424750378202</v>
      </c>
      <c r="M223" s="23">
        <f ca="1">IFERROR(__xludf.DUMMYFUNCTION("""COMPUTED_VALUE"""),-0.396096249470837)</f>
        <v>-0.39609624947083699</v>
      </c>
      <c r="N223" s="23">
        <f ca="1">IFERROR(__xludf.DUMMYFUNCTION("""COMPUTED_VALUE"""),0.273314792434179)</f>
        <v>0.273314792434179</v>
      </c>
      <c r="O223" s="23">
        <f ca="1">IFERROR(__xludf.DUMMYFUNCTION("""COMPUTED_VALUE"""),-0.806984293201228)</f>
        <v>-0.806984293201228</v>
      </c>
      <c r="P223" s="23">
        <f ca="1">IFERROR(__xludf.DUMMYFUNCTION("""COMPUTED_VALUE"""),0.772002788523217)</f>
        <v>0.77200278852321702</v>
      </c>
      <c r="Q223" s="24">
        <f ca="1">IFERROR(__xludf.DUMMYFUNCTION("""COMPUTED_VALUE"""),0.89977058476081)</f>
        <v>0.89977058476080995</v>
      </c>
      <c r="R223" s="23">
        <f ca="1">IFERROR(__xludf.DUMMYFUNCTION("""COMPUTED_VALUE"""),-0.599259082012879)</f>
        <v>-0.59925908201287903</v>
      </c>
      <c r="S223" s="23">
        <f ca="1">IFERROR(__xludf.DUMMYFUNCTION("""COMPUTED_VALUE"""),0.189038894719648)</f>
        <v>0.18903889471964799</v>
      </c>
      <c r="T223" s="23">
        <f ca="1">IFERROR(__xludf.DUMMYFUNCTION("""COMPUTED_VALUE"""),1.18978270396709)</f>
        <v>1.1897827039670901</v>
      </c>
      <c r="U223" s="23">
        <f ca="1">IFERROR(__xludf.DUMMYFUNCTION("""COMPUTED_VALUE"""),-0.607891635247932)</f>
        <v>-0.60789163524793199</v>
      </c>
      <c r="V223" s="23"/>
      <c r="W223" s="23">
        <f ca="1">IFERROR(__xludf.DUMMYFUNCTION("""COMPUTED_VALUE"""),-0.494346475868996)</f>
        <v>-0.49434647586899599</v>
      </c>
      <c r="X223" s="23"/>
      <c r="Y223" s="23">
        <f ca="1">IFERROR(__xludf.DUMMYFUNCTION("""COMPUTED_VALUE"""),-0.117555266047239)</f>
        <v>-0.117555266047239</v>
      </c>
      <c r="Z223" s="23">
        <f ca="1">IFERROR(__xludf.DUMMYFUNCTION("""COMPUTED_VALUE"""),-0.688256825126763)</f>
        <v>-0.68825682512676301</v>
      </c>
      <c r="AA223" s="23"/>
      <c r="AB223" s="23">
        <f ca="1">IFERROR(__xludf.DUMMYFUNCTION("""COMPUTED_VALUE"""),0.726635467636073)</f>
        <v>0.72663546763607301</v>
      </c>
      <c r="AC223" s="22"/>
      <c r="AD223" s="23"/>
      <c r="AE223" s="23"/>
      <c r="AF223" s="22"/>
      <c r="AG223" s="22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</row>
    <row r="224" spans="1:45" ht="27.75" customHeight="1" x14ac:dyDescent="0.4">
      <c r="A224" s="15" t="s">
        <v>27</v>
      </c>
      <c r="B224" s="15" t="s">
        <v>120</v>
      </c>
      <c r="C224" s="15" t="str">
        <f ca="1">IFERROR(__xludf.DUMMYFUNCTION("""COMPUTED_VALUE"""),"2022/09/23 (金)
休日午後")</f>
        <v>2022/09/23 (金)
休日午後</v>
      </c>
      <c r="D224" s="15" t="str">
        <f ca="1">IFERROR(__xludf.DUMMYFUNCTION("""COMPUTED_VALUE"""),"休日午後")</f>
        <v>休日午後</v>
      </c>
      <c r="E224" s="16">
        <f ca="1">IFERROR(__xludf.DUMMYFUNCTION("""COMPUTED_VALUE"""),1.84851749297286)</f>
        <v>1.8485174929728601</v>
      </c>
      <c r="F224" s="15" t="s">
        <v>29</v>
      </c>
      <c r="G224" s="39">
        <v>1</v>
      </c>
      <c r="H224" s="40" t="s">
        <v>29</v>
      </c>
      <c r="I224" s="27"/>
      <c r="J224" s="27" t="s">
        <v>138</v>
      </c>
      <c r="K224" s="23" t="b">
        <f ca="1">IFERROR(__xludf.DUMMYFUNCTION("""COMPUTED_VALUE"""),TRUE)</f>
        <v>1</v>
      </c>
      <c r="L224" s="22">
        <f ca="1">IFERROR(__xludf.DUMMYFUNCTION("""COMPUTED_VALUE"""),0.257352018730937)</f>
        <v>0.25735201873093699</v>
      </c>
      <c r="M224" s="23">
        <f ca="1">IFERROR(__xludf.DUMMYFUNCTION("""COMPUTED_VALUE"""),-0.43825599013167)</f>
        <v>-0.43825599013166999</v>
      </c>
      <c r="N224" s="23">
        <f ca="1">IFERROR(__xludf.DUMMYFUNCTION("""COMPUTED_VALUE"""),-0.599483188146283)</f>
        <v>-0.59948318814628299</v>
      </c>
      <c r="O224" s="23">
        <f ca="1">IFERROR(__xludf.DUMMYFUNCTION("""COMPUTED_VALUE"""),-0.21141575399145)</f>
        <v>-0.21141575399144999</v>
      </c>
      <c r="P224" s="23">
        <f ca="1">IFERROR(__xludf.DUMMYFUNCTION("""COMPUTED_VALUE"""),0.887526081399223)</f>
        <v>0.88752608139922295</v>
      </c>
      <c r="Q224" s="24">
        <f ca="1">IFERROR(__xludf.DUMMYFUNCTION("""COMPUTED_VALUE"""),0.34183813109522)</f>
        <v>0.34183813109521999</v>
      </c>
      <c r="R224" s="23">
        <f ca="1">IFERROR(__xludf.DUMMYFUNCTION("""COMPUTED_VALUE"""),-0.217056470557605)</f>
        <v>-0.21705647055760499</v>
      </c>
      <c r="S224" s="23">
        <f ca="1">IFERROR(__xludf.DUMMYFUNCTION("""COMPUTED_VALUE"""),-0.446208577428941)</f>
        <v>-0.44620857742894099</v>
      </c>
      <c r="T224" s="23">
        <f ca="1">IFERROR(__xludf.DUMMYFUNCTION("""COMPUTED_VALUE"""),0.956878528260225)</f>
        <v>0.95687852826022501</v>
      </c>
      <c r="U224" s="23">
        <f ca="1">IFERROR(__xludf.DUMMYFUNCTION("""COMPUTED_VALUE"""),-0.859649627874988)</f>
        <v>-0.859649627874988</v>
      </c>
      <c r="V224" s="23"/>
      <c r="W224" s="23">
        <f ca="1">IFERROR(__xludf.DUMMYFUNCTION("""COMPUTED_VALUE"""),-0.117234836977353)</f>
        <v>-0.117234836977353</v>
      </c>
      <c r="X224" s="23"/>
      <c r="Y224" s="23">
        <f ca="1">IFERROR(__xludf.DUMMYFUNCTION("""COMPUTED_VALUE"""),-0.0164727474583759)</f>
        <v>-1.6472747458375899E-2</v>
      </c>
      <c r="Z224" s="23">
        <f ca="1">IFERROR(__xludf.DUMMYFUNCTION("""COMPUTED_VALUE"""),-0.776658896198703)</f>
        <v>-0.77665889619870299</v>
      </c>
      <c r="AA224" s="23"/>
      <c r="AB224" s="23">
        <f ca="1">IFERROR(__xludf.DUMMYFUNCTION("""COMPUTED_VALUE"""),0.306436942310299)</f>
        <v>0.306436942310299</v>
      </c>
      <c r="AC224" s="22"/>
      <c r="AD224" s="23"/>
      <c r="AE224" s="23"/>
      <c r="AF224" s="22"/>
      <c r="AG224" s="22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</row>
    <row r="225" spans="1:45" ht="27.75" customHeight="1" x14ac:dyDescent="0.4">
      <c r="A225" s="15" t="s">
        <v>27</v>
      </c>
      <c r="B225" s="15" t="s">
        <v>120</v>
      </c>
      <c r="C225" s="15" t="str">
        <f ca="1">IFERROR(__xludf.DUMMYFUNCTION("""COMPUTED_VALUE"""),"2022/09/24 (土)
休日午前")</f>
        <v>2022/09/24 (土)
休日午前</v>
      </c>
      <c r="D225" s="15" t="str">
        <f ca="1">IFERROR(__xludf.DUMMYFUNCTION("""COMPUTED_VALUE"""),"休日午前")</f>
        <v>休日午前</v>
      </c>
      <c r="E225" s="16">
        <f ca="1">IFERROR(__xludf.DUMMYFUNCTION("""COMPUTED_VALUE"""),1.20388018354693)</f>
        <v>1.2038801835469299</v>
      </c>
      <c r="F225" s="15" t="s">
        <v>11</v>
      </c>
      <c r="G225" s="39">
        <v>0</v>
      </c>
      <c r="H225" s="40" t="s">
        <v>30</v>
      </c>
      <c r="I225" s="27"/>
      <c r="J225" s="27" t="s">
        <v>139</v>
      </c>
      <c r="K225" s="23" t="b">
        <f ca="1">IFERROR(__xludf.DUMMYFUNCTION("""COMPUTED_VALUE"""),FALSE)</f>
        <v>0</v>
      </c>
      <c r="L225" s="22">
        <f ca="1">IFERROR(__xludf.DUMMYFUNCTION("""COMPUTED_VALUE"""),0.798653042877826)</f>
        <v>0.79865304287782601</v>
      </c>
      <c r="M225" s="23">
        <f ca="1">IFERROR(__xludf.DUMMYFUNCTION("""COMPUTED_VALUE"""),-0.0589827421616713)</f>
        <v>-5.8982742161671299E-2</v>
      </c>
      <c r="N225" s="23">
        <f ca="1">IFERROR(__xludf.DUMMYFUNCTION("""COMPUTED_VALUE"""),-0.703378151838868)</f>
        <v>-0.70337815183886798</v>
      </c>
      <c r="O225" s="23">
        <f ca="1">IFERROR(__xludf.DUMMYFUNCTION("""COMPUTED_VALUE"""),-0.473205909615447)</f>
        <v>-0.47320590961544701</v>
      </c>
      <c r="P225" s="23">
        <f ca="1">IFERROR(__xludf.DUMMYFUNCTION("""COMPUTED_VALUE"""),0.496715945071205)</f>
        <v>0.49671594507120498</v>
      </c>
      <c r="Q225" s="24">
        <f ca="1">IFERROR(__xludf.DUMMYFUNCTION("""COMPUTED_VALUE"""),0.320187792244513)</f>
        <v>0.32018779224451299</v>
      </c>
      <c r="R225" s="23">
        <f ca="1">IFERROR(__xludf.DUMMYFUNCTION("""COMPUTED_VALUE"""),-0.643183951440584)</f>
        <v>-0.64318395144058405</v>
      </c>
      <c r="S225" s="23">
        <f ca="1">IFERROR(__xludf.DUMMYFUNCTION("""COMPUTED_VALUE"""),-0.796516592747594)</f>
        <v>-0.79651659274759401</v>
      </c>
      <c r="T225" s="23">
        <f ca="1">IFERROR(__xludf.DUMMYFUNCTION("""COMPUTED_VALUE"""),1.20388018354693)</f>
        <v>1.2038801835469299</v>
      </c>
      <c r="U225" s="23">
        <f ca="1">IFERROR(__xludf.DUMMYFUNCTION("""COMPUTED_VALUE"""),-0.0906919616836841)</f>
        <v>-9.0691961683684097E-2</v>
      </c>
      <c r="V225" s="23"/>
      <c r="W225" s="23">
        <f ca="1">IFERROR(__xludf.DUMMYFUNCTION("""COMPUTED_VALUE"""),-0.114032923125856)</f>
        <v>-0.114032923125856</v>
      </c>
      <c r="X225" s="23"/>
      <c r="Y225" s="23">
        <f ca="1">IFERROR(__xludf.DUMMYFUNCTION("""COMPUTED_VALUE"""),0.112255099497544)</f>
        <v>0.112255099497544</v>
      </c>
      <c r="Z225" s="23">
        <f ca="1">IFERROR(__xludf.DUMMYFUNCTION("""COMPUTED_VALUE"""),-0.956974209342655)</f>
        <v>-0.95697420934265498</v>
      </c>
      <c r="AA225" s="23"/>
      <c r="AB225" s="23">
        <f ca="1">IFERROR(__xludf.DUMMYFUNCTION("""COMPUTED_VALUE"""),-0.524300032438207)</f>
        <v>-0.524300032438207</v>
      </c>
      <c r="AC225" s="22"/>
      <c r="AD225" s="23"/>
      <c r="AE225" s="23"/>
      <c r="AF225" s="22"/>
      <c r="AG225" s="22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</row>
    <row r="226" spans="1:45" ht="27.75" customHeight="1" x14ac:dyDescent="0.35">
      <c r="A226" s="15" t="s">
        <v>27</v>
      </c>
      <c r="B226" s="15" t="s">
        <v>120</v>
      </c>
      <c r="C226" s="15" t="str">
        <f ca="1">IFERROR(__xludf.DUMMYFUNCTION("""COMPUTED_VALUE"""),"2022/09/24 (土)
休日午後")</f>
        <v>2022/09/24 (土)
休日午後</v>
      </c>
      <c r="D226" s="15" t="str">
        <f ca="1">IFERROR(__xludf.DUMMYFUNCTION("""COMPUTED_VALUE"""),"休日午後")</f>
        <v>休日午後</v>
      </c>
      <c r="E226" s="16">
        <f ca="1">IFERROR(__xludf.DUMMYFUNCTION("""COMPUTED_VALUE"""),0.8958254425246)</f>
        <v>0.89582544252459995</v>
      </c>
      <c r="F226" s="15" t="s">
        <v>5</v>
      </c>
      <c r="G226" s="39">
        <v>0</v>
      </c>
      <c r="H226" s="27" t="s">
        <v>127</v>
      </c>
      <c r="I226" s="27"/>
      <c r="J226" s="27" t="s">
        <v>139</v>
      </c>
      <c r="K226" s="23" t="b">
        <f ca="1">IFERROR(__xludf.DUMMYFUNCTION("""COMPUTED_VALUE"""),FALSE)</f>
        <v>0</v>
      </c>
      <c r="L226" s="22">
        <f ca="1">IFERROR(__xludf.DUMMYFUNCTION("""COMPUTED_VALUE"""),0.366711236750885)</f>
        <v>0.36671123675088502</v>
      </c>
      <c r="M226" s="23">
        <f ca="1">IFERROR(__xludf.DUMMYFUNCTION("""COMPUTED_VALUE"""),-0.942567295578313)</f>
        <v>-0.94256729557831298</v>
      </c>
      <c r="N226" s="23">
        <f ca="1">IFERROR(__xludf.DUMMYFUNCTION("""COMPUTED_VALUE"""),-0.741681047122172)</f>
        <v>-0.74168104712217198</v>
      </c>
      <c r="O226" s="23">
        <f ca="1">IFERROR(__xludf.DUMMYFUNCTION("""COMPUTED_VALUE"""),-0.783199969338502)</f>
        <v>-0.783199969338502</v>
      </c>
      <c r="P226" s="23">
        <f ca="1">IFERROR(__xludf.DUMMYFUNCTION("""COMPUTED_VALUE"""),0.8958254425246)</f>
        <v>0.89582544252459995</v>
      </c>
      <c r="Q226" s="24">
        <f ca="1">IFERROR(__xludf.DUMMYFUNCTION("""COMPUTED_VALUE"""),0.871337515059376)</f>
        <v>0.87133751505937596</v>
      </c>
      <c r="R226" s="23">
        <f ca="1">IFERROR(__xludf.DUMMYFUNCTION("""COMPUTED_VALUE"""),-0.576860070512146)</f>
        <v>-0.57686007051214605</v>
      </c>
      <c r="S226" s="23">
        <f ca="1">IFERROR(__xludf.DUMMYFUNCTION("""COMPUTED_VALUE"""),-0.138975096054711)</f>
        <v>-0.13897509605471101</v>
      </c>
      <c r="T226" s="23">
        <f ca="1">IFERROR(__xludf.DUMMYFUNCTION("""COMPUTED_VALUE"""),0.198501699643896)</f>
        <v>0.198501699643896</v>
      </c>
      <c r="U226" s="23">
        <f ca="1">IFERROR(__xludf.DUMMYFUNCTION("""COMPUTED_VALUE"""),-0.604565539344114)</f>
        <v>-0.60456553934411394</v>
      </c>
      <c r="V226" s="23"/>
      <c r="W226" s="23">
        <f ca="1">IFERROR(__xludf.DUMMYFUNCTION("""COMPUTED_VALUE"""),-0.964828248042313)</f>
        <v>-0.96482824804231304</v>
      </c>
      <c r="X226" s="23"/>
      <c r="Y226" s="23">
        <f ca="1">IFERROR(__xludf.DUMMYFUNCTION("""COMPUTED_VALUE"""),-0.933396701482398)</f>
        <v>-0.93339670148239795</v>
      </c>
      <c r="Z226" s="23">
        <f ca="1">IFERROR(__xludf.DUMMYFUNCTION("""COMPUTED_VALUE"""),-0.929118426198321)</f>
        <v>-0.92911842619832097</v>
      </c>
      <c r="AA226" s="23"/>
      <c r="AB226" s="23">
        <f ca="1">IFERROR(__xludf.DUMMYFUNCTION("""COMPUTED_VALUE"""),-0.98915634050466)</f>
        <v>-0.98915634050465995</v>
      </c>
      <c r="AC226" s="22"/>
      <c r="AD226" s="23"/>
      <c r="AE226" s="23"/>
      <c r="AF226" s="22"/>
      <c r="AG226" s="22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</row>
    <row r="227" spans="1:45" ht="27.75" customHeight="1" x14ac:dyDescent="0.4">
      <c r="A227" s="15" t="s">
        <v>27</v>
      </c>
      <c r="B227" s="15" t="s">
        <v>120</v>
      </c>
      <c r="C227" s="15" t="str">
        <f ca="1">IFERROR(__xludf.DUMMYFUNCTION("""COMPUTED_VALUE"""),"2022/09/25 (日)
休日午前")</f>
        <v>2022/09/25 (日)
休日午前</v>
      </c>
      <c r="D227" s="15" t="str">
        <f ca="1">IFERROR(__xludf.DUMMYFUNCTION("""COMPUTED_VALUE"""),"休日午前")</f>
        <v>休日午前</v>
      </c>
      <c r="E227" s="16">
        <f ca="1">IFERROR(__xludf.DUMMYFUNCTION("""COMPUTED_VALUE"""),2.19704876413402)</f>
        <v>2.1970487641340202</v>
      </c>
      <c r="F227" s="15" t="s">
        <v>126</v>
      </c>
      <c r="G227" s="39">
        <v>0</v>
      </c>
      <c r="H227" s="40" t="s">
        <v>15</v>
      </c>
      <c r="I227" s="27"/>
      <c r="J227" s="27" t="s">
        <v>140</v>
      </c>
      <c r="K227" s="23" t="b">
        <f ca="1">IFERROR(__xludf.DUMMYFUNCTION("""COMPUTED_VALUE"""),TRUE)</f>
        <v>1</v>
      </c>
      <c r="L227" s="22">
        <f ca="1">IFERROR(__xludf.DUMMYFUNCTION("""COMPUTED_VALUE"""),-0.319716423889818)</f>
        <v>-0.31971642388981802</v>
      </c>
      <c r="M227" s="23">
        <f ca="1">IFERROR(__xludf.DUMMYFUNCTION("""COMPUTED_VALUE"""),-0.58498995545404)</f>
        <v>-0.58498995545403998</v>
      </c>
      <c r="N227" s="23">
        <f ca="1">IFERROR(__xludf.DUMMYFUNCTION("""COMPUTED_VALUE"""),0.195736316886911)</f>
        <v>0.19573631688691101</v>
      </c>
      <c r="O227" s="23">
        <f ca="1">IFERROR(__xludf.DUMMYFUNCTION("""COMPUTED_VALUE"""),-0.781029398862504)</f>
        <v>-0.781029398862504</v>
      </c>
      <c r="P227" s="23">
        <f ca="1">IFERROR(__xludf.DUMMYFUNCTION("""COMPUTED_VALUE"""),0.907476716755351)</f>
        <v>0.90747671675535102</v>
      </c>
      <c r="Q227" s="24">
        <f ca="1">IFERROR(__xludf.DUMMYFUNCTION("""COMPUTED_VALUE"""),0.163545805564911)</f>
        <v>0.163545805564911</v>
      </c>
      <c r="R227" s="23">
        <f ca="1">IFERROR(__xludf.DUMMYFUNCTION("""COMPUTED_VALUE"""),0.199550869000528)</f>
        <v>0.19955086900052799</v>
      </c>
      <c r="S227" s="23">
        <f ca="1">IFERROR(__xludf.DUMMYFUNCTION("""COMPUTED_VALUE"""),-0.878606681056167)</f>
        <v>-0.87860668105616702</v>
      </c>
      <c r="T227" s="23">
        <f ca="1">IFERROR(__xludf.DUMMYFUNCTION("""COMPUTED_VALUE"""),1.82322857732541)</f>
        <v>1.82322857732541</v>
      </c>
      <c r="U227" s="23">
        <f ca="1">IFERROR(__xludf.DUMMYFUNCTION("""COMPUTED_VALUE"""),-0.5971869328389)</f>
        <v>-0.59718693283890001</v>
      </c>
      <c r="V227" s="23"/>
      <c r="W227" s="23">
        <f ca="1">IFERROR(__xludf.DUMMYFUNCTION("""COMPUTED_VALUE"""),0.686689766133287)</f>
        <v>0.68668976613328703</v>
      </c>
      <c r="X227" s="23"/>
      <c r="Y227" s="23">
        <f ca="1">IFERROR(__xludf.DUMMYFUNCTION("""COMPUTED_VALUE"""),-0.0396261250514216)</f>
        <v>-3.9626125051421601E-2</v>
      </c>
      <c r="Z227" s="23">
        <f ca="1">IFERROR(__xludf.DUMMYFUNCTION("""COMPUTED_VALUE"""),0.0259444435788493)</f>
        <v>2.5944443578849299E-2</v>
      </c>
      <c r="AA227" s="23"/>
      <c r="AB227" s="23">
        <f ca="1">IFERROR(__xludf.DUMMYFUNCTION("""COMPUTED_VALUE"""),0.525081990945459)</f>
        <v>0.52508199094545904</v>
      </c>
      <c r="AC227" s="22"/>
      <c r="AD227" s="23"/>
      <c r="AE227" s="23"/>
      <c r="AF227" s="22"/>
      <c r="AG227" s="22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</row>
    <row r="228" spans="1:45" ht="27.75" customHeight="1" x14ac:dyDescent="0.4">
      <c r="A228" s="15" t="s">
        <v>27</v>
      </c>
      <c r="B228" s="15" t="s">
        <v>120</v>
      </c>
      <c r="C228" s="15" t="str">
        <f ca="1">IFERROR(__xludf.DUMMYFUNCTION("""COMPUTED_VALUE"""),"2022/09/25 (日)
休日午後")</f>
        <v>2022/09/25 (日)
休日午後</v>
      </c>
      <c r="D228" s="15" t="str">
        <f ca="1">IFERROR(__xludf.DUMMYFUNCTION("""COMPUTED_VALUE"""),"休日午後")</f>
        <v>休日午後</v>
      </c>
      <c r="E228" s="16">
        <f ca="1">IFERROR(__xludf.DUMMYFUNCTION("""COMPUTED_VALUE"""),2.59758921328444)</f>
        <v>2.59758921328444</v>
      </c>
      <c r="F228" s="15" t="s">
        <v>126</v>
      </c>
      <c r="G228" s="39">
        <v>2</v>
      </c>
      <c r="H228" s="40" t="s">
        <v>126</v>
      </c>
      <c r="I228" s="27"/>
      <c r="J228" s="27" t="s">
        <v>140</v>
      </c>
      <c r="K228" s="23" t="b">
        <f ca="1">IFERROR(__xludf.DUMMYFUNCTION("""COMPUTED_VALUE"""),TRUE)</f>
        <v>1</v>
      </c>
      <c r="L228" s="22">
        <f ca="1">IFERROR(__xludf.DUMMYFUNCTION("""COMPUTED_VALUE"""),-0.888354547635715)</f>
        <v>-0.88835454763571498</v>
      </c>
      <c r="M228" s="23">
        <f ca="1">IFERROR(__xludf.DUMMYFUNCTION("""COMPUTED_VALUE"""),-0.67434642099434)</f>
        <v>-0.67434642099433995</v>
      </c>
      <c r="N228" s="23">
        <f ca="1">IFERROR(__xludf.DUMMYFUNCTION("""COMPUTED_VALUE"""),0.794724074792212)</f>
        <v>0.79472407479221197</v>
      </c>
      <c r="O228" s="23">
        <f ca="1">IFERROR(__xludf.DUMMYFUNCTION("""COMPUTED_VALUE"""),-0.945729861598245)</f>
        <v>-0.94572986159824501</v>
      </c>
      <c r="P228" s="23">
        <f ca="1">IFERROR(__xludf.DUMMYFUNCTION("""COMPUTED_VALUE"""),0.371553101625352)</f>
        <v>0.37155310162535199</v>
      </c>
      <c r="Q228" s="24">
        <f ca="1">IFERROR(__xludf.DUMMYFUNCTION("""COMPUTED_VALUE"""),0.310898867098678)</f>
        <v>0.31089886709867798</v>
      </c>
      <c r="R228" s="23">
        <f ca="1">IFERROR(__xludf.DUMMYFUNCTION("""COMPUTED_VALUE"""),2.32292998485448)</f>
        <v>2.32292998485448</v>
      </c>
      <c r="S228" s="23">
        <f ca="1">IFERROR(__xludf.DUMMYFUNCTION("""COMPUTED_VALUE"""),-0.468464101000136)</f>
        <v>-0.46846410100013602</v>
      </c>
      <c r="T228" s="23">
        <f ca="1">IFERROR(__xludf.DUMMYFUNCTION("""COMPUTED_VALUE"""),-0.868345289559401)</f>
        <v>-0.86834528955940105</v>
      </c>
      <c r="U228" s="23">
        <f ca="1">IFERROR(__xludf.DUMMYFUNCTION("""COMPUTED_VALUE"""),-0.457158382599384)</f>
        <v>-0.45715838259938402</v>
      </c>
      <c r="V228" s="23"/>
      <c r="W228" s="23">
        <f ca="1">IFERROR(__xludf.DUMMYFUNCTION("""COMPUTED_VALUE"""),0.879813108565708)</f>
        <v>0.87981310856570805</v>
      </c>
      <c r="X228" s="23"/>
      <c r="Y228" s="23">
        <f ca="1">IFERROR(__xludf.DUMMYFUNCTION("""COMPUTED_VALUE"""),-0.308137138471516)</f>
        <v>-0.30813713847151603</v>
      </c>
      <c r="Z228" s="23">
        <f ca="1">IFERROR(__xludf.DUMMYFUNCTION("""COMPUTED_VALUE"""),0.104421357594094)</f>
        <v>0.104421357594094</v>
      </c>
      <c r="AA228" s="23"/>
      <c r="AB228" s="23">
        <f ca="1">IFERROR(__xludf.DUMMYFUNCTION("""COMPUTED_VALUE"""),0.446527834462387)</f>
        <v>0.44652783446238697</v>
      </c>
      <c r="AC228" s="22"/>
      <c r="AD228" s="23"/>
      <c r="AE228" s="23"/>
      <c r="AF228" s="22"/>
      <c r="AG228" s="22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</row>
    <row r="229" spans="1:45" ht="27.75" customHeight="1" x14ac:dyDescent="0.4">
      <c r="A229" s="15" t="s">
        <v>27</v>
      </c>
      <c r="B229" s="15" t="s">
        <v>120</v>
      </c>
      <c r="C229" s="15" t="str">
        <f ca="1">IFERROR(__xludf.DUMMYFUNCTION("""COMPUTED_VALUE"""),"2022/09/26 (月)
平日夜間")</f>
        <v>2022/09/26 (月)
平日夜間</v>
      </c>
      <c r="D229" s="15" t="str">
        <f ca="1">IFERROR(__xludf.DUMMYFUNCTION("""COMPUTED_VALUE"""),"平日夜間")</f>
        <v>平日夜間</v>
      </c>
      <c r="E229" s="16">
        <f ca="1">IFERROR(__xludf.DUMMYFUNCTION("""COMPUTED_VALUE"""),1.29922597803037)</f>
        <v>1.2992259780303701</v>
      </c>
      <c r="F229" s="15" t="s">
        <v>10</v>
      </c>
      <c r="G229" s="39">
        <v>0</v>
      </c>
      <c r="H229" s="40" t="s">
        <v>17</v>
      </c>
      <c r="I229" s="27"/>
      <c r="J229" s="27" t="s">
        <v>141</v>
      </c>
      <c r="K229" s="23" t="b">
        <f ca="1">IFERROR(__xludf.DUMMYFUNCTION("""COMPUTED_VALUE"""),TRUE)</f>
        <v>1</v>
      </c>
      <c r="L229" s="22">
        <f ca="1">IFERROR(__xludf.DUMMYFUNCTION("""COMPUTED_VALUE"""),0.748506075319901)</f>
        <v>0.74850607531990099</v>
      </c>
      <c r="M229" s="23">
        <f ca="1">IFERROR(__xludf.DUMMYFUNCTION("""COMPUTED_VALUE"""),-0.677430102623495)</f>
        <v>-0.67743010262349501</v>
      </c>
      <c r="N229" s="23">
        <f ca="1">IFERROR(__xludf.DUMMYFUNCTION("""COMPUTED_VALUE"""),0.978804470960977)</f>
        <v>0.978804470960977</v>
      </c>
      <c r="O229" s="23">
        <f ca="1">IFERROR(__xludf.DUMMYFUNCTION("""COMPUTED_VALUE"""),-0.624618083171767)</f>
        <v>-0.62461808317176704</v>
      </c>
      <c r="P229" s="23">
        <f ca="1">IFERROR(__xludf.DUMMYFUNCTION("""COMPUTED_VALUE"""),0.150006123427209)</f>
        <v>0.15000612342720901</v>
      </c>
      <c r="Q229" s="24">
        <f ca="1">IFERROR(__xludf.DUMMYFUNCTION("""COMPUTED_VALUE"""),0.8043498600034)</f>
        <v>0.80434986000340003</v>
      </c>
      <c r="R229" s="23">
        <f ca="1">IFERROR(__xludf.DUMMYFUNCTION("""COMPUTED_VALUE"""),-0.739306672005663)</f>
        <v>-0.73930667200566302</v>
      </c>
      <c r="S229" s="23">
        <f ca="1">IFERROR(__xludf.DUMMYFUNCTION("""COMPUTED_VALUE"""),0.485197295996308)</f>
        <v>0.48519729599630801</v>
      </c>
      <c r="T229" s="23">
        <f ca="1">IFERROR(__xludf.DUMMYFUNCTION("""COMPUTED_VALUE"""),0.552269398429383)</f>
        <v>0.55226939842938305</v>
      </c>
      <c r="U229" s="23">
        <f ca="1">IFERROR(__xludf.DUMMYFUNCTION("""COMPUTED_VALUE"""),0.805212514379408)</f>
        <v>0.805212514379408</v>
      </c>
      <c r="V229" s="23"/>
      <c r="W229" s="23">
        <f ca="1">IFERROR(__xludf.DUMMYFUNCTION("""COMPUTED_VALUE"""),-0.517293547565649)</f>
        <v>-0.51729354756564905</v>
      </c>
      <c r="X229" s="23"/>
      <c r="Y229" s="23">
        <f ca="1">IFERROR(__xludf.DUMMYFUNCTION("""COMPUTED_VALUE"""),0.620241266702355)</f>
        <v>0.62024126670235502</v>
      </c>
      <c r="Z229" s="23">
        <f ca="1">IFERROR(__xludf.DUMMYFUNCTION("""COMPUTED_VALUE"""),1.131139664702)</f>
        <v>1.131139664702</v>
      </c>
      <c r="AA229" s="23"/>
      <c r="AB229" s="23">
        <f ca="1">IFERROR(__xludf.DUMMYFUNCTION("""COMPUTED_VALUE"""),0.0907790526276943)</f>
        <v>9.0779052627694298E-2</v>
      </c>
      <c r="AC229" s="22"/>
      <c r="AD229" s="23"/>
      <c r="AE229" s="23"/>
      <c r="AF229" s="22"/>
      <c r="AG229" s="22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</row>
    <row r="230" spans="1:45" ht="27.75" customHeight="1" x14ac:dyDescent="0.4">
      <c r="A230" s="15" t="s">
        <v>27</v>
      </c>
      <c r="B230" s="15" t="s">
        <v>120</v>
      </c>
      <c r="C230" s="15" t="str">
        <f ca="1">IFERROR(__xludf.DUMMYFUNCTION("""COMPUTED_VALUE"""),"2022/09/27 (火)
平日夜間")</f>
        <v>2022/09/27 (火)
平日夜間</v>
      </c>
      <c r="D230" s="15" t="str">
        <f ca="1">IFERROR(__xludf.DUMMYFUNCTION("""COMPUTED_VALUE"""),"平日夜間")</f>
        <v>平日夜間</v>
      </c>
      <c r="E230" s="16">
        <f ca="1">IFERROR(__xludf.DUMMYFUNCTION("""COMPUTED_VALUE"""),2.97724047842717)</f>
        <v>2.97724047842717</v>
      </c>
      <c r="F230" s="15" t="s">
        <v>30</v>
      </c>
      <c r="G230" s="39">
        <v>2</v>
      </c>
      <c r="H230" s="40" t="s">
        <v>30</v>
      </c>
      <c r="I230" s="27"/>
      <c r="J230" s="27" t="s">
        <v>142</v>
      </c>
      <c r="K230" s="23" t="b">
        <f ca="1">IFERROR(__xludf.DUMMYFUNCTION("""COMPUTED_VALUE"""),TRUE)</f>
        <v>1</v>
      </c>
      <c r="L230" s="22">
        <f ca="1">IFERROR(__xludf.DUMMYFUNCTION("""COMPUTED_VALUE"""),0.284888019736013)</f>
        <v>0.28488801973601302</v>
      </c>
      <c r="M230" s="23">
        <f ca="1">IFERROR(__xludf.DUMMYFUNCTION("""COMPUTED_VALUE"""),-0.950712078564078)</f>
        <v>-0.95071207856407802</v>
      </c>
      <c r="N230" s="23">
        <f ca="1">IFERROR(__xludf.DUMMYFUNCTION("""COMPUTED_VALUE"""),0.806710719781053)</f>
        <v>0.80671071978105302</v>
      </c>
      <c r="O230" s="23">
        <f ca="1">IFERROR(__xludf.DUMMYFUNCTION("""COMPUTED_VALUE"""),0.0662316737847008)</f>
        <v>6.6231673784700795E-2</v>
      </c>
      <c r="P230" s="23">
        <f ca="1">IFERROR(__xludf.DUMMYFUNCTION("""COMPUTED_VALUE"""),0.186046521572887)</f>
        <v>0.18604652157288701</v>
      </c>
      <c r="Q230" s="24">
        <f ca="1">IFERROR(__xludf.DUMMYFUNCTION("""COMPUTED_VALUE"""),0.523171428387507)</f>
        <v>0.52317142838750696</v>
      </c>
      <c r="R230" s="23">
        <f ca="1">IFERROR(__xludf.DUMMYFUNCTION("""COMPUTED_VALUE"""),0.264159241474309)</f>
        <v>0.26415924147430903</v>
      </c>
      <c r="S230" s="23">
        <f ca="1">IFERROR(__xludf.DUMMYFUNCTION("""COMPUTED_VALUE"""),0.410421563876798)</f>
        <v>0.41042156387679801</v>
      </c>
      <c r="T230" s="23">
        <f ca="1">IFERROR(__xludf.DUMMYFUNCTION("""COMPUTED_VALUE"""),0.784923361682473)</f>
        <v>0.78492336168247301</v>
      </c>
      <c r="U230" s="23">
        <f ca="1">IFERROR(__xludf.DUMMYFUNCTION("""COMPUTED_VALUE"""),0.801048342961394)</f>
        <v>0.80104834296139404</v>
      </c>
      <c r="V230" s="23"/>
      <c r="W230" s="23">
        <f ca="1">IFERROR(__xludf.DUMMYFUNCTION("""COMPUTED_VALUE"""),0.952006150559394)</f>
        <v>0.95200615055939397</v>
      </c>
      <c r="X230" s="23"/>
      <c r="Y230" s="23">
        <f ca="1">IFERROR(__xludf.DUMMYFUNCTION("""COMPUTED_VALUE"""),-0.845482703131603)</f>
        <v>-0.84548270313160301</v>
      </c>
      <c r="Z230" s="23">
        <f ca="1">IFERROR(__xludf.DUMMYFUNCTION("""COMPUTED_VALUE"""),0.406378665534183)</f>
        <v>0.406378665534183</v>
      </c>
      <c r="AA230" s="23"/>
      <c r="AB230" s="23">
        <f ca="1">IFERROR(__xludf.DUMMYFUNCTION("""COMPUTED_VALUE"""),0.573433276146442)</f>
        <v>0.57343327614644202</v>
      </c>
      <c r="AC230" s="22"/>
      <c r="AD230" s="23"/>
      <c r="AE230" s="23"/>
      <c r="AF230" s="22"/>
      <c r="AG230" s="22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</row>
    <row r="231" spans="1:45" ht="27.75" customHeight="1" x14ac:dyDescent="0.4">
      <c r="A231" s="15" t="s">
        <v>27</v>
      </c>
      <c r="B231" s="15" t="s">
        <v>120</v>
      </c>
      <c r="C231" s="15" t="str">
        <f ca="1">IFERROR(__xludf.DUMMYFUNCTION("""COMPUTED_VALUE"""),"2022/09/28 (水)
平日夜間")</f>
        <v>2022/09/28 (水)
平日夜間</v>
      </c>
      <c r="D231" s="15" t="str">
        <f ca="1">IFERROR(__xludf.DUMMYFUNCTION("""COMPUTED_VALUE"""),"平日夜間")</f>
        <v>平日夜間</v>
      </c>
      <c r="E231" s="16">
        <f ca="1">IFERROR(__xludf.DUMMYFUNCTION("""COMPUTED_VALUE"""),1.69253813885775)</f>
        <v>1.6925381388577501</v>
      </c>
      <c r="F231" s="15" t="s">
        <v>10</v>
      </c>
      <c r="G231" s="39">
        <v>0</v>
      </c>
      <c r="H231" s="40" t="s">
        <v>18</v>
      </c>
      <c r="I231" s="27"/>
      <c r="J231" s="27" t="s">
        <v>143</v>
      </c>
      <c r="K231" s="23" t="b">
        <f ca="1">IFERROR(__xludf.DUMMYFUNCTION("""COMPUTED_VALUE"""),TRUE)</f>
        <v>1</v>
      </c>
      <c r="L231" s="22">
        <f ca="1">IFERROR(__xludf.DUMMYFUNCTION("""COMPUTED_VALUE"""),0.132895449855651)</f>
        <v>0.13289544985565099</v>
      </c>
      <c r="M231" s="23">
        <f ca="1">IFERROR(__xludf.DUMMYFUNCTION("""COMPUTED_VALUE"""),0.22930030745659)</f>
        <v>0.22930030745659</v>
      </c>
      <c r="N231" s="23">
        <f ca="1">IFERROR(__xludf.DUMMYFUNCTION("""COMPUTED_VALUE"""),0.492793356159092)</f>
        <v>0.49279335615909198</v>
      </c>
      <c r="O231" s="23">
        <f ca="1">IFERROR(__xludf.DUMMYFUNCTION("""COMPUTED_VALUE"""),0.516920688678804)</f>
        <v>0.51692068867880403</v>
      </c>
      <c r="P231" s="23">
        <f ca="1">IFERROR(__xludf.DUMMYFUNCTION("""COMPUTED_VALUE"""),0.0651857971505713)</f>
        <v>6.5185797150571295E-2</v>
      </c>
      <c r="Q231" s="24">
        <f ca="1">IFERROR(__xludf.DUMMYFUNCTION("""COMPUTED_VALUE"""),0.114439407968446)</f>
        <v>0.114439407968446</v>
      </c>
      <c r="R231" s="23">
        <f ca="1">IFERROR(__xludf.DUMMYFUNCTION("""COMPUTED_VALUE"""),0.0352681913144183)</f>
        <v>3.5268191314418301E-2</v>
      </c>
      <c r="S231" s="23">
        <f ca="1">IFERROR(__xludf.DUMMYFUNCTION("""COMPUTED_VALUE"""),0.161488322751709)</f>
        <v>0.16148832275170899</v>
      </c>
      <c r="T231" s="23">
        <f ca="1">IFERROR(__xludf.DUMMYFUNCTION("""COMPUTED_VALUE"""),0.475177077671423)</f>
        <v>0.47517707767142298</v>
      </c>
      <c r="U231" s="23">
        <f ca="1">IFERROR(__xludf.DUMMYFUNCTION("""COMPUTED_VALUE"""),0.609725191791055)</f>
        <v>0.609725191791055</v>
      </c>
      <c r="V231" s="23"/>
      <c r="W231" s="23">
        <f ca="1">IFERROR(__xludf.DUMMYFUNCTION("""COMPUTED_VALUE"""),-0.124765466820347)</f>
        <v>-0.124765466820347</v>
      </c>
      <c r="X231" s="23"/>
      <c r="Y231" s="23">
        <f ca="1">IFERROR(__xludf.DUMMYFUNCTION("""COMPUTED_VALUE"""),0.905144378050903)</f>
        <v>0.90514437805090298</v>
      </c>
      <c r="Z231" s="23">
        <f ca="1">IFERROR(__xludf.DUMMYFUNCTION("""COMPUTED_VALUE"""),1.55134014389916)</f>
        <v>1.5513401438991601</v>
      </c>
      <c r="AA231" s="23"/>
      <c r="AB231" s="23">
        <f ca="1">IFERROR(__xludf.DUMMYFUNCTION("""COMPUTED_VALUE"""),0.332903482384873)</f>
        <v>0.332903482384873</v>
      </c>
      <c r="AC231" s="22"/>
      <c r="AD231" s="23"/>
      <c r="AE231" s="23"/>
      <c r="AF231" s="22"/>
      <c r="AG231" s="22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</row>
    <row r="232" spans="1:45" ht="27.75" customHeight="1" x14ac:dyDescent="0.35">
      <c r="A232" s="15" t="s">
        <v>27</v>
      </c>
      <c r="B232" s="15" t="s">
        <v>120</v>
      </c>
      <c r="C232" s="15" t="str">
        <f ca="1">IFERROR(__xludf.DUMMYFUNCTION("""COMPUTED_VALUE"""),"2022/09/29 (木)
平日夜間")</f>
        <v>2022/09/29 (木)
平日夜間</v>
      </c>
      <c r="D232" s="15" t="str">
        <f ca="1">IFERROR(__xludf.DUMMYFUNCTION("""COMPUTED_VALUE"""),"平日夜間")</f>
        <v>平日夜間</v>
      </c>
      <c r="E232" s="16">
        <f ca="1">IFERROR(__xludf.DUMMYFUNCTION("""COMPUTED_VALUE"""),1.44565174109675)</f>
        <v>1.44565174109675</v>
      </c>
      <c r="F232" s="15" t="s">
        <v>2</v>
      </c>
      <c r="G232" s="39">
        <v>0</v>
      </c>
      <c r="H232" s="27" t="s">
        <v>30</v>
      </c>
      <c r="I232" s="27"/>
      <c r="J232" s="27"/>
      <c r="K232" s="23" t="b">
        <f ca="1">IFERROR(__xludf.DUMMYFUNCTION("""COMPUTED_VALUE"""),FALSE)</f>
        <v>0</v>
      </c>
      <c r="L232" s="22">
        <f ca="1">IFERROR(__xludf.DUMMYFUNCTION("""COMPUTED_VALUE"""),0.177407417216525)</f>
        <v>0.177407417216525</v>
      </c>
      <c r="M232" s="23">
        <f ca="1">IFERROR(__xludf.DUMMYFUNCTION("""COMPUTED_VALUE"""),-0.201473119550284)</f>
        <v>-0.20147311955028399</v>
      </c>
      <c r="N232" s="23">
        <f ca="1">IFERROR(__xludf.DUMMYFUNCTION("""COMPUTED_VALUE"""),1.44565174109675)</f>
        <v>1.44565174109675</v>
      </c>
      <c r="O232" s="23">
        <f ca="1">IFERROR(__xludf.DUMMYFUNCTION("""COMPUTED_VALUE"""),-0.548626544087551)</f>
        <v>-0.54862654408755096</v>
      </c>
      <c r="P232" s="23">
        <f ca="1">IFERROR(__xludf.DUMMYFUNCTION("""COMPUTED_VALUE"""),0.953194116744516)</f>
        <v>0.95319411674451604</v>
      </c>
      <c r="Q232" s="24">
        <f ca="1">IFERROR(__xludf.DUMMYFUNCTION("""COMPUTED_VALUE"""),0.99830107726588)</f>
        <v>0.99830107726588002</v>
      </c>
      <c r="R232" s="23">
        <f ca="1">IFERROR(__xludf.DUMMYFUNCTION("""COMPUTED_VALUE"""),0.706798791143683)</f>
        <v>0.70679879114368305</v>
      </c>
      <c r="S232" s="23">
        <f ca="1">IFERROR(__xludf.DUMMYFUNCTION("""COMPUTED_VALUE"""),0.485748080594838)</f>
        <v>0.48574808059483798</v>
      </c>
      <c r="T232" s="23">
        <f ca="1">IFERROR(__xludf.DUMMYFUNCTION("""COMPUTED_VALUE"""),0.767900998589488)</f>
        <v>0.76790099858948802</v>
      </c>
      <c r="U232" s="23">
        <f ca="1">IFERROR(__xludf.DUMMYFUNCTION("""COMPUTED_VALUE"""),-0.105402147391886)</f>
        <v>-0.105402147391886</v>
      </c>
      <c r="V232" s="23"/>
      <c r="W232" s="23">
        <f ca="1">IFERROR(__xludf.DUMMYFUNCTION("""COMPUTED_VALUE"""),-0.739977798815436)</f>
        <v>-0.73997779881543602</v>
      </c>
      <c r="X232" s="23"/>
      <c r="Y232" s="23">
        <f ca="1">IFERROR(__xludf.DUMMYFUNCTION("""COMPUTED_VALUE"""),0.599680346315368)</f>
        <v>0.59968034631536804</v>
      </c>
      <c r="Z232" s="23">
        <f ca="1">IFERROR(__xludf.DUMMYFUNCTION("""COMPUTED_VALUE"""),1.21575664657936)</f>
        <v>1.2157566465793599</v>
      </c>
      <c r="AA232" s="23"/>
      <c r="AB232" s="23">
        <f ca="1">IFERROR(__xludf.DUMMYFUNCTION("""COMPUTED_VALUE"""),0.701213771694606)</f>
        <v>0.70121377169460597</v>
      </c>
      <c r="AC232" s="22"/>
      <c r="AD232" s="23"/>
      <c r="AE232" s="23"/>
      <c r="AF232" s="22"/>
      <c r="AG232" s="22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</row>
    <row r="233" spans="1:45" ht="27.75" customHeight="1" x14ac:dyDescent="0.4">
      <c r="A233" s="15" t="s">
        <v>27</v>
      </c>
      <c r="B233" s="15" t="s">
        <v>120</v>
      </c>
      <c r="C233" s="15" t="str">
        <f ca="1">IFERROR(__xludf.DUMMYFUNCTION("""COMPUTED_VALUE"""),"2022/09/30 (金)
平日夜間")</f>
        <v>2022/09/30 (金)
平日夜間</v>
      </c>
      <c r="D233" s="15" t="str">
        <f ca="1">IFERROR(__xludf.DUMMYFUNCTION("""COMPUTED_VALUE"""),"平日夜間")</f>
        <v>平日夜間</v>
      </c>
      <c r="E233" s="16">
        <f ca="1">IFERROR(__xludf.DUMMYFUNCTION("""COMPUTED_VALUE"""),2.42912463933059)</f>
        <v>2.4291246393305901</v>
      </c>
      <c r="F233" s="15" t="s">
        <v>2</v>
      </c>
      <c r="G233" s="39">
        <v>2</v>
      </c>
      <c r="H233" s="40" t="s">
        <v>2</v>
      </c>
      <c r="I233" s="27"/>
      <c r="J233" s="27" t="s">
        <v>144</v>
      </c>
      <c r="K233" s="23" t="b">
        <f ca="1">IFERROR(__xludf.DUMMYFUNCTION("""COMPUTED_VALUE"""),TRUE)</f>
        <v>1</v>
      </c>
      <c r="L233" s="22">
        <f ca="1">IFERROR(__xludf.DUMMYFUNCTION("""COMPUTED_VALUE"""),-0.610171625091991)</f>
        <v>-0.61017162509199097</v>
      </c>
      <c r="M233" s="23">
        <f ca="1">IFERROR(__xludf.DUMMYFUNCTION("""COMPUTED_VALUE"""),0.435680580019076)</f>
        <v>0.435680580019076</v>
      </c>
      <c r="N233" s="23">
        <f ca="1">IFERROR(__xludf.DUMMYFUNCTION("""COMPUTED_VALUE"""),2.42912463933059)</f>
        <v>2.4291246393305901</v>
      </c>
      <c r="O233" s="23">
        <f ca="1">IFERROR(__xludf.DUMMYFUNCTION("""COMPUTED_VALUE"""),-0.94944361450832)</f>
        <v>-0.94944361450832004</v>
      </c>
      <c r="P233" s="23">
        <f ca="1">IFERROR(__xludf.DUMMYFUNCTION("""COMPUTED_VALUE"""),-0.610171625091991)</f>
        <v>-0.61017162509199097</v>
      </c>
      <c r="Q233" s="24">
        <f ca="1">IFERROR(__xludf.DUMMYFUNCTION("""COMPUTED_VALUE"""),0.825641178304119)</f>
        <v>0.82564117830411898</v>
      </c>
      <c r="R233" s="23">
        <f ca="1">IFERROR(__xludf.DUMMYFUNCTION("""COMPUTED_VALUE"""),0.429492451259623)</f>
        <v>0.42949245125962299</v>
      </c>
      <c r="S233" s="23">
        <f ca="1">IFERROR(__xludf.DUMMYFUNCTION("""COMPUTED_VALUE"""),0.285724056964089)</f>
        <v>0.28572405696408898</v>
      </c>
      <c r="T233" s="23">
        <f ca="1">IFERROR(__xludf.DUMMYFUNCTION("""COMPUTED_VALUE"""),1.37481676170818)</f>
        <v>1.3748167617081799</v>
      </c>
      <c r="U233" s="23">
        <f ca="1">IFERROR(__xludf.DUMMYFUNCTION("""COMPUTED_VALUE"""),-0.980476559172657)</f>
        <v>-0.98047655917265697</v>
      </c>
      <c r="V233" s="23"/>
      <c r="W233" s="23">
        <f ca="1">IFERROR(__xludf.DUMMYFUNCTION("""COMPUTED_VALUE"""),0.0887444858238541)</f>
        <v>8.8744485823854094E-2</v>
      </c>
      <c r="X233" s="23">
        <f ca="1">IFERROR(__xludf.DUMMYFUNCTION("""COMPUTED_VALUE"""),-0.610171625091991)</f>
        <v>-0.61017162509199097</v>
      </c>
      <c r="Y233" s="23">
        <f ca="1">IFERROR(__xludf.DUMMYFUNCTION("""COMPUTED_VALUE"""),0.40560437454885)</f>
        <v>0.40560437454885001</v>
      </c>
      <c r="Z233" s="23">
        <f ca="1">IFERROR(__xludf.DUMMYFUNCTION("""COMPUTED_VALUE"""),-0.775106312070253)</f>
        <v>-0.77510631207025305</v>
      </c>
      <c r="AA233" s="23"/>
      <c r="AB233" s="23">
        <f ca="1">IFERROR(__xludf.DUMMYFUNCTION("""COMPUTED_VALUE"""),0.0903421573371889)</f>
        <v>9.0342157337188894E-2</v>
      </c>
      <c r="AC233" s="22"/>
      <c r="AD233" s="23"/>
      <c r="AE233" s="23"/>
      <c r="AF233" s="22"/>
      <c r="AG233" s="22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</row>
    <row r="234" spans="1:45" ht="27.75" customHeight="1" x14ac:dyDescent="0.35">
      <c r="A234" s="15" t="s">
        <v>27</v>
      </c>
      <c r="B234" s="15" t="s">
        <v>145</v>
      </c>
      <c r="C234" s="15" t="str">
        <f ca="1">IFERROR(__xludf.DUMMYFUNCTION("""COMPUTED_VALUE"""),"2022/10/01 (土)
休日午前")</f>
        <v>2022/10/01 (土)
休日午前</v>
      </c>
      <c r="D234" s="15" t="str">
        <f ca="1">IFERROR(__xludf.DUMMYFUNCTION("""COMPUTED_VALUE"""),"休日午前")</f>
        <v>休日午前</v>
      </c>
      <c r="E234" s="16">
        <f ca="1">IFERROR(__xludf.DUMMYFUNCTION("""COMPUTED_VALUE"""),2.63007258691803)</f>
        <v>2.6300725869180299</v>
      </c>
      <c r="F234" s="15" t="s">
        <v>8</v>
      </c>
      <c r="G234" s="39">
        <v>1</v>
      </c>
      <c r="H234" s="27" t="s">
        <v>11</v>
      </c>
      <c r="I234" s="27"/>
      <c r="J234" s="27" t="s">
        <v>146</v>
      </c>
      <c r="K234" s="23" t="b">
        <f ca="1">IFERROR(__xludf.DUMMYFUNCTION("""COMPUTED_VALUE"""),FALSE)</f>
        <v>0</v>
      </c>
      <c r="L234" s="22"/>
      <c r="M234" s="23">
        <f ca="1">IFERROR(__xludf.DUMMYFUNCTION("""COMPUTED_VALUE"""),-0.412621527352602)</f>
        <v>-0.41262152735260199</v>
      </c>
      <c r="N234" s="23">
        <f ca="1">IFERROR(__xludf.DUMMYFUNCTION("""COMPUTED_VALUE"""),-0.522675697516064)</f>
        <v>-0.52267569751606402</v>
      </c>
      <c r="O234" s="23"/>
      <c r="P234" s="23"/>
      <c r="Q234" s="24">
        <f ca="1">IFERROR(__xludf.DUMMYFUNCTION("""COMPUTED_VALUE"""),0.164527479972245)</f>
        <v>0.16452747997224501</v>
      </c>
      <c r="R234" s="23">
        <f ca="1">IFERROR(__xludf.DUMMYFUNCTION("""COMPUTED_VALUE"""),0.999527523170735)</f>
        <v>0.99952752317073501</v>
      </c>
      <c r="S234" s="23">
        <f ca="1">IFERROR(__xludf.DUMMYFUNCTION("""COMPUTED_VALUE"""),2.63007258691803)</f>
        <v>2.6300725869180299</v>
      </c>
      <c r="T234" s="23">
        <f ca="1">IFERROR(__xludf.DUMMYFUNCTION("""COMPUTED_VALUE"""),1.07718555998578)</f>
        <v>1.07718555998578</v>
      </c>
      <c r="U234" s="23">
        <f ca="1">IFERROR(__xludf.DUMMYFUNCTION("""COMPUTED_VALUE"""),-0.499188926816947)</f>
        <v>-0.49918892681694699</v>
      </c>
      <c r="V234" s="23">
        <f ca="1">IFERROR(__xludf.DUMMYFUNCTION("""COMPUTED_VALUE"""),-0.162300884216218)</f>
        <v>-0.16230088421621799</v>
      </c>
      <c r="W234" s="23">
        <f ca="1">IFERROR(__xludf.DUMMYFUNCTION("""COMPUTED_VALUE"""),-0.278662602580602)</f>
        <v>-0.27866260258060199</v>
      </c>
      <c r="X234" s="23"/>
      <c r="Y234" s="23">
        <f ca="1">IFERROR(__xludf.DUMMYFUNCTION("""COMPUTED_VALUE"""),-0.496150300059042)</f>
        <v>-0.49615030005904198</v>
      </c>
      <c r="Z234" s="23">
        <f ca="1">IFERROR(__xludf.DUMMYFUNCTION("""COMPUTED_VALUE"""),0.305260562823934)</f>
        <v>0.30526056282393399</v>
      </c>
      <c r="AA234" s="23">
        <f ca="1">IFERROR(__xludf.DUMMYFUNCTION("""COMPUTED_VALUE"""),-0.385581314924137)</f>
        <v>-0.385581314924137</v>
      </c>
      <c r="AB234" s="23">
        <f ca="1">IFERROR(__xludf.DUMMYFUNCTION("""COMPUTED_VALUE"""),0.642073391165979)</f>
        <v>0.64207339116597895</v>
      </c>
      <c r="AC234" s="22">
        <f ca="1">IFERROR(__xludf.DUMMYFUNCTION("""COMPUTED_VALUE"""),-0.917206891579044)</f>
        <v>-0.917206891579044</v>
      </c>
      <c r="AD234" s="23"/>
      <c r="AE234" s="23"/>
      <c r="AF234" s="22"/>
      <c r="AG234" s="22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</row>
    <row r="235" spans="1:45" ht="27.75" customHeight="1" x14ac:dyDescent="0.4">
      <c r="A235" s="15" t="s">
        <v>27</v>
      </c>
      <c r="B235" s="15" t="s">
        <v>145</v>
      </c>
      <c r="C235" s="15" t="str">
        <f ca="1">IFERROR(__xludf.DUMMYFUNCTION("""COMPUTED_VALUE"""),"2022/10/01 (土)
休日午後")</f>
        <v>2022/10/01 (土)
休日午後</v>
      </c>
      <c r="D235" s="15" t="str">
        <f ca="1">IFERROR(__xludf.DUMMYFUNCTION("""COMPUTED_VALUE"""),"休日午後")</f>
        <v>休日午後</v>
      </c>
      <c r="E235" s="16">
        <f ca="1">IFERROR(__xludf.DUMMYFUNCTION("""COMPUTED_VALUE"""),0.950179667097181)</f>
        <v>0.95017966709718105</v>
      </c>
      <c r="F235" s="15" t="s">
        <v>16</v>
      </c>
      <c r="G235" s="39">
        <v>-1</v>
      </c>
      <c r="H235" s="29" t="s">
        <v>8</v>
      </c>
      <c r="I235" s="27"/>
      <c r="J235" s="27" t="s">
        <v>146</v>
      </c>
      <c r="K235" s="23" t="b">
        <f ca="1">IFERROR(__xludf.DUMMYFUNCTION("""COMPUTED_VALUE"""),TRUE)</f>
        <v>1</v>
      </c>
      <c r="L235" s="22"/>
      <c r="M235" s="23">
        <f ca="1">IFERROR(__xludf.DUMMYFUNCTION("""COMPUTED_VALUE"""),-0.947081437651713)</f>
        <v>-0.94708143765171304</v>
      </c>
      <c r="N235" s="23">
        <f ca="1">IFERROR(__xludf.DUMMYFUNCTION("""COMPUTED_VALUE"""),-0.410677084326675)</f>
        <v>-0.41067708432667499</v>
      </c>
      <c r="O235" s="23"/>
      <c r="P235" s="23"/>
      <c r="Q235" s="24">
        <f ca="1">IFERROR(__xludf.DUMMYFUNCTION("""COMPUTED_VALUE"""),0.950179667097181)</f>
        <v>0.95017966709718105</v>
      </c>
      <c r="R235" s="23">
        <f ca="1">IFERROR(__xludf.DUMMYFUNCTION("""COMPUTED_VALUE"""),-0.152257725041757)</f>
        <v>-0.152257725041757</v>
      </c>
      <c r="S235" s="23">
        <f ca="1">IFERROR(__xludf.DUMMYFUNCTION("""COMPUTED_VALUE"""),-0.892274229977909)</f>
        <v>-0.89227422997790895</v>
      </c>
      <c r="T235" s="23">
        <f ca="1">IFERROR(__xludf.DUMMYFUNCTION("""COMPUTED_VALUE"""),0.578253570856154)</f>
        <v>0.57825357085615403</v>
      </c>
      <c r="U235" s="23">
        <f ca="1">IFERROR(__xludf.DUMMYFUNCTION("""COMPUTED_VALUE"""),-0.0152185899985102)</f>
        <v>-1.5218589998510199E-2</v>
      </c>
      <c r="V235" s="23">
        <f ca="1">IFERROR(__xludf.DUMMYFUNCTION("""COMPUTED_VALUE"""),-0.725457475624331)</f>
        <v>-0.72545747562433105</v>
      </c>
      <c r="W235" s="23">
        <f ca="1">IFERROR(__xludf.DUMMYFUNCTION("""COMPUTED_VALUE"""),-0.492313784714546)</f>
        <v>-0.49231378471454601</v>
      </c>
      <c r="X235" s="23"/>
      <c r="Y235" s="23">
        <f ca="1">IFERROR(__xludf.DUMMYFUNCTION("""COMPUTED_VALUE"""),-0.745252777421105)</f>
        <v>-0.74525277742110496</v>
      </c>
      <c r="Z235" s="23">
        <f ca="1">IFERROR(__xludf.DUMMYFUNCTION("""COMPUTED_VALUE"""),0.0776939234215761)</f>
        <v>7.7693923421576105E-2</v>
      </c>
      <c r="AA235" s="23">
        <f ca="1">IFERROR(__xludf.DUMMYFUNCTION("""COMPUTED_VALUE"""),-0.223434990523569)</f>
        <v>-0.22343499052356899</v>
      </c>
      <c r="AB235" s="23">
        <f ca="1">IFERROR(__xludf.DUMMYFUNCTION("""COMPUTED_VALUE"""),0.423526878682827)</f>
        <v>0.42352687868282701</v>
      </c>
      <c r="AC235" s="22">
        <f ca="1">IFERROR(__xludf.DUMMYFUNCTION("""COMPUTED_VALUE"""),-0.978002305568264)</f>
        <v>-0.97800230556826395</v>
      </c>
      <c r="AD235" s="23"/>
      <c r="AE235" s="23"/>
      <c r="AF235" s="22"/>
      <c r="AG235" s="22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</row>
    <row r="236" spans="1:45" ht="27.75" customHeight="1" x14ac:dyDescent="0.35">
      <c r="A236" s="15" t="s">
        <v>27</v>
      </c>
      <c r="B236" s="15" t="s">
        <v>145</v>
      </c>
      <c r="C236" s="15" t="str">
        <f ca="1">IFERROR(__xludf.DUMMYFUNCTION("""COMPUTED_VALUE"""),"2022/10/02 (日)
休日午前")</f>
        <v>2022/10/02 (日)
休日午前</v>
      </c>
      <c r="D236" s="15" t="str">
        <f ca="1">IFERROR(__xludf.DUMMYFUNCTION("""COMPUTED_VALUE"""),"休日午前")</f>
        <v>休日午前</v>
      </c>
      <c r="E236" s="16">
        <f ca="1">IFERROR(__xludf.DUMMYFUNCTION("""COMPUTED_VALUE"""),1.7206156550383)</f>
        <v>1.7206156550383001</v>
      </c>
      <c r="F236" s="15" t="s">
        <v>11</v>
      </c>
      <c r="G236" s="39">
        <v>0</v>
      </c>
      <c r="H236" s="27" t="s">
        <v>10</v>
      </c>
      <c r="I236" s="27"/>
      <c r="J236" s="27" t="s">
        <v>147</v>
      </c>
      <c r="K236" s="23" t="b">
        <f ca="1">IFERROR(__xludf.DUMMYFUNCTION("""COMPUTED_VALUE"""),FALSE)</f>
        <v>0</v>
      </c>
      <c r="L236" s="22"/>
      <c r="M236" s="23">
        <f ca="1">IFERROR(__xludf.DUMMYFUNCTION("""COMPUTED_VALUE"""),-0.321857546324181)</f>
        <v>-0.32185754632418101</v>
      </c>
      <c r="N236" s="23">
        <f ca="1">IFERROR(__xludf.DUMMYFUNCTION("""COMPUTED_VALUE"""),-0.384862846887873)</f>
        <v>-0.38486284688787298</v>
      </c>
      <c r="O236" s="23"/>
      <c r="P236" s="23"/>
      <c r="Q236" s="24">
        <f ca="1">IFERROR(__xludf.DUMMYFUNCTION("""COMPUTED_VALUE"""),0.327457373475817)</f>
        <v>0.32745737347581699</v>
      </c>
      <c r="R236" s="23">
        <f ca="1">IFERROR(__xludf.DUMMYFUNCTION("""COMPUTED_VALUE"""),-0.69839448676295)</f>
        <v>-0.69839448676295002</v>
      </c>
      <c r="S236" s="23">
        <f ca="1">IFERROR(__xludf.DUMMYFUNCTION("""COMPUTED_VALUE"""),-0.561867261788054)</f>
        <v>-0.56186726178805402</v>
      </c>
      <c r="T236" s="23">
        <f ca="1">IFERROR(__xludf.DUMMYFUNCTION("""COMPUTED_VALUE"""),1.7206156550383)</f>
        <v>1.7206156550383001</v>
      </c>
      <c r="U236" s="23">
        <f ca="1">IFERROR(__xludf.DUMMYFUNCTION("""COMPUTED_VALUE"""),-0.960477416313344)</f>
        <v>-0.96047741631334405</v>
      </c>
      <c r="V236" s="23">
        <f ca="1">IFERROR(__xludf.DUMMYFUNCTION("""COMPUTED_VALUE"""),-0.714448231674882)</f>
        <v>-0.71444823167488203</v>
      </c>
      <c r="W236" s="23">
        <f ca="1">IFERROR(__xludf.DUMMYFUNCTION("""COMPUTED_VALUE"""),0.0586161866654959)</f>
        <v>5.8616186665495902E-2</v>
      </c>
      <c r="X236" s="23"/>
      <c r="Y236" s="23">
        <f ca="1">IFERROR(__xludf.DUMMYFUNCTION("""COMPUTED_VALUE"""),0.833907971482011)</f>
        <v>0.83390797148201101</v>
      </c>
      <c r="Z236" s="23">
        <f ca="1">IFERROR(__xludf.DUMMYFUNCTION("""COMPUTED_VALUE"""),0.278023613112175)</f>
        <v>0.27802361311217499</v>
      </c>
      <c r="AA236" s="23">
        <f ca="1">IFERROR(__xludf.DUMMYFUNCTION("""COMPUTED_VALUE"""),-0.371917846002048)</f>
        <v>-0.37191784600204802</v>
      </c>
      <c r="AB236" s="23">
        <f ca="1">IFERROR(__xludf.DUMMYFUNCTION("""COMPUTED_VALUE"""),-0.567574304292539)</f>
        <v>-0.56757430429253897</v>
      </c>
      <c r="AC236" s="22">
        <f ca="1">IFERROR(__xludf.DUMMYFUNCTION("""COMPUTED_VALUE"""),-0.19934977758538)</f>
        <v>-0.19934977758538</v>
      </c>
      <c r="AD236" s="23"/>
      <c r="AE236" s="23"/>
      <c r="AF236" s="22"/>
      <c r="AG236" s="22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</row>
    <row r="237" spans="1:45" ht="27.75" customHeight="1" x14ac:dyDescent="0.4">
      <c r="A237" s="15" t="s">
        <v>27</v>
      </c>
      <c r="B237" s="15" t="s">
        <v>145</v>
      </c>
      <c r="C237" s="15" t="str">
        <f ca="1">IFERROR(__xludf.DUMMYFUNCTION("""COMPUTED_VALUE"""),"2022/10/02 (日)
休日午後")</f>
        <v>2022/10/02 (日)
休日午後</v>
      </c>
      <c r="D237" s="15" t="str">
        <f ca="1">IFERROR(__xludf.DUMMYFUNCTION("""COMPUTED_VALUE"""),"休日午後")</f>
        <v>休日午後</v>
      </c>
      <c r="E237" s="16">
        <f ca="1">IFERROR(__xludf.DUMMYFUNCTION("""COMPUTED_VALUE"""),2.85938516645731)</f>
        <v>2.8593851664573098</v>
      </c>
      <c r="F237" s="15" t="s">
        <v>14</v>
      </c>
      <c r="G237" s="39">
        <v>2</v>
      </c>
      <c r="H237" s="29" t="s">
        <v>14</v>
      </c>
      <c r="I237" s="27"/>
      <c r="J237" s="27" t="s">
        <v>147</v>
      </c>
      <c r="K237" s="23" t="b">
        <f ca="1">IFERROR(__xludf.DUMMYFUNCTION("""COMPUTED_VALUE"""),TRUE)</f>
        <v>1</v>
      </c>
      <c r="L237" s="22"/>
      <c r="M237" s="23">
        <f ca="1">IFERROR(__xludf.DUMMYFUNCTION("""COMPUTED_VALUE"""),-0.512711541421454)</f>
        <v>-0.51271154142145403</v>
      </c>
      <c r="N237" s="23">
        <f ca="1">IFERROR(__xludf.DUMMYFUNCTION("""COMPUTED_VALUE"""),-0.602061339429908)</f>
        <v>-0.60206133942990803</v>
      </c>
      <c r="O237" s="23"/>
      <c r="P237" s="23"/>
      <c r="Q237" s="24">
        <f ca="1">IFERROR(__xludf.DUMMYFUNCTION("""COMPUTED_VALUE"""),0.224169325799719)</f>
        <v>0.22416932579971899</v>
      </c>
      <c r="R237" s="23">
        <f ca="1">IFERROR(__xludf.DUMMYFUNCTION("""COMPUTED_VALUE"""),-0.543375387397273)</f>
        <v>-0.54337538739727298</v>
      </c>
      <c r="S237" s="23">
        <f ca="1">IFERROR(__xludf.DUMMYFUNCTION("""COMPUTED_VALUE"""),-0.894044346806821)</f>
        <v>-0.89404434680682099</v>
      </c>
      <c r="T237" s="23">
        <f ca="1">IFERROR(__xludf.DUMMYFUNCTION("""COMPUTED_VALUE"""),0.441497846252331)</f>
        <v>0.44149784625233102</v>
      </c>
      <c r="U237" s="23">
        <f ca="1">IFERROR(__xludf.DUMMYFUNCTION("""COMPUTED_VALUE"""),-0.0185984311504114)</f>
        <v>-1.8598431150411401E-2</v>
      </c>
      <c r="V237" s="23">
        <f ca="1">IFERROR(__xludf.DUMMYFUNCTION("""COMPUTED_VALUE"""),-0.951735614314137)</f>
        <v>-0.951735614314137</v>
      </c>
      <c r="W237" s="23">
        <f ca="1">IFERROR(__xludf.DUMMYFUNCTION("""COMPUTED_VALUE"""),0.236805641284812)</f>
        <v>0.23680564128481199</v>
      </c>
      <c r="X237" s="23"/>
      <c r="Y237" s="23">
        <f ca="1">IFERROR(__xludf.DUMMYFUNCTION("""COMPUTED_VALUE"""),2.85938516645731)</f>
        <v>2.8593851664573098</v>
      </c>
      <c r="Z237" s="23">
        <f ca="1">IFERROR(__xludf.DUMMYFUNCTION("""COMPUTED_VALUE"""),0.815023603111462)</f>
        <v>0.81502360311146205</v>
      </c>
      <c r="AA237" s="23">
        <f ca="1">IFERROR(__xludf.DUMMYFUNCTION("""COMPUTED_VALUE"""),-0.247981232355489)</f>
        <v>-0.247981232355489</v>
      </c>
      <c r="AB237" s="23">
        <f ca="1">IFERROR(__xludf.DUMMYFUNCTION("""COMPUTED_VALUE"""),-0.266671332813767)</f>
        <v>-0.26667133281376698</v>
      </c>
      <c r="AC237" s="22">
        <f ca="1">IFERROR(__xludf.DUMMYFUNCTION("""COMPUTED_VALUE"""),-0.233538025349026)</f>
        <v>-0.23353802534902601</v>
      </c>
      <c r="AD237" s="23"/>
      <c r="AE237" s="23"/>
      <c r="AF237" s="22"/>
      <c r="AG237" s="22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</row>
    <row r="238" spans="1:45" ht="27.75" customHeight="1" x14ac:dyDescent="0.35">
      <c r="A238" s="15" t="s">
        <v>27</v>
      </c>
      <c r="B238" s="15" t="s">
        <v>145</v>
      </c>
      <c r="C238" s="15" t="str">
        <f ca="1">IFERROR(__xludf.DUMMYFUNCTION("""COMPUTED_VALUE"""),"2022/10/03 (月)
平日夜間")</f>
        <v>2022/10/03 (月)
平日夜間</v>
      </c>
      <c r="D238" s="15" t="str">
        <f ca="1">IFERROR(__xludf.DUMMYFUNCTION("""COMPUTED_VALUE"""),"平日夜間")</f>
        <v>平日夜間</v>
      </c>
      <c r="E238" s="16">
        <f ca="1">IFERROR(__xludf.DUMMYFUNCTION("""COMPUTED_VALUE"""),0.96923036515906)</f>
        <v>0.96923036515906003</v>
      </c>
      <c r="F238" s="15" t="s">
        <v>7</v>
      </c>
      <c r="G238" s="39">
        <v>0</v>
      </c>
      <c r="H238" s="27" t="s">
        <v>38</v>
      </c>
      <c r="I238" s="27"/>
      <c r="J238" s="27" t="s">
        <v>124</v>
      </c>
      <c r="K238" s="23" t="b">
        <f ca="1">IFERROR(__xludf.DUMMYFUNCTION("""COMPUTED_VALUE"""),FALSE)</f>
        <v>0</v>
      </c>
      <c r="L238" s="22"/>
      <c r="M238" s="23">
        <f ca="1">IFERROR(__xludf.DUMMYFUNCTION("""COMPUTED_VALUE"""),-0.62440589768296)</f>
        <v>-0.62440589768295995</v>
      </c>
      <c r="N238" s="23">
        <f ca="1">IFERROR(__xludf.DUMMYFUNCTION("""COMPUTED_VALUE"""),-0.654022738236753)</f>
        <v>-0.65402273823675305</v>
      </c>
      <c r="O238" s="23"/>
      <c r="P238" s="23"/>
      <c r="Q238" s="24">
        <f ca="1">IFERROR(__xludf.DUMMYFUNCTION("""COMPUTED_VALUE"""),0.318419841679919)</f>
        <v>0.31841984167991899</v>
      </c>
      <c r="R238" s="23">
        <f ca="1">IFERROR(__xludf.DUMMYFUNCTION("""COMPUTED_VALUE"""),0.822480907367848)</f>
        <v>0.82248090736784796</v>
      </c>
      <c r="S238" s="23">
        <f ca="1">IFERROR(__xludf.DUMMYFUNCTION("""COMPUTED_VALUE"""),0.386367921658638)</f>
        <v>0.38636792165863798</v>
      </c>
      <c r="T238" s="23">
        <f ca="1">IFERROR(__xludf.DUMMYFUNCTION("""COMPUTED_VALUE"""),0.855667242054794)</f>
        <v>0.85566724205479405</v>
      </c>
      <c r="U238" s="23">
        <f ca="1">IFERROR(__xludf.DUMMYFUNCTION("""COMPUTED_VALUE"""),0.559655129165453)</f>
        <v>0.55965512916545301</v>
      </c>
      <c r="V238" s="23">
        <f ca="1">IFERROR(__xludf.DUMMYFUNCTION("""COMPUTED_VALUE"""),-0.297499541852012)</f>
        <v>-0.29749954185201199</v>
      </c>
      <c r="W238" s="23">
        <f ca="1">IFERROR(__xludf.DUMMYFUNCTION("""COMPUTED_VALUE"""),0.0399160653648402)</f>
        <v>3.99160653648402E-2</v>
      </c>
      <c r="X238" s="23"/>
      <c r="Y238" s="23">
        <f ca="1">IFERROR(__xludf.DUMMYFUNCTION("""COMPUTED_VALUE"""),-0.596183606374645)</f>
        <v>-0.59618360637464496</v>
      </c>
      <c r="Z238" s="23">
        <f ca="1">IFERROR(__xludf.DUMMYFUNCTION("""COMPUTED_VALUE"""),0.504838000380394)</f>
        <v>0.50483800038039395</v>
      </c>
      <c r="AA238" s="23">
        <f ca="1">IFERROR(__xludf.DUMMYFUNCTION("""COMPUTED_VALUE"""),0.96923036515906)</f>
        <v>0.96923036515906003</v>
      </c>
      <c r="AB238" s="23">
        <f ca="1">IFERROR(__xludf.DUMMYFUNCTION("""COMPUTED_VALUE"""),0.0833911599209717)</f>
        <v>8.3391159920971694E-2</v>
      </c>
      <c r="AC238" s="22">
        <f ca="1">IFERROR(__xludf.DUMMYFUNCTION("""COMPUTED_VALUE"""),-0.371367733838748)</f>
        <v>-0.37136773383874799</v>
      </c>
      <c r="AD238" s="23"/>
      <c r="AE238" s="23"/>
      <c r="AF238" s="22"/>
      <c r="AG238" s="22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</row>
    <row r="239" spans="1:45" ht="27.75" customHeight="1" x14ac:dyDescent="0.4">
      <c r="A239" s="15" t="s">
        <v>27</v>
      </c>
      <c r="B239" s="15" t="s">
        <v>145</v>
      </c>
      <c r="C239" s="15" t="str">
        <f ca="1">IFERROR(__xludf.DUMMYFUNCTION("""COMPUTED_VALUE"""),"2022/10/04 (火)
平日夜間")</f>
        <v>2022/10/04 (火)
平日夜間</v>
      </c>
      <c r="D239" s="15" t="str">
        <f ca="1">IFERROR(__xludf.DUMMYFUNCTION("""COMPUTED_VALUE"""),"平日夜間")</f>
        <v>平日夜間</v>
      </c>
      <c r="E239" s="16">
        <f ca="1">IFERROR(__xludf.DUMMYFUNCTION("""COMPUTED_VALUE"""),1.55197958062352)</f>
        <v>1.5519795806235199</v>
      </c>
      <c r="F239" s="15" t="s">
        <v>148</v>
      </c>
      <c r="G239" s="39">
        <v>0</v>
      </c>
      <c r="H239" s="29" t="s">
        <v>149</v>
      </c>
      <c r="I239" s="27"/>
      <c r="J239" s="27" t="s">
        <v>150</v>
      </c>
      <c r="K239" s="23" t="b">
        <f ca="1">IFERROR(__xludf.DUMMYFUNCTION("""COMPUTED_VALUE"""),TRUE)</f>
        <v>1</v>
      </c>
      <c r="L239" s="22"/>
      <c r="M239" s="23">
        <f ca="1">IFERROR(__xludf.DUMMYFUNCTION("""COMPUTED_VALUE"""),-0.301792778937426)</f>
        <v>-0.30179277893742601</v>
      </c>
      <c r="N239" s="23">
        <f ca="1">IFERROR(__xludf.DUMMYFUNCTION("""COMPUTED_VALUE"""),-0.0585402491030415)</f>
        <v>-5.8540249103041501E-2</v>
      </c>
      <c r="O239" s="23"/>
      <c r="P239" s="23"/>
      <c r="Q239" s="24">
        <f ca="1">IFERROR(__xludf.DUMMYFUNCTION("""COMPUTED_VALUE"""),-0.17954686520923)</f>
        <v>-0.17954686520922999</v>
      </c>
      <c r="R239" s="23">
        <f ca="1">IFERROR(__xludf.DUMMYFUNCTION("""COMPUTED_VALUE"""),0.386600109084899)</f>
        <v>0.386600109084899</v>
      </c>
      <c r="S239" s="23">
        <f ca="1">IFERROR(__xludf.DUMMYFUNCTION("""COMPUTED_VALUE"""),0.0737702153061032)</f>
        <v>7.3770215306103198E-2</v>
      </c>
      <c r="T239" s="23">
        <f ca="1">IFERROR(__xludf.DUMMYFUNCTION("""COMPUTED_VALUE"""),0.241077493752687)</f>
        <v>0.241077493752687</v>
      </c>
      <c r="U239" s="23">
        <f ca="1">IFERROR(__xludf.DUMMYFUNCTION("""COMPUTED_VALUE"""),0.36268939479783)</f>
        <v>0.36268939479783002</v>
      </c>
      <c r="V239" s="23">
        <f ca="1">IFERROR(__xludf.DUMMYFUNCTION("""COMPUTED_VALUE"""),-0.515888361080232)</f>
        <v>-0.51588836108023195</v>
      </c>
      <c r="W239" s="23">
        <f ca="1">IFERROR(__xludf.DUMMYFUNCTION("""COMPUTED_VALUE"""),0.979978179776437)</f>
        <v>0.97997817977643698</v>
      </c>
      <c r="X239" s="23"/>
      <c r="Y239" s="23">
        <f ca="1">IFERROR(__xludf.DUMMYFUNCTION("""COMPUTED_VALUE"""),0.475537152431061)</f>
        <v>0.47553715243106098</v>
      </c>
      <c r="Z239" s="23">
        <f ca="1">IFERROR(__xludf.DUMMYFUNCTION("""COMPUTED_VALUE"""),-0.469897885725697)</f>
        <v>-0.46989788572569702</v>
      </c>
      <c r="AA239" s="23">
        <f ca="1">IFERROR(__xludf.DUMMYFUNCTION("""COMPUTED_VALUE"""),-0.753116127262032)</f>
        <v>-0.75311612726203203</v>
      </c>
      <c r="AB239" s="23">
        <f ca="1">IFERROR(__xludf.DUMMYFUNCTION("""COMPUTED_VALUE"""),0.536965507818818)</f>
        <v>0.53696550781881802</v>
      </c>
      <c r="AC239" s="22">
        <f ca="1">IFERROR(__xludf.DUMMYFUNCTION("""COMPUTED_VALUE"""),0.288596055109432)</f>
        <v>0.28859605510943198</v>
      </c>
      <c r="AD239" s="23"/>
      <c r="AE239" s="23"/>
      <c r="AF239" s="22"/>
      <c r="AG239" s="22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</row>
    <row r="240" spans="1:45" ht="27.75" customHeight="1" x14ac:dyDescent="0.35">
      <c r="A240" s="15" t="s">
        <v>27</v>
      </c>
      <c r="B240" s="15" t="s">
        <v>145</v>
      </c>
      <c r="C240" s="15" t="str">
        <f ca="1">IFERROR(__xludf.DUMMYFUNCTION("""COMPUTED_VALUE"""),"2022/10/05 (水)
平日夜間")</f>
        <v>2022/10/05 (水)
平日夜間</v>
      </c>
      <c r="D240" s="15" t="str">
        <f ca="1">IFERROR(__xludf.DUMMYFUNCTION("""COMPUTED_VALUE"""),"平日夜間")</f>
        <v>平日夜間</v>
      </c>
      <c r="E240" s="16">
        <f ca="1">IFERROR(__xludf.DUMMYFUNCTION("""COMPUTED_VALUE"""),1.63159368641772)</f>
        <v>1.6315936864177201</v>
      </c>
      <c r="F240" s="15" t="s">
        <v>148</v>
      </c>
      <c r="G240" s="39">
        <v>0</v>
      </c>
      <c r="H240" s="27" t="s">
        <v>17</v>
      </c>
      <c r="I240" s="27"/>
      <c r="J240" s="27" t="s">
        <v>151</v>
      </c>
      <c r="K240" s="23" t="b">
        <f ca="1">IFERROR(__xludf.DUMMYFUNCTION("""COMPUTED_VALUE"""),TRUE)</f>
        <v>1</v>
      </c>
      <c r="L240" s="22"/>
      <c r="M240" s="23">
        <f ca="1">IFERROR(__xludf.DUMMYFUNCTION("""COMPUTED_VALUE"""),-0.800483717800854)</f>
        <v>-0.80048371780085403</v>
      </c>
      <c r="N240" s="23">
        <f ca="1">IFERROR(__xludf.DUMMYFUNCTION("""COMPUTED_VALUE"""),-0.179270090750884)</f>
        <v>-0.17927009075088399</v>
      </c>
      <c r="O240" s="23"/>
      <c r="P240" s="23"/>
      <c r="Q240" s="24">
        <f ca="1">IFERROR(__xludf.DUMMYFUNCTION("""COMPUTED_VALUE"""),0.41449474244805)</f>
        <v>0.41449474244805001</v>
      </c>
      <c r="R240" s="23">
        <f ca="1">IFERROR(__xludf.DUMMYFUNCTION("""COMPUTED_VALUE"""),0.752099089789983)</f>
        <v>0.75209908978998297</v>
      </c>
      <c r="S240" s="23">
        <f ca="1">IFERROR(__xludf.DUMMYFUNCTION("""COMPUTED_VALUE"""),0.242983258444882)</f>
        <v>0.242983258444882</v>
      </c>
      <c r="T240" s="23">
        <f ca="1">IFERROR(__xludf.DUMMYFUNCTION("""COMPUTED_VALUE"""),0.522834466483421)</f>
        <v>0.52283446648342102</v>
      </c>
      <c r="U240" s="23">
        <f ca="1">IFERROR(__xludf.DUMMYFUNCTION("""COMPUTED_VALUE"""),0.562732251164404)</f>
        <v>0.56273225116440395</v>
      </c>
      <c r="V240" s="23">
        <f ca="1">IFERROR(__xludf.DUMMYFUNCTION("""COMPUTED_VALUE"""),-0.607846418224843)</f>
        <v>-0.60784641822484298</v>
      </c>
      <c r="W240" s="23">
        <f ca="1">IFERROR(__xludf.DUMMYFUNCTION("""COMPUTED_VALUE"""),-0.824643986277009)</f>
        <v>-0.82464398627700897</v>
      </c>
      <c r="X240" s="23"/>
      <c r="Y240" s="23">
        <f ca="1">IFERROR(__xludf.DUMMYFUNCTION("""COMPUTED_VALUE"""),-0.322014248325606)</f>
        <v>-0.32201424832560599</v>
      </c>
      <c r="Z240" s="23">
        <f ca="1">IFERROR(__xludf.DUMMYFUNCTION("""COMPUTED_VALUE"""),0.914541235467433)</f>
        <v>0.91454123546743304</v>
      </c>
      <c r="AA240" s="23">
        <f ca="1">IFERROR(__xludf.DUMMYFUNCTION("""COMPUTED_VALUE"""),0.0653892567234566)</f>
        <v>6.5389256723456607E-2</v>
      </c>
      <c r="AB240" s="23">
        <f ca="1">IFERROR(__xludf.DUMMYFUNCTION("""COMPUTED_VALUE"""),0.427363627256341)</f>
        <v>0.42736362725634103</v>
      </c>
      <c r="AC240" s="22">
        <f ca="1">IFERROR(__xludf.DUMMYFUNCTION("""COMPUTED_VALUE"""),0.762819905894927)</f>
        <v>0.76281990589492699</v>
      </c>
      <c r="AD240" s="23"/>
      <c r="AE240" s="23"/>
      <c r="AF240" s="22"/>
      <c r="AG240" s="22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</row>
    <row r="241" spans="1:45" ht="27.75" customHeight="1" x14ac:dyDescent="0.35">
      <c r="A241" s="15" t="s">
        <v>27</v>
      </c>
      <c r="B241" s="15" t="s">
        <v>145</v>
      </c>
      <c r="C241" s="15" t="str">
        <f ca="1">IFERROR(__xludf.DUMMYFUNCTION("""COMPUTED_VALUE"""),"2022/10/06 (木)
平日夜間")</f>
        <v>2022/10/06 (木)
平日夜間</v>
      </c>
      <c r="D241" s="15" t="str">
        <f ca="1">IFERROR(__xludf.DUMMYFUNCTION("""COMPUTED_VALUE"""),"平日夜間")</f>
        <v>平日夜間</v>
      </c>
      <c r="E241" s="16">
        <f ca="1">IFERROR(__xludf.DUMMYFUNCTION("""COMPUTED_VALUE"""),1.34610682185477)</f>
        <v>1.34610682185477</v>
      </c>
      <c r="F241" s="15" t="s">
        <v>148</v>
      </c>
      <c r="G241" s="39">
        <v>0</v>
      </c>
      <c r="H241" s="27" t="s">
        <v>7</v>
      </c>
      <c r="I241" s="27"/>
      <c r="K241" s="23" t="b">
        <f ca="1">IFERROR(__xludf.DUMMYFUNCTION("""COMPUTED_VALUE"""),FALSE)</f>
        <v>0</v>
      </c>
      <c r="L241" s="22"/>
      <c r="M241" s="23">
        <f ca="1">IFERROR(__xludf.DUMMYFUNCTION("""COMPUTED_VALUE"""),-0.613090290393234)</f>
        <v>-0.61309029039323404</v>
      </c>
      <c r="N241" s="23">
        <f ca="1">IFERROR(__xludf.DUMMYFUNCTION("""COMPUTED_VALUE"""),-0.76029907247402)</f>
        <v>-0.76029907247401995</v>
      </c>
      <c r="O241" s="23"/>
      <c r="P241" s="23"/>
      <c r="Q241" s="24">
        <f ca="1">IFERROR(__xludf.DUMMYFUNCTION("""COMPUTED_VALUE"""),0.718926429804303)</f>
        <v>0.71892642980430299</v>
      </c>
      <c r="R241" s="23">
        <f ca="1">IFERROR(__xludf.DUMMYFUNCTION("""COMPUTED_VALUE"""),0.616860419328816)</f>
        <v>0.61686041932881597</v>
      </c>
      <c r="S241" s="23">
        <f ca="1">IFERROR(__xludf.DUMMYFUNCTION("""COMPUTED_VALUE"""),0.798369393086019)</f>
        <v>0.79836939308601895</v>
      </c>
      <c r="T241" s="23">
        <f ca="1">IFERROR(__xludf.DUMMYFUNCTION("""COMPUTED_VALUE"""),0.0392500992805693)</f>
        <v>3.9250099280569301E-2</v>
      </c>
      <c r="U241" s="23">
        <f ca="1">IFERROR(__xludf.DUMMYFUNCTION("""COMPUTED_VALUE"""),-0.438844649380313)</f>
        <v>-0.43884464938031298</v>
      </c>
      <c r="V241" s="23">
        <f ca="1">IFERROR(__xludf.DUMMYFUNCTION("""COMPUTED_VALUE"""),-0.428947382733681)</f>
        <v>-0.42894738273368099</v>
      </c>
      <c r="W241" s="23">
        <f ca="1">IFERROR(__xludf.DUMMYFUNCTION("""COMPUTED_VALUE"""),0.461632922331776)</f>
        <v>0.461632922331776</v>
      </c>
      <c r="X241" s="23"/>
      <c r="Y241" s="23">
        <f ca="1">IFERROR(__xludf.DUMMYFUNCTION("""COMPUTED_VALUE"""),0.499174555714898)</f>
        <v>0.49917455571489799</v>
      </c>
      <c r="Z241" s="23">
        <f ca="1">IFERROR(__xludf.DUMMYFUNCTION("""COMPUTED_VALUE"""),0.210261743734194)</f>
        <v>0.21026174373419401</v>
      </c>
      <c r="AA241" s="23">
        <f ca="1">IFERROR(__xludf.DUMMYFUNCTION("""COMPUTED_VALUE"""),0.387422478118601)</f>
        <v>0.38742247811860098</v>
      </c>
      <c r="AB241" s="23">
        <f ca="1">IFERROR(__xludf.DUMMYFUNCTION("""COMPUTED_VALUE"""),0.144459575840515)</f>
        <v>0.144459575840515</v>
      </c>
      <c r="AC241" s="22">
        <f ca="1">IFERROR(__xludf.DUMMYFUNCTION("""COMPUTED_VALUE"""),-0.497216696793817)</f>
        <v>-0.49721669679381703</v>
      </c>
      <c r="AD241" s="23"/>
      <c r="AE241" s="23"/>
      <c r="AF241" s="22"/>
      <c r="AG241" s="22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</row>
    <row r="242" spans="1:45" ht="27.75" customHeight="1" x14ac:dyDescent="0.4">
      <c r="A242" s="15" t="s">
        <v>27</v>
      </c>
      <c r="B242" s="15" t="s">
        <v>145</v>
      </c>
      <c r="C242" s="15" t="str">
        <f ca="1">IFERROR(__xludf.DUMMYFUNCTION("""COMPUTED_VALUE"""),"2022/10/07 (金)
平日夜間")</f>
        <v>2022/10/07 (金)
平日夜間</v>
      </c>
      <c r="D242" s="15" t="str">
        <f ca="1">IFERROR(__xludf.DUMMYFUNCTION("""COMPUTED_VALUE"""),"平日夜間")</f>
        <v>平日夜間</v>
      </c>
      <c r="E242" s="16">
        <f ca="1">IFERROR(__xludf.DUMMYFUNCTION("""COMPUTED_VALUE"""),2.28833076638055)</f>
        <v>2.2883307663805499</v>
      </c>
      <c r="F242" s="15" t="s">
        <v>11</v>
      </c>
      <c r="G242" s="39">
        <v>2</v>
      </c>
      <c r="H242" s="29" t="s">
        <v>11</v>
      </c>
      <c r="I242" s="27"/>
      <c r="J242" s="27" t="s">
        <v>152</v>
      </c>
      <c r="K242" s="23" t="b">
        <f ca="1">IFERROR(__xludf.DUMMYFUNCTION("""COMPUTED_VALUE"""),TRUE)</f>
        <v>1</v>
      </c>
      <c r="L242" s="22"/>
      <c r="M242" s="23">
        <f ca="1">IFERROR(__xludf.DUMMYFUNCTION("""COMPUTED_VALUE"""),-0.227626492433833)</f>
        <v>-0.22762649243383301</v>
      </c>
      <c r="N242" s="23">
        <f ca="1">IFERROR(__xludf.DUMMYFUNCTION("""COMPUTED_VALUE"""),-0.888734346608995)</f>
        <v>-0.88873434660899497</v>
      </c>
      <c r="O242" s="23"/>
      <c r="P242" s="23"/>
      <c r="Q242" s="24">
        <f ca="1">IFERROR(__xludf.DUMMYFUNCTION("""COMPUTED_VALUE"""),0.727968145299571)</f>
        <v>0.72796814529957099</v>
      </c>
      <c r="R242" s="23">
        <f ca="1">IFERROR(__xludf.DUMMYFUNCTION("""COMPUTED_VALUE"""),-0.892605033650266)</f>
        <v>-0.892605033650266</v>
      </c>
      <c r="S242" s="23">
        <f ca="1">IFERROR(__xludf.DUMMYFUNCTION("""COMPUTED_VALUE"""),0.428235962967729)</f>
        <v>0.42823596296772898</v>
      </c>
      <c r="T242" s="23">
        <f ca="1">IFERROR(__xludf.DUMMYFUNCTION("""COMPUTED_VALUE"""),2.28833076638055)</f>
        <v>2.2883307663805499</v>
      </c>
      <c r="U242" s="23">
        <f ca="1">IFERROR(__xludf.DUMMYFUNCTION("""COMPUTED_VALUE"""),-0.179222607187281)</f>
        <v>-0.179222607187281</v>
      </c>
      <c r="V242" s="23">
        <f ca="1">IFERROR(__xludf.DUMMYFUNCTION("""COMPUTED_VALUE"""),-0.560746249673284)</f>
        <v>-0.56074624967328401</v>
      </c>
      <c r="W242" s="23">
        <f ca="1">IFERROR(__xludf.DUMMYFUNCTION("""COMPUTED_VALUE"""),0.718566766580596)</f>
        <v>0.71856676658059604</v>
      </c>
      <c r="X242" s="23"/>
      <c r="Y242" s="23">
        <f ca="1">IFERROR(__xludf.DUMMYFUNCTION("""COMPUTED_VALUE"""),0.0553328825403462)</f>
        <v>5.5332882540346198E-2</v>
      </c>
      <c r="Z242" s="23">
        <f ca="1">IFERROR(__xludf.DUMMYFUNCTION("""COMPUTED_VALUE"""),0.136730431019298)</f>
        <v>0.13673043101929799</v>
      </c>
      <c r="AA242" s="23">
        <f ca="1">IFERROR(__xludf.DUMMYFUNCTION("""COMPUTED_VALUE"""),-0.0517451160928041)</f>
        <v>-5.1745116092804098E-2</v>
      </c>
      <c r="AB242" s="23">
        <f ca="1">IFERROR(__xludf.DUMMYFUNCTION("""COMPUTED_VALUE"""),0.324172271124883)</f>
        <v>0.324172271124883</v>
      </c>
      <c r="AC242" s="22">
        <f ca="1">IFERROR(__xludf.DUMMYFUNCTION("""COMPUTED_VALUE"""),-0.366880669297697)</f>
        <v>-0.36688066929769703</v>
      </c>
      <c r="AD242" s="23"/>
      <c r="AE242" s="23"/>
      <c r="AF242" s="22"/>
      <c r="AG242" s="22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</row>
    <row r="243" spans="1:45" ht="27.75" customHeight="1" x14ac:dyDescent="0.35">
      <c r="A243" s="15" t="s">
        <v>27</v>
      </c>
      <c r="B243" s="15" t="s">
        <v>145</v>
      </c>
      <c r="C243" s="15" t="str">
        <f ca="1">IFERROR(__xludf.DUMMYFUNCTION("""COMPUTED_VALUE"""),"2022/10/08 (土)
休日午前")</f>
        <v>2022/10/08 (土)
休日午前</v>
      </c>
      <c r="D243" s="15" t="str">
        <f ca="1">IFERROR(__xludf.DUMMYFUNCTION("""COMPUTED_VALUE"""),"休日午前")</f>
        <v>休日午前</v>
      </c>
      <c r="E243" s="16">
        <f ca="1">IFERROR(__xludf.DUMMYFUNCTION("""COMPUTED_VALUE"""),0.948198669085586)</f>
        <v>0.94819866908558603</v>
      </c>
      <c r="F243" s="15" t="s">
        <v>16</v>
      </c>
      <c r="G243" s="39">
        <v>0</v>
      </c>
      <c r="H243" s="27" t="s">
        <v>1</v>
      </c>
      <c r="I243" s="27"/>
      <c r="J243" s="27" t="s">
        <v>153</v>
      </c>
      <c r="K243" s="23" t="b">
        <f ca="1">IFERROR(__xludf.DUMMYFUNCTION("""COMPUTED_VALUE"""),TRUE)</f>
        <v>1</v>
      </c>
      <c r="L243" s="22"/>
      <c r="M243" s="23">
        <f ca="1">IFERROR(__xludf.DUMMYFUNCTION("""COMPUTED_VALUE"""),-0.0676324031788833)</f>
        <v>-6.7632403178883305E-2</v>
      </c>
      <c r="N243" s="23">
        <f ca="1">IFERROR(__xludf.DUMMYFUNCTION("""COMPUTED_VALUE"""),-0.878390164101466)</f>
        <v>-0.87839016410146598</v>
      </c>
      <c r="O243" s="23"/>
      <c r="P243" s="23"/>
      <c r="Q243" s="24">
        <f ca="1">IFERROR(__xludf.DUMMYFUNCTION("""COMPUTED_VALUE"""),0.948198669085586)</f>
        <v>0.94819866908558603</v>
      </c>
      <c r="R243" s="23">
        <f ca="1">IFERROR(__xludf.DUMMYFUNCTION("""COMPUTED_VALUE"""),-0.841697850230823)</f>
        <v>-0.841697850230823</v>
      </c>
      <c r="S243" s="23">
        <f ca="1">IFERROR(__xludf.DUMMYFUNCTION("""COMPUTED_VALUE"""),-0.306872360085093)</f>
        <v>-0.306872360085093</v>
      </c>
      <c r="T243" s="23">
        <f ca="1">IFERROR(__xludf.DUMMYFUNCTION("""COMPUTED_VALUE"""),-0.692959540861316)</f>
        <v>-0.69295954086131595</v>
      </c>
      <c r="U243" s="23">
        <f ca="1">IFERROR(__xludf.DUMMYFUNCTION("""COMPUTED_VALUE"""),-0.636491655969877)</f>
        <v>-0.636491655969877</v>
      </c>
      <c r="V243" s="23">
        <f ca="1">IFERROR(__xludf.DUMMYFUNCTION("""COMPUTED_VALUE"""),-0.0863734429559512)</f>
        <v>-8.6373442955951202E-2</v>
      </c>
      <c r="W243" s="23">
        <f ca="1">IFERROR(__xludf.DUMMYFUNCTION("""COMPUTED_VALUE"""),0.198685043962624)</f>
        <v>0.19868504396262399</v>
      </c>
      <c r="X243" s="23"/>
      <c r="Y243" s="23">
        <f ca="1">IFERROR(__xludf.DUMMYFUNCTION("""COMPUTED_VALUE"""),0.94054597669318)</f>
        <v>0.94054597669317996</v>
      </c>
      <c r="Z243" s="23">
        <f ca="1">IFERROR(__xludf.DUMMYFUNCTION("""COMPUTED_VALUE"""),-0.408665477438623)</f>
        <v>-0.40866547743862303</v>
      </c>
      <c r="AA243" s="23">
        <f ca="1">IFERROR(__xludf.DUMMYFUNCTION("""COMPUTED_VALUE"""),-0.106330936232568)</f>
        <v>-0.10633093623256799</v>
      </c>
      <c r="AB243" s="23">
        <f ca="1">IFERROR(__xludf.DUMMYFUNCTION("""COMPUTED_VALUE"""),0.245029721754279)</f>
        <v>0.24502972175427901</v>
      </c>
      <c r="AC243" s="22">
        <f ca="1">IFERROR(__xludf.DUMMYFUNCTION("""COMPUTED_VALUE"""),-0.425615585567855)</f>
        <v>-0.425615585567855</v>
      </c>
      <c r="AD243" s="23"/>
      <c r="AE243" s="23"/>
      <c r="AF243" s="22"/>
      <c r="AG243" s="22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</row>
    <row r="244" spans="1:45" ht="27.75" customHeight="1" x14ac:dyDescent="0.4">
      <c r="A244" s="15" t="s">
        <v>27</v>
      </c>
      <c r="B244" s="15" t="s">
        <v>145</v>
      </c>
      <c r="C244" s="15" t="str">
        <f ca="1">IFERROR(__xludf.DUMMYFUNCTION("""COMPUTED_VALUE"""),"2022/10/08 (土)
休日午後")</f>
        <v>2022/10/08 (土)
休日午後</v>
      </c>
      <c r="D244" s="15" t="str">
        <f ca="1">IFERROR(__xludf.DUMMYFUNCTION("""COMPUTED_VALUE"""),"休日午後")</f>
        <v>休日午後</v>
      </c>
      <c r="E244" s="16">
        <f ca="1">IFERROR(__xludf.DUMMYFUNCTION("""COMPUTED_VALUE"""),2.17795081154149)</f>
        <v>2.1779508115414901</v>
      </c>
      <c r="F244" s="15" t="s">
        <v>10</v>
      </c>
      <c r="G244" s="39"/>
      <c r="H244" s="29" t="s">
        <v>12</v>
      </c>
      <c r="I244" s="27"/>
      <c r="J244" s="27" t="s">
        <v>153</v>
      </c>
      <c r="K244" s="23" t="b">
        <f ca="1">IFERROR(__xludf.DUMMYFUNCTION("""COMPUTED_VALUE"""),TRUE)</f>
        <v>1</v>
      </c>
      <c r="L244" s="22"/>
      <c r="M244" s="23">
        <f ca="1">IFERROR(__xludf.DUMMYFUNCTION("""COMPUTED_VALUE"""),-0.792955265342085)</f>
        <v>-0.79295526534208505</v>
      </c>
      <c r="N244" s="23">
        <f ca="1">IFERROR(__xludf.DUMMYFUNCTION("""COMPUTED_VALUE"""),-0.0561000169375787)</f>
        <v>-5.6100016937578698E-2</v>
      </c>
      <c r="O244" s="23"/>
      <c r="P244" s="23"/>
      <c r="Q244" s="24">
        <f ca="1">IFERROR(__xludf.DUMMYFUNCTION("""COMPUTED_VALUE"""),0.0514484968928594)</f>
        <v>5.1448496892859401E-2</v>
      </c>
      <c r="R244" s="23">
        <f ca="1">IFERROR(__xludf.DUMMYFUNCTION("""COMPUTED_VALUE"""),-0.981729600889549)</f>
        <v>-0.98172960088954897</v>
      </c>
      <c r="S244" s="23">
        <f ca="1">IFERROR(__xludf.DUMMYFUNCTION("""COMPUTED_VALUE"""),-0.497769193603148)</f>
        <v>-0.49776919360314797</v>
      </c>
      <c r="T244" s="23">
        <f ca="1">IFERROR(__xludf.DUMMYFUNCTION("""COMPUTED_VALUE"""),-0.79200205837442)</f>
        <v>-0.79200205837441995</v>
      </c>
      <c r="U244" s="23">
        <f ca="1">IFERROR(__xludf.DUMMYFUNCTION("""COMPUTED_VALUE"""),-0.232617104709969)</f>
        <v>-0.23261710470996899</v>
      </c>
      <c r="V244" s="23">
        <f ca="1">IFERROR(__xludf.DUMMYFUNCTION("""COMPUTED_VALUE"""),-0.999071884119765)</f>
        <v>-0.999071884119765</v>
      </c>
      <c r="W244" s="23">
        <f ca="1">IFERROR(__xludf.DUMMYFUNCTION("""COMPUTED_VALUE"""),-0.463709229419914)</f>
        <v>-0.46370922941991399</v>
      </c>
      <c r="X244" s="23"/>
      <c r="Y244" s="23">
        <f ca="1">IFERROR(__xludf.DUMMYFUNCTION("""COMPUTED_VALUE"""),0.176972606982817)</f>
        <v>0.176972606982817</v>
      </c>
      <c r="Z244" s="23">
        <f ca="1">IFERROR(__xludf.DUMMYFUNCTION("""COMPUTED_VALUE"""),2.17795081154149)</f>
        <v>2.1779508115414901</v>
      </c>
      <c r="AA244" s="23">
        <f ca="1">IFERROR(__xludf.DUMMYFUNCTION("""COMPUTED_VALUE"""),-0.0119372704247311)</f>
        <v>-1.1937270424731101E-2</v>
      </c>
      <c r="AB244" s="23">
        <f ca="1">IFERROR(__xludf.DUMMYFUNCTION("""COMPUTED_VALUE"""),0.358791615638003)</f>
        <v>0.35879161563800299</v>
      </c>
      <c r="AC244" s="22">
        <f ca="1">IFERROR(__xludf.DUMMYFUNCTION("""COMPUTED_VALUE"""),-0.814884171593631)</f>
        <v>-0.81488417159363102</v>
      </c>
      <c r="AD244" s="23"/>
      <c r="AE244" s="23"/>
      <c r="AF244" s="22"/>
      <c r="AG244" s="22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</row>
    <row r="245" spans="1:45" ht="27.75" customHeight="1" x14ac:dyDescent="0.35">
      <c r="A245" s="15" t="s">
        <v>27</v>
      </c>
      <c r="B245" s="15" t="s">
        <v>145</v>
      </c>
      <c r="C245" s="15" t="str">
        <f ca="1">IFERROR(__xludf.DUMMYFUNCTION("""COMPUTED_VALUE"""),"2022/10/09 (日)
休日午前")</f>
        <v>2022/10/09 (日)
休日午前</v>
      </c>
      <c r="D245" s="15" t="str">
        <f ca="1">IFERROR(__xludf.DUMMYFUNCTION("""COMPUTED_VALUE"""),"休日午前")</f>
        <v>休日午前</v>
      </c>
      <c r="E245" s="16">
        <f ca="1">IFERROR(__xludf.DUMMYFUNCTION("""COMPUTED_VALUE"""),2.31273271590192)</f>
        <v>2.31273271590192</v>
      </c>
      <c r="F245" s="15" t="s">
        <v>38</v>
      </c>
      <c r="G245" s="39">
        <v>2</v>
      </c>
      <c r="H245" s="27" t="s">
        <v>38</v>
      </c>
      <c r="I245" s="27"/>
      <c r="J245" s="27" t="s">
        <v>154</v>
      </c>
      <c r="K245" s="23" t="b">
        <f ca="1">IFERROR(__xludf.DUMMYFUNCTION("""COMPUTED_VALUE"""),TRUE)</f>
        <v>1</v>
      </c>
      <c r="L245" s="22"/>
      <c r="M245" s="23">
        <f ca="1">IFERROR(__xludf.DUMMYFUNCTION("""COMPUTED_VALUE"""),-0.954116009146397)</f>
        <v>-0.95411600914639705</v>
      </c>
      <c r="N245" s="23">
        <f ca="1">IFERROR(__xludf.DUMMYFUNCTION("""COMPUTED_VALUE"""),-0.315293639064958)</f>
        <v>-0.315293639064958</v>
      </c>
      <c r="O245" s="23"/>
      <c r="P245" s="23"/>
      <c r="Q245" s="24">
        <f ca="1">IFERROR(__xludf.DUMMYFUNCTION("""COMPUTED_VALUE"""),-0.343094784890013)</f>
        <v>-0.34309478489001299</v>
      </c>
      <c r="R245" s="23">
        <f ca="1">IFERROR(__xludf.DUMMYFUNCTION("""COMPUTED_VALUE"""),-0.204593431341046)</f>
        <v>-0.20459343134104599</v>
      </c>
      <c r="S245" s="23">
        <f ca="1">IFERROR(__xludf.DUMMYFUNCTION("""COMPUTED_VALUE"""),-0.207656028116675)</f>
        <v>-0.207656028116675</v>
      </c>
      <c r="T245" s="23">
        <f ca="1">IFERROR(__xludf.DUMMYFUNCTION("""COMPUTED_VALUE"""),1.59496520642085)</f>
        <v>1.5949652064208499</v>
      </c>
      <c r="U245" s="23">
        <f ca="1">IFERROR(__xludf.DUMMYFUNCTION("""COMPUTED_VALUE"""),-0.622798445667528)</f>
        <v>-0.62279844566752796</v>
      </c>
      <c r="V245" s="23">
        <f ca="1">IFERROR(__xludf.DUMMYFUNCTION("""COMPUTED_VALUE"""),-0.302191810922014)</f>
        <v>-0.30219181092201403</v>
      </c>
      <c r="W245" s="23">
        <f ca="1">IFERROR(__xludf.DUMMYFUNCTION("""COMPUTED_VALUE"""),-0.551164175642231)</f>
        <v>-0.55116417564223097</v>
      </c>
      <c r="X245" s="23"/>
      <c r="Y245" s="23">
        <f ca="1">IFERROR(__xludf.DUMMYFUNCTION("""COMPUTED_VALUE"""),-0.863200545986419)</f>
        <v>-0.86320054598641904</v>
      </c>
      <c r="Z245" s="23">
        <f ca="1">IFERROR(__xludf.DUMMYFUNCTION("""COMPUTED_VALUE"""),0.075559575911243)</f>
        <v>7.5559575911243002E-2</v>
      </c>
      <c r="AA245" s="23">
        <f ca="1">IFERROR(__xludf.DUMMYFUNCTION("""COMPUTED_VALUE"""),-0.579096024873223)</f>
        <v>-0.57909602487322298</v>
      </c>
      <c r="AB245" s="23">
        <f ca="1">IFERROR(__xludf.DUMMYFUNCTION("""COMPUTED_VALUE"""),-0.715525129022509)</f>
        <v>-0.71552512902250898</v>
      </c>
      <c r="AC245" s="22">
        <f ca="1">IFERROR(__xludf.DUMMYFUNCTION("""COMPUTED_VALUE"""),-0.0917813382543373)</f>
        <v>-9.1781338254337305E-2</v>
      </c>
      <c r="AD245" s="23"/>
      <c r="AE245" s="23"/>
      <c r="AF245" s="22"/>
      <c r="AG245" s="22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</row>
    <row r="246" spans="1:45" ht="27.75" customHeight="1" x14ac:dyDescent="0.35">
      <c r="A246" s="15" t="s">
        <v>27</v>
      </c>
      <c r="B246" s="15" t="s">
        <v>145</v>
      </c>
      <c r="C246" s="15" t="str">
        <f ca="1">IFERROR(__xludf.DUMMYFUNCTION("""COMPUTED_VALUE"""),"2022/10/09 (日)
休日午後")</f>
        <v>2022/10/09 (日)
休日午後</v>
      </c>
      <c r="D246" s="15" t="str">
        <f ca="1">IFERROR(__xludf.DUMMYFUNCTION("""COMPUTED_VALUE"""),"休日午後")</f>
        <v>休日午後</v>
      </c>
      <c r="E246" s="16">
        <f ca="1">IFERROR(__xludf.DUMMYFUNCTION("""COMPUTED_VALUE"""),0.984913259504504)</f>
        <v>0.98491325950450404</v>
      </c>
      <c r="F246" s="15" t="s">
        <v>126</v>
      </c>
      <c r="G246" s="39"/>
      <c r="H246" s="27" t="s">
        <v>5</v>
      </c>
      <c r="I246" s="27"/>
      <c r="J246" s="27" t="s">
        <v>154</v>
      </c>
      <c r="K246" s="23" t="b">
        <f ca="1">IFERROR(__xludf.DUMMYFUNCTION("""COMPUTED_VALUE"""),TRUE)</f>
        <v>1</v>
      </c>
      <c r="L246" s="22"/>
      <c r="M246" s="23">
        <f ca="1">IFERROR(__xludf.DUMMYFUNCTION("""COMPUTED_VALUE"""),-0.156298528768949)</f>
        <v>-0.15629852876894901</v>
      </c>
      <c r="N246" s="23">
        <f ca="1">IFERROR(__xludf.DUMMYFUNCTION("""COMPUTED_VALUE"""),-0.750488236059645)</f>
        <v>-0.75048823605964499</v>
      </c>
      <c r="O246" s="23"/>
      <c r="P246" s="23"/>
      <c r="Q246" s="24">
        <f ca="1">IFERROR(__xludf.DUMMYFUNCTION("""COMPUTED_VALUE"""),-0.155093134710508)</f>
        <v>-0.15509313471050801</v>
      </c>
      <c r="R246" s="23">
        <f ca="1">IFERROR(__xludf.DUMMYFUNCTION("""COMPUTED_VALUE"""),-0.0732774575894106)</f>
        <v>-7.3277457589410594E-2</v>
      </c>
      <c r="S246" s="23">
        <f ca="1">IFERROR(__xludf.DUMMYFUNCTION("""COMPUTED_VALUE"""),-0.691791055426035)</f>
        <v>-0.69179105542603503</v>
      </c>
      <c r="T246" s="23">
        <f ca="1">IFERROR(__xludf.DUMMYFUNCTION("""COMPUTED_VALUE"""),0.693767680281645)</f>
        <v>0.69376768028164504</v>
      </c>
      <c r="U246" s="23">
        <f ca="1">IFERROR(__xludf.DUMMYFUNCTION("""COMPUTED_VALUE"""),-0.544188402441814)</f>
        <v>-0.54418840244181399</v>
      </c>
      <c r="V246" s="23">
        <f ca="1">IFERROR(__xludf.DUMMYFUNCTION("""COMPUTED_VALUE"""),-0.842524217995888)</f>
        <v>-0.84252421799588795</v>
      </c>
      <c r="W246" s="23">
        <f ca="1">IFERROR(__xludf.DUMMYFUNCTION("""COMPUTED_VALUE"""),-0.867705720268006)</f>
        <v>-0.86770572026800596</v>
      </c>
      <c r="X246" s="23"/>
      <c r="Y246" s="23">
        <f ca="1">IFERROR(__xludf.DUMMYFUNCTION("""COMPUTED_VALUE"""),-0.826542242348472)</f>
        <v>-0.82654224234847196</v>
      </c>
      <c r="Z246" s="23">
        <f ca="1">IFERROR(__xludf.DUMMYFUNCTION("""COMPUTED_VALUE"""),0.748825848762649)</f>
        <v>0.74882584876264902</v>
      </c>
      <c r="AA246" s="23">
        <f ca="1">IFERROR(__xludf.DUMMYFUNCTION("""COMPUTED_VALUE"""),-0.526625403147296)</f>
        <v>-0.526625403147296</v>
      </c>
      <c r="AB246" s="23">
        <f ca="1">IFERROR(__xludf.DUMMYFUNCTION("""COMPUTED_VALUE"""),-0.686653225104385)</f>
        <v>-0.68665322510438498</v>
      </c>
      <c r="AC246" s="22">
        <f ca="1">IFERROR(__xludf.DUMMYFUNCTION("""COMPUTED_VALUE"""),-0.913806340681852)</f>
        <v>-0.91380634068185196</v>
      </c>
      <c r="AD246" s="23"/>
      <c r="AE246" s="23"/>
      <c r="AF246" s="22"/>
      <c r="AG246" s="22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</row>
    <row r="247" spans="1:45" ht="27.75" customHeight="1" x14ac:dyDescent="0.35">
      <c r="A247" s="15" t="s">
        <v>27</v>
      </c>
      <c r="B247" s="15" t="s">
        <v>145</v>
      </c>
      <c r="C247" s="15" t="str">
        <f ca="1">IFERROR(__xludf.DUMMYFUNCTION("""COMPUTED_VALUE"""),"2022/10/10 (月)
休日午前")</f>
        <v>2022/10/10 (月)
休日午前</v>
      </c>
      <c r="D247" s="15" t="str">
        <f ca="1">IFERROR(__xludf.DUMMYFUNCTION("""COMPUTED_VALUE"""),"休日午前")</f>
        <v>休日午前</v>
      </c>
      <c r="E247" s="16">
        <f ca="1">IFERROR(__xludf.DUMMYFUNCTION("""COMPUTED_VALUE"""),2.57016904640244)</f>
        <v>2.57016904640244</v>
      </c>
      <c r="F247" s="15" t="s">
        <v>38</v>
      </c>
      <c r="G247" s="39">
        <v>0</v>
      </c>
      <c r="H247" s="27" t="s">
        <v>8</v>
      </c>
      <c r="I247" s="27"/>
      <c r="J247" s="27" t="s">
        <v>155</v>
      </c>
      <c r="K247" s="23" t="b">
        <f ca="1">IFERROR(__xludf.DUMMYFUNCTION("""COMPUTED_VALUE"""),FALSE)</f>
        <v>0</v>
      </c>
      <c r="L247" s="22"/>
      <c r="M247" s="23">
        <f ca="1">IFERROR(__xludf.DUMMYFUNCTION("""COMPUTED_VALUE"""),-0.247772799422333)</f>
        <v>-0.24777279942233299</v>
      </c>
      <c r="N247" s="23">
        <f ca="1">IFERROR(__xludf.DUMMYFUNCTION("""COMPUTED_VALUE"""),-0.397122497207334)</f>
        <v>-0.397122497207334</v>
      </c>
      <c r="O247" s="23"/>
      <c r="P247" s="23"/>
      <c r="Q247" s="24">
        <f ca="1">IFERROR(__xludf.DUMMYFUNCTION("""COMPUTED_VALUE"""),0.0190762823971704)</f>
        <v>1.9076282397170401E-2</v>
      </c>
      <c r="R247" s="23">
        <f ca="1">IFERROR(__xludf.DUMMYFUNCTION("""COMPUTED_VALUE"""),0.128468635610622)</f>
        <v>0.128468635610622</v>
      </c>
      <c r="S247" s="23">
        <f ca="1">IFERROR(__xludf.DUMMYFUNCTION("""COMPUTED_VALUE"""),0.503605248809904)</f>
        <v>0.50360524880990398</v>
      </c>
      <c r="T247" s="23">
        <f ca="1">IFERROR(__xludf.DUMMYFUNCTION("""COMPUTED_VALUE"""),1.2381819585208)</f>
        <v>1.2381819585208</v>
      </c>
      <c r="U247" s="23">
        <f ca="1">IFERROR(__xludf.DUMMYFUNCTION("""COMPUTED_VALUE"""),-0.698285776602511)</f>
        <v>-0.69828577660251101</v>
      </c>
      <c r="V247" s="23">
        <f ca="1">IFERROR(__xludf.DUMMYFUNCTION("""COMPUTED_VALUE"""),-0.0554128386359016)</f>
        <v>-5.5412838635901601E-2</v>
      </c>
      <c r="W247" s="23">
        <f ca="1">IFERROR(__xludf.DUMMYFUNCTION("""COMPUTED_VALUE"""),0.421066668327979)</f>
        <v>0.42106666832797901</v>
      </c>
      <c r="X247" s="23"/>
      <c r="Y247" s="23">
        <f ca="1">IFERROR(__xludf.DUMMYFUNCTION("""COMPUTED_VALUE"""),-0.387843182389167)</f>
        <v>-0.38784318238916698</v>
      </c>
      <c r="Z247" s="23">
        <f ca="1">IFERROR(__xludf.DUMMYFUNCTION("""COMPUTED_VALUE"""),0.941945715705278)</f>
        <v>0.94194571570527796</v>
      </c>
      <c r="AA247" s="23">
        <f ca="1">IFERROR(__xludf.DUMMYFUNCTION("""COMPUTED_VALUE"""),-0.964113580178289)</f>
        <v>-0.96411358017828896</v>
      </c>
      <c r="AB247" s="23">
        <f ca="1">IFERROR(__xludf.DUMMYFUNCTION("""COMPUTED_VALUE"""),0.371008548009287)</f>
        <v>0.37100854800928701</v>
      </c>
      <c r="AC247" s="22">
        <f ca="1">IFERROR(__xludf.DUMMYFUNCTION("""COMPUTED_VALUE"""),-0.81084313290711)</f>
        <v>-0.81084313290710996</v>
      </c>
      <c r="AD247" s="23"/>
      <c r="AE247" s="23"/>
      <c r="AF247" s="22"/>
      <c r="AG247" s="22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</row>
    <row r="248" spans="1:45" ht="27.75" customHeight="1" x14ac:dyDescent="0.4">
      <c r="A248" s="15" t="s">
        <v>27</v>
      </c>
      <c r="B248" s="15" t="s">
        <v>145</v>
      </c>
      <c r="C248" s="15" t="str">
        <f ca="1">IFERROR(__xludf.DUMMYFUNCTION("""COMPUTED_VALUE"""),"2022/10/10 (月)
休日午後")</f>
        <v>2022/10/10 (月)
休日午後</v>
      </c>
      <c r="D248" s="15" t="str">
        <f ca="1">IFERROR(__xludf.DUMMYFUNCTION("""COMPUTED_VALUE"""),"休日午後")</f>
        <v>休日午後</v>
      </c>
      <c r="E248" s="16">
        <f ca="1">IFERROR(__xludf.DUMMYFUNCTION("""COMPUTED_VALUE"""),2.72716491229751)</f>
        <v>2.7271649122975101</v>
      </c>
      <c r="F248" s="15" t="s">
        <v>16</v>
      </c>
      <c r="G248" s="39">
        <v>2</v>
      </c>
      <c r="H248" s="29" t="s">
        <v>16</v>
      </c>
      <c r="I248" s="27"/>
      <c r="J248" s="27" t="s">
        <v>155</v>
      </c>
      <c r="K248" s="23" t="b">
        <f ca="1">IFERROR(__xludf.DUMMYFUNCTION("""COMPUTED_VALUE"""),TRUE)</f>
        <v>1</v>
      </c>
      <c r="L248" s="22"/>
      <c r="M248" s="23">
        <f ca="1">IFERROR(__xludf.DUMMYFUNCTION("""COMPUTED_VALUE"""),-0.662343233304448)</f>
        <v>-0.662343233304448</v>
      </c>
      <c r="N248" s="23">
        <f ca="1">IFERROR(__xludf.DUMMYFUNCTION("""COMPUTED_VALUE"""),-0.612734344515646)</f>
        <v>-0.61273434451564601</v>
      </c>
      <c r="O248" s="23"/>
      <c r="P248" s="23"/>
      <c r="Q248" s="24">
        <f ca="1">IFERROR(__xludf.DUMMYFUNCTION("""COMPUTED_VALUE"""),2.72716491229751)</f>
        <v>2.7271649122975101</v>
      </c>
      <c r="R248" s="23">
        <f ca="1">IFERROR(__xludf.DUMMYFUNCTION("""COMPUTED_VALUE"""),0.0929754795865356)</f>
        <v>9.2975479586535598E-2</v>
      </c>
      <c r="S248" s="23">
        <f ca="1">IFERROR(__xludf.DUMMYFUNCTION("""COMPUTED_VALUE"""),0.371139236274885)</f>
        <v>0.37113923627488499</v>
      </c>
      <c r="T248" s="23">
        <f ca="1">IFERROR(__xludf.DUMMYFUNCTION("""COMPUTED_VALUE"""),0.607610236357931)</f>
        <v>0.60761023635793099</v>
      </c>
      <c r="U248" s="23">
        <f ca="1">IFERROR(__xludf.DUMMYFUNCTION("""COMPUTED_VALUE"""),-0.64917440700335)</f>
        <v>-0.64917440700335005</v>
      </c>
      <c r="V248" s="23">
        <f ca="1">IFERROR(__xludf.DUMMYFUNCTION("""COMPUTED_VALUE"""),-0.810371886452736)</f>
        <v>-0.81037188645273595</v>
      </c>
      <c r="W248" s="23">
        <f ca="1">IFERROR(__xludf.DUMMYFUNCTION("""COMPUTED_VALUE"""),-0.0586057030993911)</f>
        <v>-5.8605703099391102E-2</v>
      </c>
      <c r="X248" s="23"/>
      <c r="Y248" s="23">
        <f ca="1">IFERROR(__xludf.DUMMYFUNCTION("""COMPUTED_VALUE"""),-0.632195242226096)</f>
        <v>-0.63219524222609602</v>
      </c>
      <c r="Z248" s="23">
        <f ca="1">IFERROR(__xludf.DUMMYFUNCTION("""COMPUTED_VALUE"""),0.46890762010688)</f>
        <v>0.46890762010687997</v>
      </c>
      <c r="AA248" s="23">
        <f ca="1">IFERROR(__xludf.DUMMYFUNCTION("""COMPUTED_VALUE"""),-0.427642478362115)</f>
        <v>-0.427642478362115</v>
      </c>
      <c r="AB248" s="23">
        <f ca="1">IFERROR(__xludf.DUMMYFUNCTION("""COMPUTED_VALUE"""),0.986490958500728)</f>
        <v>0.98649095850072799</v>
      </c>
      <c r="AC248" s="22">
        <f ca="1">IFERROR(__xludf.DUMMYFUNCTION("""COMPUTED_VALUE"""),-0.068792845995911)</f>
        <v>-6.8792845995910998E-2</v>
      </c>
      <c r="AD248" s="23"/>
      <c r="AE248" s="23"/>
      <c r="AF248" s="22"/>
      <c r="AG248" s="22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</row>
    <row r="249" spans="1:45" ht="27.75" customHeight="1" x14ac:dyDescent="0.4">
      <c r="A249" s="15" t="s">
        <v>27</v>
      </c>
      <c r="B249" s="15" t="s">
        <v>145</v>
      </c>
      <c r="C249" s="15" t="str">
        <f ca="1">IFERROR(__xludf.DUMMYFUNCTION("""COMPUTED_VALUE"""),"2022/10/11 (火)
平日夜間")</f>
        <v>2022/10/11 (火)
平日夜間</v>
      </c>
      <c r="D249" s="15" t="str">
        <f ca="1">IFERROR(__xludf.DUMMYFUNCTION("""COMPUTED_VALUE"""),"平日夜間")</f>
        <v>平日夜間</v>
      </c>
      <c r="E249" s="16">
        <f ca="1">IFERROR(__xludf.DUMMYFUNCTION("""COMPUTED_VALUE"""),0.917994111044477)</f>
        <v>0.91799411104447703</v>
      </c>
      <c r="F249" s="15" t="s">
        <v>156</v>
      </c>
      <c r="G249" s="39">
        <v>0</v>
      </c>
      <c r="H249" s="29" t="s">
        <v>6</v>
      </c>
      <c r="I249" s="27"/>
      <c r="J249" s="27" t="s">
        <v>157</v>
      </c>
      <c r="K249" s="23" t="b">
        <f ca="1">IFERROR(__xludf.DUMMYFUNCTION("""COMPUTED_VALUE"""),TRUE)</f>
        <v>1</v>
      </c>
      <c r="L249" s="22"/>
      <c r="M249" s="23">
        <f ca="1">IFERROR(__xludf.DUMMYFUNCTION("""COMPUTED_VALUE"""),-0.778667964841314)</f>
        <v>-0.77866796484131395</v>
      </c>
      <c r="N249" s="23">
        <f ca="1">IFERROR(__xludf.DUMMYFUNCTION("""COMPUTED_VALUE"""),-0.425489972158943)</f>
        <v>-0.42548997215894302</v>
      </c>
      <c r="O249" s="23"/>
      <c r="P249" s="23"/>
      <c r="Q249" s="24">
        <f ca="1">IFERROR(__xludf.DUMMYFUNCTION("""COMPUTED_VALUE"""),-0.264150499064886)</f>
        <v>-0.26415049906488602</v>
      </c>
      <c r="R249" s="23">
        <f ca="1">IFERROR(__xludf.DUMMYFUNCTION("""COMPUTED_VALUE"""),0.312348541265967)</f>
        <v>0.31234854126596701</v>
      </c>
      <c r="S249" s="23">
        <f ca="1">IFERROR(__xludf.DUMMYFUNCTION("""COMPUTED_VALUE"""),0.582617556110096)</f>
        <v>0.58261755611009602</v>
      </c>
      <c r="T249" s="23">
        <f ca="1">IFERROR(__xludf.DUMMYFUNCTION("""COMPUTED_VALUE"""),0.353945850353315)</f>
        <v>0.35394585035331499</v>
      </c>
      <c r="U249" s="23">
        <f ca="1">IFERROR(__xludf.DUMMYFUNCTION("""COMPUTED_VALUE"""),0.0775879654944735)</f>
        <v>7.7587965494473499E-2</v>
      </c>
      <c r="V249" s="23">
        <f ca="1">IFERROR(__xludf.DUMMYFUNCTION("""COMPUTED_VALUE"""),0.638141558517186)</f>
        <v>0.63814155851718601</v>
      </c>
      <c r="W249" s="23">
        <f ca="1">IFERROR(__xludf.DUMMYFUNCTION("""COMPUTED_VALUE"""),0.791361727582298)</f>
        <v>0.79136172758229795</v>
      </c>
      <c r="X249" s="23"/>
      <c r="Y249" s="23">
        <f ca="1">IFERROR(__xludf.DUMMYFUNCTION("""COMPUTED_VALUE"""),0.606561583397273)</f>
        <v>0.60656158339727295</v>
      </c>
      <c r="Z249" s="23">
        <f ca="1">IFERROR(__xludf.DUMMYFUNCTION("""COMPUTED_VALUE"""),-0.587144031841208)</f>
        <v>-0.587144031841208</v>
      </c>
      <c r="AA249" s="23">
        <f ca="1">IFERROR(__xludf.DUMMYFUNCTION("""COMPUTED_VALUE"""),-0.255417210418441)</f>
        <v>-0.25541721041844101</v>
      </c>
      <c r="AB249" s="23">
        <f ca="1">IFERROR(__xludf.DUMMYFUNCTION("""COMPUTED_VALUE"""),0.517973321914653)</f>
        <v>0.51797332191465295</v>
      </c>
      <c r="AC249" s="22">
        <f ca="1">IFERROR(__xludf.DUMMYFUNCTION("""COMPUTED_VALUE"""),0.632056057338571)</f>
        <v>0.63205605733857095</v>
      </c>
      <c r="AD249" s="23"/>
      <c r="AE249" s="23"/>
      <c r="AF249" s="22"/>
      <c r="AG249" s="22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</row>
    <row r="250" spans="1:45" ht="27.75" customHeight="1" x14ac:dyDescent="0.4">
      <c r="A250" s="15" t="s">
        <v>27</v>
      </c>
      <c r="B250" s="15" t="s">
        <v>145</v>
      </c>
      <c r="C250" s="15" t="str">
        <f ca="1">IFERROR(__xludf.DUMMYFUNCTION("""COMPUTED_VALUE"""),"2022/10/12 (水)
平日夜間")</f>
        <v>2022/10/12 (水)
平日夜間</v>
      </c>
      <c r="D250" s="15" t="str">
        <f ca="1">IFERROR(__xludf.DUMMYFUNCTION("""COMPUTED_VALUE"""),"平日夜間")</f>
        <v>平日夜間</v>
      </c>
      <c r="E250" s="16">
        <f ca="1">IFERROR(__xludf.DUMMYFUNCTION("""COMPUTED_VALUE"""),2.50332195376361)</f>
        <v>2.50332195376361</v>
      </c>
      <c r="F250" s="15" t="s">
        <v>10</v>
      </c>
      <c r="G250" s="39">
        <v>2</v>
      </c>
      <c r="H250" s="29" t="s">
        <v>10</v>
      </c>
      <c r="I250" s="27"/>
      <c r="J250" s="27" t="s">
        <v>137</v>
      </c>
      <c r="K250" s="23" t="b">
        <f ca="1">IFERROR(__xludf.DUMMYFUNCTION("""COMPUTED_VALUE"""),TRUE)</f>
        <v>1</v>
      </c>
      <c r="L250" s="22"/>
      <c r="M250" s="23">
        <f ca="1">IFERROR(__xludf.DUMMYFUNCTION("""COMPUTED_VALUE"""),0.972786139611681)</f>
        <v>0.97278613961168103</v>
      </c>
      <c r="N250" s="23">
        <f ca="1">IFERROR(__xludf.DUMMYFUNCTION("""COMPUTED_VALUE"""),-0.356468518936226)</f>
        <v>-0.356468518936226</v>
      </c>
      <c r="O250" s="23"/>
      <c r="P250" s="23"/>
      <c r="Q250" s="24">
        <f ca="1">IFERROR(__xludf.DUMMYFUNCTION("""COMPUTED_VALUE"""),0.637611227804246)</f>
        <v>0.63761122780424595</v>
      </c>
      <c r="R250" s="23">
        <f ca="1">IFERROR(__xludf.DUMMYFUNCTION("""COMPUTED_VALUE"""),0.311169396889108)</f>
        <v>0.311169396889108</v>
      </c>
      <c r="S250" s="23">
        <f ca="1">IFERROR(__xludf.DUMMYFUNCTION("""COMPUTED_VALUE"""),0.474810803152208)</f>
        <v>0.47481080315220803</v>
      </c>
      <c r="T250" s="23">
        <f ca="1">IFERROR(__xludf.DUMMYFUNCTION("""COMPUTED_VALUE"""),0.1229398094164)</f>
        <v>0.12293980941639999</v>
      </c>
      <c r="U250" s="23">
        <f ca="1">IFERROR(__xludf.DUMMYFUNCTION("""COMPUTED_VALUE"""),0.691680905879594)</f>
        <v>0.69168090587959397</v>
      </c>
      <c r="V250" s="23">
        <f ca="1">IFERROR(__xludf.DUMMYFUNCTION("""COMPUTED_VALUE"""),0.480052341333625)</f>
        <v>0.48005234133362501</v>
      </c>
      <c r="W250" s="23">
        <f ca="1">IFERROR(__xludf.DUMMYFUNCTION("""COMPUTED_VALUE"""),-0.538842523281472)</f>
        <v>-0.53884252328147197</v>
      </c>
      <c r="X250" s="23"/>
      <c r="Y250" s="23">
        <f ca="1">IFERROR(__xludf.DUMMYFUNCTION("""COMPUTED_VALUE"""),0.794450647224166)</f>
        <v>0.79445064722416603</v>
      </c>
      <c r="Z250" s="23">
        <f ca="1">IFERROR(__xludf.DUMMYFUNCTION("""COMPUTED_VALUE"""),2.50332195376361)</f>
        <v>2.50332195376361</v>
      </c>
      <c r="AA250" s="23">
        <f ca="1">IFERROR(__xludf.DUMMYFUNCTION("""COMPUTED_VALUE"""),0.855377312227405)</f>
        <v>0.85537731222740498</v>
      </c>
      <c r="AB250" s="23">
        <f ca="1">IFERROR(__xludf.DUMMYFUNCTION("""COMPUTED_VALUE"""),-0.270734577144466)</f>
        <v>-0.27073457714446603</v>
      </c>
      <c r="AC250" s="22">
        <f ca="1">IFERROR(__xludf.DUMMYFUNCTION("""COMPUTED_VALUE"""),1.27325320726629)</f>
        <v>1.2732532072662901</v>
      </c>
      <c r="AD250" s="23"/>
      <c r="AE250" s="23"/>
      <c r="AF250" s="22"/>
      <c r="AG250" s="22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</row>
    <row r="251" spans="1:45" ht="27.75" customHeight="1" x14ac:dyDescent="0.4">
      <c r="A251" s="15" t="s">
        <v>27</v>
      </c>
      <c r="B251" s="15" t="s">
        <v>145</v>
      </c>
      <c r="C251" s="15" t="str">
        <f ca="1">IFERROR(__xludf.DUMMYFUNCTION("""COMPUTED_VALUE"""),"2022/10/13 (木)
平日夜間")</f>
        <v>2022/10/13 (木)
平日夜間</v>
      </c>
      <c r="D251" s="15" t="str">
        <f ca="1">IFERROR(__xludf.DUMMYFUNCTION("""COMPUTED_VALUE"""),"平日夜間")</f>
        <v>平日夜間</v>
      </c>
      <c r="E251" s="16">
        <f ca="1">IFERROR(__xludf.DUMMYFUNCTION("""COMPUTED_VALUE"""),1.92521089147983)</f>
        <v>1.92521089147983</v>
      </c>
      <c r="F251" s="15" t="s">
        <v>156</v>
      </c>
      <c r="G251" s="39">
        <v>0</v>
      </c>
      <c r="H251" s="29" t="s">
        <v>127</v>
      </c>
      <c r="I251" s="27"/>
      <c r="J251" s="27" t="s">
        <v>158</v>
      </c>
      <c r="K251" s="23" t="b">
        <f ca="1">IFERROR(__xludf.DUMMYFUNCTION("""COMPUTED_VALUE"""),TRUE)</f>
        <v>1</v>
      </c>
      <c r="L251" s="22"/>
      <c r="M251" s="23">
        <f ca="1">IFERROR(__xludf.DUMMYFUNCTION("""COMPUTED_VALUE"""),0.524145755712638)</f>
        <v>0.524145755712638</v>
      </c>
      <c r="N251" s="23">
        <f ca="1">IFERROR(__xludf.DUMMYFUNCTION("""COMPUTED_VALUE"""),-0.977656817956359)</f>
        <v>-0.97765681795635895</v>
      </c>
      <c r="O251" s="23"/>
      <c r="P251" s="23"/>
      <c r="Q251" s="24">
        <f ca="1">IFERROR(__xludf.DUMMYFUNCTION("""COMPUTED_VALUE"""),0.115736128286149)</f>
        <v>0.115736128286149</v>
      </c>
      <c r="R251" s="23">
        <f ca="1">IFERROR(__xludf.DUMMYFUNCTION("""COMPUTED_VALUE"""),0.181394002489531)</f>
        <v>0.181394002489531</v>
      </c>
      <c r="S251" s="23">
        <f ca="1">IFERROR(__xludf.DUMMYFUNCTION("""COMPUTED_VALUE"""),0.985624202052289)</f>
        <v>0.98562420205228896</v>
      </c>
      <c r="T251" s="23">
        <f ca="1">IFERROR(__xludf.DUMMYFUNCTION("""COMPUTED_VALUE"""),0.720305322438472)</f>
        <v>0.72030532243847201</v>
      </c>
      <c r="U251" s="23">
        <f ca="1">IFERROR(__xludf.DUMMYFUNCTION("""COMPUTED_VALUE"""),-0.740497126877646)</f>
        <v>-0.74049712687764602</v>
      </c>
      <c r="V251" s="23">
        <f ca="1">IFERROR(__xludf.DUMMYFUNCTION("""COMPUTED_VALUE"""),0.851069331355189)</f>
        <v>0.85106933135518903</v>
      </c>
      <c r="W251" s="23">
        <f ca="1">IFERROR(__xludf.DUMMYFUNCTION("""COMPUTED_VALUE"""),0.297057263821298)</f>
        <v>0.29705726382129799</v>
      </c>
      <c r="X251" s="23"/>
      <c r="Y251" s="23">
        <f ca="1">IFERROR(__xludf.DUMMYFUNCTION("""COMPUTED_VALUE"""),0.295440329019262)</f>
        <v>0.29544032901926198</v>
      </c>
      <c r="Z251" s="23">
        <f ca="1">IFERROR(__xludf.DUMMYFUNCTION("""COMPUTED_VALUE"""),0.500498105439935)</f>
        <v>0.500498105439935</v>
      </c>
      <c r="AA251" s="23">
        <f ca="1">IFERROR(__xludf.DUMMYFUNCTION("""COMPUTED_VALUE"""),0.88216597107277)</f>
        <v>0.88216597107276995</v>
      </c>
      <c r="AB251" s="23">
        <f ca="1">IFERROR(__xludf.DUMMYFUNCTION("""COMPUTED_VALUE"""),0.152315508965307)</f>
        <v>0.15231550896530699</v>
      </c>
      <c r="AC251" s="22">
        <f ca="1">IFERROR(__xludf.DUMMYFUNCTION("""COMPUTED_VALUE"""),1.39715999437923)</f>
        <v>1.3971599943792301</v>
      </c>
      <c r="AD251" s="23"/>
      <c r="AE251" s="23"/>
      <c r="AF251" s="22"/>
      <c r="AG251" s="22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</row>
    <row r="252" spans="1:45" ht="27.75" customHeight="1" x14ac:dyDescent="0.4">
      <c r="A252" s="15" t="s">
        <v>27</v>
      </c>
      <c r="B252" s="15" t="s">
        <v>145</v>
      </c>
      <c r="C252" s="15" t="str">
        <f ca="1">IFERROR(__xludf.DUMMYFUNCTION("""COMPUTED_VALUE"""),"2022/10/14 (金)
平日夜間")</f>
        <v>2022/10/14 (金)
平日夜間</v>
      </c>
      <c r="D252" s="15" t="str">
        <f ca="1">IFERROR(__xludf.DUMMYFUNCTION("""COMPUTED_VALUE"""),"平日夜間")</f>
        <v>平日夜間</v>
      </c>
      <c r="E252" s="16">
        <f ca="1">IFERROR(__xludf.DUMMYFUNCTION("""COMPUTED_VALUE"""),2.91879486148247)</f>
        <v>2.9187948614824699</v>
      </c>
      <c r="F252" s="15" t="s">
        <v>125</v>
      </c>
      <c r="G252" s="39">
        <v>2</v>
      </c>
      <c r="H252" s="29" t="s">
        <v>125</v>
      </c>
      <c r="I252" s="27"/>
      <c r="J252" s="27" t="s">
        <v>159</v>
      </c>
      <c r="K252" s="23" t="b">
        <f ca="1">IFERROR(__xludf.DUMMYFUNCTION("""COMPUTED_VALUE"""),TRUE)</f>
        <v>1</v>
      </c>
      <c r="L252" s="22"/>
      <c r="M252" s="23">
        <f ca="1">IFERROR(__xludf.DUMMYFUNCTION("""COMPUTED_VALUE"""),-0.664187530606623)</f>
        <v>-0.66418753060662294</v>
      </c>
      <c r="N252" s="23">
        <f ca="1">IFERROR(__xludf.DUMMYFUNCTION("""COMPUTED_VALUE"""),-0.0275952397316319)</f>
        <v>-2.7595239731631901E-2</v>
      </c>
      <c r="O252" s="23"/>
      <c r="P252" s="23"/>
      <c r="Q252" s="24">
        <f ca="1">IFERROR(__xludf.DUMMYFUNCTION("""COMPUTED_VALUE"""),0.111221866165189)</f>
        <v>0.111221866165189</v>
      </c>
      <c r="R252" s="23">
        <f ca="1">IFERROR(__xludf.DUMMYFUNCTION("""COMPUTED_VALUE"""),-0.196831622926113)</f>
        <v>-0.196831622926113</v>
      </c>
      <c r="S252" s="23">
        <f ca="1">IFERROR(__xludf.DUMMYFUNCTION("""COMPUTED_VALUE"""),0.43399476016731)</f>
        <v>0.43399476016730998</v>
      </c>
      <c r="T252" s="23">
        <f ca="1">IFERROR(__xludf.DUMMYFUNCTION("""COMPUTED_VALUE"""),1.72265566880142)</f>
        <v>1.7226556688014201</v>
      </c>
      <c r="U252" s="23">
        <f ca="1">IFERROR(__xludf.DUMMYFUNCTION("""COMPUTED_VALUE"""),-0.0652050840690661)</f>
        <v>-6.5205084069066097E-2</v>
      </c>
      <c r="V252" s="23">
        <f ca="1">IFERROR(__xludf.DUMMYFUNCTION("""COMPUTED_VALUE"""),0.223821473524532)</f>
        <v>0.22382147352453199</v>
      </c>
      <c r="W252" s="23">
        <f ca="1">IFERROR(__xludf.DUMMYFUNCTION("""COMPUTED_VALUE"""),0.955904460838851)</f>
        <v>0.95590446083885094</v>
      </c>
      <c r="X252" s="23"/>
      <c r="Y252" s="23">
        <f ca="1">IFERROR(__xludf.DUMMYFUNCTION("""COMPUTED_VALUE"""),-0.408484567107433)</f>
        <v>-0.40848456710743303</v>
      </c>
      <c r="Z252" s="23">
        <f ca="1">IFERROR(__xludf.DUMMYFUNCTION("""COMPUTED_VALUE"""),-0.534669701055554)</f>
        <v>-0.534669701055554</v>
      </c>
      <c r="AA252" s="23">
        <f ca="1">IFERROR(__xludf.DUMMYFUNCTION("""COMPUTED_VALUE"""),-0.147592797364449)</f>
        <v>-0.147592797364449</v>
      </c>
      <c r="AB252" s="23">
        <f ca="1">IFERROR(__xludf.DUMMYFUNCTION("""COMPUTED_VALUE"""),0.0622791739857342)</f>
        <v>6.2279173985734203E-2</v>
      </c>
      <c r="AC252" s="22">
        <f ca="1">IFERROR(__xludf.DUMMYFUNCTION("""COMPUTED_VALUE"""),0.33121483986501)</f>
        <v>0.33121483986500999</v>
      </c>
      <c r="AD252" s="23"/>
      <c r="AE252" s="23"/>
      <c r="AF252" s="22"/>
      <c r="AG252" s="22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</row>
    <row r="253" spans="1:45" ht="27.75" customHeight="1" x14ac:dyDescent="0.35">
      <c r="A253" s="15" t="s">
        <v>27</v>
      </c>
      <c r="B253" s="15" t="s">
        <v>145</v>
      </c>
      <c r="C253" s="15" t="str">
        <f ca="1">IFERROR(__xludf.DUMMYFUNCTION("""COMPUTED_VALUE"""),"2022/10/15 (土)
休日午前")</f>
        <v>2022/10/15 (土)
休日午前</v>
      </c>
      <c r="D253" s="15" t="str">
        <f ca="1">IFERROR(__xludf.DUMMYFUNCTION("""COMPUTED_VALUE"""),"休日午前")</f>
        <v>休日午前</v>
      </c>
      <c r="E253" s="16">
        <f ca="1">IFERROR(__xludf.DUMMYFUNCTION("""COMPUTED_VALUE"""),1.02624094773933)</f>
        <v>1.0262409477393299</v>
      </c>
      <c r="F253" s="15" t="s">
        <v>11</v>
      </c>
      <c r="G253" s="39">
        <v>0</v>
      </c>
      <c r="H253" s="27" t="s">
        <v>156</v>
      </c>
      <c r="I253" s="27"/>
      <c r="J253" s="27" t="s">
        <v>160</v>
      </c>
      <c r="K253" s="23" t="b">
        <f ca="1">IFERROR(__xludf.DUMMYFUNCTION("""COMPUTED_VALUE"""),FALSE)</f>
        <v>0</v>
      </c>
      <c r="L253" s="22"/>
      <c r="M253" s="23">
        <f ca="1">IFERROR(__xludf.DUMMYFUNCTION("""COMPUTED_VALUE"""),-0.0882514441880792)</f>
        <v>-8.8251444188079203E-2</v>
      </c>
      <c r="N253" s="23">
        <f ca="1">IFERROR(__xludf.DUMMYFUNCTION("""COMPUTED_VALUE"""),-0.650824827978389)</f>
        <v>-0.65082482797838903</v>
      </c>
      <c r="O253" s="23"/>
      <c r="P253" s="23"/>
      <c r="Q253" s="24">
        <f ca="1">IFERROR(__xludf.DUMMYFUNCTION("""COMPUTED_VALUE"""),0.988107441541503)</f>
        <v>0.98810744154150298</v>
      </c>
      <c r="R253" s="23">
        <f ca="1">IFERROR(__xludf.DUMMYFUNCTION("""COMPUTED_VALUE"""),-0.107273575161466)</f>
        <v>-0.107273575161466</v>
      </c>
      <c r="S253" s="23">
        <f ca="1">IFERROR(__xludf.DUMMYFUNCTION("""COMPUTED_VALUE"""),-0.575235962884976)</f>
        <v>-0.57523596288497603</v>
      </c>
      <c r="T253" s="23">
        <f ca="1">IFERROR(__xludf.DUMMYFUNCTION("""COMPUTED_VALUE"""),1.02624094773933)</f>
        <v>1.0262409477393299</v>
      </c>
      <c r="U253" s="23">
        <f ca="1">IFERROR(__xludf.DUMMYFUNCTION("""COMPUTED_VALUE"""),-0.303333983071543)</f>
        <v>-0.30333398307154302</v>
      </c>
      <c r="V253" s="23">
        <f ca="1">IFERROR(__xludf.DUMMYFUNCTION("""COMPUTED_VALUE"""),0.690342582838253)</f>
        <v>0.690342582838253</v>
      </c>
      <c r="W253" s="23">
        <f ca="1">IFERROR(__xludf.DUMMYFUNCTION("""COMPUTED_VALUE"""),0.0177576226238427)</f>
        <v>1.77576226238427E-2</v>
      </c>
      <c r="X253" s="23"/>
      <c r="Y253" s="23">
        <f ca="1">IFERROR(__xludf.DUMMYFUNCTION("""COMPUTED_VALUE"""),-0.983386654150536)</f>
        <v>-0.98338665415053605</v>
      </c>
      <c r="Z253" s="23">
        <f ca="1">IFERROR(__xludf.DUMMYFUNCTION("""COMPUTED_VALUE"""),-0.91471733017141)</f>
        <v>-0.91471733017140999</v>
      </c>
      <c r="AA253" s="23">
        <f ca="1">IFERROR(__xludf.DUMMYFUNCTION("""COMPUTED_VALUE"""),0.768211483626877)</f>
        <v>0.76821148362687697</v>
      </c>
      <c r="AB253" s="23">
        <f ca="1">IFERROR(__xludf.DUMMYFUNCTION("""COMPUTED_VALUE"""),0.952637774374381)</f>
        <v>0.95263777437438102</v>
      </c>
      <c r="AC253" s="22">
        <f ca="1">IFERROR(__xludf.DUMMYFUNCTION("""COMPUTED_VALUE"""),0.919792992095018)</f>
        <v>0.91979299209501797</v>
      </c>
      <c r="AD253" s="23"/>
      <c r="AE253" s="23"/>
      <c r="AF253" s="22"/>
      <c r="AG253" s="22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</row>
    <row r="254" spans="1:45" ht="27.75" customHeight="1" x14ac:dyDescent="0.4">
      <c r="A254" s="15" t="s">
        <v>27</v>
      </c>
      <c r="B254" s="15" t="s">
        <v>145</v>
      </c>
      <c r="C254" s="15" t="str">
        <f ca="1">IFERROR(__xludf.DUMMYFUNCTION("""COMPUTED_VALUE"""),"2022/10/15 (土)
休日午後")</f>
        <v>2022/10/15 (土)
休日午後</v>
      </c>
      <c r="D254" s="15" t="str">
        <f ca="1">IFERROR(__xludf.DUMMYFUNCTION("""COMPUTED_VALUE"""),"休日午後")</f>
        <v>休日午後</v>
      </c>
      <c r="E254" s="16">
        <f ca="1">IFERROR(__xludf.DUMMYFUNCTION("""COMPUTED_VALUE"""),0.84391886756194)</f>
        <v>0.84391886756194001</v>
      </c>
      <c r="F254" s="15" t="s">
        <v>126</v>
      </c>
      <c r="G254" s="39">
        <v>0</v>
      </c>
      <c r="H254" s="29" t="s">
        <v>4</v>
      </c>
      <c r="I254" s="27"/>
      <c r="J254" s="27" t="s">
        <v>160</v>
      </c>
      <c r="K254" s="23" t="b">
        <f ca="1">IFERROR(__xludf.DUMMYFUNCTION("""COMPUTED_VALUE"""),TRUE)</f>
        <v>1</v>
      </c>
      <c r="L254" s="22"/>
      <c r="M254" s="23">
        <f ca="1">IFERROR(__xludf.DUMMYFUNCTION("""COMPUTED_VALUE"""),0.0876442989975956)</f>
        <v>8.7644298997595599E-2</v>
      </c>
      <c r="N254" s="23">
        <f ca="1">IFERROR(__xludf.DUMMYFUNCTION("""COMPUTED_VALUE"""),-0.991916937932015)</f>
        <v>-0.99191693793201496</v>
      </c>
      <c r="O254" s="23"/>
      <c r="P254" s="23"/>
      <c r="Q254" s="24">
        <f ca="1">IFERROR(__xludf.DUMMYFUNCTION("""COMPUTED_VALUE"""),0.494250847977781)</f>
        <v>0.49425084797778102</v>
      </c>
      <c r="R254" s="23">
        <f ca="1">IFERROR(__xludf.DUMMYFUNCTION("""COMPUTED_VALUE"""),-0.580873100846962)</f>
        <v>-0.58087310084696198</v>
      </c>
      <c r="S254" s="23">
        <f ca="1">IFERROR(__xludf.DUMMYFUNCTION("""COMPUTED_VALUE"""),-0.944871180814516)</f>
        <v>-0.94487118081451604</v>
      </c>
      <c r="T254" s="23">
        <f ca="1">IFERROR(__xludf.DUMMYFUNCTION("""COMPUTED_VALUE"""),0.41932986167581)</f>
        <v>0.41932986167580999</v>
      </c>
      <c r="U254" s="23">
        <f ca="1">IFERROR(__xludf.DUMMYFUNCTION("""COMPUTED_VALUE"""),-0.95798536024931)</f>
        <v>-0.95798536024931003</v>
      </c>
      <c r="V254" s="23">
        <f ca="1">IFERROR(__xludf.DUMMYFUNCTION("""COMPUTED_VALUE"""),0.727608943217597)</f>
        <v>0.72760894321759695</v>
      </c>
      <c r="W254" s="23">
        <f ca="1">IFERROR(__xludf.DUMMYFUNCTION("""COMPUTED_VALUE"""),-0.314843014181077)</f>
        <v>-0.31484301418107702</v>
      </c>
      <c r="X254" s="23"/>
      <c r="Y254" s="23">
        <f ca="1">IFERROR(__xludf.DUMMYFUNCTION("""COMPUTED_VALUE"""),-0.7784053480292)</f>
        <v>-0.77840534802920003</v>
      </c>
      <c r="Z254" s="23">
        <f ca="1">IFERROR(__xludf.DUMMYFUNCTION("""COMPUTED_VALUE"""),-0.22437397936725)</f>
        <v>-0.22437397936725001</v>
      </c>
      <c r="AA254" s="23">
        <f ca="1">IFERROR(__xludf.DUMMYFUNCTION("""COMPUTED_VALUE"""),0.755816802331317)</f>
        <v>0.75581680233131698</v>
      </c>
      <c r="AB254" s="23">
        <f ca="1">IFERROR(__xludf.DUMMYFUNCTION("""COMPUTED_VALUE"""),0.174196936440715)</f>
        <v>0.17419693644071499</v>
      </c>
      <c r="AC254" s="22">
        <f ca="1">IFERROR(__xludf.DUMMYFUNCTION("""COMPUTED_VALUE"""),0.500341087426866)</f>
        <v>0.500341087426866</v>
      </c>
      <c r="AD254" s="23"/>
      <c r="AE254" s="23"/>
      <c r="AF254" s="22"/>
      <c r="AG254" s="22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</row>
    <row r="255" spans="1:45" ht="27.75" customHeight="1" x14ac:dyDescent="0.35">
      <c r="A255" s="15" t="s">
        <v>27</v>
      </c>
      <c r="B255" s="15" t="s">
        <v>145</v>
      </c>
      <c r="C255" s="15" t="str">
        <f ca="1">IFERROR(__xludf.DUMMYFUNCTION("""COMPUTED_VALUE"""),"2022/10/16 (日)
休日午前")</f>
        <v>2022/10/16 (日)
休日午前</v>
      </c>
      <c r="D255" s="15" t="str">
        <f ca="1">IFERROR(__xludf.DUMMYFUNCTION("""COMPUTED_VALUE"""),"休日午前")</f>
        <v>休日午前</v>
      </c>
      <c r="E255" s="16">
        <f ca="1">IFERROR(__xludf.DUMMYFUNCTION("""COMPUTED_VALUE"""),2.3591834304365)</f>
        <v>2.3591834304365</v>
      </c>
      <c r="F255" s="15" t="s">
        <v>126</v>
      </c>
      <c r="G255" s="39">
        <v>0</v>
      </c>
      <c r="H255" s="27" t="s">
        <v>125</v>
      </c>
      <c r="I255" s="27"/>
      <c r="J255" s="27" t="s">
        <v>161</v>
      </c>
      <c r="K255" s="23" t="b">
        <f ca="1">IFERROR(__xludf.DUMMYFUNCTION("""COMPUTED_VALUE"""),FALSE)</f>
        <v>0</v>
      </c>
      <c r="L255" s="22"/>
      <c r="M255" s="23">
        <f ca="1">IFERROR(__xludf.DUMMYFUNCTION("""COMPUTED_VALUE"""),-0.0675862945111838)</f>
        <v>-6.7586294511183795E-2</v>
      </c>
      <c r="N255" s="23">
        <f ca="1">IFERROR(__xludf.DUMMYFUNCTION("""COMPUTED_VALUE"""),-0.640398379653961)</f>
        <v>-0.64039837965396096</v>
      </c>
      <c r="O255" s="23"/>
      <c r="P255" s="23"/>
      <c r="Q255" s="24">
        <f ca="1">IFERROR(__xludf.DUMMYFUNCTION("""COMPUTED_VALUE"""),0.217576469180049)</f>
        <v>0.217576469180049</v>
      </c>
      <c r="R255" s="23">
        <f ca="1">IFERROR(__xludf.DUMMYFUNCTION("""COMPUTED_VALUE"""),-0.260487771326175)</f>
        <v>-0.26048777132617501</v>
      </c>
      <c r="S255" s="23">
        <f ca="1">IFERROR(__xludf.DUMMYFUNCTION("""COMPUTED_VALUE"""),-0.852332916379891)</f>
        <v>-0.85233291637989095</v>
      </c>
      <c r="T255" s="23">
        <f ca="1">IFERROR(__xludf.DUMMYFUNCTION("""COMPUTED_VALUE"""),1.02909152703834)</f>
        <v>1.0290915270383401</v>
      </c>
      <c r="U255" s="23">
        <f ca="1">IFERROR(__xludf.DUMMYFUNCTION("""COMPUTED_VALUE"""),-0.967474974324206)</f>
        <v>-0.96747497432420604</v>
      </c>
      <c r="V255" s="23">
        <f ca="1">IFERROR(__xludf.DUMMYFUNCTION("""COMPUTED_VALUE"""),0.145231388427829)</f>
        <v>0.14523138842782901</v>
      </c>
      <c r="W255" s="23">
        <f ca="1">IFERROR(__xludf.DUMMYFUNCTION("""COMPUTED_VALUE"""),0.383537982478511)</f>
        <v>0.38353798247851101</v>
      </c>
      <c r="X255" s="23"/>
      <c r="Y255" s="23">
        <f ca="1">IFERROR(__xludf.DUMMYFUNCTION("""COMPUTED_VALUE"""),-0.68242365973475)</f>
        <v>-0.68242365973475005</v>
      </c>
      <c r="Z255" s="23">
        <f ca="1">IFERROR(__xludf.DUMMYFUNCTION("""COMPUTED_VALUE"""),-0.947117105672684)</f>
        <v>-0.94711710567268403</v>
      </c>
      <c r="AA255" s="23">
        <f ca="1">IFERROR(__xludf.DUMMYFUNCTION("""COMPUTED_VALUE"""),0.49872117977161)</f>
        <v>0.49872117977161001</v>
      </c>
      <c r="AB255" s="23">
        <f ca="1">IFERROR(__xludf.DUMMYFUNCTION("""COMPUTED_VALUE"""),0.362329425162518)</f>
        <v>0.36232942516251798</v>
      </c>
      <c r="AC255" s="22">
        <f ca="1">IFERROR(__xludf.DUMMYFUNCTION("""COMPUTED_VALUE"""),0.556578027597478)</f>
        <v>0.55657802759747799</v>
      </c>
      <c r="AD255" s="23"/>
      <c r="AE255" s="23"/>
      <c r="AF255" s="22"/>
      <c r="AG255" s="22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</row>
    <row r="256" spans="1:45" ht="27.75" customHeight="1" x14ac:dyDescent="0.4">
      <c r="A256" s="15" t="s">
        <v>27</v>
      </c>
      <c r="B256" s="15" t="s">
        <v>145</v>
      </c>
      <c r="C256" s="15" t="str">
        <f ca="1">IFERROR(__xludf.DUMMYFUNCTION("""COMPUTED_VALUE"""),"2022/10/16 (日)
休日午後")</f>
        <v>2022/10/16 (日)
休日午後</v>
      </c>
      <c r="D256" s="15" t="str">
        <f ca="1">IFERROR(__xludf.DUMMYFUNCTION("""COMPUTED_VALUE"""),"休日午後")</f>
        <v>休日午後</v>
      </c>
      <c r="E256" s="16">
        <f ca="1">IFERROR(__xludf.DUMMYFUNCTION("""COMPUTED_VALUE"""),0.909678892153788)</f>
        <v>0.90967889215378805</v>
      </c>
      <c r="F256" s="15" t="s">
        <v>16</v>
      </c>
      <c r="G256" s="39">
        <v>0</v>
      </c>
      <c r="H256" s="29" t="s">
        <v>126</v>
      </c>
      <c r="I256" s="27"/>
      <c r="J256" s="27" t="s">
        <v>161</v>
      </c>
      <c r="K256" s="23" t="b">
        <f ca="1">IFERROR(__xludf.DUMMYFUNCTION("""COMPUTED_VALUE"""),TRUE)</f>
        <v>1</v>
      </c>
      <c r="L256" s="22"/>
      <c r="M256" s="23">
        <f ca="1">IFERROR(__xludf.DUMMYFUNCTION("""COMPUTED_VALUE"""),-0.509211239649913)</f>
        <v>-0.50921123964991299</v>
      </c>
      <c r="N256" s="23">
        <f ca="1">IFERROR(__xludf.DUMMYFUNCTION("""COMPUTED_VALUE"""),-0.933786236251444)</f>
        <v>-0.93378623625144397</v>
      </c>
      <c r="O256" s="23"/>
      <c r="P256" s="23"/>
      <c r="Q256" s="24">
        <f ca="1">IFERROR(__xludf.DUMMYFUNCTION("""COMPUTED_VALUE"""),0.909678892153788)</f>
        <v>0.90967889215378805</v>
      </c>
      <c r="R256" s="23">
        <f ca="1">IFERROR(__xludf.DUMMYFUNCTION("""COMPUTED_VALUE"""),-0.372592274785495)</f>
        <v>-0.372592274785495</v>
      </c>
      <c r="S256" s="23">
        <f ca="1">IFERROR(__xludf.DUMMYFUNCTION("""COMPUTED_VALUE"""),-0.16622328821705)</f>
        <v>-0.16622328821705001</v>
      </c>
      <c r="T256" s="23">
        <f ca="1">IFERROR(__xludf.DUMMYFUNCTION("""COMPUTED_VALUE"""),0.522328485554444)</f>
        <v>0.522328485554444</v>
      </c>
      <c r="U256" s="23">
        <f ca="1">IFERROR(__xludf.DUMMYFUNCTION("""COMPUTED_VALUE"""),-0.232419756206887)</f>
        <v>-0.23241975620688701</v>
      </c>
      <c r="V256" s="23">
        <f ca="1">IFERROR(__xludf.DUMMYFUNCTION("""COMPUTED_VALUE"""),0.672979021039991)</f>
        <v>0.67297902103999097</v>
      </c>
      <c r="W256" s="23">
        <f ca="1">IFERROR(__xludf.DUMMYFUNCTION("""COMPUTED_VALUE"""),-0.545943531461341)</f>
        <v>-0.545943531461341</v>
      </c>
      <c r="X256" s="23"/>
      <c r="Y256" s="23">
        <f ca="1">IFERROR(__xludf.DUMMYFUNCTION("""COMPUTED_VALUE"""),-0.184283408736106)</f>
        <v>-0.18428340873610599</v>
      </c>
      <c r="Z256" s="23">
        <f ca="1">IFERROR(__xludf.DUMMYFUNCTION("""COMPUTED_VALUE"""),-0.250883524886975)</f>
        <v>-0.25088352488697502</v>
      </c>
      <c r="AA256" s="23">
        <f ca="1">IFERROR(__xludf.DUMMYFUNCTION("""COMPUTED_VALUE"""),0.410155634480699)</f>
        <v>0.41015563448069903</v>
      </c>
      <c r="AB256" s="23">
        <f ca="1">IFERROR(__xludf.DUMMYFUNCTION("""COMPUTED_VALUE"""),-0.321692363366103)</f>
        <v>-0.32169236336610302</v>
      </c>
      <c r="AC256" s="22">
        <f ca="1">IFERROR(__xludf.DUMMYFUNCTION("""COMPUTED_VALUE"""),0.675893621247992)</f>
        <v>0.67589362124799202</v>
      </c>
      <c r="AD256" s="23"/>
      <c r="AE256" s="23"/>
      <c r="AF256" s="22"/>
      <c r="AG256" s="22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</row>
    <row r="257" spans="1:45" ht="27.75" customHeight="1" x14ac:dyDescent="0.35">
      <c r="A257" s="15" t="s">
        <v>27</v>
      </c>
      <c r="B257" s="15" t="s">
        <v>145</v>
      </c>
      <c r="C257" s="15" t="str">
        <f ca="1">IFERROR(__xludf.DUMMYFUNCTION("""COMPUTED_VALUE"""),"2022/10/17 (月)
平日夜間")</f>
        <v>2022/10/17 (月)
平日夜間</v>
      </c>
      <c r="D257" s="15" t="str">
        <f ca="1">IFERROR(__xludf.DUMMYFUNCTION("""COMPUTED_VALUE"""),"平日夜間")</f>
        <v>平日夜間</v>
      </c>
      <c r="E257" s="16">
        <f ca="1">IFERROR(__xludf.DUMMYFUNCTION("""COMPUTED_VALUE"""),0.858792505481274)</f>
        <v>0.85879250548127395</v>
      </c>
      <c r="F257" s="15" t="s">
        <v>156</v>
      </c>
      <c r="G257" s="39">
        <v>0</v>
      </c>
      <c r="H257" s="27" t="s">
        <v>9</v>
      </c>
      <c r="I257" s="27"/>
      <c r="J257" s="27" t="s">
        <v>124</v>
      </c>
      <c r="K257" s="23" t="b">
        <f ca="1">IFERROR(__xludf.DUMMYFUNCTION("""COMPUTED_VALUE"""),FALSE)</f>
        <v>0</v>
      </c>
      <c r="L257" s="22"/>
      <c r="M257" s="23">
        <f ca="1">IFERROR(__xludf.DUMMYFUNCTION("""COMPUTED_VALUE"""),-0.506692895025641)</f>
        <v>-0.50669289502564097</v>
      </c>
      <c r="N257" s="23">
        <f ca="1">IFERROR(__xludf.DUMMYFUNCTION("""COMPUTED_VALUE"""),-0.430520789135717)</f>
        <v>-0.43052078913571701</v>
      </c>
      <c r="O257" s="23"/>
      <c r="P257" s="23"/>
      <c r="Q257" s="24">
        <f ca="1">IFERROR(__xludf.DUMMYFUNCTION("""COMPUTED_VALUE"""),0.548274913352437)</f>
        <v>0.54827491335243705</v>
      </c>
      <c r="R257" s="23">
        <f ca="1">IFERROR(__xludf.DUMMYFUNCTION("""COMPUTED_VALUE"""),0.352723989405538)</f>
        <v>0.35272398940553801</v>
      </c>
      <c r="S257" s="23">
        <f ca="1">IFERROR(__xludf.DUMMYFUNCTION("""COMPUTED_VALUE"""),0.227439974678592)</f>
        <v>0.22743997467859201</v>
      </c>
      <c r="T257" s="23">
        <f ca="1">IFERROR(__xludf.DUMMYFUNCTION("""COMPUTED_VALUE"""),0.603432309230018)</f>
        <v>0.603432309230018</v>
      </c>
      <c r="U257" s="23">
        <f ca="1">IFERROR(__xludf.DUMMYFUNCTION("""COMPUTED_VALUE"""),-0.641316820399171)</f>
        <v>-0.64131682039917104</v>
      </c>
      <c r="V257" s="23">
        <f ca="1">IFERROR(__xludf.DUMMYFUNCTION("""COMPUTED_VALUE"""),0.418072090664689)</f>
        <v>0.41807209066468898</v>
      </c>
      <c r="W257" s="23">
        <f ca="1">IFERROR(__xludf.DUMMYFUNCTION("""COMPUTED_VALUE"""),0.291800303679162)</f>
        <v>0.29180030367916199</v>
      </c>
      <c r="X257" s="23"/>
      <c r="Y257" s="23">
        <f ca="1">IFERROR(__xludf.DUMMYFUNCTION("""COMPUTED_VALUE"""),-0.437140695034603)</f>
        <v>-0.43714069503460301</v>
      </c>
      <c r="Z257" s="23">
        <f ca="1">IFERROR(__xludf.DUMMYFUNCTION("""COMPUTED_VALUE"""),0.0623349834838018)</f>
        <v>6.2334983483801801E-2</v>
      </c>
      <c r="AA257" s="23">
        <f ca="1">IFERROR(__xludf.DUMMYFUNCTION("""COMPUTED_VALUE"""),0.661924569926082)</f>
        <v>0.66192456992608195</v>
      </c>
      <c r="AB257" s="23">
        <f ca="1">IFERROR(__xludf.DUMMYFUNCTION("""COMPUTED_VALUE"""),0.509320908703875)</f>
        <v>0.50932090870387503</v>
      </c>
      <c r="AC257" s="22">
        <f ca="1">IFERROR(__xludf.DUMMYFUNCTION("""COMPUTED_VALUE"""),0.495485707019835)</f>
        <v>0.49548570701983502</v>
      </c>
      <c r="AD257" s="23"/>
      <c r="AE257" s="23"/>
      <c r="AF257" s="22"/>
      <c r="AG257" s="22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</row>
    <row r="258" spans="1:45" ht="27.75" customHeight="1" x14ac:dyDescent="0.4">
      <c r="A258" s="15" t="s">
        <v>27</v>
      </c>
      <c r="B258" s="15" t="s">
        <v>145</v>
      </c>
      <c r="C258" s="15" t="str">
        <f ca="1">IFERROR(__xludf.DUMMYFUNCTION("""COMPUTED_VALUE"""),"2022/10/18 (火)
平日夜間")</f>
        <v>2022/10/18 (火)
平日夜間</v>
      </c>
      <c r="D258" s="15" t="str">
        <f ca="1">IFERROR(__xludf.DUMMYFUNCTION("""COMPUTED_VALUE"""),"平日夜間")</f>
        <v>平日夜間</v>
      </c>
      <c r="E258" s="16">
        <f ca="1">IFERROR(__xludf.DUMMYFUNCTION("""COMPUTED_VALUE"""),1.20649326601177)</f>
        <v>1.20649326601177</v>
      </c>
      <c r="F258" s="15" t="s">
        <v>148</v>
      </c>
      <c r="G258" s="39">
        <v>1</v>
      </c>
      <c r="H258" s="29" t="s">
        <v>148</v>
      </c>
      <c r="I258" s="27"/>
      <c r="J258" s="27" t="s">
        <v>44</v>
      </c>
      <c r="K258" s="23" t="b">
        <f ca="1">IFERROR(__xludf.DUMMYFUNCTION("""COMPUTED_VALUE"""),FALSE)</f>
        <v>0</v>
      </c>
      <c r="L258" s="22"/>
      <c r="M258" s="23">
        <f ca="1">IFERROR(__xludf.DUMMYFUNCTION("""COMPUTED_VALUE"""),-0.0679111567145236)</f>
        <v>-6.7911156714523593E-2</v>
      </c>
      <c r="N258" s="23">
        <f ca="1">IFERROR(__xludf.DUMMYFUNCTION("""COMPUTED_VALUE"""),-0.601419698819694)</f>
        <v>-0.60141969881969404</v>
      </c>
      <c r="O258" s="23"/>
      <c r="P258" s="23"/>
      <c r="Q258" s="24">
        <f ca="1">IFERROR(__xludf.DUMMYFUNCTION("""COMPUTED_VALUE"""),-0.585729234519721)</f>
        <v>-0.58572923451972103</v>
      </c>
      <c r="R258" s="23">
        <f ca="1">IFERROR(__xludf.DUMMYFUNCTION("""COMPUTED_VALUE"""),0.901965154434216)</f>
        <v>0.90196515443421599</v>
      </c>
      <c r="S258" s="23">
        <f ca="1">IFERROR(__xludf.DUMMYFUNCTION("""COMPUTED_VALUE"""),0.456521345107837)</f>
        <v>0.45652134510783698</v>
      </c>
      <c r="T258" s="23">
        <f ca="1">IFERROR(__xludf.DUMMYFUNCTION("""COMPUTED_VALUE"""),0.554039188704955)</f>
        <v>0.55403918870495505</v>
      </c>
      <c r="U258" s="23">
        <f ca="1">IFERROR(__xludf.DUMMYFUNCTION("""COMPUTED_VALUE"""),0.485353575588112)</f>
        <v>0.48535357558811199</v>
      </c>
      <c r="V258" s="23">
        <f ca="1">IFERROR(__xludf.DUMMYFUNCTION("""COMPUTED_VALUE"""),0.188270207255342)</f>
        <v>0.18827020725534199</v>
      </c>
      <c r="W258" s="23">
        <f ca="1">IFERROR(__xludf.DUMMYFUNCTION("""COMPUTED_VALUE"""),-0.333187034247702)</f>
        <v>-0.33318703424770202</v>
      </c>
      <c r="X258" s="23"/>
      <c r="Y258" s="23">
        <f ca="1">IFERROR(__xludf.DUMMYFUNCTION("""COMPUTED_VALUE"""),-0.731155393604459)</f>
        <v>-0.73115539360445903</v>
      </c>
      <c r="Z258" s="23">
        <f ca="1">IFERROR(__xludf.DUMMYFUNCTION("""COMPUTED_VALUE"""),-0.211157384439548)</f>
        <v>-0.21115738443954801</v>
      </c>
      <c r="AA258" s="23">
        <f ca="1">IFERROR(__xludf.DUMMYFUNCTION("""COMPUTED_VALUE"""),-0.60684542117507)</f>
        <v>-0.60684542117507001</v>
      </c>
      <c r="AB258" s="23">
        <f ca="1">IFERROR(__xludf.DUMMYFUNCTION("""COMPUTED_VALUE"""),0.892216777281739)</f>
        <v>0.89221677728173898</v>
      </c>
      <c r="AC258" s="22">
        <f ca="1">IFERROR(__xludf.DUMMYFUNCTION("""COMPUTED_VALUE"""),1.15975570456554)</f>
        <v>1.15975570456554</v>
      </c>
      <c r="AD258" s="23"/>
      <c r="AE258" s="23"/>
      <c r="AF258" s="22"/>
      <c r="AG258" s="22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</row>
    <row r="259" spans="1:45" ht="27.75" customHeight="1" x14ac:dyDescent="0.35">
      <c r="A259" s="15" t="s">
        <v>27</v>
      </c>
      <c r="B259" s="15" t="s">
        <v>145</v>
      </c>
      <c r="C259" s="15" t="str">
        <f ca="1">IFERROR(__xludf.DUMMYFUNCTION("""COMPUTED_VALUE"""),"2022/10/19 (水)
平日夜間")</f>
        <v>2022/10/19 (水)
平日夜間</v>
      </c>
      <c r="D259" s="15" t="str">
        <f ca="1">IFERROR(__xludf.DUMMYFUNCTION("""COMPUTED_VALUE"""),"平日夜間")</f>
        <v>平日夜間</v>
      </c>
      <c r="E259" s="16">
        <f ca="1">IFERROR(__xludf.DUMMYFUNCTION("""COMPUTED_VALUE"""),1.57229146581815)</f>
        <v>1.5722914658181499</v>
      </c>
      <c r="F259" s="15" t="s">
        <v>6</v>
      </c>
      <c r="G259" s="39">
        <v>1</v>
      </c>
      <c r="H259" s="27" t="s">
        <v>6</v>
      </c>
      <c r="I259" s="27"/>
      <c r="J259" s="27"/>
      <c r="K259" s="23" t="b">
        <f ca="1">IFERROR(__xludf.DUMMYFUNCTION("""COMPUTED_VALUE"""),FALSE)</f>
        <v>0</v>
      </c>
      <c r="L259" s="22"/>
      <c r="M259" s="23">
        <f ca="1">IFERROR(__xludf.DUMMYFUNCTION("""COMPUTED_VALUE"""),-0.264602044322131)</f>
        <v>-0.26460204432213102</v>
      </c>
      <c r="N259" s="23">
        <f ca="1">IFERROR(__xludf.DUMMYFUNCTION("""COMPUTED_VALUE"""),-0.273854457706085)</f>
        <v>-0.27385445770608502</v>
      </c>
      <c r="O259" s="23"/>
      <c r="P259" s="23"/>
      <c r="Q259" s="24">
        <f ca="1">IFERROR(__xludf.DUMMYFUNCTION("""COMPUTED_VALUE"""),-0.662726320322726)</f>
        <v>-0.66272632032272605</v>
      </c>
      <c r="R259" s="23">
        <f ca="1">IFERROR(__xludf.DUMMYFUNCTION("""COMPUTED_VALUE"""),0.287522310944944)</f>
        <v>0.28752231094494402</v>
      </c>
      <c r="S259" s="23">
        <f ca="1">IFERROR(__xludf.DUMMYFUNCTION("""COMPUTED_VALUE"""),0.339058529665137)</f>
        <v>0.339058529665137</v>
      </c>
      <c r="T259" s="23">
        <f ca="1">IFERROR(__xludf.DUMMYFUNCTION("""COMPUTED_VALUE"""),0.855664110109156)</f>
        <v>0.855664110109156</v>
      </c>
      <c r="U259" s="23">
        <f ca="1">IFERROR(__xludf.DUMMYFUNCTION("""COMPUTED_VALUE"""),0.796628466103903)</f>
        <v>0.79662846610390303</v>
      </c>
      <c r="V259" s="23">
        <f ca="1">IFERROR(__xludf.DUMMYFUNCTION("""COMPUTED_VALUE"""),-0.13269346710265)</f>
        <v>-0.13269346710265001</v>
      </c>
      <c r="W259" s="23">
        <f ca="1">IFERROR(__xludf.DUMMYFUNCTION("""COMPUTED_VALUE"""),-0.667947446450449)</f>
        <v>-0.66794744645044901</v>
      </c>
      <c r="X259" s="23"/>
      <c r="Y259" s="23">
        <f ca="1">IFERROR(__xludf.DUMMYFUNCTION("""COMPUTED_VALUE"""),-0.249567141362203)</f>
        <v>-0.24956714136220301</v>
      </c>
      <c r="Z259" s="23">
        <f ca="1">IFERROR(__xludf.DUMMYFUNCTION("""COMPUTED_VALUE"""),-0.221398710581178)</f>
        <v>-0.22139871058117799</v>
      </c>
      <c r="AA259" s="23">
        <f ca="1">IFERROR(__xludf.DUMMYFUNCTION("""COMPUTED_VALUE"""),0.158524977631408)</f>
        <v>0.15852497763140799</v>
      </c>
      <c r="AB259" s="23">
        <f ca="1">IFERROR(__xludf.DUMMYFUNCTION("""COMPUTED_VALUE"""),0.119129237002146)</f>
        <v>0.119129237002146</v>
      </c>
      <c r="AC259" s="22">
        <f ca="1">IFERROR(__xludf.DUMMYFUNCTION("""COMPUTED_VALUE"""),1.57229146581815)</f>
        <v>1.5722914658181499</v>
      </c>
      <c r="AD259" s="23"/>
      <c r="AE259" s="23"/>
      <c r="AF259" s="22"/>
      <c r="AG259" s="22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</row>
    <row r="260" spans="1:45" ht="27.75" customHeight="1" x14ac:dyDescent="0.35">
      <c r="A260" s="15" t="s">
        <v>27</v>
      </c>
      <c r="B260" s="15" t="s">
        <v>145</v>
      </c>
      <c r="C260" s="15" t="str">
        <f ca="1">IFERROR(__xludf.DUMMYFUNCTION("""COMPUTED_VALUE"""),"2022/10/20 (木)
平日夜間")</f>
        <v>2022/10/20 (木)
平日夜間</v>
      </c>
      <c r="D260" s="15" t="str">
        <f ca="1">IFERROR(__xludf.DUMMYFUNCTION("""COMPUTED_VALUE"""),"平日夜間")</f>
        <v>平日夜間</v>
      </c>
      <c r="E260" s="16">
        <f ca="1">IFERROR(__xludf.DUMMYFUNCTION("""COMPUTED_VALUE"""),1.19958979333025)</f>
        <v>1.19958979333025</v>
      </c>
      <c r="F260" s="15" t="s">
        <v>6</v>
      </c>
      <c r="G260" s="39">
        <v>0</v>
      </c>
      <c r="H260" s="27" t="s">
        <v>148</v>
      </c>
      <c r="I260" s="27"/>
      <c r="J260" s="27"/>
      <c r="K260" s="23" t="b">
        <f ca="1">IFERROR(__xludf.DUMMYFUNCTION("""COMPUTED_VALUE"""),FALSE)</f>
        <v>0</v>
      </c>
      <c r="L260" s="22"/>
      <c r="M260" s="23">
        <f ca="1">IFERROR(__xludf.DUMMYFUNCTION("""COMPUTED_VALUE"""),-0.378761553280076)</f>
        <v>-0.37876155328007599</v>
      </c>
      <c r="N260" s="23">
        <f ca="1">IFERROR(__xludf.DUMMYFUNCTION("""COMPUTED_VALUE"""),-0.372976601398459)</f>
        <v>-0.37297660139845901</v>
      </c>
      <c r="O260" s="23"/>
      <c r="P260" s="23"/>
      <c r="Q260" s="24">
        <f ca="1">IFERROR(__xludf.DUMMYFUNCTION("""COMPUTED_VALUE"""),0.512076228531926)</f>
        <v>0.51207622853192603</v>
      </c>
      <c r="R260" s="23">
        <f ca="1">IFERROR(__xludf.DUMMYFUNCTION("""COMPUTED_VALUE"""),0.685645103909511)</f>
        <v>0.68564510390951094</v>
      </c>
      <c r="S260" s="23">
        <f ca="1">IFERROR(__xludf.DUMMYFUNCTION("""COMPUTED_VALUE"""),0.443933525922479)</f>
        <v>0.44393352592247898</v>
      </c>
      <c r="T260" s="23">
        <f ca="1">IFERROR(__xludf.DUMMYFUNCTION("""COMPUTED_VALUE"""),0.638414258934915)</f>
        <v>0.63841425893491499</v>
      </c>
      <c r="U260" s="23">
        <f ca="1">IFERROR(__xludf.DUMMYFUNCTION("""COMPUTED_VALUE"""),-0.659786119722552)</f>
        <v>-0.65978611972255197</v>
      </c>
      <c r="V260" s="23">
        <f ca="1">IFERROR(__xludf.DUMMYFUNCTION("""COMPUTED_VALUE"""),-0.7247456720746)</f>
        <v>-0.72474567207459994</v>
      </c>
      <c r="W260" s="23">
        <f ca="1">IFERROR(__xludf.DUMMYFUNCTION("""COMPUTED_VALUE"""),-0.565066031699539)</f>
        <v>-0.56506603169953895</v>
      </c>
      <c r="X260" s="23"/>
      <c r="Y260" s="23">
        <f ca="1">IFERROR(__xludf.DUMMYFUNCTION("""COMPUTED_VALUE"""),-0.840693274499591)</f>
        <v>-0.84069327449959097</v>
      </c>
      <c r="Z260" s="23">
        <f ca="1">IFERROR(__xludf.DUMMYFUNCTION("""COMPUTED_VALUE"""),-0.349455159081339)</f>
        <v>-0.34945515908133901</v>
      </c>
      <c r="AA260" s="23">
        <f ca="1">IFERROR(__xludf.DUMMYFUNCTION("""COMPUTED_VALUE"""),0.0820286687505964)</f>
        <v>8.2028668750596404E-2</v>
      </c>
      <c r="AB260" s="23">
        <f ca="1">IFERROR(__xludf.DUMMYFUNCTION("""COMPUTED_VALUE"""),0.411738106720401)</f>
        <v>0.41173810672040101</v>
      </c>
      <c r="AC260" s="22">
        <f ca="1">IFERROR(__xludf.DUMMYFUNCTION("""COMPUTED_VALUE"""),1.19958979333025)</f>
        <v>1.19958979333025</v>
      </c>
      <c r="AD260" s="23"/>
      <c r="AE260" s="23"/>
      <c r="AF260" s="22"/>
      <c r="AG260" s="22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</row>
    <row r="261" spans="1:45" ht="27.75" customHeight="1" x14ac:dyDescent="0.4">
      <c r="A261" s="15" t="s">
        <v>27</v>
      </c>
      <c r="B261" s="15" t="s">
        <v>145</v>
      </c>
      <c r="C261" s="15" t="str">
        <f ca="1">IFERROR(__xludf.DUMMYFUNCTION("""COMPUTED_VALUE"""),"2022/10/21 (金)
平日夜間")</f>
        <v>2022/10/21 (金)
平日夜間</v>
      </c>
      <c r="D261" s="15" t="str">
        <f ca="1">IFERROR(__xludf.DUMMYFUNCTION("""COMPUTED_VALUE"""),"平日夜間")</f>
        <v>平日夜間</v>
      </c>
      <c r="E261" s="16">
        <f ca="1">IFERROR(__xludf.DUMMYFUNCTION("""COMPUTED_VALUE"""),2.17633069367525)</f>
        <v>2.1763306936752498</v>
      </c>
      <c r="F261" s="15" t="s">
        <v>7</v>
      </c>
      <c r="G261" s="39">
        <v>2</v>
      </c>
      <c r="H261" s="29" t="s">
        <v>4</v>
      </c>
      <c r="I261" s="27"/>
      <c r="J261" s="27" t="s">
        <v>162</v>
      </c>
      <c r="K261" s="23" t="b">
        <f ca="1">IFERROR(__xludf.DUMMYFUNCTION("""COMPUTED_VALUE"""),TRUE)</f>
        <v>1</v>
      </c>
      <c r="L261" s="22"/>
      <c r="M261" s="23">
        <f ca="1">IFERROR(__xludf.DUMMYFUNCTION("""COMPUTED_VALUE"""),2.11244741059495)</f>
        <v>2.11244741059495</v>
      </c>
      <c r="N261" s="23">
        <f ca="1">IFERROR(__xludf.DUMMYFUNCTION("""COMPUTED_VALUE"""),-0.820427274054505)</f>
        <v>-0.820427274054505</v>
      </c>
      <c r="O261" s="23"/>
      <c r="P261" s="23"/>
      <c r="Q261" s="24">
        <f ca="1">IFERROR(__xludf.DUMMYFUNCTION("""COMPUTED_VALUE"""),0.9043141839824)</f>
        <v>0.90431418398240004</v>
      </c>
      <c r="R261" s="23">
        <f ca="1">IFERROR(__xludf.DUMMYFUNCTION("""COMPUTED_VALUE"""),0.96996439915275)</f>
        <v>0.96996439915275001</v>
      </c>
      <c r="S261" s="23">
        <f ca="1">IFERROR(__xludf.DUMMYFUNCTION("""COMPUTED_VALUE"""),0.919900273947267)</f>
        <v>0.91990027394726703</v>
      </c>
      <c r="T261" s="23">
        <f ca="1">IFERROR(__xludf.DUMMYFUNCTION("""COMPUTED_VALUE"""),1.28830542493516)</f>
        <v>1.28830542493516</v>
      </c>
      <c r="U261" s="23">
        <f ca="1">IFERROR(__xludf.DUMMYFUNCTION("""COMPUTED_VALUE"""),-0.863812596459034)</f>
        <v>-0.86381259645903397</v>
      </c>
      <c r="V261" s="23">
        <f ca="1">IFERROR(__xludf.DUMMYFUNCTION("""COMPUTED_VALUE"""),0.771673246281244)</f>
        <v>0.77167324628124401</v>
      </c>
      <c r="W261" s="23">
        <f ca="1">IFERROR(__xludf.DUMMYFUNCTION("""COMPUTED_VALUE"""),0.514148679462906)</f>
        <v>0.51414867946290599</v>
      </c>
      <c r="X261" s="23"/>
      <c r="Y261" s="23">
        <f ca="1">IFERROR(__xludf.DUMMYFUNCTION("""COMPUTED_VALUE"""),-0.201969129674173)</f>
        <v>-0.20196912967417299</v>
      </c>
      <c r="Z261" s="23">
        <f ca="1">IFERROR(__xludf.DUMMYFUNCTION("""COMPUTED_VALUE"""),-0.197483578387684)</f>
        <v>-0.19748357838768399</v>
      </c>
      <c r="AA261" s="23">
        <f ca="1">IFERROR(__xludf.DUMMYFUNCTION("""COMPUTED_VALUE"""),2.17633069367525)</f>
        <v>2.1763306936752498</v>
      </c>
      <c r="AB261" s="23">
        <f ca="1">IFERROR(__xludf.DUMMYFUNCTION("""COMPUTED_VALUE"""),0.102966955522522)</f>
        <v>0.102966955522522</v>
      </c>
      <c r="AC261" s="22">
        <f ca="1">IFERROR(__xludf.DUMMYFUNCTION("""COMPUTED_VALUE"""),0.231722665389706)</f>
        <v>0.23172266538970601</v>
      </c>
      <c r="AD261" s="23"/>
      <c r="AE261" s="23"/>
      <c r="AF261" s="22"/>
      <c r="AG261" s="22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</row>
    <row r="262" spans="1:45" ht="27.75" customHeight="1" x14ac:dyDescent="0.35">
      <c r="A262" s="15" t="s">
        <v>27</v>
      </c>
      <c r="B262" s="15" t="s">
        <v>145</v>
      </c>
      <c r="C262" s="15" t="str">
        <f ca="1">IFERROR(__xludf.DUMMYFUNCTION("""COMPUTED_VALUE"""),"2022/10/22 (土)
休日午前")</f>
        <v>2022/10/22 (土)
休日午前</v>
      </c>
      <c r="D262" s="15" t="str">
        <f ca="1">IFERROR(__xludf.DUMMYFUNCTION("""COMPUTED_VALUE"""),"休日午前")</f>
        <v>休日午前</v>
      </c>
      <c r="E262" s="16">
        <f ca="1">IFERROR(__xludf.DUMMYFUNCTION("""COMPUTED_VALUE"""),1.95235837689831)</f>
        <v>1.9523583768983099</v>
      </c>
      <c r="F262" s="15" t="s">
        <v>11</v>
      </c>
      <c r="G262" s="39">
        <v>0</v>
      </c>
      <c r="H262" s="27" t="s">
        <v>45</v>
      </c>
      <c r="I262" s="27"/>
      <c r="J262" s="27" t="s">
        <v>163</v>
      </c>
      <c r="K262" s="23" t="b">
        <f ca="1">IFERROR(__xludf.DUMMYFUNCTION("""COMPUTED_VALUE"""),FALSE)</f>
        <v>0</v>
      </c>
      <c r="L262" s="22"/>
      <c r="M262" s="23">
        <f ca="1">IFERROR(__xludf.DUMMYFUNCTION("""COMPUTED_VALUE"""),-0.112339570656624)</f>
        <v>-0.112339570656624</v>
      </c>
      <c r="N262" s="23">
        <f ca="1">IFERROR(__xludf.DUMMYFUNCTION("""COMPUTED_VALUE"""),-0.935197637455949)</f>
        <v>-0.93519763745594897</v>
      </c>
      <c r="O262" s="23"/>
      <c r="P262" s="23"/>
      <c r="Q262" s="24">
        <f ca="1">IFERROR(__xludf.DUMMYFUNCTION("""COMPUTED_VALUE"""),0.682597373686455)</f>
        <v>0.68259737368645501</v>
      </c>
      <c r="R262" s="23">
        <f ca="1">IFERROR(__xludf.DUMMYFUNCTION("""COMPUTED_VALUE"""),-0.540324910360982)</f>
        <v>-0.54032491036098196</v>
      </c>
      <c r="S262" s="23">
        <f ca="1">IFERROR(__xludf.DUMMYFUNCTION("""COMPUTED_VALUE"""),-0.00548250774628922)</f>
        <v>-5.4825077462892198E-3</v>
      </c>
      <c r="T262" s="23">
        <f ca="1">IFERROR(__xludf.DUMMYFUNCTION("""COMPUTED_VALUE"""),1.95235837689831)</f>
        <v>1.9523583768983099</v>
      </c>
      <c r="U262" s="23">
        <f ca="1">IFERROR(__xludf.DUMMYFUNCTION("""COMPUTED_VALUE"""),-0.0395050644153136)</f>
        <v>-3.9505064415313602E-2</v>
      </c>
      <c r="V262" s="23">
        <f ca="1">IFERROR(__xludf.DUMMYFUNCTION("""COMPUTED_VALUE"""),0.264470547582104)</f>
        <v>0.26447054758210398</v>
      </c>
      <c r="W262" s="23">
        <f ca="1">IFERROR(__xludf.DUMMYFUNCTION("""COMPUTED_VALUE"""),0.614092045459521)</f>
        <v>0.61409204545952101</v>
      </c>
      <c r="X262" s="23"/>
      <c r="Y262" s="23">
        <f ca="1">IFERROR(__xludf.DUMMYFUNCTION("""COMPUTED_VALUE"""),-0.934471612669607)</f>
        <v>-0.93447161266960699</v>
      </c>
      <c r="Z262" s="23">
        <f ca="1">IFERROR(__xludf.DUMMYFUNCTION("""COMPUTED_VALUE"""),-0.968566371143303)</f>
        <v>-0.96856637114330302</v>
      </c>
      <c r="AA262" s="23">
        <f ca="1">IFERROR(__xludf.DUMMYFUNCTION("""COMPUTED_VALUE"""),-0.805707331559685)</f>
        <v>-0.80570733155968499</v>
      </c>
      <c r="AB262" s="23">
        <f ca="1">IFERROR(__xludf.DUMMYFUNCTION("""COMPUTED_VALUE"""),0.877137968184834)</f>
        <v>0.87713796818483403</v>
      </c>
      <c r="AC262" s="22">
        <f ca="1">IFERROR(__xludf.DUMMYFUNCTION("""COMPUTED_VALUE"""),0.777776814688149)</f>
        <v>0.77777681468814897</v>
      </c>
      <c r="AD262" s="23"/>
      <c r="AE262" s="23"/>
      <c r="AF262" s="22"/>
      <c r="AG262" s="22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</row>
    <row r="263" spans="1:45" ht="27.75" customHeight="1" x14ac:dyDescent="0.35">
      <c r="A263" s="15" t="s">
        <v>27</v>
      </c>
      <c r="B263" s="15" t="s">
        <v>145</v>
      </c>
      <c r="C263" s="15" t="str">
        <f ca="1">IFERROR(__xludf.DUMMYFUNCTION("""COMPUTED_VALUE"""),"2022/10/22 (土)
休日午後")</f>
        <v>2022/10/22 (土)
休日午後</v>
      </c>
      <c r="D263" s="15" t="str">
        <f ca="1">IFERROR(__xludf.DUMMYFUNCTION("""COMPUTED_VALUE"""),"休日午後")</f>
        <v>休日午後</v>
      </c>
      <c r="E263" s="16">
        <f ca="1">IFERROR(__xludf.DUMMYFUNCTION("""COMPUTED_VALUE"""),0.775910912376087)</f>
        <v>0.775910912376087</v>
      </c>
      <c r="F263" s="15" t="s">
        <v>11</v>
      </c>
      <c r="G263" s="39">
        <v>0</v>
      </c>
      <c r="H263" s="27" t="s">
        <v>9</v>
      </c>
      <c r="I263" s="27"/>
      <c r="J263" s="27" t="s">
        <v>163</v>
      </c>
      <c r="K263" s="23" t="b">
        <f ca="1">IFERROR(__xludf.DUMMYFUNCTION("""COMPUTED_VALUE"""),FALSE)</f>
        <v>0</v>
      </c>
      <c r="L263" s="22"/>
      <c r="M263" s="23">
        <f ca="1">IFERROR(__xludf.DUMMYFUNCTION("""COMPUTED_VALUE"""),-0.140055282125521)</f>
        <v>-0.14005528212552101</v>
      </c>
      <c r="N263" s="23">
        <f ca="1">IFERROR(__xludf.DUMMYFUNCTION("""COMPUTED_VALUE"""),-0.956594084181904)</f>
        <v>-0.95659408418190395</v>
      </c>
      <c r="O263" s="23"/>
      <c r="P263" s="23"/>
      <c r="Q263" s="24">
        <f ca="1">IFERROR(__xludf.DUMMYFUNCTION("""COMPUTED_VALUE"""),0.39585926216521)</f>
        <v>0.39585926216521</v>
      </c>
      <c r="R263" s="23">
        <f ca="1">IFERROR(__xludf.DUMMYFUNCTION("""COMPUTED_VALUE"""),0.635536811925922)</f>
        <v>0.63553681192592204</v>
      </c>
      <c r="S263" s="23">
        <f ca="1">IFERROR(__xludf.DUMMYFUNCTION("""COMPUTED_VALUE"""),-0.532150580484374)</f>
        <v>-0.53215058048437403</v>
      </c>
      <c r="T263" s="23">
        <f ca="1">IFERROR(__xludf.DUMMYFUNCTION("""COMPUTED_VALUE"""),0.775910912376087)</f>
        <v>0.775910912376087</v>
      </c>
      <c r="U263" s="23">
        <f ca="1">IFERROR(__xludf.DUMMYFUNCTION("""COMPUTED_VALUE"""),-0.804797303500066)</f>
        <v>-0.80479730350006595</v>
      </c>
      <c r="V263" s="23">
        <f ca="1">IFERROR(__xludf.DUMMYFUNCTION("""COMPUTED_VALUE"""),0.640730158539671)</f>
        <v>0.64073015853967097</v>
      </c>
      <c r="W263" s="23">
        <f ca="1">IFERROR(__xludf.DUMMYFUNCTION("""COMPUTED_VALUE"""),-0.519998384502399)</f>
        <v>-0.51999838450239899</v>
      </c>
      <c r="X263" s="23"/>
      <c r="Y263" s="23">
        <f ca="1">IFERROR(__xludf.DUMMYFUNCTION("""COMPUTED_VALUE"""),-0.158252710503618)</f>
        <v>-0.158252710503618</v>
      </c>
      <c r="Z263" s="23">
        <f ca="1">IFERROR(__xludf.DUMMYFUNCTION("""COMPUTED_VALUE"""),-0.542351521395756)</f>
        <v>-0.54235152139575604</v>
      </c>
      <c r="AA263" s="23">
        <f ca="1">IFERROR(__xludf.DUMMYFUNCTION("""COMPUTED_VALUE"""),-0.659769023069608)</f>
        <v>-0.65976902306960805</v>
      </c>
      <c r="AB263" s="23">
        <f ca="1">IFERROR(__xludf.DUMMYFUNCTION("""COMPUTED_VALUE"""),0.176576476494055)</f>
        <v>0.176576476494055</v>
      </c>
      <c r="AC263" s="22">
        <f ca="1">IFERROR(__xludf.DUMMYFUNCTION("""COMPUTED_VALUE"""),0.476300540207203)</f>
        <v>0.47630054020720303</v>
      </c>
      <c r="AD263" s="23"/>
      <c r="AE263" s="23"/>
      <c r="AF263" s="22"/>
      <c r="AG263" s="22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</row>
    <row r="264" spans="1:45" ht="27.75" customHeight="1" x14ac:dyDescent="0.35">
      <c r="A264" s="15" t="s">
        <v>27</v>
      </c>
      <c r="B264" s="15" t="s">
        <v>145</v>
      </c>
      <c r="C264" s="15" t="str">
        <f ca="1">IFERROR(__xludf.DUMMYFUNCTION("""COMPUTED_VALUE"""),"2022/10/23 (日)
休日午前")</f>
        <v>2022/10/23 (日)
休日午前</v>
      </c>
      <c r="D264" s="15" t="str">
        <f ca="1">IFERROR(__xludf.DUMMYFUNCTION("""COMPUTED_VALUE"""),"休日午前")</f>
        <v>休日午前</v>
      </c>
      <c r="E264" s="16">
        <f ca="1">IFERROR(__xludf.DUMMYFUNCTION("""COMPUTED_VALUE"""),1.56506331534226)</f>
        <v>1.56506331534226</v>
      </c>
      <c r="F264" s="15" t="s">
        <v>11</v>
      </c>
      <c r="G264" s="39">
        <v>0</v>
      </c>
      <c r="H264" s="27" t="s">
        <v>15</v>
      </c>
      <c r="I264" s="27"/>
      <c r="J264" s="27" t="s">
        <v>164</v>
      </c>
      <c r="K264" s="23" t="b">
        <f ca="1">IFERROR(__xludf.DUMMYFUNCTION("""COMPUTED_VALUE"""),FALSE)</f>
        <v>0</v>
      </c>
      <c r="L264" s="22"/>
      <c r="M264" s="23">
        <f ca="1">IFERROR(__xludf.DUMMYFUNCTION("""COMPUTED_VALUE"""),-0.387015743202095)</f>
        <v>-0.38701574320209498</v>
      </c>
      <c r="N264" s="23">
        <f ca="1">IFERROR(__xludf.DUMMYFUNCTION("""COMPUTED_VALUE"""),-0.603906810785557)</f>
        <v>-0.60390681078555697</v>
      </c>
      <c r="O264" s="23"/>
      <c r="P264" s="23"/>
      <c r="Q264" s="24">
        <f ca="1">IFERROR(__xludf.DUMMYFUNCTION("""COMPUTED_VALUE"""),0.538318903255647)</f>
        <v>0.53831890325564702</v>
      </c>
      <c r="R264" s="23">
        <f ca="1">IFERROR(__xludf.DUMMYFUNCTION("""COMPUTED_VALUE"""),0.727848819129415)</f>
        <v>0.72784881912941501</v>
      </c>
      <c r="S264" s="23">
        <f ca="1">IFERROR(__xludf.DUMMYFUNCTION("""COMPUTED_VALUE"""),-0.62369717236756)</f>
        <v>-0.62369717236755995</v>
      </c>
      <c r="T264" s="23">
        <f ca="1">IFERROR(__xludf.DUMMYFUNCTION("""COMPUTED_VALUE"""),1.56506331534226)</f>
        <v>1.56506331534226</v>
      </c>
      <c r="U264" s="23">
        <f ca="1">IFERROR(__xludf.DUMMYFUNCTION("""COMPUTED_VALUE"""),-0.693967397203836)</f>
        <v>-0.69396739720383604</v>
      </c>
      <c r="V264" s="23">
        <f ca="1">IFERROR(__xludf.DUMMYFUNCTION("""COMPUTED_VALUE"""),0.764036553048118)</f>
        <v>0.76403655304811802</v>
      </c>
      <c r="W264" s="23">
        <f ca="1">IFERROR(__xludf.DUMMYFUNCTION("""COMPUTED_VALUE"""),0.698748032193332)</f>
        <v>0.69874803219333204</v>
      </c>
      <c r="X264" s="23"/>
      <c r="Y264" s="23">
        <f ca="1">IFERROR(__xludf.DUMMYFUNCTION("""COMPUTED_VALUE"""),-0.463752352171791)</f>
        <v>-0.463752352171791</v>
      </c>
      <c r="Z264" s="23">
        <f ca="1">IFERROR(__xludf.DUMMYFUNCTION("""COMPUTED_VALUE"""),-0.516040918066244)</f>
        <v>-0.51604091806624397</v>
      </c>
      <c r="AA264" s="23">
        <f ca="1">IFERROR(__xludf.DUMMYFUNCTION("""COMPUTED_VALUE"""),0.786472521697267)</f>
        <v>0.786472521697267</v>
      </c>
      <c r="AB264" s="23">
        <f ca="1">IFERROR(__xludf.DUMMYFUNCTION("""COMPUTED_VALUE"""),0.885307333948546)</f>
        <v>0.88530733394854599</v>
      </c>
      <c r="AC264" s="22">
        <f ca="1">IFERROR(__xludf.DUMMYFUNCTION("""COMPUTED_VALUE"""),0.347758520373362)</f>
        <v>0.34775852037336202</v>
      </c>
      <c r="AD264" s="23"/>
      <c r="AE264" s="23"/>
      <c r="AF264" s="22"/>
      <c r="AG264" s="22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</row>
    <row r="265" spans="1:45" ht="27.75" customHeight="1" x14ac:dyDescent="0.35">
      <c r="A265" s="15" t="s">
        <v>27</v>
      </c>
      <c r="B265" s="15" t="s">
        <v>145</v>
      </c>
      <c r="C265" s="15" t="str">
        <f ca="1">IFERROR(__xludf.DUMMYFUNCTION("""COMPUTED_VALUE"""),"2022/10/23 (日)
休日午後")</f>
        <v>2022/10/23 (日)
休日午後</v>
      </c>
      <c r="D265" s="15" t="str">
        <f ca="1">IFERROR(__xludf.DUMMYFUNCTION("""COMPUTED_VALUE"""),"休日午後")</f>
        <v>休日午後</v>
      </c>
      <c r="E265" s="16">
        <f ca="1">IFERROR(__xludf.DUMMYFUNCTION("""COMPUTED_VALUE"""),0.623832408754851)</f>
        <v>0.62383240875485102</v>
      </c>
      <c r="F265" s="15" t="s">
        <v>126</v>
      </c>
      <c r="G265" s="39">
        <v>0</v>
      </c>
      <c r="H265" s="27" t="s">
        <v>7</v>
      </c>
      <c r="I265" s="27"/>
      <c r="J265" s="27" t="s">
        <v>164</v>
      </c>
      <c r="K265" s="23" t="b">
        <f ca="1">IFERROR(__xludf.DUMMYFUNCTION("""COMPUTED_VALUE"""),FALSE)</f>
        <v>0</v>
      </c>
      <c r="L265" s="22"/>
      <c r="M265" s="23">
        <f ca="1">IFERROR(__xludf.DUMMYFUNCTION("""COMPUTED_VALUE"""),-0.359324587140331)</f>
        <v>-0.359324587140331</v>
      </c>
      <c r="N265" s="23">
        <f ca="1">IFERROR(__xludf.DUMMYFUNCTION("""COMPUTED_VALUE"""),-0.830247966081378)</f>
        <v>-0.83024796608137796</v>
      </c>
      <c r="O265" s="23"/>
      <c r="P265" s="23"/>
      <c r="Q265" s="24">
        <f ca="1">IFERROR(__xludf.DUMMYFUNCTION("""COMPUTED_VALUE"""),0.499963352175907)</f>
        <v>0.49996335217590698</v>
      </c>
      <c r="R265" s="23">
        <f ca="1">IFERROR(__xludf.DUMMYFUNCTION("""COMPUTED_VALUE"""),0.343391574479541)</f>
        <v>0.343391574479541</v>
      </c>
      <c r="S265" s="23">
        <f ca="1">IFERROR(__xludf.DUMMYFUNCTION("""COMPUTED_VALUE"""),-0.36716512331458)</f>
        <v>-0.36716512331458001</v>
      </c>
      <c r="T265" s="23">
        <f ca="1">IFERROR(__xludf.DUMMYFUNCTION("""COMPUTED_VALUE"""),0.0110748209117603)</f>
        <v>1.10748209117603E-2</v>
      </c>
      <c r="U265" s="23">
        <f ca="1">IFERROR(__xludf.DUMMYFUNCTION("""COMPUTED_VALUE"""),-0.778044428933288)</f>
        <v>-0.77804442893328796</v>
      </c>
      <c r="V265" s="23">
        <f ca="1">IFERROR(__xludf.DUMMYFUNCTION("""COMPUTED_VALUE"""),0.468746550583033)</f>
        <v>0.46874655058303299</v>
      </c>
      <c r="W265" s="23">
        <f ca="1">IFERROR(__xludf.DUMMYFUNCTION("""COMPUTED_VALUE"""),-0.122708182508957)</f>
        <v>-0.122708182508957</v>
      </c>
      <c r="X265" s="23"/>
      <c r="Y265" s="23">
        <f ca="1">IFERROR(__xludf.DUMMYFUNCTION("""COMPUTED_VALUE"""),-0.0704117176317793)</f>
        <v>-7.0411717631779294E-2</v>
      </c>
      <c r="Z265" s="23">
        <f ca="1">IFERROR(__xludf.DUMMYFUNCTION("""COMPUTED_VALUE"""),-0.118319638318952)</f>
        <v>-0.11831963831895199</v>
      </c>
      <c r="AA265" s="23">
        <f ca="1">IFERROR(__xludf.DUMMYFUNCTION("""COMPUTED_VALUE"""),0.347380611409813)</f>
        <v>0.34738061140981302</v>
      </c>
      <c r="AB265" s="23">
        <f ca="1">IFERROR(__xludf.DUMMYFUNCTION("""COMPUTED_VALUE"""),0.123330809185756)</f>
        <v>0.12333080918575599</v>
      </c>
      <c r="AC265" s="22">
        <f ca="1">IFERROR(__xludf.DUMMYFUNCTION("""COMPUTED_VALUE"""),0.315810613422401)</f>
        <v>0.31581061342240102</v>
      </c>
      <c r="AD265" s="23"/>
      <c r="AE265" s="23"/>
      <c r="AF265" s="22"/>
      <c r="AG265" s="22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</row>
    <row r="266" spans="1:45" ht="27.75" customHeight="1" x14ac:dyDescent="0.4">
      <c r="A266" s="15" t="s">
        <v>27</v>
      </c>
      <c r="B266" s="15" t="s">
        <v>145</v>
      </c>
      <c r="C266" s="15" t="str">
        <f ca="1">IFERROR(__xludf.DUMMYFUNCTION("""COMPUTED_VALUE"""),"2022/10/24 (月)
平日夜間")</f>
        <v>2022/10/24 (月)
平日夜間</v>
      </c>
      <c r="D266" s="15" t="str">
        <f ca="1">IFERROR(__xludf.DUMMYFUNCTION("""COMPUTED_VALUE"""),"平日夜間")</f>
        <v>平日夜間</v>
      </c>
      <c r="E266" s="16">
        <f ca="1">IFERROR(__xludf.DUMMYFUNCTION("""COMPUTED_VALUE"""),2.72184752933249)</f>
        <v>2.7218475293324902</v>
      </c>
      <c r="F266" s="15" t="s">
        <v>156</v>
      </c>
      <c r="G266" s="39">
        <v>2</v>
      </c>
      <c r="H266" s="29" t="s">
        <v>156</v>
      </c>
      <c r="I266" s="27"/>
      <c r="J266" s="27" t="s">
        <v>165</v>
      </c>
      <c r="K266" s="23" t="b">
        <f ca="1">IFERROR(__xludf.DUMMYFUNCTION("""COMPUTED_VALUE"""),TRUE)</f>
        <v>1</v>
      </c>
      <c r="L266" s="22"/>
      <c r="M266" s="23">
        <f ca="1">IFERROR(__xludf.DUMMYFUNCTION("""COMPUTED_VALUE"""),-0.099761859233969)</f>
        <v>-9.9761859233969005E-2</v>
      </c>
      <c r="N266" s="23">
        <f ca="1">IFERROR(__xludf.DUMMYFUNCTION("""COMPUTED_VALUE"""),-0.762014097072085)</f>
        <v>-0.76201409707208501</v>
      </c>
      <c r="O266" s="23"/>
      <c r="P266" s="23"/>
      <c r="Q266" s="24">
        <f ca="1">IFERROR(__xludf.DUMMYFUNCTION("""COMPUTED_VALUE"""),0.170479162403602)</f>
        <v>0.170479162403602</v>
      </c>
      <c r="R266" s="23">
        <f ca="1">IFERROR(__xludf.DUMMYFUNCTION("""COMPUTED_VALUE"""),0.961954725902747)</f>
        <v>0.961954725902747</v>
      </c>
      <c r="S266" s="23">
        <f ca="1">IFERROR(__xludf.DUMMYFUNCTION("""COMPUTED_VALUE"""),0.470561829458878)</f>
        <v>0.47056182945887798</v>
      </c>
      <c r="T266" s="23">
        <f ca="1">IFERROR(__xludf.DUMMYFUNCTION("""COMPUTED_VALUE"""),0.874619043238341)</f>
        <v>0.87461904323834105</v>
      </c>
      <c r="U266" s="23">
        <f ca="1">IFERROR(__xludf.DUMMYFUNCTION("""COMPUTED_VALUE"""),0.35541584178009)</f>
        <v>0.35541584178009</v>
      </c>
      <c r="V266" s="23">
        <f ca="1">IFERROR(__xludf.DUMMYFUNCTION("""COMPUTED_VALUE"""),0.0324480217659102)</f>
        <v>3.2448021765910197E-2</v>
      </c>
      <c r="W266" s="23">
        <f ca="1">IFERROR(__xludf.DUMMYFUNCTION("""COMPUTED_VALUE"""),0.1322595419715)</f>
        <v>0.1322595419715</v>
      </c>
      <c r="X266" s="23"/>
      <c r="Y266" s="23">
        <f ca="1">IFERROR(__xludf.DUMMYFUNCTION("""COMPUTED_VALUE"""),-0.259879606880899)</f>
        <v>-0.25987960688089901</v>
      </c>
      <c r="Z266" s="23">
        <f ca="1">IFERROR(__xludf.DUMMYFUNCTION("""COMPUTED_VALUE"""),-0.870250018592815)</f>
        <v>-0.87025001859281503</v>
      </c>
      <c r="AA266" s="23">
        <f ca="1">IFERROR(__xludf.DUMMYFUNCTION("""COMPUTED_VALUE"""),0.683897405237092)</f>
        <v>0.68389740523709197</v>
      </c>
      <c r="AB266" s="23">
        <f ca="1">IFERROR(__xludf.DUMMYFUNCTION("""COMPUTED_VALUE"""),0.0439516261413681)</f>
        <v>4.3951626141368098E-2</v>
      </c>
      <c r="AC266" s="22">
        <f ca="1">IFERROR(__xludf.DUMMYFUNCTION("""COMPUTED_VALUE"""),0.13928141187662)</f>
        <v>0.13928141187661999</v>
      </c>
      <c r="AD266" s="23"/>
      <c r="AE266" s="23"/>
      <c r="AF266" s="22"/>
      <c r="AG266" s="22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</row>
    <row r="267" spans="1:45" ht="27.75" customHeight="1" x14ac:dyDescent="0.35">
      <c r="A267" s="15" t="s">
        <v>27</v>
      </c>
      <c r="B267" s="15" t="s">
        <v>145</v>
      </c>
      <c r="C267" s="15" t="str">
        <f ca="1">IFERROR(__xludf.DUMMYFUNCTION("""COMPUTED_VALUE"""),"2022/10/25 (火)
平日夜間")</f>
        <v>2022/10/25 (火)
平日夜間</v>
      </c>
      <c r="D267" s="15" t="str">
        <f ca="1">IFERROR(__xludf.DUMMYFUNCTION("""COMPUTED_VALUE"""),"平日夜間")</f>
        <v>平日夜間</v>
      </c>
      <c r="E267" s="16">
        <f ca="1">IFERROR(__xludf.DUMMYFUNCTION("""COMPUTED_VALUE"""),1.28147414114492)</f>
        <v>1.28147414114492</v>
      </c>
      <c r="F267" s="15" t="s">
        <v>6</v>
      </c>
      <c r="G267" s="39">
        <v>0</v>
      </c>
      <c r="H267" s="27" t="s">
        <v>15</v>
      </c>
      <c r="I267" s="27"/>
      <c r="J267" s="27" t="s">
        <v>56</v>
      </c>
      <c r="K267" s="23" t="b">
        <f ca="1">IFERROR(__xludf.DUMMYFUNCTION("""COMPUTED_VALUE"""),FALSE)</f>
        <v>0</v>
      </c>
      <c r="L267" s="22"/>
      <c r="M267" s="23">
        <f ca="1">IFERROR(__xludf.DUMMYFUNCTION("""COMPUTED_VALUE"""),-0.124983115841202)</f>
        <v>-0.124983115841202</v>
      </c>
      <c r="N267" s="23">
        <f ca="1">IFERROR(__xludf.DUMMYFUNCTION("""COMPUTED_VALUE"""),-0.732034882994092)</f>
        <v>-0.73203488299409203</v>
      </c>
      <c r="O267" s="23"/>
      <c r="P267" s="23"/>
      <c r="Q267" s="24">
        <f ca="1">IFERROR(__xludf.DUMMYFUNCTION("""COMPUTED_VALUE"""),-0.605208850799962)</f>
        <v>-0.60520885079996201</v>
      </c>
      <c r="R267" s="23">
        <f ca="1">IFERROR(__xludf.DUMMYFUNCTION("""COMPUTED_VALUE"""),0.454855422422269)</f>
        <v>0.45485542242226901</v>
      </c>
      <c r="S267" s="23">
        <f ca="1">IFERROR(__xludf.DUMMYFUNCTION("""COMPUTED_VALUE"""),0.453499994442981)</f>
        <v>0.453499994442981</v>
      </c>
      <c r="T267" s="23">
        <f ca="1">IFERROR(__xludf.DUMMYFUNCTION("""COMPUTED_VALUE"""),0.628072678104135)</f>
        <v>0.62807267810413503</v>
      </c>
      <c r="U267" s="23">
        <f ca="1">IFERROR(__xludf.DUMMYFUNCTION("""COMPUTED_VALUE"""),0.494846834104279)</f>
        <v>0.49484683410427899</v>
      </c>
      <c r="V267" s="23">
        <f ca="1">IFERROR(__xludf.DUMMYFUNCTION("""COMPUTED_VALUE"""),0.21952465526509)</f>
        <v>0.21952465526508999</v>
      </c>
      <c r="W267" s="23">
        <f ca="1">IFERROR(__xludf.DUMMYFUNCTION("""COMPUTED_VALUE"""),0.477894035682449)</f>
        <v>0.47789403568244898</v>
      </c>
      <c r="X267" s="23"/>
      <c r="Y267" s="23">
        <f ca="1">IFERROR(__xludf.DUMMYFUNCTION("""COMPUTED_VALUE"""),-0.505989768093706)</f>
        <v>-0.50598976809370599</v>
      </c>
      <c r="Z267" s="23">
        <f ca="1">IFERROR(__xludf.DUMMYFUNCTION("""COMPUTED_VALUE"""),-0.904754299261389)</f>
        <v>-0.90475429926138895</v>
      </c>
      <c r="AA267" s="23">
        <f ca="1">IFERROR(__xludf.DUMMYFUNCTION("""COMPUTED_VALUE"""),-0.478530472840327)</f>
        <v>-0.47853047284032701</v>
      </c>
      <c r="AB267" s="23">
        <f ca="1">IFERROR(__xludf.DUMMYFUNCTION("""COMPUTED_VALUE"""),0.90112792811608)</f>
        <v>0.90112792811608</v>
      </c>
      <c r="AC267" s="22">
        <f ca="1">IFERROR(__xludf.DUMMYFUNCTION("""COMPUTED_VALUE"""),1.28147414114492)</f>
        <v>1.28147414114492</v>
      </c>
      <c r="AD267" s="23"/>
      <c r="AE267" s="23"/>
      <c r="AF267" s="22"/>
      <c r="AG267" s="22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</row>
    <row r="268" spans="1:45" ht="27.75" customHeight="1" x14ac:dyDescent="0.35">
      <c r="A268" s="15" t="s">
        <v>27</v>
      </c>
      <c r="B268" s="15" t="s">
        <v>145</v>
      </c>
      <c r="C268" s="15" t="str">
        <f ca="1">IFERROR(__xludf.DUMMYFUNCTION("""COMPUTED_VALUE"""),"2022/10/26 (水)
平日夜間")</f>
        <v>2022/10/26 (水)
平日夜間</v>
      </c>
      <c r="D268" s="15" t="str">
        <f ca="1">IFERROR(__xludf.DUMMYFUNCTION("""COMPUTED_VALUE"""),"平日夜間")</f>
        <v>平日夜間</v>
      </c>
      <c r="E268" s="16">
        <f ca="1">IFERROR(__xludf.DUMMYFUNCTION("""COMPUTED_VALUE"""),1.44192732616524)</f>
        <v>1.4419273261652401</v>
      </c>
      <c r="F268" s="15" t="s">
        <v>6</v>
      </c>
      <c r="G268" s="39">
        <v>0</v>
      </c>
      <c r="H268" s="27" t="s">
        <v>1</v>
      </c>
      <c r="I268" s="27"/>
      <c r="J268" s="27"/>
      <c r="K268" s="23" t="b">
        <f ca="1">IFERROR(__xludf.DUMMYFUNCTION("""COMPUTED_VALUE"""),FALSE)</f>
        <v>0</v>
      </c>
      <c r="L268" s="22"/>
      <c r="M268" s="23">
        <f ca="1">IFERROR(__xludf.DUMMYFUNCTION("""COMPUTED_VALUE"""),0.666216573201741)</f>
        <v>0.66621657320174099</v>
      </c>
      <c r="N268" s="23">
        <f ca="1">IFERROR(__xludf.DUMMYFUNCTION("""COMPUTED_VALUE"""),-0.199636852104298)</f>
        <v>-0.19963685210429799</v>
      </c>
      <c r="O268" s="23"/>
      <c r="P268" s="23"/>
      <c r="Q268" s="24">
        <f ca="1">IFERROR(__xludf.DUMMYFUNCTION("""COMPUTED_VALUE"""),0.137408307565424)</f>
        <v>0.13740830756542399</v>
      </c>
      <c r="R268" s="23">
        <f ca="1">IFERROR(__xludf.DUMMYFUNCTION("""COMPUTED_VALUE"""),-0.938163095199289)</f>
        <v>-0.93816309519928898</v>
      </c>
      <c r="S268" s="23">
        <f ca="1">IFERROR(__xludf.DUMMYFUNCTION("""COMPUTED_VALUE"""),0.238289140831827)</f>
        <v>0.23828914083182701</v>
      </c>
      <c r="T268" s="23">
        <f ca="1">IFERROR(__xludf.DUMMYFUNCTION("""COMPUTED_VALUE"""),0.592467416320858)</f>
        <v>0.59246741632085798</v>
      </c>
      <c r="U268" s="23">
        <f ca="1">IFERROR(__xludf.DUMMYFUNCTION("""COMPUTED_VALUE"""),0.852381467076111)</f>
        <v>0.85238146707611095</v>
      </c>
      <c r="V268" s="23">
        <f ca="1">IFERROR(__xludf.DUMMYFUNCTION("""COMPUTED_VALUE"""),0.922179324755564)</f>
        <v>0.92217932475556397</v>
      </c>
      <c r="W268" s="23">
        <f ca="1">IFERROR(__xludf.DUMMYFUNCTION("""COMPUTED_VALUE"""),-0.728992805386792)</f>
        <v>-0.72899280538679201</v>
      </c>
      <c r="X268" s="23"/>
      <c r="Y268" s="23">
        <f ca="1">IFERROR(__xludf.DUMMYFUNCTION("""COMPUTED_VALUE"""),-0.880126373028163)</f>
        <v>-0.88012637302816299</v>
      </c>
      <c r="Z268" s="23">
        <f ca="1">IFERROR(__xludf.DUMMYFUNCTION("""COMPUTED_VALUE"""),0.323278358015249)</f>
        <v>0.32327835801524901</v>
      </c>
      <c r="AA268" s="23">
        <f ca="1">IFERROR(__xludf.DUMMYFUNCTION("""COMPUTED_VALUE"""),0.248340616933472)</f>
        <v>0.24834061693347201</v>
      </c>
      <c r="AB268" s="23">
        <f ca="1">IFERROR(__xludf.DUMMYFUNCTION("""COMPUTED_VALUE"""),0.0230877288147233)</f>
        <v>2.3087728814723301E-2</v>
      </c>
      <c r="AC268" s="22">
        <f ca="1">IFERROR(__xludf.DUMMYFUNCTION("""COMPUTED_VALUE"""),1.44192732616524)</f>
        <v>1.4419273261652401</v>
      </c>
      <c r="AD268" s="23"/>
      <c r="AE268" s="23"/>
      <c r="AF268" s="22"/>
      <c r="AG268" s="22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</row>
    <row r="269" spans="1:45" ht="27.75" customHeight="1" x14ac:dyDescent="0.35">
      <c r="A269" s="15" t="s">
        <v>27</v>
      </c>
      <c r="B269" s="15" t="s">
        <v>145</v>
      </c>
      <c r="C269" s="15" t="str">
        <f ca="1">IFERROR(__xludf.DUMMYFUNCTION("""COMPUTED_VALUE"""),"2022/10/27 (木)
平日夜間")</f>
        <v>2022/10/27 (木)
平日夜間</v>
      </c>
      <c r="D269" s="15" t="str">
        <f ca="1">IFERROR(__xludf.DUMMYFUNCTION("""COMPUTED_VALUE"""),"平日夜間")</f>
        <v>平日夜間</v>
      </c>
      <c r="E269" s="16">
        <f ca="1">IFERROR(__xludf.DUMMYFUNCTION("""COMPUTED_VALUE"""),1.32750134681494)</f>
        <v>1.3275013468149399</v>
      </c>
      <c r="F269" s="15" t="s">
        <v>6</v>
      </c>
      <c r="G269" s="39">
        <v>0</v>
      </c>
      <c r="H269" s="27" t="s">
        <v>126</v>
      </c>
      <c r="I269" s="27"/>
      <c r="J269" s="27"/>
      <c r="K269" s="23" t="b">
        <f ca="1">IFERROR(__xludf.DUMMYFUNCTION("""COMPUTED_VALUE"""),FALSE)</f>
        <v>0</v>
      </c>
      <c r="L269" s="22"/>
      <c r="M269" s="23">
        <f ca="1">IFERROR(__xludf.DUMMYFUNCTION("""COMPUTED_VALUE"""),0.222746426024951)</f>
        <v>0.22274642602495101</v>
      </c>
      <c r="N269" s="23">
        <f ca="1">IFERROR(__xludf.DUMMYFUNCTION("""COMPUTED_VALUE"""),-0.369700293451703)</f>
        <v>-0.36970029345170302</v>
      </c>
      <c r="O269" s="23"/>
      <c r="P269" s="23"/>
      <c r="Q269" s="24">
        <f ca="1">IFERROR(__xludf.DUMMYFUNCTION("""COMPUTED_VALUE"""),0.237460312881305)</f>
        <v>0.23746031288130501</v>
      </c>
      <c r="R269" s="23">
        <f ca="1">IFERROR(__xludf.DUMMYFUNCTION("""COMPUTED_VALUE"""),-0.614051807016371)</f>
        <v>-0.61405180701637097</v>
      </c>
      <c r="S269" s="23">
        <f ca="1">IFERROR(__xludf.DUMMYFUNCTION("""COMPUTED_VALUE"""),0.475846551724599)</f>
        <v>0.475846551724599</v>
      </c>
      <c r="T269" s="23">
        <f ca="1">IFERROR(__xludf.DUMMYFUNCTION("""COMPUTED_VALUE"""),0.532650559779524)</f>
        <v>0.53265055977952402</v>
      </c>
      <c r="U269" s="23">
        <f ca="1">IFERROR(__xludf.DUMMYFUNCTION("""COMPUTED_VALUE"""),-0.78986030010851)</f>
        <v>-0.78986030010851005</v>
      </c>
      <c r="V269" s="23">
        <f ca="1">IFERROR(__xludf.DUMMYFUNCTION("""COMPUTED_VALUE"""),0.963759796042107)</f>
        <v>0.96375979604210704</v>
      </c>
      <c r="W269" s="23">
        <f ca="1">IFERROR(__xludf.DUMMYFUNCTION("""COMPUTED_VALUE"""),0.35090665839904)</f>
        <v>0.35090665839904001</v>
      </c>
      <c r="X269" s="23"/>
      <c r="Y269" s="23">
        <f ca="1">IFERROR(__xludf.DUMMYFUNCTION("""COMPUTED_VALUE"""),-0.0130680071290589)</f>
        <v>-1.30680071290589E-2</v>
      </c>
      <c r="Z269" s="23">
        <f ca="1">IFERROR(__xludf.DUMMYFUNCTION("""COMPUTED_VALUE"""),0.0498057931552911)</f>
        <v>4.98057931552911E-2</v>
      </c>
      <c r="AA269" s="23">
        <f ca="1">IFERROR(__xludf.DUMMYFUNCTION("""COMPUTED_VALUE"""),0.203031484542894)</f>
        <v>0.20303148454289399</v>
      </c>
      <c r="AB269" s="23">
        <f ca="1">IFERROR(__xludf.DUMMYFUNCTION("""COMPUTED_VALUE"""),0.364555566591099)</f>
        <v>0.364555566591099</v>
      </c>
      <c r="AC269" s="22">
        <f ca="1">IFERROR(__xludf.DUMMYFUNCTION("""COMPUTED_VALUE"""),1.32750134681494)</f>
        <v>1.3275013468149399</v>
      </c>
      <c r="AD269" s="23"/>
      <c r="AE269" s="23"/>
      <c r="AF269" s="22"/>
      <c r="AG269" s="22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</row>
    <row r="270" spans="1:45" ht="27.75" customHeight="1" x14ac:dyDescent="0.4">
      <c r="A270" s="15" t="s">
        <v>27</v>
      </c>
      <c r="B270" s="15" t="s">
        <v>145</v>
      </c>
      <c r="C270" s="15" t="str">
        <f ca="1">IFERROR(__xludf.DUMMYFUNCTION("""COMPUTED_VALUE"""),"2022/10/28 (金)
平日夜間")</f>
        <v>2022/10/28 (金)
平日夜間</v>
      </c>
      <c r="D270" s="15" t="str">
        <f ca="1">IFERROR(__xludf.DUMMYFUNCTION("""COMPUTED_VALUE"""),"平日夜間")</f>
        <v>平日夜間</v>
      </c>
      <c r="E270" s="16">
        <f ca="1">IFERROR(__xludf.DUMMYFUNCTION("""COMPUTED_VALUE"""),2.39428782746146)</f>
        <v>2.3942878274614601</v>
      </c>
      <c r="F270" s="15" t="s">
        <v>45</v>
      </c>
      <c r="G270" s="39">
        <v>2</v>
      </c>
      <c r="H270" s="29" t="s">
        <v>45</v>
      </c>
      <c r="I270" s="27"/>
      <c r="J270" s="27" t="s">
        <v>78</v>
      </c>
      <c r="K270" s="23" t="b">
        <f ca="1">IFERROR(__xludf.DUMMYFUNCTION("""COMPUTED_VALUE"""),TRUE)</f>
        <v>1</v>
      </c>
      <c r="L270" s="22"/>
      <c r="M270" s="23">
        <f ca="1">IFERROR(__xludf.DUMMYFUNCTION("""COMPUTED_VALUE"""),0.130632722273155)</f>
        <v>0.13063272227315501</v>
      </c>
      <c r="N270" s="23">
        <f ca="1">IFERROR(__xludf.DUMMYFUNCTION("""COMPUTED_VALUE"""),-0.504464498072423)</f>
        <v>-0.504464498072423</v>
      </c>
      <c r="O270" s="23"/>
      <c r="P270" s="23"/>
      <c r="Q270" s="24">
        <f ca="1">IFERROR(__xludf.DUMMYFUNCTION("""COMPUTED_VALUE"""),0.0992248088619038)</f>
        <v>9.9224808861903796E-2</v>
      </c>
      <c r="R270" s="23">
        <f ca="1">IFERROR(__xludf.DUMMYFUNCTION("""COMPUTED_VALUE"""),0.495032558049001)</f>
        <v>0.49503255804900098</v>
      </c>
      <c r="S270" s="23">
        <f ca="1">IFERROR(__xludf.DUMMYFUNCTION("""COMPUTED_VALUE"""),0.352455511185697)</f>
        <v>0.35245551118569701</v>
      </c>
      <c r="T270" s="23">
        <f ca="1">IFERROR(__xludf.DUMMYFUNCTION("""COMPUTED_VALUE"""),1.48160116594591)</f>
        <v>1.4816011659459101</v>
      </c>
      <c r="U270" s="23">
        <f ca="1">IFERROR(__xludf.DUMMYFUNCTION("""COMPUTED_VALUE"""),-0.917523744102689)</f>
        <v>-0.917523744102689</v>
      </c>
      <c r="V270" s="23">
        <f ca="1">IFERROR(__xludf.DUMMYFUNCTION("""COMPUTED_VALUE"""),0.123290421974137)</f>
        <v>0.123290421974137</v>
      </c>
      <c r="W270" s="23">
        <f ca="1">IFERROR(__xludf.DUMMYFUNCTION("""COMPUTED_VALUE"""),0.641922679207225)</f>
        <v>0.64192267920722501</v>
      </c>
      <c r="X270" s="23"/>
      <c r="Y270" s="23">
        <f ca="1">IFERROR(__xludf.DUMMYFUNCTION("""COMPUTED_VALUE"""),-0.632969766909164)</f>
        <v>-0.63296976690916396</v>
      </c>
      <c r="Z270" s="23">
        <f ca="1">IFERROR(__xludf.DUMMYFUNCTION("""COMPUTED_VALUE"""),0.932828389485992)</f>
        <v>0.932828389485992</v>
      </c>
      <c r="AA270" s="23">
        <f ca="1">IFERROR(__xludf.DUMMYFUNCTION("""COMPUTED_VALUE"""),0.942906616737296)</f>
        <v>0.94290661673729603</v>
      </c>
      <c r="AB270" s="23">
        <f ca="1">IFERROR(__xludf.DUMMYFUNCTION("""COMPUTED_VALUE"""),0.154473840814063)</f>
        <v>0.15447384081406301</v>
      </c>
      <c r="AC270" s="22">
        <f ca="1">IFERROR(__xludf.DUMMYFUNCTION("""COMPUTED_VALUE"""),0.866247892015028)</f>
        <v>0.86624789201502805</v>
      </c>
      <c r="AD270" s="23"/>
      <c r="AE270" s="23"/>
      <c r="AF270" s="22"/>
      <c r="AG270" s="22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</row>
    <row r="271" spans="1:45" ht="27.75" customHeight="1" x14ac:dyDescent="0.35">
      <c r="A271" s="15" t="s">
        <v>27</v>
      </c>
      <c r="B271" s="15" t="s">
        <v>145</v>
      </c>
      <c r="C271" s="15" t="str">
        <f ca="1">IFERROR(__xludf.DUMMYFUNCTION("""COMPUTED_VALUE"""),"2022/10/29 (土)
休日午前")</f>
        <v>2022/10/29 (土)
休日午前</v>
      </c>
      <c r="D271" s="15" t="str">
        <f ca="1">IFERROR(__xludf.DUMMYFUNCTION("""COMPUTED_VALUE"""),"休日午前")</f>
        <v>休日午前</v>
      </c>
      <c r="E271" s="16">
        <f ca="1">IFERROR(__xludf.DUMMYFUNCTION("""COMPUTED_VALUE"""),2.74023069710264)</f>
        <v>2.74023069710264</v>
      </c>
      <c r="F271" s="15" t="s">
        <v>148</v>
      </c>
      <c r="G271" s="39">
        <v>0</v>
      </c>
      <c r="H271" s="27" t="s">
        <v>127</v>
      </c>
      <c r="I271" s="27"/>
      <c r="J271" s="27" t="s">
        <v>166</v>
      </c>
      <c r="K271" s="23" t="b">
        <f ca="1">IFERROR(__xludf.DUMMYFUNCTION("""COMPUTED_VALUE"""),FALSE)</f>
        <v>0</v>
      </c>
      <c r="L271" s="22"/>
      <c r="M271" s="23">
        <f ca="1">IFERROR(__xludf.DUMMYFUNCTION("""COMPUTED_VALUE"""),0.805059175204591)</f>
        <v>0.80505917520459103</v>
      </c>
      <c r="N271" s="23">
        <f ca="1">IFERROR(__xludf.DUMMYFUNCTION("""COMPUTED_VALUE"""),-0.0386111542506741)</f>
        <v>-3.8611154250674101E-2</v>
      </c>
      <c r="O271" s="23"/>
      <c r="P271" s="23"/>
      <c r="Q271" s="24">
        <f ca="1">IFERROR(__xludf.DUMMYFUNCTION("""COMPUTED_VALUE"""),0.6714262432915)</f>
        <v>0.67142624329150002</v>
      </c>
      <c r="R271" s="23">
        <f ca="1">IFERROR(__xludf.DUMMYFUNCTION("""COMPUTED_VALUE"""),0.104364398285456)</f>
        <v>0.104364398285456</v>
      </c>
      <c r="S271" s="23">
        <f ca="1">IFERROR(__xludf.DUMMYFUNCTION("""COMPUTED_VALUE"""),-0.294339228745822)</f>
        <v>-0.29433922874582202</v>
      </c>
      <c r="T271" s="23">
        <f ca="1">IFERROR(__xludf.DUMMYFUNCTION("""COMPUTED_VALUE"""),1.57810907109423)</f>
        <v>1.57810907109423</v>
      </c>
      <c r="U271" s="23">
        <f ca="1">IFERROR(__xludf.DUMMYFUNCTION("""COMPUTED_VALUE"""),-0.0742110247555336)</f>
        <v>-7.4211024755533594E-2</v>
      </c>
      <c r="V271" s="23">
        <f ca="1">IFERROR(__xludf.DUMMYFUNCTION("""COMPUTED_VALUE"""),0.402388281286447)</f>
        <v>0.40238828128644699</v>
      </c>
      <c r="W271" s="23">
        <f ca="1">IFERROR(__xludf.DUMMYFUNCTION("""COMPUTED_VALUE"""),0.647870820180613)</f>
        <v>0.64787082018061304</v>
      </c>
      <c r="X271" s="23"/>
      <c r="Y271" s="23">
        <f ca="1">IFERROR(__xludf.DUMMYFUNCTION("""COMPUTED_VALUE"""),0.856723723002318)</f>
        <v>0.85672372300231803</v>
      </c>
      <c r="Z271" s="23">
        <f ca="1">IFERROR(__xludf.DUMMYFUNCTION("""COMPUTED_VALUE"""),0.694135824100772)</f>
        <v>0.69413582410077201</v>
      </c>
      <c r="AA271" s="23">
        <f ca="1">IFERROR(__xludf.DUMMYFUNCTION("""COMPUTED_VALUE"""),0.175232879016919)</f>
        <v>0.175232879016919</v>
      </c>
      <c r="AB271" s="23">
        <f ca="1">IFERROR(__xludf.DUMMYFUNCTION("""COMPUTED_VALUE"""),0.033416324451295)</f>
        <v>3.3416324451294999E-2</v>
      </c>
      <c r="AC271" s="22">
        <f ca="1">IFERROR(__xludf.DUMMYFUNCTION("""COMPUTED_VALUE"""),0.755322612490761)</f>
        <v>0.75532261249076105</v>
      </c>
      <c r="AD271" s="23"/>
      <c r="AE271" s="23"/>
      <c r="AF271" s="22"/>
      <c r="AG271" s="22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</row>
    <row r="272" spans="1:45" ht="27.75" customHeight="1" x14ac:dyDescent="0.4">
      <c r="A272" s="15" t="s">
        <v>27</v>
      </c>
      <c r="B272" s="15" t="s">
        <v>145</v>
      </c>
      <c r="C272" s="15" t="str">
        <f ca="1">IFERROR(__xludf.DUMMYFUNCTION("""COMPUTED_VALUE"""),"2022/10/29 (土)
休日午後")</f>
        <v>2022/10/29 (土)
休日午後</v>
      </c>
      <c r="D272" s="15" t="str">
        <f ca="1">IFERROR(__xludf.DUMMYFUNCTION("""COMPUTED_VALUE"""),"休日午後")</f>
        <v>休日午後</v>
      </c>
      <c r="E272" s="16">
        <f ca="1">IFERROR(__xludf.DUMMYFUNCTION("""COMPUTED_VALUE"""),1.33395381935725)</f>
        <v>1.33395381935725</v>
      </c>
      <c r="F272" s="15" t="s">
        <v>148</v>
      </c>
      <c r="G272" s="39">
        <v>1</v>
      </c>
      <c r="H272" s="29" t="s">
        <v>148</v>
      </c>
      <c r="I272" s="27"/>
      <c r="J272" s="27" t="s">
        <v>166</v>
      </c>
      <c r="K272" s="23" t="b">
        <f ca="1">IFERROR(__xludf.DUMMYFUNCTION("""COMPUTED_VALUE"""),TRUE)</f>
        <v>1</v>
      </c>
      <c r="L272" s="22"/>
      <c r="M272" s="23">
        <f ca="1">IFERROR(__xludf.DUMMYFUNCTION("""COMPUTED_VALUE"""),-0.30808420559255)</f>
        <v>-0.30808420559255001</v>
      </c>
      <c r="N272" s="23">
        <f ca="1">IFERROR(__xludf.DUMMYFUNCTION("""COMPUTED_VALUE"""),-0.295221896531214)</f>
        <v>-0.295221896531214</v>
      </c>
      <c r="O272" s="23"/>
      <c r="P272" s="23"/>
      <c r="Q272" s="24">
        <f ca="1">IFERROR(__xludf.DUMMYFUNCTION("""COMPUTED_VALUE"""),0.651248226051779)</f>
        <v>0.65124822605177901</v>
      </c>
      <c r="R272" s="23">
        <f ca="1">IFERROR(__xludf.DUMMYFUNCTION("""COMPUTED_VALUE"""),0.943764398615577)</f>
        <v>0.94376439861557704</v>
      </c>
      <c r="S272" s="23">
        <f ca="1">IFERROR(__xludf.DUMMYFUNCTION("""COMPUTED_VALUE"""),-0.71162609415841)</f>
        <v>-0.71162609415841005</v>
      </c>
      <c r="T272" s="23">
        <f ca="1">IFERROR(__xludf.DUMMYFUNCTION("""COMPUTED_VALUE"""),-0.0623966340455108)</f>
        <v>-6.2396634045510803E-2</v>
      </c>
      <c r="U272" s="23">
        <f ca="1">IFERROR(__xludf.DUMMYFUNCTION("""COMPUTED_VALUE"""),-0.711801565320376)</f>
        <v>-0.71180156532037597</v>
      </c>
      <c r="V272" s="23">
        <f ca="1">IFERROR(__xludf.DUMMYFUNCTION("""COMPUTED_VALUE"""),0.921059438623476)</f>
        <v>0.92105943862347595</v>
      </c>
      <c r="W272" s="23">
        <f ca="1">IFERROR(__xludf.DUMMYFUNCTION("""COMPUTED_VALUE"""),-0.296275054263743)</f>
        <v>-0.29627505426374301</v>
      </c>
      <c r="X272" s="23"/>
      <c r="Y272" s="23">
        <f ca="1">IFERROR(__xludf.DUMMYFUNCTION("""COMPUTED_VALUE"""),-0.364411933314538)</f>
        <v>-0.36441193331453797</v>
      </c>
      <c r="Z272" s="23">
        <f ca="1">IFERROR(__xludf.DUMMYFUNCTION("""COMPUTED_VALUE"""),0.844210687735848)</f>
        <v>0.84421068773584795</v>
      </c>
      <c r="AA272" s="23">
        <f ca="1">IFERROR(__xludf.DUMMYFUNCTION("""COMPUTED_VALUE"""),-0.685094410023183)</f>
        <v>-0.68509441002318305</v>
      </c>
      <c r="AB272" s="23">
        <f ca="1">IFERROR(__xludf.DUMMYFUNCTION("""COMPUTED_VALUE"""),-0.893591618056433)</f>
        <v>-0.89359161805643295</v>
      </c>
      <c r="AC272" s="22">
        <f ca="1">IFERROR(__xludf.DUMMYFUNCTION("""COMPUTED_VALUE"""),0.221531407982178)</f>
        <v>0.22153140798217799</v>
      </c>
      <c r="AD272" s="23"/>
      <c r="AE272" s="23"/>
      <c r="AF272" s="22"/>
      <c r="AG272" s="22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</row>
    <row r="273" spans="1:45" ht="27.75" customHeight="1" x14ac:dyDescent="0.35">
      <c r="A273" s="15" t="s">
        <v>27</v>
      </c>
      <c r="B273" s="15" t="s">
        <v>145</v>
      </c>
      <c r="C273" s="15" t="str">
        <f ca="1">IFERROR(__xludf.DUMMYFUNCTION("""COMPUTED_VALUE"""),"2022/10/30 (日)
休日午前")</f>
        <v>2022/10/30 (日)
休日午前</v>
      </c>
      <c r="D273" s="15" t="str">
        <f ca="1">IFERROR(__xludf.DUMMYFUNCTION("""COMPUTED_VALUE"""),"休日午前")</f>
        <v>休日午前</v>
      </c>
      <c r="E273" s="16">
        <f ca="1">IFERROR(__xludf.DUMMYFUNCTION("""COMPUTED_VALUE"""),2.05329297787424)</f>
        <v>2.0532929778742401</v>
      </c>
      <c r="F273" s="15" t="s">
        <v>15</v>
      </c>
      <c r="G273" s="39">
        <v>0</v>
      </c>
      <c r="H273" s="27" t="s">
        <v>13</v>
      </c>
      <c r="I273" s="27"/>
      <c r="J273" s="27" t="s">
        <v>167</v>
      </c>
      <c r="K273" s="23" t="b">
        <f ca="1">IFERROR(__xludf.DUMMYFUNCTION("""COMPUTED_VALUE"""),FALSE)</f>
        <v>0</v>
      </c>
      <c r="L273" s="22"/>
      <c r="M273" s="23">
        <f ca="1">IFERROR(__xludf.DUMMYFUNCTION("""COMPUTED_VALUE"""),-0.485066176894723)</f>
        <v>-0.48506617689472298</v>
      </c>
      <c r="N273" s="23">
        <f ca="1">IFERROR(__xludf.DUMMYFUNCTION("""COMPUTED_VALUE"""),-0.376651183756319)</f>
        <v>-0.37665118375631901</v>
      </c>
      <c r="O273" s="23"/>
      <c r="P273" s="23"/>
      <c r="Q273" s="24">
        <f ca="1">IFERROR(__xludf.DUMMYFUNCTION("""COMPUTED_VALUE"""),0.150295396865486)</f>
        <v>0.15029539686548599</v>
      </c>
      <c r="R273" s="23">
        <f ca="1">IFERROR(__xludf.DUMMYFUNCTION("""COMPUTED_VALUE"""),2.05329297787424)</f>
        <v>2.0532929778742401</v>
      </c>
      <c r="S273" s="23">
        <f ca="1">IFERROR(__xludf.DUMMYFUNCTION("""COMPUTED_VALUE"""),-0.263339369613701)</f>
        <v>-0.26333936961370102</v>
      </c>
      <c r="T273" s="23">
        <f ca="1">IFERROR(__xludf.DUMMYFUNCTION("""COMPUTED_VALUE"""),-0.140024811088847)</f>
        <v>-0.14002481108884701</v>
      </c>
      <c r="U273" s="23">
        <f ca="1">IFERROR(__xludf.DUMMYFUNCTION("""COMPUTED_VALUE"""),-0.817760403091955)</f>
        <v>-0.81776040309195497</v>
      </c>
      <c r="V273" s="23">
        <f ca="1">IFERROR(__xludf.DUMMYFUNCTION("""COMPUTED_VALUE"""),0.234979354281186)</f>
        <v>0.23497935428118599</v>
      </c>
      <c r="W273" s="23">
        <f ca="1">IFERROR(__xludf.DUMMYFUNCTION("""COMPUTED_VALUE"""),0.336635980668258)</f>
        <v>0.33663598066825801</v>
      </c>
      <c r="X273" s="23"/>
      <c r="Y273" s="23">
        <f ca="1">IFERROR(__xludf.DUMMYFUNCTION("""COMPUTED_VALUE"""),-0.420392521877575)</f>
        <v>-0.42039252187757498</v>
      </c>
      <c r="Z273" s="23">
        <f ca="1">IFERROR(__xludf.DUMMYFUNCTION("""COMPUTED_VALUE"""),0.449154747342912)</f>
        <v>0.449154747342912</v>
      </c>
      <c r="AA273" s="23">
        <f ca="1">IFERROR(__xludf.DUMMYFUNCTION("""COMPUTED_VALUE"""),-0.0991491550234986)</f>
        <v>-9.9149155023498595E-2</v>
      </c>
      <c r="AB273" s="23">
        <f ca="1">IFERROR(__xludf.DUMMYFUNCTION("""COMPUTED_VALUE"""),-0.748703083073252)</f>
        <v>-0.74870308307325195</v>
      </c>
      <c r="AC273" s="22">
        <f ca="1">IFERROR(__xludf.DUMMYFUNCTION("""COMPUTED_VALUE"""),0.217148161722233)</f>
        <v>0.217148161722233</v>
      </c>
      <c r="AD273" s="23"/>
      <c r="AE273" s="23"/>
      <c r="AF273" s="22"/>
      <c r="AG273" s="22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</row>
    <row r="274" spans="1:45" ht="27.75" customHeight="1" x14ac:dyDescent="0.4">
      <c r="A274" s="15" t="s">
        <v>27</v>
      </c>
      <c r="B274" s="15" t="s">
        <v>145</v>
      </c>
      <c r="C274" s="15" t="str">
        <f ca="1">IFERROR(__xludf.DUMMYFUNCTION("""COMPUTED_VALUE"""),"2022/10/30 (日)
休日午後")</f>
        <v>2022/10/30 (日)
休日午後</v>
      </c>
      <c r="D274" s="15" t="str">
        <f ca="1">IFERROR(__xludf.DUMMYFUNCTION("""COMPUTED_VALUE"""),"休日午後")</f>
        <v>休日午後</v>
      </c>
      <c r="E274" s="16">
        <f ca="1">IFERROR(__xludf.DUMMYFUNCTION("""COMPUTED_VALUE"""),2.31980391492974)</f>
        <v>2.3198039149297398</v>
      </c>
      <c r="F274" s="15" t="s">
        <v>15</v>
      </c>
      <c r="G274" s="39">
        <v>2</v>
      </c>
      <c r="H274" s="29" t="s">
        <v>15</v>
      </c>
      <c r="I274" s="27"/>
      <c r="J274" s="27" t="s">
        <v>167</v>
      </c>
      <c r="K274" s="23" t="b">
        <f ca="1">IFERROR(__xludf.DUMMYFUNCTION("""COMPUTED_VALUE"""),TRUE)</f>
        <v>1</v>
      </c>
      <c r="L274" s="22"/>
      <c r="M274" s="23">
        <f ca="1">IFERROR(__xludf.DUMMYFUNCTION("""COMPUTED_VALUE"""),-0.139892466941434)</f>
        <v>-0.13989246694143401</v>
      </c>
      <c r="N274" s="23">
        <f ca="1">IFERROR(__xludf.DUMMYFUNCTION("""COMPUTED_VALUE"""),-0.499825278317123)</f>
        <v>-0.49982527831712298</v>
      </c>
      <c r="O274" s="23"/>
      <c r="P274" s="23"/>
      <c r="Q274" s="24">
        <f ca="1">IFERROR(__xludf.DUMMYFUNCTION("""COMPUTED_VALUE"""),0.604539525700006)</f>
        <v>0.60453952570000602</v>
      </c>
      <c r="R274" s="23">
        <f ca="1">IFERROR(__xludf.DUMMYFUNCTION("""COMPUTED_VALUE"""),2.31980391492974)</f>
        <v>2.3198039149297398</v>
      </c>
      <c r="S274" s="23">
        <f ca="1">IFERROR(__xludf.DUMMYFUNCTION("""COMPUTED_VALUE"""),-0.505271727273933)</f>
        <v>-0.50527172727393299</v>
      </c>
      <c r="T274" s="23">
        <f ca="1">IFERROR(__xludf.DUMMYFUNCTION("""COMPUTED_VALUE"""),-0.088862208005886)</f>
        <v>-8.8862208005885998E-2</v>
      </c>
      <c r="U274" s="23">
        <f ca="1">IFERROR(__xludf.DUMMYFUNCTION("""COMPUTED_VALUE"""),-0.641785593318007)</f>
        <v>-0.641785593318007</v>
      </c>
      <c r="V274" s="23">
        <f ca="1">IFERROR(__xludf.DUMMYFUNCTION("""COMPUTED_VALUE"""),0.841613173773195)</f>
        <v>0.841613173773195</v>
      </c>
      <c r="W274" s="23">
        <f ca="1">IFERROR(__xludf.DUMMYFUNCTION("""COMPUTED_VALUE"""),-0.436036652730762)</f>
        <v>-0.43603665273076198</v>
      </c>
      <c r="X274" s="23"/>
      <c r="Y274" s="23">
        <f ca="1">IFERROR(__xludf.DUMMYFUNCTION("""COMPUTED_VALUE"""),-0.861227025593543)</f>
        <v>-0.86122702559354303</v>
      </c>
      <c r="Z274" s="23">
        <f ca="1">IFERROR(__xludf.DUMMYFUNCTION("""COMPUTED_VALUE"""),0.68806864076929)</f>
        <v>0.68806864076928997</v>
      </c>
      <c r="AA274" s="23">
        <f ca="1">IFERROR(__xludf.DUMMYFUNCTION("""COMPUTED_VALUE"""),2.31101226509357)</f>
        <v>2.3110122650935701</v>
      </c>
      <c r="AB274" s="23">
        <f ca="1">IFERROR(__xludf.DUMMYFUNCTION("""COMPUTED_VALUE"""),-0.598728508774022)</f>
        <v>-0.59872850877402195</v>
      </c>
      <c r="AC274" s="22">
        <f ca="1">IFERROR(__xludf.DUMMYFUNCTION("""COMPUTED_VALUE"""),0.234918856532986)</f>
        <v>0.234918856532986</v>
      </c>
      <c r="AD274" s="23"/>
      <c r="AE274" s="23"/>
      <c r="AF274" s="22"/>
      <c r="AG274" s="22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</row>
    <row r="275" spans="1:45" ht="27.75" customHeight="1" x14ac:dyDescent="0.4">
      <c r="A275" s="15" t="s">
        <v>27</v>
      </c>
      <c r="B275" s="15" t="s">
        <v>145</v>
      </c>
      <c r="C275" s="15" t="str">
        <f ca="1">IFERROR(__xludf.DUMMYFUNCTION("""COMPUTED_VALUE"""),"2022/10/31 (月)
平日夜間")</f>
        <v>2022/10/31 (月)
平日夜間</v>
      </c>
      <c r="D275" s="15" t="str">
        <f ca="1">IFERROR(__xludf.DUMMYFUNCTION("""COMPUTED_VALUE"""),"平日夜間")</f>
        <v>平日夜間</v>
      </c>
      <c r="E275" s="16">
        <f ca="1">IFERROR(__xludf.DUMMYFUNCTION("""COMPUTED_VALUE"""),2.16290062894718)</f>
        <v>2.1629006289471802</v>
      </c>
      <c r="F275" s="15" t="s">
        <v>156</v>
      </c>
      <c r="G275" s="39">
        <v>0</v>
      </c>
      <c r="H275" s="29" t="s">
        <v>13</v>
      </c>
      <c r="I275" s="27"/>
      <c r="J275" s="27" t="s">
        <v>168</v>
      </c>
      <c r="K275" s="23" t="b">
        <f ca="1">IFERROR(__xludf.DUMMYFUNCTION("""COMPUTED_VALUE"""),TRUE)</f>
        <v>1</v>
      </c>
      <c r="L275" s="22"/>
      <c r="M275" s="23">
        <f ca="1">IFERROR(__xludf.DUMMYFUNCTION("""COMPUTED_VALUE"""),0.739019022706572)</f>
        <v>0.73901902270657205</v>
      </c>
      <c r="N275" s="23">
        <f ca="1">IFERROR(__xludf.DUMMYFUNCTION("""COMPUTED_VALUE"""),-0.746352628121274)</f>
        <v>-0.74635262812127401</v>
      </c>
      <c r="O275" s="23"/>
      <c r="P275" s="23"/>
      <c r="Q275" s="24">
        <f ca="1">IFERROR(__xludf.DUMMYFUNCTION("""COMPUTED_VALUE"""),0.780172882143112)</f>
        <v>0.78017288214311198</v>
      </c>
      <c r="R275" s="23">
        <f ca="1">IFERROR(__xludf.DUMMYFUNCTION("""COMPUTED_VALUE"""),0.199808411003192)</f>
        <v>0.19980841100319199</v>
      </c>
      <c r="S275" s="23">
        <f ca="1">IFERROR(__xludf.DUMMYFUNCTION("""COMPUTED_VALUE"""),0.950114511436573)</f>
        <v>0.95011451143657299</v>
      </c>
      <c r="T275" s="23">
        <f ca="1">IFERROR(__xludf.DUMMYFUNCTION("""COMPUTED_VALUE"""),0.943676563423351)</f>
        <v>0.94367656342335104</v>
      </c>
      <c r="U275" s="23">
        <f ca="1">IFERROR(__xludf.DUMMYFUNCTION("""COMPUTED_VALUE"""),-0.345514676255658)</f>
        <v>-0.34551467625565802</v>
      </c>
      <c r="V275" s="23">
        <f ca="1">IFERROR(__xludf.DUMMYFUNCTION("""COMPUTED_VALUE"""),0.310595112312865)</f>
        <v>0.31059511231286502</v>
      </c>
      <c r="W275" s="23">
        <f ca="1">IFERROR(__xludf.DUMMYFUNCTION("""COMPUTED_VALUE"""),0.121706110124042)</f>
        <v>0.12170611012404201</v>
      </c>
      <c r="X275" s="23"/>
      <c r="Y275" s="23">
        <f ca="1">IFERROR(__xludf.DUMMYFUNCTION("""COMPUTED_VALUE"""),0.255892987548462)</f>
        <v>0.25589298754846201</v>
      </c>
      <c r="Z275" s="23">
        <f ca="1">IFERROR(__xludf.DUMMYFUNCTION("""COMPUTED_VALUE"""),0.647229481223345)</f>
        <v>0.647229481223345</v>
      </c>
      <c r="AA275" s="23">
        <f ca="1">IFERROR(__xludf.DUMMYFUNCTION("""COMPUTED_VALUE"""),-0.744692932647357)</f>
        <v>-0.74469293264735703</v>
      </c>
      <c r="AB275" s="23">
        <f ca="1">IFERROR(__xludf.DUMMYFUNCTION("""COMPUTED_VALUE"""),0.280977890367448)</f>
        <v>0.28097789036744802</v>
      </c>
      <c r="AC275" s="22">
        <f ca="1">IFERROR(__xludf.DUMMYFUNCTION("""COMPUTED_VALUE"""),0.382295062028241)</f>
        <v>0.38229506202824098</v>
      </c>
      <c r="AD275" s="23"/>
      <c r="AE275" s="23"/>
      <c r="AF275" s="22"/>
      <c r="AG275" s="22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</row>
    <row r="276" spans="1:45" ht="27.75" customHeight="1" x14ac:dyDescent="0.35">
      <c r="A276" s="15" t="s">
        <v>27</v>
      </c>
      <c r="B276" s="15" t="s">
        <v>169</v>
      </c>
      <c r="C276" s="15" t="str">
        <f ca="1">IFERROR(__xludf.DUMMYFUNCTION("""COMPUTED_VALUE"""),"2022/11/01 (火)
平日夜間")</f>
        <v>2022/11/01 (火)
平日夜間</v>
      </c>
      <c r="D276" s="15" t="str">
        <f ca="1">IFERROR(__xludf.DUMMYFUNCTION("""COMPUTED_VALUE"""),"平日夜間")</f>
        <v>平日夜間</v>
      </c>
      <c r="E276" s="16">
        <f ca="1">IFERROR(__xludf.DUMMYFUNCTION("""COMPUTED_VALUE"""),0.987289651342004)</f>
        <v>0.98728965134200397</v>
      </c>
      <c r="F276" s="15" t="s">
        <v>15</v>
      </c>
      <c r="G276" s="39"/>
      <c r="H276" s="27" t="s">
        <v>5</v>
      </c>
      <c r="I276" s="27"/>
      <c r="J276" s="27" t="s">
        <v>124</v>
      </c>
      <c r="K276" s="23" t="b">
        <f ca="1">IFERROR(__xludf.DUMMYFUNCTION("""COMPUTED_VALUE"""),FALSE)</f>
        <v>0</v>
      </c>
      <c r="L276" s="22"/>
      <c r="M276" s="23">
        <f ca="1">IFERROR(__xludf.DUMMYFUNCTION("""COMPUTED_VALUE"""),0.278141578489254)</f>
        <v>0.27814157848925403</v>
      </c>
      <c r="N276" s="23">
        <f ca="1">IFERROR(__xludf.DUMMYFUNCTION("""COMPUTED_VALUE"""),-0.866115105786851)</f>
        <v>-0.86611510578685103</v>
      </c>
      <c r="O276" s="23"/>
      <c r="P276" s="23"/>
      <c r="Q276" s="24">
        <f ca="1">IFERROR(__xludf.DUMMYFUNCTION("""COMPUTED_VALUE"""),0.751371766909236)</f>
        <v>0.75137176690923602</v>
      </c>
      <c r="R276" s="23">
        <f ca="1">IFERROR(__xludf.DUMMYFUNCTION("""COMPUTED_VALUE"""),0.987289651342004)</f>
        <v>0.98728965134200397</v>
      </c>
      <c r="S276" s="23">
        <f ca="1">IFERROR(__xludf.DUMMYFUNCTION("""COMPUTED_VALUE"""),0.594267967085988)</f>
        <v>0.59426796708598795</v>
      </c>
      <c r="T276" s="23">
        <f ca="1">IFERROR(__xludf.DUMMYFUNCTION("""COMPUTED_VALUE"""),0.306245672825309)</f>
        <v>0.30624567282530901</v>
      </c>
      <c r="U276" s="23">
        <f ca="1">IFERROR(__xludf.DUMMYFUNCTION("""COMPUTED_VALUE"""),0.509103055416101)</f>
        <v>0.50910305541610101</v>
      </c>
      <c r="V276" s="23">
        <f ca="1">IFERROR(__xludf.DUMMYFUNCTION("""COMPUTED_VALUE"""),0.0747698523851614)</f>
        <v>7.4769852385161401E-2</v>
      </c>
      <c r="W276" s="23">
        <f ca="1">IFERROR(__xludf.DUMMYFUNCTION("""COMPUTED_VALUE"""),0.120995030698489)</f>
        <v>0.12099503069848901</v>
      </c>
      <c r="X276" s="23"/>
      <c r="Y276" s="23">
        <f ca="1">IFERROR(__xludf.DUMMYFUNCTION("""COMPUTED_VALUE"""),0.549399247779822)</f>
        <v>0.54939924777982196</v>
      </c>
      <c r="Z276" s="23">
        <f ca="1">IFERROR(__xludf.DUMMYFUNCTION("""COMPUTED_VALUE"""),-0.31648402739867)</f>
        <v>-0.31648402739866999</v>
      </c>
      <c r="AA276" s="23">
        <f ca="1">IFERROR(__xludf.DUMMYFUNCTION("""COMPUTED_VALUE"""),-0.764635607517072)</f>
        <v>-0.76463560751707205</v>
      </c>
      <c r="AB276" s="23">
        <f ca="1">IFERROR(__xludf.DUMMYFUNCTION("""COMPUTED_VALUE"""),0.536042046408651)</f>
        <v>0.53604204640865105</v>
      </c>
      <c r="AC276" s="22">
        <f ca="1">IFERROR(__xludf.DUMMYFUNCTION("""COMPUTED_VALUE"""),-0.481607708359264)</f>
        <v>-0.48160770835926398</v>
      </c>
      <c r="AD276" s="23"/>
      <c r="AE276" s="23"/>
      <c r="AF276" s="22"/>
      <c r="AG276" s="22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</row>
    <row r="277" spans="1:45" ht="27.75" customHeight="1" x14ac:dyDescent="0.4">
      <c r="A277" s="15" t="s">
        <v>27</v>
      </c>
      <c r="B277" s="15" t="s">
        <v>169</v>
      </c>
      <c r="C277" s="15" t="str">
        <f ca="1">IFERROR(__xludf.DUMMYFUNCTION("""COMPUTED_VALUE"""),"2022/11/02 (水)
平日夜間")</f>
        <v>2022/11/02 (水)
平日夜間</v>
      </c>
      <c r="D277" s="15" t="str">
        <f ca="1">IFERROR(__xludf.DUMMYFUNCTION("""COMPUTED_VALUE"""),"平日夜間")</f>
        <v>平日夜間</v>
      </c>
      <c r="E277" s="16">
        <f ca="1">IFERROR(__xludf.DUMMYFUNCTION("""COMPUTED_VALUE"""),2.34654455030572)</f>
        <v>2.3465445503057198</v>
      </c>
      <c r="F277" s="15" t="s">
        <v>11</v>
      </c>
      <c r="G277" s="39">
        <v>2</v>
      </c>
      <c r="H277" s="29" t="s">
        <v>11</v>
      </c>
      <c r="I277" s="27"/>
      <c r="J277" s="27" t="s">
        <v>48</v>
      </c>
      <c r="K277" s="23" t="b">
        <f ca="1">IFERROR(__xludf.DUMMYFUNCTION("""COMPUTED_VALUE"""),TRUE)</f>
        <v>1</v>
      </c>
      <c r="L277" s="22"/>
      <c r="M277" s="23">
        <f ca="1">IFERROR(__xludf.DUMMYFUNCTION("""COMPUTED_VALUE"""),0.101056786321203)</f>
        <v>0.101056786321203</v>
      </c>
      <c r="N277" s="23">
        <f ca="1">IFERROR(__xludf.DUMMYFUNCTION("""COMPUTED_VALUE"""),-0.640682867076112)</f>
        <v>-0.64068286707611199</v>
      </c>
      <c r="O277" s="23"/>
      <c r="P277" s="23"/>
      <c r="Q277" s="24">
        <f ca="1">IFERROR(__xludf.DUMMYFUNCTION("""COMPUTED_VALUE"""),0.705332420547989)</f>
        <v>0.70533242054798895</v>
      </c>
      <c r="R277" s="23">
        <f ca="1">IFERROR(__xludf.DUMMYFUNCTION("""COMPUTED_VALUE"""),-0.547127844439521)</f>
        <v>-0.547127844439521</v>
      </c>
      <c r="S277" s="23">
        <f ca="1">IFERROR(__xludf.DUMMYFUNCTION("""COMPUTED_VALUE"""),-0.423310771054831)</f>
        <v>-0.423310771054831</v>
      </c>
      <c r="T277" s="23">
        <f ca="1">IFERROR(__xludf.DUMMYFUNCTION("""COMPUTED_VALUE"""),2.34654455030572)</f>
        <v>2.3465445503057198</v>
      </c>
      <c r="U277" s="23">
        <f ca="1">IFERROR(__xludf.DUMMYFUNCTION("""COMPUTED_VALUE"""),0.700893384305787)</f>
        <v>0.70089338430578696</v>
      </c>
      <c r="V277" s="23">
        <f ca="1">IFERROR(__xludf.DUMMYFUNCTION("""COMPUTED_VALUE"""),0.930691737525624)</f>
        <v>0.93069173752562395</v>
      </c>
      <c r="W277" s="23">
        <f ca="1">IFERROR(__xludf.DUMMYFUNCTION("""COMPUTED_VALUE"""),-0.939891723582916)</f>
        <v>-0.93989172358291595</v>
      </c>
      <c r="X277" s="23"/>
      <c r="Y277" s="23">
        <f ca="1">IFERROR(__xludf.DUMMYFUNCTION("""COMPUTED_VALUE"""),0.308839316691552)</f>
        <v>0.30883931669155201</v>
      </c>
      <c r="Z277" s="23">
        <f ca="1">IFERROR(__xludf.DUMMYFUNCTION("""COMPUTED_VALUE"""),0.818835685684108)</f>
        <v>0.81883568568410803</v>
      </c>
      <c r="AA277" s="23">
        <f ca="1">IFERROR(__xludf.DUMMYFUNCTION("""COMPUTED_VALUE"""),0.552707757056466)</f>
        <v>0.55270775705646602</v>
      </c>
      <c r="AB277" s="23">
        <f ca="1">IFERROR(__xludf.DUMMYFUNCTION("""COMPUTED_VALUE"""),0.236192407990431)</f>
        <v>0.23619240799043101</v>
      </c>
      <c r="AC277" s="22">
        <f ca="1">IFERROR(__xludf.DUMMYFUNCTION("""COMPUTED_VALUE"""),-0.574728131650946)</f>
        <v>-0.57472813165094605</v>
      </c>
      <c r="AD277" s="23"/>
      <c r="AE277" s="23"/>
      <c r="AF277" s="22"/>
      <c r="AG277" s="22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</row>
    <row r="278" spans="1:45" ht="27.75" customHeight="1" x14ac:dyDescent="0.35">
      <c r="A278" s="15" t="s">
        <v>27</v>
      </c>
      <c r="B278" s="15" t="s">
        <v>169</v>
      </c>
      <c r="C278" s="15" t="str">
        <f ca="1">IFERROR(__xludf.DUMMYFUNCTION("""COMPUTED_VALUE"""),"2022/11/03 (木)
休日午前")</f>
        <v>2022/11/03 (木)
休日午前</v>
      </c>
      <c r="D278" s="15" t="str">
        <f ca="1">IFERROR(__xludf.DUMMYFUNCTION("""COMPUTED_VALUE"""),"休日午前")</f>
        <v>休日午前</v>
      </c>
      <c r="E278" s="16">
        <f ca="1">IFERROR(__xludf.DUMMYFUNCTION("""COMPUTED_VALUE"""),0.886644503857612)</f>
        <v>0.88664450385761195</v>
      </c>
      <c r="F278" s="15" t="s">
        <v>149</v>
      </c>
      <c r="G278" s="39">
        <v>0</v>
      </c>
      <c r="H278" s="27" t="s">
        <v>156</v>
      </c>
      <c r="I278" s="27"/>
      <c r="J278" s="27" t="s">
        <v>170</v>
      </c>
      <c r="K278" s="23" t="b">
        <f ca="1">IFERROR(__xludf.DUMMYFUNCTION("""COMPUTED_VALUE"""),FALSE)</f>
        <v>0</v>
      </c>
      <c r="L278" s="22"/>
      <c r="M278" s="23">
        <f ca="1">IFERROR(__xludf.DUMMYFUNCTION("""COMPUTED_VALUE"""),-0.353008564156233)</f>
        <v>-0.353008564156233</v>
      </c>
      <c r="N278" s="23">
        <f ca="1">IFERROR(__xludf.DUMMYFUNCTION("""COMPUTED_VALUE"""),-0.288691662422907)</f>
        <v>-0.288691662422907</v>
      </c>
      <c r="O278" s="23"/>
      <c r="P278" s="23"/>
      <c r="Q278" s="24">
        <f ca="1">IFERROR(__xludf.DUMMYFUNCTION("""COMPUTED_VALUE"""),-0.411961569332833)</f>
        <v>-0.41196156933283301</v>
      </c>
      <c r="R278" s="23">
        <f ca="1">IFERROR(__xludf.DUMMYFUNCTION("""COMPUTED_VALUE"""),0.569288029766467)</f>
        <v>0.56928802976646697</v>
      </c>
      <c r="S278" s="23">
        <f ca="1">IFERROR(__xludf.DUMMYFUNCTION("""COMPUTED_VALUE"""),-0.530643766906601)</f>
        <v>-0.53064376690660098</v>
      </c>
      <c r="T278" s="23">
        <f ca="1">IFERROR(__xludf.DUMMYFUNCTION("""COMPUTED_VALUE"""),-0.072501184590255)</f>
        <v>-7.2501184590254994E-2</v>
      </c>
      <c r="U278" s="23">
        <f ca="1">IFERROR(__xludf.DUMMYFUNCTION("""COMPUTED_VALUE"""),-0.277181442733138)</f>
        <v>-0.27718144273313799</v>
      </c>
      <c r="V278" s="23">
        <f ca="1">IFERROR(__xludf.DUMMYFUNCTION("""COMPUTED_VALUE"""),0.104754675042393)</f>
        <v>0.104754675042393</v>
      </c>
      <c r="W278" s="23">
        <f ca="1">IFERROR(__xludf.DUMMYFUNCTION("""COMPUTED_VALUE"""),0.143974269663845)</f>
        <v>0.14397426966384499</v>
      </c>
      <c r="X278" s="23"/>
      <c r="Y278" s="23">
        <f ca="1">IFERROR(__xludf.DUMMYFUNCTION("""COMPUTED_VALUE"""),-0.0892467300541592)</f>
        <v>-8.9246730054159201E-2</v>
      </c>
      <c r="Z278" s="23">
        <f ca="1">IFERROR(__xludf.DUMMYFUNCTION("""COMPUTED_VALUE"""),-0.197253263138685)</f>
        <v>-0.19725326313868499</v>
      </c>
      <c r="AA278" s="23">
        <f ca="1">IFERROR(__xludf.DUMMYFUNCTION("""COMPUTED_VALUE"""),0.464380238145744)</f>
        <v>0.46438023814574397</v>
      </c>
      <c r="AB278" s="23">
        <f ca="1">IFERROR(__xludf.DUMMYFUNCTION("""COMPUTED_VALUE"""),0.634691845258933)</f>
        <v>0.63469184525893296</v>
      </c>
      <c r="AC278" s="22">
        <f ca="1">IFERROR(__xludf.DUMMYFUNCTION("""COMPUTED_VALUE"""),-0.777819059535581)</f>
        <v>-0.77781905953558095</v>
      </c>
      <c r="AD278" s="23"/>
      <c r="AE278" s="23"/>
      <c r="AF278" s="22"/>
      <c r="AG278" s="22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</row>
    <row r="279" spans="1:45" ht="27.75" customHeight="1" x14ac:dyDescent="0.4">
      <c r="A279" s="15" t="s">
        <v>27</v>
      </c>
      <c r="B279" s="15" t="s">
        <v>169</v>
      </c>
      <c r="C279" s="15" t="str">
        <f ca="1">IFERROR(__xludf.DUMMYFUNCTION("""COMPUTED_VALUE"""),"2022/11/03 (木)
休日午後")</f>
        <v>2022/11/03 (木)
休日午後</v>
      </c>
      <c r="D279" s="15" t="str">
        <f ca="1">IFERROR(__xludf.DUMMYFUNCTION("""COMPUTED_VALUE"""),"休日午後")</f>
        <v>休日午後</v>
      </c>
      <c r="E279" s="16">
        <f ca="1">IFERROR(__xludf.DUMMYFUNCTION("""COMPUTED_VALUE"""),0.785915636774741)</f>
        <v>0.78591563677474097</v>
      </c>
      <c r="F279" s="15" t="s">
        <v>7</v>
      </c>
      <c r="G279" s="39"/>
      <c r="H279" s="29" t="s">
        <v>12</v>
      </c>
      <c r="I279" s="27"/>
      <c r="J279" s="27" t="s">
        <v>171</v>
      </c>
      <c r="K279" s="23" t="b">
        <f ca="1">IFERROR(__xludf.DUMMYFUNCTION("""COMPUTED_VALUE"""),TRUE)</f>
        <v>1</v>
      </c>
      <c r="L279" s="22"/>
      <c r="M279" s="23">
        <f ca="1">IFERROR(__xludf.DUMMYFUNCTION("""COMPUTED_VALUE"""),-0.283827122417005)</f>
        <v>-0.28382712241700497</v>
      </c>
      <c r="N279" s="23">
        <f ca="1">IFERROR(__xludf.DUMMYFUNCTION("""COMPUTED_VALUE"""),-0.132314419481801)</f>
        <v>-0.132314419481801</v>
      </c>
      <c r="O279" s="23"/>
      <c r="P279" s="23"/>
      <c r="Q279" s="24">
        <f ca="1">IFERROR(__xludf.DUMMYFUNCTION("""COMPUTED_VALUE"""),-0.953794459904735)</f>
        <v>-0.95379445990473499</v>
      </c>
      <c r="R279" s="23">
        <f ca="1">IFERROR(__xludf.DUMMYFUNCTION("""COMPUTED_VALUE"""),-0.931083565593772)</f>
        <v>-0.93108356559377203</v>
      </c>
      <c r="S279" s="23">
        <f ca="1">IFERROR(__xludf.DUMMYFUNCTION("""COMPUTED_VALUE"""),-0.270485244095977)</f>
        <v>-0.27048524409597702</v>
      </c>
      <c r="T279" s="23">
        <f ca="1">IFERROR(__xludf.DUMMYFUNCTION("""COMPUTED_VALUE"""),-0.286172745992048)</f>
        <v>-0.28617274599204801</v>
      </c>
      <c r="U279" s="23">
        <f ca="1">IFERROR(__xludf.DUMMYFUNCTION("""COMPUTED_VALUE"""),-0.215884475567106)</f>
        <v>-0.21588447556710599</v>
      </c>
      <c r="V279" s="23">
        <f ca="1">IFERROR(__xludf.DUMMYFUNCTION("""COMPUTED_VALUE"""),-0.226689315679027)</f>
        <v>-0.226689315679027</v>
      </c>
      <c r="W279" s="23">
        <f ca="1">IFERROR(__xludf.DUMMYFUNCTION("""COMPUTED_VALUE"""),0.510347802712291)</f>
        <v>0.51034780271229097</v>
      </c>
      <c r="X279" s="23"/>
      <c r="Y279" s="23">
        <f ca="1">IFERROR(__xludf.DUMMYFUNCTION("""COMPUTED_VALUE"""),-0.692951332461509)</f>
        <v>-0.69295133246150897</v>
      </c>
      <c r="Z279" s="23">
        <f ca="1">IFERROR(__xludf.DUMMYFUNCTION("""COMPUTED_VALUE"""),-0.089380388610752)</f>
        <v>-8.9380388610751996E-2</v>
      </c>
      <c r="AA279" s="23">
        <f ca="1">IFERROR(__xludf.DUMMYFUNCTION("""COMPUTED_VALUE"""),0.785915636774741)</f>
        <v>0.78591563677474097</v>
      </c>
      <c r="AB279" s="23">
        <f ca="1">IFERROR(__xludf.DUMMYFUNCTION("""COMPUTED_VALUE"""),0.12110978413957)</f>
        <v>0.12110978413957001</v>
      </c>
      <c r="AC279" s="22">
        <f ca="1">IFERROR(__xludf.DUMMYFUNCTION("""COMPUTED_VALUE"""),-0.564732881576189)</f>
        <v>-0.56473288157618895</v>
      </c>
      <c r="AD279" s="23"/>
      <c r="AE279" s="23"/>
      <c r="AF279" s="22"/>
      <c r="AG279" s="22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</row>
    <row r="280" spans="1:45" ht="27.75" customHeight="1" x14ac:dyDescent="0.35">
      <c r="A280" s="15" t="s">
        <v>27</v>
      </c>
      <c r="B280" s="15" t="s">
        <v>169</v>
      </c>
      <c r="C280" s="15" t="str">
        <f ca="1">IFERROR(__xludf.DUMMYFUNCTION("""COMPUTED_VALUE"""),"2022/11/03 (木)
平日夜間")</f>
        <v>2022/11/03 (木)
平日夜間</v>
      </c>
      <c r="D280" s="15" t="str">
        <f ca="1">IFERROR(__xludf.DUMMYFUNCTION("""COMPUTED_VALUE"""),"平日夜間")</f>
        <v>平日夜間</v>
      </c>
      <c r="E280" s="16">
        <f ca="1">IFERROR(__xludf.DUMMYFUNCTION("""COMPUTED_VALUE"""),0.215590741224859)</f>
        <v>0.21559074122485899</v>
      </c>
      <c r="F280" s="15" t="s">
        <v>13</v>
      </c>
      <c r="G280" s="39"/>
      <c r="H280" s="28" t="s">
        <v>172</v>
      </c>
      <c r="I280" s="28"/>
      <c r="J280" s="43"/>
      <c r="K280" s="23" t="b">
        <f ca="1">IFERROR(__xludf.DUMMYFUNCTION("""COMPUTED_VALUE"""),FALSE)</f>
        <v>0</v>
      </c>
      <c r="L280" s="22"/>
      <c r="M280" s="23">
        <f ca="1">IFERROR(__xludf.DUMMYFUNCTION("""COMPUTED_VALUE"""),-0.929598653253498)</f>
        <v>-0.929598653253498</v>
      </c>
      <c r="N280" s="23"/>
      <c r="O280" s="23"/>
      <c r="P280" s="23"/>
      <c r="Q280" s="24"/>
      <c r="R280" s="23"/>
      <c r="S280" s="23"/>
      <c r="T280" s="23"/>
      <c r="U280" s="23"/>
      <c r="V280" s="23"/>
      <c r="W280" s="23">
        <f ca="1">IFERROR(__xludf.DUMMYFUNCTION("""COMPUTED_VALUE"""),0.215590741224859)</f>
        <v>0.21559074122485899</v>
      </c>
      <c r="X280" s="23"/>
      <c r="Y280" s="23"/>
      <c r="Z280" s="23"/>
      <c r="AA280" s="23"/>
      <c r="AB280" s="23"/>
      <c r="AC280" s="22"/>
      <c r="AD280" s="23"/>
      <c r="AE280" s="23"/>
      <c r="AF280" s="22"/>
      <c r="AG280" s="22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</row>
    <row r="281" spans="1:45" ht="27.75" customHeight="1" x14ac:dyDescent="0.4">
      <c r="A281" s="15" t="s">
        <v>27</v>
      </c>
      <c r="B281" s="15" t="s">
        <v>169</v>
      </c>
      <c r="C281" s="15" t="str">
        <f ca="1">IFERROR(__xludf.DUMMYFUNCTION("""COMPUTED_VALUE"""),"2022/11/04 (金)
平日夜間")</f>
        <v>2022/11/04 (金)
平日夜間</v>
      </c>
      <c r="D281" s="15" t="str">
        <f ca="1">IFERROR(__xludf.DUMMYFUNCTION("""COMPUTED_VALUE"""),"平日夜間")</f>
        <v>平日夜間</v>
      </c>
      <c r="E281" s="16">
        <f ca="1">IFERROR(__xludf.DUMMYFUNCTION("""COMPUTED_VALUE"""),2.28727477067457)</f>
        <v>2.28727477067457</v>
      </c>
      <c r="F281" s="15" t="s">
        <v>38</v>
      </c>
      <c r="G281" s="39">
        <v>2</v>
      </c>
      <c r="H281" s="29" t="s">
        <v>38</v>
      </c>
      <c r="I281" s="27"/>
      <c r="J281" s="27" t="s">
        <v>173</v>
      </c>
      <c r="K281" s="23" t="b">
        <f ca="1">IFERROR(__xludf.DUMMYFUNCTION("""COMPUTED_VALUE"""),FALSE)</f>
        <v>0</v>
      </c>
      <c r="L281" s="22"/>
      <c r="M281" s="23">
        <f ca="1">IFERROR(__xludf.DUMMYFUNCTION("""COMPUTED_VALUE"""),-0.634862624313329)</f>
        <v>-0.63486262431332896</v>
      </c>
      <c r="N281" s="23">
        <f ca="1">IFERROR(__xludf.DUMMYFUNCTION("""COMPUTED_VALUE"""),-0.506735552803931)</f>
        <v>-0.50673555280393101</v>
      </c>
      <c r="O281" s="23"/>
      <c r="P281" s="23"/>
      <c r="Q281" s="24">
        <f ca="1">IFERROR(__xludf.DUMMYFUNCTION("""COMPUTED_VALUE"""),0.791956346424566)</f>
        <v>0.79195634642456603</v>
      </c>
      <c r="R281" s="23">
        <f ca="1">IFERROR(__xludf.DUMMYFUNCTION("""COMPUTED_VALUE"""),-0.70304408105346)</f>
        <v>-0.70304408105345995</v>
      </c>
      <c r="S281" s="23">
        <f ca="1">IFERROR(__xludf.DUMMYFUNCTION("""COMPUTED_VALUE"""),-0.341370532992515)</f>
        <v>-0.34137053299251502</v>
      </c>
      <c r="T281" s="23">
        <f ca="1">IFERROR(__xludf.DUMMYFUNCTION("""COMPUTED_VALUE"""),0.0591781534813873)</f>
        <v>5.9178153481387302E-2</v>
      </c>
      <c r="U281" s="23">
        <f ca="1">IFERROR(__xludf.DUMMYFUNCTION("""COMPUTED_VALUE"""),-0.000206761871344163)</f>
        <v>-2.06761871344163E-4</v>
      </c>
      <c r="V281" s="23">
        <f ca="1">IFERROR(__xludf.DUMMYFUNCTION("""COMPUTED_VALUE"""),0.510386510545435)</f>
        <v>0.51038651054543505</v>
      </c>
      <c r="W281" s="23">
        <f ca="1">IFERROR(__xludf.DUMMYFUNCTION("""COMPUTED_VALUE"""),-0.354161435336291)</f>
        <v>-0.35416143533629102</v>
      </c>
      <c r="X281" s="23"/>
      <c r="Y281" s="23">
        <f ca="1">IFERROR(__xludf.DUMMYFUNCTION("""COMPUTED_VALUE"""),0.0385576106548843)</f>
        <v>3.8557610654884299E-2</v>
      </c>
      <c r="Z281" s="23">
        <f ca="1">IFERROR(__xludf.DUMMYFUNCTION("""COMPUTED_VALUE"""),-0.528125839158304)</f>
        <v>-0.52812583915830402</v>
      </c>
      <c r="AA281" s="23">
        <f ca="1">IFERROR(__xludf.DUMMYFUNCTION("""COMPUTED_VALUE"""),0.82019083861089)</f>
        <v>0.82019083861089004</v>
      </c>
      <c r="AB281" s="23">
        <f ca="1">IFERROR(__xludf.DUMMYFUNCTION("""COMPUTED_VALUE"""),0.673937329086255)</f>
        <v>0.67393732908625503</v>
      </c>
      <c r="AC281" s="22">
        <f ca="1">IFERROR(__xludf.DUMMYFUNCTION("""COMPUTED_VALUE"""),-0.81083674362099)</f>
        <v>-0.81083674362099001</v>
      </c>
      <c r="AD281" s="23"/>
      <c r="AE281" s="23"/>
      <c r="AF281" s="22"/>
      <c r="AG281" s="22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</row>
    <row r="282" spans="1:45" ht="27.75" customHeight="1" x14ac:dyDescent="0.35">
      <c r="A282" s="15" t="s">
        <v>27</v>
      </c>
      <c r="B282" s="15" t="s">
        <v>169</v>
      </c>
      <c r="C282" s="15" t="str">
        <f ca="1">IFERROR(__xludf.DUMMYFUNCTION("""COMPUTED_VALUE"""),"2022/11/05 (土)
休日午前")</f>
        <v>2022/11/05 (土)
休日午前</v>
      </c>
      <c r="D282" s="15" t="str">
        <f ca="1">IFERROR(__xludf.DUMMYFUNCTION("""COMPUTED_VALUE"""),"休日午前")</f>
        <v>休日午前</v>
      </c>
      <c r="E282" s="16">
        <f ca="1">IFERROR(__xludf.DUMMYFUNCTION("""COMPUTED_VALUE"""),1.84362011329368)</f>
        <v>1.84362011329368</v>
      </c>
      <c r="F282" s="15" t="s">
        <v>11</v>
      </c>
      <c r="G282" s="39">
        <v>1</v>
      </c>
      <c r="H282" s="27" t="s">
        <v>11</v>
      </c>
      <c r="I282" s="27"/>
      <c r="J282" s="27" t="s">
        <v>174</v>
      </c>
      <c r="K282" s="23" t="b">
        <f ca="1">IFERROR(__xludf.DUMMYFUNCTION("""COMPUTED_VALUE"""),FALSE)</f>
        <v>0</v>
      </c>
      <c r="L282" s="22"/>
      <c r="M282" s="23">
        <f ca="1">IFERROR(__xludf.DUMMYFUNCTION("""COMPUTED_VALUE"""),-0.961981602817109)</f>
        <v>-0.96198160281710898</v>
      </c>
      <c r="N282" s="23">
        <f ca="1">IFERROR(__xludf.DUMMYFUNCTION("""COMPUTED_VALUE"""),-0.168422167880347)</f>
        <v>-0.168422167880347</v>
      </c>
      <c r="O282" s="23"/>
      <c r="P282" s="23"/>
      <c r="Q282" s="24">
        <f ca="1">IFERROR(__xludf.DUMMYFUNCTION("""COMPUTED_VALUE"""),0.424585304151102)</f>
        <v>0.42458530415110202</v>
      </c>
      <c r="R282" s="23">
        <f ca="1">IFERROR(__xludf.DUMMYFUNCTION("""COMPUTED_VALUE"""),-0.0744635233166388)</f>
        <v>-7.4463523316638802E-2</v>
      </c>
      <c r="S282" s="23">
        <f ca="1">IFERROR(__xludf.DUMMYFUNCTION("""COMPUTED_VALUE"""),-0.692075567060543)</f>
        <v>-0.69207556706054296</v>
      </c>
      <c r="T282" s="23">
        <f ca="1">IFERROR(__xludf.DUMMYFUNCTION("""COMPUTED_VALUE"""),1.84362011329368)</f>
        <v>1.84362011329368</v>
      </c>
      <c r="U282" s="23">
        <f ca="1">IFERROR(__xludf.DUMMYFUNCTION("""COMPUTED_VALUE"""),-0.586034969106096)</f>
        <v>-0.58603496910609598</v>
      </c>
      <c r="V282" s="23">
        <f ca="1">IFERROR(__xludf.DUMMYFUNCTION("""COMPUTED_VALUE"""),0.714509361287516)</f>
        <v>0.71450936128751596</v>
      </c>
      <c r="W282" s="23">
        <f ca="1">IFERROR(__xludf.DUMMYFUNCTION("""COMPUTED_VALUE"""),-0.262290527140487)</f>
        <v>-0.26229052714048701</v>
      </c>
      <c r="X282" s="23"/>
      <c r="Y282" s="23">
        <f ca="1">IFERROR(__xludf.DUMMYFUNCTION("""COMPUTED_VALUE"""),-0.187246371371827)</f>
        <v>-0.18724637137182701</v>
      </c>
      <c r="Z282" s="23">
        <f ca="1">IFERROR(__xludf.DUMMYFUNCTION("""COMPUTED_VALUE"""),0.990131428777967)</f>
        <v>0.990131428777967</v>
      </c>
      <c r="AA282" s="23">
        <f ca="1">IFERROR(__xludf.DUMMYFUNCTION("""COMPUTED_VALUE"""),0.93427764991997)</f>
        <v>0.93427764991996998</v>
      </c>
      <c r="AB282" s="23">
        <f ca="1">IFERROR(__xludf.DUMMYFUNCTION("""COMPUTED_VALUE"""),0.205448690391149)</f>
        <v>0.20544869039114899</v>
      </c>
      <c r="AC282" s="22">
        <f ca="1">IFERROR(__xludf.DUMMYFUNCTION("""COMPUTED_VALUE"""),-0.936154090172396)</f>
        <v>-0.93615409017239604</v>
      </c>
      <c r="AD282" s="23"/>
      <c r="AE282" s="23"/>
      <c r="AF282" s="22"/>
      <c r="AG282" s="22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</row>
    <row r="283" spans="1:45" ht="27.75" customHeight="1" x14ac:dyDescent="0.35">
      <c r="A283" s="15" t="s">
        <v>27</v>
      </c>
      <c r="B283" s="15" t="s">
        <v>169</v>
      </c>
      <c r="C283" s="15" t="str">
        <f ca="1">IFERROR(__xludf.DUMMYFUNCTION("""COMPUTED_VALUE"""),"2022/11/05 (土)
休日午後")</f>
        <v>2022/11/05 (土)
休日午後</v>
      </c>
      <c r="D283" s="15" t="str">
        <f ca="1">IFERROR(__xludf.DUMMYFUNCTION("""COMPUTED_VALUE"""),"休日午後")</f>
        <v>休日午後</v>
      </c>
      <c r="E283" s="16">
        <f ca="1">IFERROR(__xludf.DUMMYFUNCTION("""COMPUTED_VALUE"""),0.855718656744757)</f>
        <v>0.855718656744757</v>
      </c>
      <c r="F283" s="15" t="s">
        <v>10</v>
      </c>
      <c r="G283" s="39">
        <v>0</v>
      </c>
      <c r="H283" s="27" t="s">
        <v>10</v>
      </c>
      <c r="I283" s="27"/>
      <c r="J283" s="27" t="s">
        <v>174</v>
      </c>
      <c r="K283" s="23" t="b">
        <f ca="1">IFERROR(__xludf.DUMMYFUNCTION("""COMPUTED_VALUE"""),FALSE)</f>
        <v>0</v>
      </c>
      <c r="L283" s="22"/>
      <c r="M283" s="23">
        <f ca="1">IFERROR(__xludf.DUMMYFUNCTION("""COMPUTED_VALUE"""),-0.932449414791194)</f>
        <v>-0.93244941479119403</v>
      </c>
      <c r="N283" s="23">
        <f ca="1">IFERROR(__xludf.DUMMYFUNCTION("""COMPUTED_VALUE"""),-0.887118731506683)</f>
        <v>-0.88711873150668297</v>
      </c>
      <c r="O283" s="23"/>
      <c r="P283" s="23"/>
      <c r="Q283" s="24">
        <f ca="1">IFERROR(__xludf.DUMMYFUNCTION("""COMPUTED_VALUE"""),0.314857359317265)</f>
        <v>0.314857359317265</v>
      </c>
      <c r="R283" s="23">
        <f ca="1">IFERROR(__xludf.DUMMYFUNCTION("""COMPUTED_VALUE"""),-0.0156900458653979)</f>
        <v>-1.5690045865397899E-2</v>
      </c>
      <c r="S283" s="23">
        <f ca="1">IFERROR(__xludf.DUMMYFUNCTION("""COMPUTED_VALUE"""),-0.674850260164687)</f>
        <v>-0.67485026016468697</v>
      </c>
      <c r="T283" s="23">
        <f ca="1">IFERROR(__xludf.DUMMYFUNCTION("""COMPUTED_VALUE"""),0.117084237354728)</f>
        <v>0.117084237354728</v>
      </c>
      <c r="U283" s="23">
        <f ca="1">IFERROR(__xludf.DUMMYFUNCTION("""COMPUTED_VALUE"""),-0.351823544178381)</f>
        <v>-0.35182354417838102</v>
      </c>
      <c r="V283" s="23">
        <f ca="1">IFERROR(__xludf.DUMMYFUNCTION("""COMPUTED_VALUE"""),0.32365434179108)</f>
        <v>0.32365434179107999</v>
      </c>
      <c r="W283" s="23">
        <f ca="1">IFERROR(__xludf.DUMMYFUNCTION("""COMPUTED_VALUE"""),-0.724853597012028)</f>
        <v>-0.72485359701202801</v>
      </c>
      <c r="X283" s="23"/>
      <c r="Y283" s="23">
        <f ca="1">IFERROR(__xludf.DUMMYFUNCTION("""COMPUTED_VALUE"""),-0.140458223517351)</f>
        <v>-0.14045822351735099</v>
      </c>
      <c r="Z283" s="23">
        <f ca="1">IFERROR(__xludf.DUMMYFUNCTION("""COMPUTED_VALUE"""),0.855718656744757)</f>
        <v>0.855718656744757</v>
      </c>
      <c r="AA283" s="23">
        <f ca="1">IFERROR(__xludf.DUMMYFUNCTION("""COMPUTED_VALUE"""),0.635816050722719)</f>
        <v>0.63581605072271896</v>
      </c>
      <c r="AB283" s="23">
        <f ca="1">IFERROR(__xludf.DUMMYFUNCTION("""COMPUTED_VALUE"""),0.284538962311945)</f>
        <v>0.28453896231194498</v>
      </c>
      <c r="AC283" s="22">
        <f ca="1">IFERROR(__xludf.DUMMYFUNCTION("""COMPUTED_VALUE"""),-0.969248276243007)</f>
        <v>-0.96924827624300702</v>
      </c>
      <c r="AD283" s="23"/>
      <c r="AE283" s="23"/>
      <c r="AF283" s="22"/>
      <c r="AG283" s="22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</row>
    <row r="284" spans="1:45" ht="27.75" customHeight="1" x14ac:dyDescent="0.35">
      <c r="A284" s="15" t="s">
        <v>27</v>
      </c>
      <c r="B284" s="15" t="s">
        <v>169</v>
      </c>
      <c r="C284" s="15" t="str">
        <f ca="1">IFERROR(__xludf.DUMMYFUNCTION("""COMPUTED_VALUE"""),"2022/11/06 (日)
休日午前")</f>
        <v>2022/11/06 (日)
休日午前</v>
      </c>
      <c r="D284" s="15" t="str">
        <f ca="1">IFERROR(__xludf.DUMMYFUNCTION("""COMPUTED_VALUE"""),"休日午前")</f>
        <v>休日午前</v>
      </c>
      <c r="E284" s="16">
        <f ca="1">IFERROR(__xludf.DUMMYFUNCTION("""COMPUTED_VALUE"""),1.04268607538571)</f>
        <v>1.0426860753857099</v>
      </c>
      <c r="F284" s="15" t="s">
        <v>11</v>
      </c>
      <c r="G284" s="39">
        <v>0</v>
      </c>
      <c r="H284" s="27" t="s">
        <v>7</v>
      </c>
      <c r="I284" s="27"/>
      <c r="J284" s="27" t="s">
        <v>139</v>
      </c>
      <c r="K284" s="23" t="b">
        <f ca="1">IFERROR(__xludf.DUMMYFUNCTION("""COMPUTED_VALUE"""),FALSE)</f>
        <v>0</v>
      </c>
      <c r="L284" s="22"/>
      <c r="M284" s="23">
        <f ca="1">IFERROR(__xludf.DUMMYFUNCTION("""COMPUTED_VALUE"""),-0.0629539695843366)</f>
        <v>-6.2953969584336605E-2</v>
      </c>
      <c r="N284" s="23">
        <f ca="1">IFERROR(__xludf.DUMMYFUNCTION("""COMPUTED_VALUE"""),-0.413450912485237)</f>
        <v>-0.41345091248523702</v>
      </c>
      <c r="O284" s="23"/>
      <c r="P284" s="23"/>
      <c r="Q284" s="24">
        <f ca="1">IFERROR(__xludf.DUMMYFUNCTION("""COMPUTED_VALUE"""),0.262232839614258)</f>
        <v>0.26223283961425797</v>
      </c>
      <c r="R284" s="23">
        <f ca="1">IFERROR(__xludf.DUMMYFUNCTION("""COMPUTED_VALUE"""),-0.944028008146373)</f>
        <v>-0.944028008146373</v>
      </c>
      <c r="S284" s="23">
        <f ca="1">IFERROR(__xludf.DUMMYFUNCTION("""COMPUTED_VALUE"""),-0.768672925039144)</f>
        <v>-0.76867292503914397</v>
      </c>
      <c r="T284" s="23">
        <f ca="1">IFERROR(__xludf.DUMMYFUNCTION("""COMPUTED_VALUE"""),1.04268607538571)</f>
        <v>1.0426860753857099</v>
      </c>
      <c r="U284" s="23">
        <f ca="1">IFERROR(__xludf.DUMMYFUNCTION("""COMPUTED_VALUE"""),-0.691486178464643)</f>
        <v>-0.691486178464643</v>
      </c>
      <c r="V284" s="23">
        <f ca="1">IFERROR(__xludf.DUMMYFUNCTION("""COMPUTED_VALUE"""),0.517422124868317)</f>
        <v>0.51742212486831696</v>
      </c>
      <c r="W284" s="23">
        <f ca="1">IFERROR(__xludf.DUMMYFUNCTION("""COMPUTED_VALUE"""),-0.757002807360904)</f>
        <v>-0.75700280736090397</v>
      </c>
      <c r="X284" s="23"/>
      <c r="Y284" s="23">
        <f ca="1">IFERROR(__xludf.DUMMYFUNCTION("""COMPUTED_VALUE"""),-0.168877500636834)</f>
        <v>-0.16887750063683399</v>
      </c>
      <c r="Z284" s="23">
        <f ca="1">IFERROR(__xludf.DUMMYFUNCTION("""COMPUTED_VALUE"""),0.954876997558832)</f>
        <v>0.95487699755883204</v>
      </c>
      <c r="AA284" s="23">
        <f ca="1">IFERROR(__xludf.DUMMYFUNCTION("""COMPUTED_VALUE"""),0.486526035421494)</f>
        <v>0.48652603542149397</v>
      </c>
      <c r="AB284" s="23">
        <f ca="1">IFERROR(__xludf.DUMMYFUNCTION("""COMPUTED_VALUE"""),0.387313380562805)</f>
        <v>0.38731338056280501</v>
      </c>
      <c r="AC284" s="22">
        <f ca="1">IFERROR(__xludf.DUMMYFUNCTION("""COMPUTED_VALUE"""),0.668045370145381)</f>
        <v>0.66804537014538101</v>
      </c>
      <c r="AD284" s="23"/>
      <c r="AE284" s="23"/>
      <c r="AF284" s="22"/>
      <c r="AG284" s="22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</row>
    <row r="285" spans="1:45" ht="27.75" customHeight="1" x14ac:dyDescent="0.35">
      <c r="A285" s="15" t="s">
        <v>27</v>
      </c>
      <c r="B285" s="15" t="s">
        <v>169</v>
      </c>
      <c r="C285" s="15" t="str">
        <f ca="1">IFERROR(__xludf.DUMMYFUNCTION("""COMPUTED_VALUE"""),"2022/11/06 (日)
休日午後")</f>
        <v>2022/11/06 (日)
休日午後</v>
      </c>
      <c r="D285" s="15" t="str">
        <f ca="1">IFERROR(__xludf.DUMMYFUNCTION("""COMPUTED_VALUE"""),"休日午後")</f>
        <v>休日午後</v>
      </c>
      <c r="E285" s="16">
        <f ca="1">IFERROR(__xludf.DUMMYFUNCTION("""COMPUTED_VALUE"""),0.963989093584169)</f>
        <v>0.96398909358416895</v>
      </c>
      <c r="F285" s="15" t="s">
        <v>127</v>
      </c>
      <c r="G285" s="39">
        <v>0</v>
      </c>
      <c r="H285" s="27" t="s">
        <v>127</v>
      </c>
      <c r="I285" s="27"/>
      <c r="J285" s="27" t="s">
        <v>139</v>
      </c>
      <c r="K285" s="23" t="b">
        <f ca="1">IFERROR(__xludf.DUMMYFUNCTION("""COMPUTED_VALUE"""),FALSE)</f>
        <v>0</v>
      </c>
      <c r="L285" s="22"/>
      <c r="M285" s="23">
        <f ca="1">IFERROR(__xludf.DUMMYFUNCTION("""COMPUTED_VALUE"""),-0.579090592200359)</f>
        <v>-0.57909059220035897</v>
      </c>
      <c r="N285" s="23">
        <f ca="1">IFERROR(__xludf.DUMMYFUNCTION("""COMPUTED_VALUE"""),-0.991541917945429)</f>
        <v>-0.99154191794542901</v>
      </c>
      <c r="O285" s="23"/>
      <c r="P285" s="23"/>
      <c r="Q285" s="24">
        <f ca="1">IFERROR(__xludf.DUMMYFUNCTION("""COMPUTED_VALUE"""),0.0920351763276898)</f>
        <v>9.2035176327689802E-2</v>
      </c>
      <c r="R285" s="23">
        <f ca="1">IFERROR(__xludf.DUMMYFUNCTION("""COMPUTED_VALUE"""),-0.942977788292569)</f>
        <v>-0.94297778829256895</v>
      </c>
      <c r="S285" s="23">
        <f ca="1">IFERROR(__xludf.DUMMYFUNCTION("""COMPUTED_VALUE"""),-0.774548015698545)</f>
        <v>-0.77454801569854503</v>
      </c>
      <c r="T285" s="23">
        <f ca="1">IFERROR(__xludf.DUMMYFUNCTION("""COMPUTED_VALUE"""),0.0826221714723054)</f>
        <v>8.2622171472305397E-2</v>
      </c>
      <c r="U285" s="23">
        <f ca="1">IFERROR(__xludf.DUMMYFUNCTION("""COMPUTED_VALUE"""),-0.733048834250925)</f>
        <v>-0.73304883425092504</v>
      </c>
      <c r="V285" s="23">
        <f ca="1">IFERROR(__xludf.DUMMYFUNCTION("""COMPUTED_VALUE"""),0.269441076708462)</f>
        <v>0.26944107670846201</v>
      </c>
      <c r="W285" s="23">
        <f ca="1">IFERROR(__xludf.DUMMYFUNCTION("""COMPUTED_VALUE"""),-0.752704592264406)</f>
        <v>-0.752704592264406</v>
      </c>
      <c r="X285" s="23"/>
      <c r="Y285" s="23">
        <f ca="1">IFERROR(__xludf.DUMMYFUNCTION("""COMPUTED_VALUE"""),-0.0743810067728665)</f>
        <v>-7.4381006772866506E-2</v>
      </c>
      <c r="Z285" s="23">
        <f ca="1">IFERROR(__xludf.DUMMYFUNCTION("""COMPUTED_VALUE"""),0.642324870011645)</f>
        <v>0.64232487001164495</v>
      </c>
      <c r="AA285" s="23">
        <f ca="1">IFERROR(__xludf.DUMMYFUNCTION("""COMPUTED_VALUE"""),0.797031411089848)</f>
        <v>0.79703141108984799</v>
      </c>
      <c r="AB285" s="23">
        <f ca="1">IFERROR(__xludf.DUMMYFUNCTION("""COMPUTED_VALUE"""),0.396755493421799)</f>
        <v>0.396755493421799</v>
      </c>
      <c r="AC285" s="22">
        <f ca="1">IFERROR(__xludf.DUMMYFUNCTION("""COMPUTED_VALUE"""),0.329508420313931)</f>
        <v>0.32950842031393102</v>
      </c>
      <c r="AD285" s="23"/>
      <c r="AE285" s="23"/>
      <c r="AF285" s="22"/>
      <c r="AG285" s="22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</row>
    <row r="286" spans="1:45" ht="27.75" customHeight="1" x14ac:dyDescent="0.4">
      <c r="A286" s="15" t="s">
        <v>27</v>
      </c>
      <c r="B286" s="15" t="s">
        <v>169</v>
      </c>
      <c r="C286" s="15" t="str">
        <f ca="1">IFERROR(__xludf.DUMMYFUNCTION("""COMPUTED_VALUE"""),"2022/11/07 (月)
平日夜間")</f>
        <v>2022/11/07 (月)
平日夜間</v>
      </c>
      <c r="D286" s="15" t="str">
        <f ca="1">IFERROR(__xludf.DUMMYFUNCTION("""COMPUTED_VALUE"""),"平日夜間")</f>
        <v>平日夜間</v>
      </c>
      <c r="E286" s="16">
        <f ca="1">IFERROR(__xludf.DUMMYFUNCTION("""COMPUTED_VALUE"""),2.46973404696948)</f>
        <v>2.4697340469694802</v>
      </c>
      <c r="F286" s="15" t="s">
        <v>7</v>
      </c>
      <c r="G286" s="39">
        <v>2</v>
      </c>
      <c r="H286" s="29" t="s">
        <v>7</v>
      </c>
      <c r="I286" s="27"/>
      <c r="J286" s="27" t="s">
        <v>175</v>
      </c>
      <c r="K286" s="23" t="b">
        <f ca="1">IFERROR(__xludf.DUMMYFUNCTION("""COMPUTED_VALUE"""),TRUE)</f>
        <v>1</v>
      </c>
      <c r="L286" s="22"/>
      <c r="M286" s="23">
        <f ca="1">IFERROR(__xludf.DUMMYFUNCTION("""COMPUTED_VALUE"""),-0.366385276790883)</f>
        <v>-0.36638527679088301</v>
      </c>
      <c r="N286" s="23">
        <f ca="1">IFERROR(__xludf.DUMMYFUNCTION("""COMPUTED_VALUE"""),-0.566591861218026)</f>
        <v>-0.56659186121802596</v>
      </c>
      <c r="O286" s="23"/>
      <c r="P286" s="23"/>
      <c r="Q286" s="24">
        <f ca="1">IFERROR(__xludf.DUMMYFUNCTION("""COMPUTED_VALUE"""),0.227539590992907)</f>
        <v>0.22753959099290699</v>
      </c>
      <c r="R286" s="23">
        <f ca="1">IFERROR(__xludf.DUMMYFUNCTION("""COMPUTED_VALUE"""),-0.941629283951799)</f>
        <v>-0.94162928395179901</v>
      </c>
      <c r="S286" s="23">
        <f ca="1">IFERROR(__xludf.DUMMYFUNCTION("""COMPUTED_VALUE"""),0.761525601374487)</f>
        <v>0.76152560137448699</v>
      </c>
      <c r="T286" s="23">
        <f ca="1">IFERROR(__xludf.DUMMYFUNCTION("""COMPUTED_VALUE"""),0.018385542322266)</f>
        <v>1.8385542322266E-2</v>
      </c>
      <c r="U286" s="23">
        <f ca="1">IFERROR(__xludf.DUMMYFUNCTION("""COMPUTED_VALUE"""),0.713715760085025)</f>
        <v>0.71371576008502502</v>
      </c>
      <c r="V286" s="23">
        <f ca="1">IFERROR(__xludf.DUMMYFUNCTION("""COMPUTED_VALUE"""),0.928428909337909)</f>
        <v>0.928428909337909</v>
      </c>
      <c r="W286" s="23">
        <f ca="1">IFERROR(__xludf.DUMMYFUNCTION("""COMPUTED_VALUE"""),-0.77287205692952)</f>
        <v>-0.77287205692951999</v>
      </c>
      <c r="X286" s="23"/>
      <c r="Y286" s="23">
        <f ca="1">IFERROR(__xludf.DUMMYFUNCTION("""COMPUTED_VALUE"""),0.762017128586632)</f>
        <v>0.76201712858663195</v>
      </c>
      <c r="Z286" s="23">
        <f ca="1">IFERROR(__xludf.DUMMYFUNCTION("""COMPUTED_VALUE"""),0.453948276190962)</f>
        <v>0.45394827619096201</v>
      </c>
      <c r="AA286" s="23">
        <f ca="1">IFERROR(__xludf.DUMMYFUNCTION("""COMPUTED_VALUE"""),2.46973404696948)</f>
        <v>2.4697340469694802</v>
      </c>
      <c r="AB286" s="23">
        <f ca="1">IFERROR(__xludf.DUMMYFUNCTION("""COMPUTED_VALUE"""),0.506604734356918)</f>
        <v>0.506604734356918</v>
      </c>
      <c r="AC286" s="22">
        <f ca="1">IFERROR(__xludf.DUMMYFUNCTION("""COMPUTED_VALUE"""),0.826119085838125)</f>
        <v>0.82611908583812499</v>
      </c>
      <c r="AD286" s="23"/>
      <c r="AE286" s="23"/>
      <c r="AF286" s="22"/>
      <c r="AG286" s="22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</row>
    <row r="287" spans="1:45" ht="27.75" customHeight="1" x14ac:dyDescent="0.35">
      <c r="A287" s="15" t="s">
        <v>27</v>
      </c>
      <c r="B287" s="15" t="s">
        <v>169</v>
      </c>
      <c r="C287" s="15" t="str">
        <f ca="1">IFERROR(__xludf.DUMMYFUNCTION("""COMPUTED_VALUE"""),"2022/11/08 (火)
平日夜間")</f>
        <v>2022/11/08 (火)
平日夜間</v>
      </c>
      <c r="D287" s="15" t="str">
        <f ca="1">IFERROR(__xludf.DUMMYFUNCTION("""COMPUTED_VALUE"""),"平日夜間")</f>
        <v>平日夜間</v>
      </c>
      <c r="E287" s="16">
        <f ca="1">IFERROR(__xludf.DUMMYFUNCTION("""COMPUTED_VALUE"""),1.02235084894102)</f>
        <v>1.02235084894102</v>
      </c>
      <c r="F287" s="15" t="s">
        <v>6</v>
      </c>
      <c r="G287" s="39">
        <v>1</v>
      </c>
      <c r="H287" s="27" t="s">
        <v>6</v>
      </c>
      <c r="I287" s="27"/>
      <c r="J287" s="27" t="s">
        <v>56</v>
      </c>
      <c r="K287" s="23" t="b">
        <f ca="1">IFERROR(__xludf.DUMMYFUNCTION("""COMPUTED_VALUE"""),FALSE)</f>
        <v>0</v>
      </c>
      <c r="L287" s="22"/>
      <c r="M287" s="23">
        <f ca="1">IFERROR(__xludf.DUMMYFUNCTION("""COMPUTED_VALUE"""),0.676431349258114)</f>
        <v>0.67643134925811399</v>
      </c>
      <c r="N287" s="23">
        <f ca="1">IFERROR(__xludf.DUMMYFUNCTION("""COMPUTED_VALUE"""),-0.00333969854445337)</f>
        <v>-3.3396985444533699E-3</v>
      </c>
      <c r="O287" s="23"/>
      <c r="P287" s="23"/>
      <c r="Q287" s="24">
        <f ca="1">IFERROR(__xludf.DUMMYFUNCTION("""COMPUTED_VALUE"""),-0.541323143689904)</f>
        <v>-0.54132314368990397</v>
      </c>
      <c r="R287" s="23">
        <f ca="1">IFERROR(__xludf.DUMMYFUNCTION("""COMPUTED_VALUE"""),0.445207410290999)</f>
        <v>0.44520741029099897</v>
      </c>
      <c r="S287" s="23">
        <f ca="1">IFERROR(__xludf.DUMMYFUNCTION("""COMPUTED_VALUE"""),0.16080031657139)</f>
        <v>0.16080031657138999</v>
      </c>
      <c r="T287" s="23">
        <f ca="1">IFERROR(__xludf.DUMMYFUNCTION("""COMPUTED_VALUE"""),0.463412213693048)</f>
        <v>0.46341221369304803</v>
      </c>
      <c r="U287" s="23">
        <f ca="1">IFERROR(__xludf.DUMMYFUNCTION("""COMPUTED_VALUE"""),0.952607632262892)</f>
        <v>0.95260763226289202</v>
      </c>
      <c r="V287" s="23">
        <f ca="1">IFERROR(__xludf.DUMMYFUNCTION("""COMPUTED_VALUE"""),0.049270707085772)</f>
        <v>4.9270707085771998E-2</v>
      </c>
      <c r="W287" s="23">
        <f ca="1">IFERROR(__xludf.DUMMYFUNCTION("""COMPUTED_VALUE"""),0.335267586593156)</f>
        <v>0.33526758659315598</v>
      </c>
      <c r="X287" s="23"/>
      <c r="Y287" s="23">
        <f ca="1">IFERROR(__xludf.DUMMYFUNCTION("""COMPUTED_VALUE"""),0.480464140465225)</f>
        <v>0.48046414046522501</v>
      </c>
      <c r="Z287" s="23">
        <f ca="1">IFERROR(__xludf.DUMMYFUNCTION("""COMPUTED_VALUE"""),-0.703343080510774)</f>
        <v>-0.70334308051077399</v>
      </c>
      <c r="AA287" s="23">
        <f ca="1">IFERROR(__xludf.DUMMYFUNCTION("""COMPUTED_VALUE"""),-0.381014446612071)</f>
        <v>-0.38101444661207101</v>
      </c>
      <c r="AB287" s="23">
        <f ca="1">IFERROR(__xludf.DUMMYFUNCTION("""COMPUTED_VALUE"""),0.882462981055991)</f>
        <v>0.88246298105599097</v>
      </c>
      <c r="AC287" s="22">
        <f ca="1">IFERROR(__xludf.DUMMYFUNCTION("""COMPUTED_VALUE"""),1.02235084894102)</f>
        <v>1.02235084894102</v>
      </c>
      <c r="AD287" s="23"/>
      <c r="AE287" s="23"/>
      <c r="AF287" s="22"/>
      <c r="AG287" s="22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</row>
    <row r="288" spans="1:45" ht="27.75" customHeight="1" x14ac:dyDescent="0.4">
      <c r="A288" s="15" t="s">
        <v>27</v>
      </c>
      <c r="B288" s="15" t="s">
        <v>169</v>
      </c>
      <c r="C288" s="15" t="str">
        <f ca="1">IFERROR(__xludf.DUMMYFUNCTION("""COMPUTED_VALUE"""),"2022/11/09 (水)
平日夜間")</f>
        <v>2022/11/09 (水)
平日夜間</v>
      </c>
      <c r="D288" s="15" t="str">
        <f ca="1">IFERROR(__xludf.DUMMYFUNCTION("""COMPUTED_VALUE"""),"平日夜間")</f>
        <v>平日夜間</v>
      </c>
      <c r="E288" s="16">
        <f ca="1">IFERROR(__xludf.DUMMYFUNCTION("""COMPUTED_VALUE"""),0.957941375550633)</f>
        <v>0.95794137555063297</v>
      </c>
      <c r="F288" s="15" t="s">
        <v>149</v>
      </c>
      <c r="G288" s="39">
        <v>0</v>
      </c>
      <c r="H288" s="29" t="s">
        <v>17</v>
      </c>
      <c r="I288" s="27"/>
      <c r="J288" s="27" t="s">
        <v>176</v>
      </c>
      <c r="K288" s="23" t="b">
        <f ca="1">IFERROR(__xludf.DUMMYFUNCTION("""COMPUTED_VALUE"""),TRUE)</f>
        <v>1</v>
      </c>
      <c r="L288" s="22"/>
      <c r="M288" s="23">
        <f ca="1">IFERROR(__xludf.DUMMYFUNCTION("""COMPUTED_VALUE"""),0.356123003843138)</f>
        <v>0.356123003843138</v>
      </c>
      <c r="N288" s="23">
        <f ca="1">IFERROR(__xludf.DUMMYFUNCTION("""COMPUTED_VALUE"""),-0.343935941277916)</f>
        <v>-0.34393594127791599</v>
      </c>
      <c r="O288" s="23"/>
      <c r="P288" s="23"/>
      <c r="Q288" s="24">
        <f ca="1">IFERROR(__xludf.DUMMYFUNCTION("""COMPUTED_VALUE"""),0.792585435230811)</f>
        <v>0.79258543523081104</v>
      </c>
      <c r="R288" s="23">
        <f ca="1">IFERROR(__xludf.DUMMYFUNCTION("""COMPUTED_VALUE"""),-0.360762970206843)</f>
        <v>-0.360762970206843</v>
      </c>
      <c r="S288" s="23">
        <f ca="1">IFERROR(__xludf.DUMMYFUNCTION("""COMPUTED_VALUE"""),0.583078920196834)</f>
        <v>0.58307892019683405</v>
      </c>
      <c r="T288" s="23">
        <f ca="1">IFERROR(__xludf.DUMMYFUNCTION("""COMPUTED_VALUE"""),0.575368151704752)</f>
        <v>0.57536815170475197</v>
      </c>
      <c r="U288" s="23">
        <f ca="1">IFERROR(__xludf.DUMMYFUNCTION("""COMPUTED_VALUE"""),0.906138495805128)</f>
        <v>0.90613849580512795</v>
      </c>
      <c r="V288" s="23">
        <f ca="1">IFERROR(__xludf.DUMMYFUNCTION("""COMPUTED_VALUE"""),0.781170147838919)</f>
        <v>0.78117014783891903</v>
      </c>
      <c r="W288" s="23">
        <f ca="1">IFERROR(__xludf.DUMMYFUNCTION("""COMPUTED_VALUE"""),-0.490636296130798)</f>
        <v>-0.49063629613079801</v>
      </c>
      <c r="X288" s="23"/>
      <c r="Y288" s="23">
        <f ca="1">IFERROR(__xludf.DUMMYFUNCTION("""COMPUTED_VALUE"""),0.670916565776363)</f>
        <v>0.67091656577636305</v>
      </c>
      <c r="Z288" s="23">
        <f ca="1">IFERROR(__xludf.DUMMYFUNCTION("""COMPUTED_VALUE"""),0.576498946322671)</f>
        <v>0.57649894632267096</v>
      </c>
      <c r="AA288" s="23">
        <f ca="1">IFERROR(__xludf.DUMMYFUNCTION("""COMPUTED_VALUE"""),0.819006945762627)</f>
        <v>0.819006945762627</v>
      </c>
      <c r="AB288" s="23">
        <f ca="1">IFERROR(__xludf.DUMMYFUNCTION("""COMPUTED_VALUE"""),0.907757226485429)</f>
        <v>0.907757226485429</v>
      </c>
      <c r="AC288" s="22">
        <f ca="1">IFERROR(__xludf.DUMMYFUNCTION("""COMPUTED_VALUE"""),0.661045968529654)</f>
        <v>0.66104596852965403</v>
      </c>
      <c r="AD288" s="23"/>
      <c r="AE288" s="23"/>
      <c r="AF288" s="22"/>
      <c r="AG288" s="22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</row>
    <row r="289" spans="1:45" ht="27.75" customHeight="1" x14ac:dyDescent="0.4">
      <c r="A289" s="15" t="s">
        <v>27</v>
      </c>
      <c r="B289" s="15" t="s">
        <v>169</v>
      </c>
      <c r="C289" s="15" t="str">
        <f ca="1">IFERROR(__xludf.DUMMYFUNCTION("""COMPUTED_VALUE"""),"2022/11/10 (木)
平日夜間")</f>
        <v>2022/11/10 (木)
平日夜間</v>
      </c>
      <c r="D289" s="15" t="str">
        <f ca="1">IFERROR(__xludf.DUMMYFUNCTION("""COMPUTED_VALUE"""),"平日夜間")</f>
        <v>平日夜間</v>
      </c>
      <c r="E289" s="16">
        <f ca="1">IFERROR(__xludf.DUMMYFUNCTION("""COMPUTED_VALUE"""),2.97361650427284)</f>
        <v>2.9736165042728402</v>
      </c>
      <c r="F289" s="15" t="s">
        <v>9</v>
      </c>
      <c r="G289" s="39">
        <v>2</v>
      </c>
      <c r="H289" s="29" t="s">
        <v>9</v>
      </c>
      <c r="I289" s="27"/>
      <c r="J289" s="27" t="s">
        <v>177</v>
      </c>
      <c r="K289" s="23" t="b">
        <f ca="1">IFERROR(__xludf.DUMMYFUNCTION("""COMPUTED_VALUE"""),TRUE)</f>
        <v>1</v>
      </c>
      <c r="L289" s="22"/>
      <c r="M289" s="23">
        <f ca="1">IFERROR(__xludf.DUMMYFUNCTION("""COMPUTED_VALUE"""),0.143819842408862)</f>
        <v>0.143819842408862</v>
      </c>
      <c r="N289" s="23">
        <f ca="1">IFERROR(__xludf.DUMMYFUNCTION("""COMPUTED_VALUE"""),-0.931510652709494)</f>
        <v>-0.93151065270949396</v>
      </c>
      <c r="O289" s="23"/>
      <c r="P289" s="23"/>
      <c r="Q289" s="24">
        <f ca="1">IFERROR(__xludf.DUMMYFUNCTION("""COMPUTED_VALUE"""),0.384176715197113)</f>
        <v>0.38417671519711299</v>
      </c>
      <c r="R289" s="23">
        <f ca="1">IFERROR(__xludf.DUMMYFUNCTION("""COMPUTED_VALUE"""),-0.992000721249027)</f>
        <v>-0.99200072124902705</v>
      </c>
      <c r="S289" s="23">
        <f ca="1">IFERROR(__xludf.DUMMYFUNCTION("""COMPUTED_VALUE"""),-0.0245840224195053)</f>
        <v>-2.4584022419505299E-2</v>
      </c>
      <c r="T289" s="23">
        <f ca="1">IFERROR(__xludf.DUMMYFUNCTION("""COMPUTED_VALUE"""),0.66528765099296)</f>
        <v>0.66528765099295994</v>
      </c>
      <c r="U289" s="23">
        <f ca="1">IFERROR(__xludf.DUMMYFUNCTION("""COMPUTED_VALUE"""),-0.0637904426297482)</f>
        <v>-6.3790442629748201E-2</v>
      </c>
      <c r="V289" s="23">
        <f ca="1">IFERROR(__xludf.DUMMYFUNCTION("""COMPUTED_VALUE"""),2.97361650427284)</f>
        <v>2.9736165042728402</v>
      </c>
      <c r="W289" s="23">
        <f ca="1">IFERROR(__xludf.DUMMYFUNCTION("""COMPUTED_VALUE"""),0.0499686693567773)</f>
        <v>4.9968669356777302E-2</v>
      </c>
      <c r="X289" s="23"/>
      <c r="Y289" s="23">
        <f ca="1">IFERROR(__xludf.DUMMYFUNCTION("""COMPUTED_VALUE"""),0.815130472915471)</f>
        <v>0.81513047291547103</v>
      </c>
      <c r="Z289" s="23">
        <f ca="1">IFERROR(__xludf.DUMMYFUNCTION("""COMPUTED_VALUE"""),0.996429104098383)</f>
        <v>0.99642910409838303</v>
      </c>
      <c r="AA289" s="23">
        <f ca="1">IFERROR(__xludf.DUMMYFUNCTION("""COMPUTED_VALUE"""),0.0113286139566033)</f>
        <v>1.13286139566033E-2</v>
      </c>
      <c r="AB289" s="23">
        <f ca="1">IFERROR(__xludf.DUMMYFUNCTION("""COMPUTED_VALUE"""),0.861488083846099)</f>
        <v>0.86148808384609898</v>
      </c>
      <c r="AC289" s="22">
        <f ca="1">IFERROR(__xludf.DUMMYFUNCTION("""COMPUTED_VALUE"""),0.321322678939185)</f>
        <v>0.32132267893918498</v>
      </c>
      <c r="AD289" s="23"/>
      <c r="AE289" s="23"/>
      <c r="AF289" s="22"/>
      <c r="AG289" s="22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</row>
    <row r="290" spans="1:45" ht="27.75" customHeight="1" x14ac:dyDescent="0.4">
      <c r="A290" s="15" t="s">
        <v>27</v>
      </c>
      <c r="B290" s="15" t="s">
        <v>169</v>
      </c>
      <c r="C290" s="15" t="str">
        <f ca="1">IFERROR(__xludf.DUMMYFUNCTION("""COMPUTED_VALUE"""),"2022/11/11 (金)
平日夜間")</f>
        <v>2022/11/11 (金)
平日夜間</v>
      </c>
      <c r="D290" s="15" t="str">
        <f ca="1">IFERROR(__xludf.DUMMYFUNCTION("""COMPUTED_VALUE"""),"平日夜間")</f>
        <v>平日夜間</v>
      </c>
      <c r="E290" s="16">
        <f ca="1">IFERROR(__xludf.DUMMYFUNCTION("""COMPUTED_VALUE"""),2.71260426702355)</f>
        <v>2.7126042670235502</v>
      </c>
      <c r="F290" s="15" t="s">
        <v>10</v>
      </c>
      <c r="G290" s="39">
        <v>2</v>
      </c>
      <c r="H290" s="29" t="s">
        <v>10</v>
      </c>
      <c r="I290" s="27"/>
      <c r="J290" s="27" t="s">
        <v>137</v>
      </c>
      <c r="K290" s="23" t="b">
        <f ca="1">IFERROR(__xludf.DUMMYFUNCTION("""COMPUTED_VALUE"""),TRUE)</f>
        <v>1</v>
      </c>
      <c r="L290" s="22"/>
      <c r="M290" s="23">
        <f ca="1">IFERROR(__xludf.DUMMYFUNCTION("""COMPUTED_VALUE"""),0.490577022941228)</f>
        <v>0.49057702294122801</v>
      </c>
      <c r="N290" s="23">
        <f ca="1">IFERROR(__xludf.DUMMYFUNCTION("""COMPUTED_VALUE"""),-0.976545609311723)</f>
        <v>-0.97654560931172296</v>
      </c>
      <c r="O290" s="23"/>
      <c r="P290" s="23"/>
      <c r="Q290" s="24">
        <f ca="1">IFERROR(__xludf.DUMMYFUNCTION("""COMPUTED_VALUE"""),0.798547076443854)</f>
        <v>0.79854707644385403</v>
      </c>
      <c r="R290" s="23">
        <f ca="1">IFERROR(__xludf.DUMMYFUNCTION("""COMPUTED_VALUE"""),-0.792948176778296)</f>
        <v>-0.79294817677829599</v>
      </c>
      <c r="S290" s="23">
        <f ca="1">IFERROR(__xludf.DUMMYFUNCTION("""COMPUTED_VALUE"""),-0.14218584102861)</f>
        <v>-0.14218584102861001</v>
      </c>
      <c r="T290" s="23">
        <f ca="1">IFERROR(__xludf.DUMMYFUNCTION("""COMPUTED_VALUE"""),-0.492624673540628)</f>
        <v>-0.492624673540628</v>
      </c>
      <c r="U290" s="23">
        <f ca="1">IFERROR(__xludf.DUMMYFUNCTION("""COMPUTED_VALUE"""),-0.413924501112293)</f>
        <v>-0.41392450111229301</v>
      </c>
      <c r="V290" s="23">
        <f ca="1">IFERROR(__xludf.DUMMYFUNCTION("""COMPUTED_VALUE"""),0.373226807132593)</f>
        <v>0.37322680713259299</v>
      </c>
      <c r="W290" s="23">
        <f ca="1">IFERROR(__xludf.DUMMYFUNCTION("""COMPUTED_VALUE"""),0.0921629949879083)</f>
        <v>9.2162994987908295E-2</v>
      </c>
      <c r="X290" s="23"/>
      <c r="Y290" s="23">
        <f ca="1">IFERROR(__xludf.DUMMYFUNCTION("""COMPUTED_VALUE"""),0.506173250720112)</f>
        <v>0.50617325072011199</v>
      </c>
      <c r="Z290" s="23">
        <f ca="1">IFERROR(__xludf.DUMMYFUNCTION("""COMPUTED_VALUE"""),2.71260426702355)</f>
        <v>2.7126042670235502</v>
      </c>
      <c r="AA290" s="23">
        <f ca="1">IFERROR(__xludf.DUMMYFUNCTION("""COMPUTED_VALUE"""),0.110495186885819)</f>
        <v>0.110495186885819</v>
      </c>
      <c r="AB290" s="23">
        <f ca="1">IFERROR(__xludf.DUMMYFUNCTION("""COMPUTED_VALUE"""),0.960670561075229)</f>
        <v>0.96067056107522897</v>
      </c>
      <c r="AC290" s="22">
        <f ca="1">IFERROR(__xludf.DUMMYFUNCTION("""COMPUTED_VALUE"""),-0.395974590513273)</f>
        <v>-0.39597459051327299</v>
      </c>
      <c r="AD290" s="23"/>
      <c r="AE290" s="23"/>
      <c r="AF290" s="22"/>
      <c r="AG290" s="22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</row>
    <row r="291" spans="1:45" ht="27.75" customHeight="1" x14ac:dyDescent="0.35">
      <c r="A291" s="15" t="s">
        <v>27</v>
      </c>
      <c r="B291" s="15" t="s">
        <v>169</v>
      </c>
      <c r="C291" s="15" t="str">
        <f ca="1">IFERROR(__xludf.DUMMYFUNCTION("""COMPUTED_VALUE"""),"2022/11/12 (土)
休日午前")</f>
        <v>2022/11/12 (土)
休日午前</v>
      </c>
      <c r="D291" s="15" t="str">
        <f ca="1">IFERROR(__xludf.DUMMYFUNCTION("""COMPUTED_VALUE"""),"休日午前")</f>
        <v>休日午前</v>
      </c>
      <c r="E291" s="16">
        <f ca="1">IFERROR(__xludf.DUMMYFUNCTION("""COMPUTED_VALUE"""),2.99555729187283)</f>
        <v>2.9955572918728302</v>
      </c>
      <c r="F291" s="15" t="s">
        <v>8</v>
      </c>
      <c r="G291" s="39">
        <v>0</v>
      </c>
      <c r="H291" s="27" t="s">
        <v>4</v>
      </c>
      <c r="I291" s="27"/>
      <c r="J291" s="27" t="s">
        <v>178</v>
      </c>
      <c r="K291" s="23" t="b">
        <f ca="1">IFERROR(__xludf.DUMMYFUNCTION("""COMPUTED_VALUE"""),FALSE)</f>
        <v>0</v>
      </c>
      <c r="L291" s="22"/>
      <c r="M291" s="23">
        <f ca="1">IFERROR(__xludf.DUMMYFUNCTION("""COMPUTED_VALUE"""),0.551309622718486)</f>
        <v>0.55130962271848605</v>
      </c>
      <c r="N291" s="23">
        <f ca="1">IFERROR(__xludf.DUMMYFUNCTION("""COMPUTED_VALUE"""),-0.2328763213379)</f>
        <v>-0.23287632133790001</v>
      </c>
      <c r="O291" s="23"/>
      <c r="P291" s="23"/>
      <c r="Q291" s="24">
        <f ca="1">IFERROR(__xludf.DUMMYFUNCTION("""COMPUTED_VALUE"""),0.259644022350837)</f>
        <v>0.259644022350837</v>
      </c>
      <c r="R291" s="23">
        <f ca="1">IFERROR(__xludf.DUMMYFUNCTION("""COMPUTED_VALUE"""),-0.589105085358655)</f>
        <v>-0.58910508535865502</v>
      </c>
      <c r="S291" s="23">
        <f ca="1">IFERROR(__xludf.DUMMYFUNCTION("""COMPUTED_VALUE"""),2.99555729187283)</f>
        <v>2.9955572918728302</v>
      </c>
      <c r="T291" s="23">
        <f ca="1">IFERROR(__xludf.DUMMYFUNCTION("""COMPUTED_VALUE"""),-0.264573026463102)</f>
        <v>-0.26457302646310199</v>
      </c>
      <c r="U291" s="23">
        <f ca="1">IFERROR(__xludf.DUMMYFUNCTION("""COMPUTED_VALUE"""),-0.285313986547495)</f>
        <v>-0.28531398654749501</v>
      </c>
      <c r="V291" s="23">
        <f ca="1">IFERROR(__xludf.DUMMYFUNCTION("""COMPUTED_VALUE"""),0.226848913661703)</f>
        <v>0.22684891366170301</v>
      </c>
      <c r="W291" s="23">
        <f ca="1">IFERROR(__xludf.DUMMYFUNCTION("""COMPUTED_VALUE"""),0.0385563751137767)</f>
        <v>3.85563751137767E-2</v>
      </c>
      <c r="X291" s="23"/>
      <c r="Y291" s="23">
        <f ca="1">IFERROR(__xludf.DUMMYFUNCTION("""COMPUTED_VALUE"""),0.518694619622627)</f>
        <v>0.51869461962262697</v>
      </c>
      <c r="Z291" s="23">
        <f ca="1">IFERROR(__xludf.DUMMYFUNCTION("""COMPUTED_VALUE"""),0.408516661228369)</f>
        <v>0.40851666122836899</v>
      </c>
      <c r="AA291" s="23">
        <f ca="1">IFERROR(__xludf.DUMMYFUNCTION("""COMPUTED_VALUE"""),-0.0804976272419699)</f>
        <v>-8.0497627241969905E-2</v>
      </c>
      <c r="AB291" s="23">
        <f ca="1">IFERROR(__xludf.DUMMYFUNCTION("""COMPUTED_VALUE"""),0.0945787659488726)</f>
        <v>9.4578765948872601E-2</v>
      </c>
      <c r="AC291" s="22">
        <f ca="1">IFERROR(__xludf.DUMMYFUNCTION("""COMPUTED_VALUE"""),0.821678293277254)</f>
        <v>0.82167829327725395</v>
      </c>
      <c r="AD291" s="23"/>
      <c r="AE291" s="23"/>
      <c r="AF291" s="22"/>
      <c r="AG291" s="22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</row>
    <row r="292" spans="1:45" ht="27.75" customHeight="1" x14ac:dyDescent="0.4">
      <c r="A292" s="15" t="s">
        <v>27</v>
      </c>
      <c r="B292" s="15" t="s">
        <v>169</v>
      </c>
      <c r="C292" s="15" t="str">
        <f ca="1">IFERROR(__xludf.DUMMYFUNCTION("""COMPUTED_VALUE"""),"2022/11/12 (土)
休日午後")</f>
        <v>2022/11/12 (土)
休日午後</v>
      </c>
      <c r="D292" s="15" t="str">
        <f ca="1">IFERROR(__xludf.DUMMYFUNCTION("""COMPUTED_VALUE"""),"休日午後")</f>
        <v>休日午後</v>
      </c>
      <c r="E292" s="16">
        <f ca="1">IFERROR(__xludf.DUMMYFUNCTION("""COMPUTED_VALUE"""),2.17711830515111)</f>
        <v>2.1771183051511098</v>
      </c>
      <c r="F292" s="15" t="s">
        <v>8</v>
      </c>
      <c r="G292" s="39">
        <v>2</v>
      </c>
      <c r="H292" s="29" t="s">
        <v>8</v>
      </c>
      <c r="I292" s="27"/>
      <c r="J292" s="27" t="s">
        <v>178</v>
      </c>
      <c r="K292" s="23" t="b">
        <f ca="1">IFERROR(__xludf.DUMMYFUNCTION("""COMPUTED_VALUE"""),TRUE)</f>
        <v>1</v>
      </c>
      <c r="L292" s="22"/>
      <c r="M292" s="23">
        <f ca="1">IFERROR(__xludf.DUMMYFUNCTION("""COMPUTED_VALUE"""),-0.791760254718913)</f>
        <v>-0.79176025471891298</v>
      </c>
      <c r="N292" s="23">
        <f ca="1">IFERROR(__xludf.DUMMYFUNCTION("""COMPUTED_VALUE"""),-0.797217495021413)</f>
        <v>-0.79721749502141304</v>
      </c>
      <c r="O292" s="23"/>
      <c r="P292" s="23"/>
      <c r="Q292" s="24">
        <f ca="1">IFERROR(__xludf.DUMMYFUNCTION("""COMPUTED_VALUE"""),0.256285883279187)</f>
        <v>0.256285883279187</v>
      </c>
      <c r="R292" s="23">
        <f ca="1">IFERROR(__xludf.DUMMYFUNCTION("""COMPUTED_VALUE"""),-0.202058963265225)</f>
        <v>-0.20205896326522499</v>
      </c>
      <c r="S292" s="23">
        <f ca="1">IFERROR(__xludf.DUMMYFUNCTION("""COMPUTED_VALUE"""),2.17711830515111)</f>
        <v>2.1771183051511098</v>
      </c>
      <c r="T292" s="23">
        <f ca="1">IFERROR(__xludf.DUMMYFUNCTION("""COMPUTED_VALUE"""),-0.0106137092518769)</f>
        <v>-1.06137092518769E-2</v>
      </c>
      <c r="U292" s="23">
        <f ca="1">IFERROR(__xludf.DUMMYFUNCTION("""COMPUTED_VALUE"""),-0.122305184464199)</f>
        <v>-0.122305184464199</v>
      </c>
      <c r="V292" s="23">
        <f ca="1">IFERROR(__xludf.DUMMYFUNCTION("""COMPUTED_VALUE"""),0.130216988176213)</f>
        <v>0.13021698817621299</v>
      </c>
      <c r="W292" s="23">
        <f ca="1">IFERROR(__xludf.DUMMYFUNCTION("""COMPUTED_VALUE"""),0.591679667427932)</f>
        <v>0.59167966742793199</v>
      </c>
      <c r="X292" s="23"/>
      <c r="Y292" s="23">
        <f ca="1">IFERROR(__xludf.DUMMYFUNCTION("""COMPUTED_VALUE"""),-0.311311279859412)</f>
        <v>-0.31131127985941198</v>
      </c>
      <c r="Z292" s="23">
        <f ca="1">IFERROR(__xludf.DUMMYFUNCTION("""COMPUTED_VALUE"""),0.693174175703491)</f>
        <v>0.69317417570349105</v>
      </c>
      <c r="AA292" s="23">
        <f ca="1">IFERROR(__xludf.DUMMYFUNCTION("""COMPUTED_VALUE"""),-0.44652730477184)</f>
        <v>-0.44652730477183999</v>
      </c>
      <c r="AB292" s="23">
        <f ca="1">IFERROR(__xludf.DUMMYFUNCTION("""COMPUTED_VALUE"""),0.934481979759887)</f>
        <v>0.934481979759887</v>
      </c>
      <c r="AC292" s="22">
        <f ca="1">IFERROR(__xludf.DUMMYFUNCTION("""COMPUTED_VALUE"""),0.409927621501615)</f>
        <v>0.40992762150161499</v>
      </c>
      <c r="AD292" s="23"/>
      <c r="AE292" s="23"/>
      <c r="AF292" s="22"/>
      <c r="AG292" s="22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</row>
    <row r="293" spans="1:45" ht="27.75" customHeight="1" x14ac:dyDescent="0.35">
      <c r="A293" s="15" t="s">
        <v>27</v>
      </c>
      <c r="B293" s="15" t="s">
        <v>169</v>
      </c>
      <c r="C293" s="15" t="str">
        <f ca="1">IFERROR(__xludf.DUMMYFUNCTION("""COMPUTED_VALUE"""),"2022/11/13 (日)
休日午前")</f>
        <v>2022/11/13 (日)
休日午前</v>
      </c>
      <c r="D293" s="15" t="str">
        <f ca="1">IFERROR(__xludf.DUMMYFUNCTION("""COMPUTED_VALUE"""),"休日午前")</f>
        <v>休日午前</v>
      </c>
      <c r="E293" s="16">
        <f ca="1">IFERROR(__xludf.DUMMYFUNCTION("""COMPUTED_VALUE"""),0.982074831174882)</f>
        <v>0.98207483117488203</v>
      </c>
      <c r="F293" s="15" t="s">
        <v>127</v>
      </c>
      <c r="G293" s="39">
        <v>0</v>
      </c>
      <c r="H293" s="27" t="s">
        <v>10</v>
      </c>
      <c r="I293" s="27"/>
      <c r="J293" s="27" t="s">
        <v>179</v>
      </c>
      <c r="K293" s="23" t="b">
        <f ca="1">IFERROR(__xludf.DUMMYFUNCTION("""COMPUTED_VALUE"""),FALSE)</f>
        <v>0</v>
      </c>
      <c r="L293" s="22"/>
      <c r="M293" s="23">
        <f ca="1">IFERROR(__xludf.DUMMYFUNCTION("""COMPUTED_VALUE"""),-0.707207286712498)</f>
        <v>-0.707207286712498</v>
      </c>
      <c r="N293" s="23">
        <f ca="1">IFERROR(__xludf.DUMMYFUNCTION("""COMPUTED_VALUE"""),-0.443535747938416)</f>
        <v>-0.44353574793841599</v>
      </c>
      <c r="O293" s="23"/>
      <c r="P293" s="23"/>
      <c r="Q293" s="24">
        <f ca="1">IFERROR(__xludf.DUMMYFUNCTION("""COMPUTED_VALUE"""),0.132795707375549)</f>
        <v>0.13279570737554899</v>
      </c>
      <c r="R293" s="23">
        <f ca="1">IFERROR(__xludf.DUMMYFUNCTION("""COMPUTED_VALUE"""),-0.158881372702268)</f>
        <v>-0.15888137270226799</v>
      </c>
      <c r="S293" s="23">
        <f ca="1">IFERROR(__xludf.DUMMYFUNCTION("""COMPUTED_VALUE"""),-0.430152146883167)</f>
        <v>-0.430152146883167</v>
      </c>
      <c r="T293" s="23">
        <f ca="1">IFERROR(__xludf.DUMMYFUNCTION("""COMPUTED_VALUE"""),-0.903685051182701)</f>
        <v>-0.90368505118270104</v>
      </c>
      <c r="U293" s="23">
        <f ca="1">IFERROR(__xludf.DUMMYFUNCTION("""COMPUTED_VALUE"""),-0.412089258075351)</f>
        <v>-0.41208925807535102</v>
      </c>
      <c r="V293" s="23">
        <f ca="1">IFERROR(__xludf.DUMMYFUNCTION("""COMPUTED_VALUE"""),0.679508055886028)</f>
        <v>0.67950805588602803</v>
      </c>
      <c r="W293" s="23">
        <f ca="1">IFERROR(__xludf.DUMMYFUNCTION("""COMPUTED_VALUE"""),0.127277015180959)</f>
        <v>0.12727701518095899</v>
      </c>
      <c r="X293" s="23"/>
      <c r="Y293" s="23">
        <f ca="1">IFERROR(__xludf.DUMMYFUNCTION("""COMPUTED_VALUE"""),0.312086639635242)</f>
        <v>0.31208663963524202</v>
      </c>
      <c r="Z293" s="23">
        <f ca="1">IFERROR(__xludf.DUMMYFUNCTION("""COMPUTED_VALUE"""),0.903258948988467)</f>
        <v>0.90325894898846704</v>
      </c>
      <c r="AA293" s="23">
        <f ca="1">IFERROR(__xludf.DUMMYFUNCTION("""COMPUTED_VALUE"""),-0.130185041356745)</f>
        <v>-0.130185041356745</v>
      </c>
      <c r="AB293" s="23">
        <f ca="1">IFERROR(__xludf.DUMMYFUNCTION("""COMPUTED_VALUE"""),0.794155268118399)</f>
        <v>0.79415526811839898</v>
      </c>
      <c r="AC293" s="22">
        <f ca="1">IFERROR(__xludf.DUMMYFUNCTION("""COMPUTED_VALUE"""),0.832004717708698)</f>
        <v>0.83200471770869799</v>
      </c>
      <c r="AD293" s="23"/>
      <c r="AE293" s="23"/>
      <c r="AF293" s="22"/>
      <c r="AG293" s="22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</row>
    <row r="294" spans="1:45" ht="27.75" customHeight="1" x14ac:dyDescent="0.35">
      <c r="A294" s="15" t="s">
        <v>27</v>
      </c>
      <c r="B294" s="15" t="s">
        <v>169</v>
      </c>
      <c r="C294" s="15" t="str">
        <f ca="1">IFERROR(__xludf.DUMMYFUNCTION("""COMPUTED_VALUE"""),"2022/11/13 (日)
休日午後")</f>
        <v>2022/11/13 (日)
休日午後</v>
      </c>
      <c r="D294" s="15" t="str">
        <f ca="1">IFERROR(__xludf.DUMMYFUNCTION("""COMPUTED_VALUE"""),"休日午後")</f>
        <v>休日午後</v>
      </c>
      <c r="E294" s="16">
        <f ca="1">IFERROR(__xludf.DUMMYFUNCTION("""COMPUTED_VALUE"""),0.977071723160995)</f>
        <v>0.977071723160995</v>
      </c>
      <c r="F294" s="15" t="s">
        <v>10</v>
      </c>
      <c r="G294" s="39">
        <v>0</v>
      </c>
      <c r="H294" s="27" t="s">
        <v>6</v>
      </c>
      <c r="I294" s="27"/>
      <c r="J294" s="27" t="s">
        <v>179</v>
      </c>
      <c r="K294" s="23" t="b">
        <f ca="1">IFERROR(__xludf.DUMMYFUNCTION("""COMPUTED_VALUE"""),FALSE)</f>
        <v>0</v>
      </c>
      <c r="L294" s="22"/>
      <c r="M294" s="23">
        <f ca="1">IFERROR(__xludf.DUMMYFUNCTION("""COMPUTED_VALUE"""),-0.742592620155752)</f>
        <v>-0.742592620155752</v>
      </c>
      <c r="N294" s="23">
        <f ca="1">IFERROR(__xludf.DUMMYFUNCTION("""COMPUTED_VALUE"""),-0.664449464306015)</f>
        <v>-0.66444946430601504</v>
      </c>
      <c r="O294" s="23"/>
      <c r="P294" s="23"/>
      <c r="Q294" s="24">
        <f ca="1">IFERROR(__xludf.DUMMYFUNCTION("""COMPUTED_VALUE"""),0.963324855535239)</f>
        <v>0.96332485553523906</v>
      </c>
      <c r="R294" s="23">
        <f ca="1">IFERROR(__xludf.DUMMYFUNCTION("""COMPUTED_VALUE"""),-0.99777065426265)</f>
        <v>-0.99777065426264999</v>
      </c>
      <c r="S294" s="23">
        <f ca="1">IFERROR(__xludf.DUMMYFUNCTION("""COMPUTED_VALUE"""),-0.828243542785843)</f>
        <v>-0.828243542785843</v>
      </c>
      <c r="T294" s="23">
        <f ca="1">IFERROR(__xludf.DUMMYFUNCTION("""COMPUTED_VALUE"""),-0.153449268386696)</f>
        <v>-0.15344926838669601</v>
      </c>
      <c r="U294" s="23">
        <f ca="1">IFERROR(__xludf.DUMMYFUNCTION("""COMPUTED_VALUE"""),-0.487537985199617)</f>
        <v>-0.487537985199617</v>
      </c>
      <c r="V294" s="23">
        <f ca="1">IFERROR(__xludf.DUMMYFUNCTION("""COMPUTED_VALUE"""),0.122241327500267)</f>
        <v>0.12224132750026701</v>
      </c>
      <c r="W294" s="23">
        <f ca="1">IFERROR(__xludf.DUMMYFUNCTION("""COMPUTED_VALUE"""),0.650464330929569)</f>
        <v>0.65046433092956901</v>
      </c>
      <c r="X294" s="23"/>
      <c r="Y294" s="23">
        <f ca="1">IFERROR(__xludf.DUMMYFUNCTION("""COMPUTED_VALUE"""),-0.154329639007002)</f>
        <v>-0.154329639007002</v>
      </c>
      <c r="Z294" s="23">
        <f ca="1">IFERROR(__xludf.DUMMYFUNCTION("""COMPUTED_VALUE"""),0.977071723160995)</f>
        <v>0.977071723160995</v>
      </c>
      <c r="AA294" s="23">
        <f ca="1">IFERROR(__xludf.DUMMYFUNCTION("""COMPUTED_VALUE"""),-0.17070561306746)</f>
        <v>-0.17070561306745999</v>
      </c>
      <c r="AB294" s="23">
        <f ca="1">IFERROR(__xludf.DUMMYFUNCTION("""COMPUTED_VALUE"""),0.889138076413331)</f>
        <v>0.88913807641333098</v>
      </c>
      <c r="AC294" s="22">
        <f ca="1">IFERROR(__xludf.DUMMYFUNCTION("""COMPUTED_VALUE"""),0.545668151113096)</f>
        <v>0.54566815111309597</v>
      </c>
      <c r="AD294" s="23"/>
      <c r="AE294" s="23"/>
      <c r="AF294" s="22"/>
      <c r="AG294" s="22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</row>
    <row r="295" spans="1:45" ht="27.75" customHeight="1" x14ac:dyDescent="0.35">
      <c r="A295" s="15" t="s">
        <v>27</v>
      </c>
      <c r="B295" s="15" t="s">
        <v>169</v>
      </c>
      <c r="C295" s="15" t="str">
        <f ca="1">IFERROR(__xludf.DUMMYFUNCTION("""COMPUTED_VALUE"""),"2022/11/14 (月)
平日夜間")</f>
        <v>2022/11/14 (月)
平日夜間</v>
      </c>
      <c r="D295" s="15" t="str">
        <f ca="1">IFERROR(__xludf.DUMMYFUNCTION("""COMPUTED_VALUE"""),"平日夜間")</f>
        <v>平日夜間</v>
      </c>
      <c r="E295" s="16">
        <f ca="1">IFERROR(__xludf.DUMMYFUNCTION("""COMPUTED_VALUE"""),0.844031308919605)</f>
        <v>0.84403130891960498</v>
      </c>
      <c r="F295" s="15" t="s">
        <v>149</v>
      </c>
      <c r="G295" s="39">
        <v>0</v>
      </c>
      <c r="H295" s="27" t="s">
        <v>8</v>
      </c>
      <c r="I295" s="27"/>
      <c r="J295" s="27" t="s">
        <v>124</v>
      </c>
      <c r="K295" s="23" t="b">
        <f ca="1">IFERROR(__xludf.DUMMYFUNCTION("""COMPUTED_VALUE"""),FALSE)</f>
        <v>0</v>
      </c>
      <c r="L295" s="22"/>
      <c r="M295" s="23">
        <f ca="1">IFERROR(__xludf.DUMMYFUNCTION("""COMPUTED_VALUE"""),-0.93323970548666)</f>
        <v>-0.93323970548666002</v>
      </c>
      <c r="N295" s="23">
        <f ca="1">IFERROR(__xludf.DUMMYFUNCTION("""COMPUTED_VALUE"""),-0.166883223301547)</f>
        <v>-0.16688322330154701</v>
      </c>
      <c r="O295" s="23"/>
      <c r="P295" s="23"/>
      <c r="Q295" s="24">
        <f ca="1">IFERROR(__xludf.DUMMYFUNCTION("""COMPUTED_VALUE"""),0.758854637458546)</f>
        <v>0.75885463745854598</v>
      </c>
      <c r="R295" s="23">
        <f ca="1">IFERROR(__xludf.DUMMYFUNCTION("""COMPUTED_VALUE"""),-0.747991610663333)</f>
        <v>-0.74799161066333297</v>
      </c>
      <c r="S295" s="23">
        <f ca="1">IFERROR(__xludf.DUMMYFUNCTION("""COMPUTED_VALUE"""),0.273416399911122)</f>
        <v>0.27341639991112199</v>
      </c>
      <c r="T295" s="23">
        <f ca="1">IFERROR(__xludf.DUMMYFUNCTION("""COMPUTED_VALUE"""),-0.0443140022832537)</f>
        <v>-4.4314002283253703E-2</v>
      </c>
      <c r="U295" s="23">
        <f ca="1">IFERROR(__xludf.DUMMYFUNCTION("""COMPUTED_VALUE"""),0.364445720329499)</f>
        <v>0.36444572032949901</v>
      </c>
      <c r="V295" s="23">
        <f ca="1">IFERROR(__xludf.DUMMYFUNCTION("""COMPUTED_VALUE"""),0.843582677324504)</f>
        <v>0.84358267732450398</v>
      </c>
      <c r="W295" s="23">
        <f ca="1">IFERROR(__xludf.DUMMYFUNCTION("""COMPUTED_VALUE"""),0.704466405758744)</f>
        <v>0.70446640575874397</v>
      </c>
      <c r="X295" s="23"/>
      <c r="Y295" s="23">
        <f ca="1">IFERROR(__xludf.DUMMYFUNCTION("""COMPUTED_VALUE"""),-0.197745876863337)</f>
        <v>-0.197745876863337</v>
      </c>
      <c r="Z295" s="23">
        <f ca="1">IFERROR(__xludf.DUMMYFUNCTION("""COMPUTED_VALUE"""),0.600009026239793)</f>
        <v>0.60000902623979302</v>
      </c>
      <c r="AA295" s="23">
        <f ca="1">IFERROR(__xludf.DUMMYFUNCTION("""COMPUTED_VALUE"""),0.797915789598183)</f>
        <v>0.79791578959818299</v>
      </c>
      <c r="AB295" s="23">
        <f ca="1">IFERROR(__xludf.DUMMYFUNCTION("""COMPUTED_VALUE"""),0.79899738931326)</f>
        <v>0.79899738931326003</v>
      </c>
      <c r="AC295" s="22">
        <f ca="1">IFERROR(__xludf.DUMMYFUNCTION("""COMPUTED_VALUE"""),0.11910226997129)</f>
        <v>0.11910226997129</v>
      </c>
      <c r="AD295" s="23"/>
      <c r="AE295" s="23"/>
      <c r="AF295" s="22"/>
      <c r="AG295" s="22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</row>
    <row r="296" spans="1:45" ht="27.75" customHeight="1" x14ac:dyDescent="0.35">
      <c r="A296" s="15" t="s">
        <v>27</v>
      </c>
      <c r="B296" s="15" t="s">
        <v>169</v>
      </c>
      <c r="C296" s="15" t="str">
        <f ca="1">IFERROR(__xludf.DUMMYFUNCTION("""COMPUTED_VALUE"""),"2022/11/15 (火)
平日夜間")</f>
        <v>2022/11/15 (火)
平日夜間</v>
      </c>
      <c r="D296" s="15" t="str">
        <f ca="1">IFERROR(__xludf.DUMMYFUNCTION("""COMPUTED_VALUE"""),"平日夜間")</f>
        <v>平日夜間</v>
      </c>
      <c r="E296" s="16">
        <f ca="1">IFERROR(__xludf.DUMMYFUNCTION("""COMPUTED_VALUE"""),0.868736650738235)</f>
        <v>0.86873665073823503</v>
      </c>
      <c r="F296" s="15" t="s">
        <v>125</v>
      </c>
      <c r="G296" s="39">
        <v>0</v>
      </c>
      <c r="H296" s="27" t="s">
        <v>6</v>
      </c>
      <c r="I296" s="27"/>
      <c r="J296" s="27" t="s">
        <v>44</v>
      </c>
      <c r="K296" s="23" t="b">
        <f ca="1">IFERROR(__xludf.DUMMYFUNCTION("""COMPUTED_VALUE"""),FALSE)</f>
        <v>0</v>
      </c>
      <c r="L296" s="22"/>
      <c r="M296" s="23">
        <f ca="1">IFERROR(__xludf.DUMMYFUNCTION("""COMPUTED_VALUE"""),0.0184868269175475)</f>
        <v>1.8486826917547501E-2</v>
      </c>
      <c r="N296" s="23">
        <f ca="1">IFERROR(__xludf.DUMMYFUNCTION("""COMPUTED_VALUE"""),-0.566351659766351)</f>
        <v>-0.56635165976635105</v>
      </c>
      <c r="O296" s="23"/>
      <c r="P296" s="23"/>
      <c r="Q296" s="24">
        <f ca="1">IFERROR(__xludf.DUMMYFUNCTION("""COMPUTED_VALUE"""),-0.75881814518974)</f>
        <v>-0.75881814518974</v>
      </c>
      <c r="R296" s="23">
        <f ca="1">IFERROR(__xludf.DUMMYFUNCTION("""COMPUTED_VALUE"""),-0.790436570670238)</f>
        <v>-0.79043657067023798</v>
      </c>
      <c r="S296" s="23">
        <f ca="1">IFERROR(__xludf.DUMMYFUNCTION("""COMPUTED_VALUE"""),0.467758905945842)</f>
        <v>0.46775890594584202</v>
      </c>
      <c r="T296" s="23">
        <f ca="1">IFERROR(__xludf.DUMMYFUNCTION("""COMPUTED_VALUE"""),-0.936259241656242)</f>
        <v>-0.93625924165624197</v>
      </c>
      <c r="U296" s="23">
        <f ca="1">IFERROR(__xludf.DUMMYFUNCTION("""COMPUTED_VALUE"""),0.788782965190225)</f>
        <v>0.78878296519022495</v>
      </c>
      <c r="V296" s="23">
        <f ca="1">IFERROR(__xludf.DUMMYFUNCTION("""COMPUTED_VALUE"""),0.772234445931542)</f>
        <v>0.772234445931542</v>
      </c>
      <c r="W296" s="23">
        <f ca="1">IFERROR(__xludf.DUMMYFUNCTION("""COMPUTED_VALUE"""),-0.531757177003288)</f>
        <v>-0.53175717700328795</v>
      </c>
      <c r="X296" s="23"/>
      <c r="Y296" s="23">
        <f ca="1">IFERROR(__xludf.DUMMYFUNCTION("""COMPUTED_VALUE"""),-0.649486386846399)</f>
        <v>-0.64948638684639903</v>
      </c>
      <c r="Z296" s="23">
        <f ca="1">IFERROR(__xludf.DUMMYFUNCTION("""COMPUTED_VALUE"""),-0.150398525052616)</f>
        <v>-0.150398525052616</v>
      </c>
      <c r="AA296" s="23">
        <f ca="1">IFERROR(__xludf.DUMMYFUNCTION("""COMPUTED_VALUE"""),-0.694148381115496)</f>
        <v>-0.69414838111549604</v>
      </c>
      <c r="AB296" s="23">
        <f ca="1">IFERROR(__xludf.DUMMYFUNCTION("""COMPUTED_VALUE"""),0.713332605332615)</f>
        <v>0.713332605332615</v>
      </c>
      <c r="AC296" s="22">
        <f ca="1">IFERROR(__xludf.DUMMYFUNCTION("""COMPUTED_VALUE"""),0.42337774936395)</f>
        <v>0.42337774936395001</v>
      </c>
      <c r="AD296" s="23"/>
      <c r="AE296" s="23"/>
      <c r="AF296" s="22"/>
      <c r="AG296" s="22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</row>
    <row r="297" spans="1:45" ht="27.75" customHeight="1" x14ac:dyDescent="0.4">
      <c r="A297" s="15" t="s">
        <v>27</v>
      </c>
      <c r="B297" s="15" t="s">
        <v>169</v>
      </c>
      <c r="C297" s="15" t="str">
        <f ca="1">IFERROR(__xludf.DUMMYFUNCTION("""COMPUTED_VALUE"""),"2022/11/16 (水)
平日夜間")</f>
        <v>2022/11/16 (水)
平日夜間</v>
      </c>
      <c r="D297" s="15" t="str">
        <f ca="1">IFERROR(__xludf.DUMMYFUNCTION("""COMPUTED_VALUE"""),"平日夜間")</f>
        <v>平日夜間</v>
      </c>
      <c r="E297" s="16">
        <f ca="1">IFERROR(__xludf.DUMMYFUNCTION("""COMPUTED_VALUE"""),2.67683460530899)</f>
        <v>2.67683460530899</v>
      </c>
      <c r="F297" s="15" t="s">
        <v>7</v>
      </c>
      <c r="G297" s="39">
        <v>2</v>
      </c>
      <c r="H297" s="29" t="s">
        <v>1</v>
      </c>
      <c r="I297" s="27"/>
      <c r="J297" s="27" t="s">
        <v>180</v>
      </c>
      <c r="K297" s="23" t="b">
        <f ca="1">IFERROR(__xludf.DUMMYFUNCTION("""COMPUTED_VALUE"""),TRUE)</f>
        <v>1</v>
      </c>
      <c r="L297" s="22"/>
      <c r="M297" s="23">
        <f ca="1">IFERROR(__xludf.DUMMYFUNCTION("""COMPUTED_VALUE"""),0.531044074505568)</f>
        <v>0.53104407450556801</v>
      </c>
      <c r="N297" s="23">
        <f ca="1">IFERROR(__xludf.DUMMYFUNCTION("""COMPUTED_VALUE"""),-0.14143891560114)</f>
        <v>-0.14143891560114</v>
      </c>
      <c r="O297" s="23"/>
      <c r="P297" s="23"/>
      <c r="Q297" s="24">
        <f ca="1">IFERROR(__xludf.DUMMYFUNCTION("""COMPUTED_VALUE"""),-0.970427159030363)</f>
        <v>-0.97042715903036303</v>
      </c>
      <c r="R297" s="23">
        <f ca="1">IFERROR(__xludf.DUMMYFUNCTION("""COMPUTED_VALUE"""),-0.530902260360354)</f>
        <v>-0.53090226036035404</v>
      </c>
      <c r="S297" s="23">
        <f ca="1">IFERROR(__xludf.DUMMYFUNCTION("""COMPUTED_VALUE"""),0.916954022361034)</f>
        <v>0.91695402236103396</v>
      </c>
      <c r="T297" s="23">
        <f ca="1">IFERROR(__xludf.DUMMYFUNCTION("""COMPUTED_VALUE"""),-0.608478843794164)</f>
        <v>-0.60847884379416395</v>
      </c>
      <c r="U297" s="23">
        <f ca="1">IFERROR(__xludf.DUMMYFUNCTION("""COMPUTED_VALUE"""),0.658850459403486)</f>
        <v>0.65885045940348597</v>
      </c>
      <c r="V297" s="23">
        <f ca="1">IFERROR(__xludf.DUMMYFUNCTION("""COMPUTED_VALUE"""),0.182286529304276)</f>
        <v>0.182286529304276</v>
      </c>
      <c r="W297" s="23">
        <f ca="1">IFERROR(__xludf.DUMMYFUNCTION("""COMPUTED_VALUE"""),-0.63647107845201)</f>
        <v>-0.63647107845201001</v>
      </c>
      <c r="X297" s="23"/>
      <c r="Y297" s="23">
        <f ca="1">IFERROR(__xludf.DUMMYFUNCTION("""COMPUTED_VALUE"""),0.876702839836232)</f>
        <v>0.87670283983623198</v>
      </c>
      <c r="Z297" s="23">
        <f ca="1">IFERROR(__xludf.DUMMYFUNCTION("""COMPUTED_VALUE"""),0.780906024876679)</f>
        <v>0.78090602487667904</v>
      </c>
      <c r="AA297" s="23">
        <f ca="1">IFERROR(__xludf.DUMMYFUNCTION("""COMPUTED_VALUE"""),2.67683460530899)</f>
        <v>2.67683460530899</v>
      </c>
      <c r="AB297" s="23">
        <f ca="1">IFERROR(__xludf.DUMMYFUNCTION("""COMPUTED_VALUE"""),2.04387300516213)</f>
        <v>2.0438730051621299</v>
      </c>
      <c r="AC297" s="22">
        <f ca="1">IFERROR(__xludf.DUMMYFUNCTION("""COMPUTED_VALUE"""),0.427760377349005)</f>
        <v>0.42776037734900502</v>
      </c>
      <c r="AD297" s="23"/>
      <c r="AE297" s="23"/>
      <c r="AF297" s="22"/>
      <c r="AG297" s="22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</row>
    <row r="298" spans="1:45" ht="27.75" customHeight="1" x14ac:dyDescent="0.4">
      <c r="A298" s="15" t="s">
        <v>27</v>
      </c>
      <c r="B298" s="15" t="s">
        <v>169</v>
      </c>
      <c r="C298" s="15" t="str">
        <f ca="1">IFERROR(__xludf.DUMMYFUNCTION("""COMPUTED_VALUE"""),"2022/11/17 (木)
平日夜間")</f>
        <v>2022/11/17 (木)
平日夜間</v>
      </c>
      <c r="D298" s="15" t="str">
        <f ca="1">IFERROR(__xludf.DUMMYFUNCTION("""COMPUTED_VALUE"""),"平日夜間")</f>
        <v>平日夜間</v>
      </c>
      <c r="E298" s="16">
        <f ca="1">IFERROR(__xludf.DUMMYFUNCTION("""COMPUTED_VALUE"""),2.0419097170139)</f>
        <v>2.0419097170138998</v>
      </c>
      <c r="F298" s="15" t="s">
        <v>148</v>
      </c>
      <c r="G298" s="39">
        <v>2</v>
      </c>
      <c r="H298" s="29" t="s">
        <v>148</v>
      </c>
      <c r="I298" s="27"/>
      <c r="J298" s="27" t="s">
        <v>181</v>
      </c>
      <c r="K298" s="23" t="b">
        <f ca="1">IFERROR(__xludf.DUMMYFUNCTION("""COMPUTED_VALUE"""),TRUE)</f>
        <v>1</v>
      </c>
      <c r="L298" s="22"/>
      <c r="M298" s="23">
        <f ca="1">IFERROR(__xludf.DUMMYFUNCTION("""COMPUTED_VALUE"""),-0.842354449776407)</f>
        <v>-0.84235444977640705</v>
      </c>
      <c r="N298" s="23">
        <f ca="1">IFERROR(__xludf.DUMMYFUNCTION("""COMPUTED_VALUE"""),-0.518444918302856)</f>
        <v>-0.51844491830285599</v>
      </c>
      <c r="O298" s="23"/>
      <c r="P298" s="23"/>
      <c r="Q298" s="24">
        <f ca="1">IFERROR(__xludf.DUMMYFUNCTION("""COMPUTED_VALUE"""),0.0944200912635628)</f>
        <v>9.4420091263562794E-2</v>
      </c>
      <c r="R298" s="23">
        <f ca="1">IFERROR(__xludf.DUMMYFUNCTION("""COMPUTED_VALUE"""),-0.551277131110294)</f>
        <v>-0.55127713111029397</v>
      </c>
      <c r="S298" s="23">
        <f ca="1">IFERROR(__xludf.DUMMYFUNCTION("""COMPUTED_VALUE"""),-0.47707806860118)</f>
        <v>-0.47707806860118002</v>
      </c>
      <c r="T298" s="23">
        <f ca="1">IFERROR(__xludf.DUMMYFUNCTION("""COMPUTED_VALUE"""),-0.712108583261275)</f>
        <v>-0.71210858326127502</v>
      </c>
      <c r="U298" s="23">
        <f ca="1">IFERROR(__xludf.DUMMYFUNCTION("""COMPUTED_VALUE"""),-0.524822938774783)</f>
        <v>-0.52482293877478303</v>
      </c>
      <c r="V298" s="23">
        <f ca="1">IFERROR(__xludf.DUMMYFUNCTION("""COMPUTED_VALUE"""),-0.0617757908976286)</f>
        <v>-6.17757908976286E-2</v>
      </c>
      <c r="W298" s="23">
        <f ca="1">IFERROR(__xludf.DUMMYFUNCTION("""COMPUTED_VALUE"""),0.33175581606905)</f>
        <v>0.33175581606905002</v>
      </c>
      <c r="X298" s="23"/>
      <c r="Y298" s="23">
        <f ca="1">IFERROR(__xludf.DUMMYFUNCTION("""COMPUTED_VALUE"""),0.100217774720205)</f>
        <v>0.100217774720205</v>
      </c>
      <c r="Z298" s="23">
        <f ca="1">IFERROR(__xludf.DUMMYFUNCTION("""COMPUTED_VALUE"""),0.0913555668468366)</f>
        <v>9.13555668468366E-2</v>
      </c>
      <c r="AA298" s="23">
        <f ca="1">IFERROR(__xludf.DUMMYFUNCTION("""COMPUTED_VALUE"""),-0.706590454985757)</f>
        <v>-0.70659045498575701</v>
      </c>
      <c r="AB298" s="23">
        <f ca="1">IFERROR(__xludf.DUMMYFUNCTION("""COMPUTED_VALUE"""),0.893469255937004)</f>
        <v>0.89346925593700399</v>
      </c>
      <c r="AC298" s="22">
        <f ca="1">IFERROR(__xludf.DUMMYFUNCTION("""COMPUTED_VALUE"""),0.87128256211793)</f>
        <v>0.87128256211792998</v>
      </c>
      <c r="AD298" s="23"/>
      <c r="AE298" s="23"/>
      <c r="AF298" s="22"/>
      <c r="AG298" s="22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</row>
    <row r="299" spans="1:45" ht="27.75" customHeight="1" x14ac:dyDescent="0.35">
      <c r="A299" s="15" t="s">
        <v>27</v>
      </c>
      <c r="B299" s="15" t="s">
        <v>169</v>
      </c>
      <c r="C299" s="15" t="str">
        <f ca="1">IFERROR(__xludf.DUMMYFUNCTION("""COMPUTED_VALUE"""),"2022/11/18 (金)
平日夜間")</f>
        <v>2022/11/18 (金)
平日夜間</v>
      </c>
      <c r="D299" s="15" t="str">
        <f ca="1">IFERROR(__xludf.DUMMYFUNCTION("""COMPUTED_VALUE"""),"平日夜間")</f>
        <v>平日夜間</v>
      </c>
      <c r="E299" s="16">
        <f ca="1">IFERROR(__xludf.DUMMYFUNCTION("""COMPUTED_VALUE"""),0.999259050854976)</f>
        <v>0.99925905085497602</v>
      </c>
      <c r="F299" s="15" t="s">
        <v>127</v>
      </c>
      <c r="G299" s="39">
        <v>0</v>
      </c>
      <c r="H299" s="27" t="s">
        <v>149</v>
      </c>
      <c r="I299" s="27"/>
      <c r="J299" s="27"/>
      <c r="K299" s="23" t="b">
        <f ca="1">IFERROR(__xludf.DUMMYFUNCTION("""COMPUTED_VALUE"""),FALSE)</f>
        <v>0</v>
      </c>
      <c r="L299" s="22"/>
      <c r="M299" s="23">
        <f ca="1">IFERROR(__xludf.DUMMYFUNCTION("""COMPUTED_VALUE"""),-0.609498864398045)</f>
        <v>-0.60949886439804501</v>
      </c>
      <c r="N299" s="23">
        <f ca="1">IFERROR(__xludf.DUMMYFUNCTION("""COMPUTED_VALUE"""),-0.213195989886644)</f>
        <v>-0.21319598988664401</v>
      </c>
      <c r="O299" s="23"/>
      <c r="P299" s="23"/>
      <c r="Q299" s="24">
        <f ca="1">IFERROR(__xludf.DUMMYFUNCTION("""COMPUTED_VALUE"""),0.0495158522769705)</f>
        <v>4.9515852276970501E-2</v>
      </c>
      <c r="R299" s="23">
        <f ca="1">IFERROR(__xludf.DUMMYFUNCTION("""COMPUTED_VALUE"""),0.573108386478368)</f>
        <v>0.57310838647836804</v>
      </c>
      <c r="S299" s="23">
        <f ca="1">IFERROR(__xludf.DUMMYFUNCTION("""COMPUTED_VALUE"""),-0.807044939125271)</f>
        <v>-0.80704493912527098</v>
      </c>
      <c r="T299" s="23">
        <f ca="1">IFERROR(__xludf.DUMMYFUNCTION("""COMPUTED_VALUE"""),-0.708115529645302)</f>
        <v>-0.708115529645302</v>
      </c>
      <c r="U299" s="23">
        <f ca="1">IFERROR(__xludf.DUMMYFUNCTION("""COMPUTED_VALUE"""),-0.141479725584213)</f>
        <v>-0.14147972558421301</v>
      </c>
      <c r="V299" s="23">
        <f ca="1">IFERROR(__xludf.DUMMYFUNCTION("""COMPUTED_VALUE"""),0.197543015746084)</f>
        <v>0.19754301574608399</v>
      </c>
      <c r="W299" s="23">
        <f ca="1">IFERROR(__xludf.DUMMYFUNCTION("""COMPUTED_VALUE"""),0.26877751181723)</f>
        <v>0.26877751181722997</v>
      </c>
      <c r="X299" s="23"/>
      <c r="Y299" s="23">
        <f ca="1">IFERROR(__xludf.DUMMYFUNCTION("""COMPUTED_VALUE"""),0.472909748948312)</f>
        <v>0.472909748948312</v>
      </c>
      <c r="Z299" s="23">
        <f ca="1">IFERROR(__xludf.DUMMYFUNCTION("""COMPUTED_VALUE"""),-0.466522771814198)</f>
        <v>-0.46652277181419799</v>
      </c>
      <c r="AA299" s="23">
        <f ca="1">IFERROR(__xludf.DUMMYFUNCTION("""COMPUTED_VALUE"""),0.932753447707839)</f>
        <v>0.93275344770783897</v>
      </c>
      <c r="AB299" s="23">
        <f ca="1">IFERROR(__xludf.DUMMYFUNCTION("""COMPUTED_VALUE"""),0.164091559826744)</f>
        <v>0.164091559826744</v>
      </c>
      <c r="AC299" s="22">
        <f ca="1">IFERROR(__xludf.DUMMYFUNCTION("""COMPUTED_VALUE"""),-0.81452374255072)</f>
        <v>-0.81452374255072002</v>
      </c>
      <c r="AD299" s="23"/>
      <c r="AE299" s="23"/>
      <c r="AF299" s="22"/>
      <c r="AG299" s="22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</row>
    <row r="300" spans="1:45" ht="27.75" customHeight="1" x14ac:dyDescent="0.35">
      <c r="A300" s="15" t="s">
        <v>27</v>
      </c>
      <c r="B300" s="15" t="s">
        <v>169</v>
      </c>
      <c r="C300" s="15" t="str">
        <f ca="1">IFERROR(__xludf.DUMMYFUNCTION("""COMPUTED_VALUE"""),"2022/11/19 (土)
休日午前")</f>
        <v>2022/11/19 (土)
休日午前</v>
      </c>
      <c r="D300" s="15" t="str">
        <f ca="1">IFERROR(__xludf.DUMMYFUNCTION("""COMPUTED_VALUE"""),"休日午前")</f>
        <v>休日午前</v>
      </c>
      <c r="E300" s="16">
        <f ca="1">IFERROR(__xludf.DUMMYFUNCTION("""COMPUTED_VALUE"""),1.96572503234237)</f>
        <v>1.9657250323423701</v>
      </c>
      <c r="F300" s="15" t="s">
        <v>148</v>
      </c>
      <c r="G300" s="39">
        <v>1</v>
      </c>
      <c r="H300" s="27" t="s">
        <v>148</v>
      </c>
      <c r="I300" s="27"/>
      <c r="J300" s="27" t="s">
        <v>182</v>
      </c>
      <c r="K300" s="23" t="b">
        <f ca="1">IFERROR(__xludf.DUMMYFUNCTION("""COMPUTED_VALUE"""),FALSE)</f>
        <v>0</v>
      </c>
      <c r="L300" s="22"/>
      <c r="M300" s="23">
        <f ca="1">IFERROR(__xludf.DUMMYFUNCTION("""COMPUTED_VALUE"""),-0.521359219514913)</f>
        <v>-0.52135921951491304</v>
      </c>
      <c r="N300" s="23">
        <f ca="1">IFERROR(__xludf.DUMMYFUNCTION("""COMPUTED_VALUE"""),-0.18726225097816)</f>
        <v>-0.18726225097815999</v>
      </c>
      <c r="O300" s="23"/>
      <c r="P300" s="23"/>
      <c r="Q300" s="24">
        <f ca="1">IFERROR(__xludf.DUMMYFUNCTION("""COMPUTED_VALUE"""),-0.915298461372102)</f>
        <v>-0.91529846137210202</v>
      </c>
      <c r="R300" s="23">
        <f ca="1">IFERROR(__xludf.DUMMYFUNCTION("""COMPUTED_VALUE"""),-0.923338776554638)</f>
        <v>-0.92333877655463803</v>
      </c>
      <c r="S300" s="23">
        <f ca="1">IFERROR(__xludf.DUMMYFUNCTION("""COMPUTED_VALUE"""),-0.49937257702741)</f>
        <v>-0.49937257702741</v>
      </c>
      <c r="T300" s="23">
        <f ca="1">IFERROR(__xludf.DUMMYFUNCTION("""COMPUTED_VALUE"""),-0.0770275670577478)</f>
        <v>-7.7027567057747798E-2</v>
      </c>
      <c r="U300" s="23">
        <f ca="1">IFERROR(__xludf.DUMMYFUNCTION("""COMPUTED_VALUE"""),-0.395860407133132)</f>
        <v>-0.39586040713313198</v>
      </c>
      <c r="V300" s="23">
        <f ca="1">IFERROR(__xludf.DUMMYFUNCTION("""COMPUTED_VALUE"""),0.32673353753118)</f>
        <v>0.32673353753118001</v>
      </c>
      <c r="W300" s="23">
        <f ca="1">IFERROR(__xludf.DUMMYFUNCTION("""COMPUTED_VALUE"""),0.52853252025844)</f>
        <v>0.52853252025844</v>
      </c>
      <c r="X300" s="23"/>
      <c r="Y300" s="23">
        <f ca="1">IFERROR(__xludf.DUMMYFUNCTION("""COMPUTED_VALUE"""),-0.0476894883942327)</f>
        <v>-4.7689488394232697E-2</v>
      </c>
      <c r="Z300" s="23">
        <f ca="1">IFERROR(__xludf.DUMMYFUNCTION("""COMPUTED_VALUE"""),-0.865106136780397)</f>
        <v>-0.86510613678039705</v>
      </c>
      <c r="AA300" s="23">
        <f ca="1">IFERROR(__xludf.DUMMYFUNCTION("""COMPUTED_VALUE"""),0.531974813893383)</f>
        <v>0.53197481389338297</v>
      </c>
      <c r="AB300" s="23">
        <f ca="1">IFERROR(__xludf.DUMMYFUNCTION("""COMPUTED_VALUE"""),0.501452959558939)</f>
        <v>0.50145295955893898</v>
      </c>
      <c r="AC300" s="22">
        <f ca="1">IFERROR(__xludf.DUMMYFUNCTION("""COMPUTED_VALUE"""),-0.767688537453557)</f>
        <v>-0.76768853745355703</v>
      </c>
      <c r="AD300" s="23"/>
      <c r="AE300" s="23"/>
      <c r="AF300" s="22"/>
      <c r="AG300" s="22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</row>
    <row r="301" spans="1:45" ht="27.75" customHeight="1" x14ac:dyDescent="0.35">
      <c r="A301" s="15" t="s">
        <v>27</v>
      </c>
      <c r="B301" s="15" t="s">
        <v>169</v>
      </c>
      <c r="C301" s="15" t="str">
        <f ca="1">IFERROR(__xludf.DUMMYFUNCTION("""COMPUTED_VALUE"""),"2022/11/19 (土)
休日午後")</f>
        <v>2022/11/19 (土)
休日午後</v>
      </c>
      <c r="D301" s="15" t="str">
        <f ca="1">IFERROR(__xludf.DUMMYFUNCTION("""COMPUTED_VALUE"""),"休日午後")</f>
        <v>休日午後</v>
      </c>
      <c r="E301" s="16">
        <f ca="1">IFERROR(__xludf.DUMMYFUNCTION("""COMPUTED_VALUE"""),0.975852635838986)</f>
        <v>0.97585263583898596</v>
      </c>
      <c r="F301" s="15" t="s">
        <v>13</v>
      </c>
      <c r="G301" s="39">
        <v>0</v>
      </c>
      <c r="H301" s="27" t="s">
        <v>125</v>
      </c>
      <c r="I301" s="27"/>
      <c r="J301" s="27" t="s">
        <v>182</v>
      </c>
      <c r="K301" s="23" t="b">
        <f ca="1">IFERROR(__xludf.DUMMYFUNCTION("""COMPUTED_VALUE"""),FALSE)</f>
        <v>0</v>
      </c>
      <c r="L301" s="22"/>
      <c r="M301" s="23">
        <f ca="1">IFERROR(__xludf.DUMMYFUNCTION("""COMPUTED_VALUE"""),-0.949913625073759)</f>
        <v>-0.94991362507375898</v>
      </c>
      <c r="N301" s="23">
        <f ca="1">IFERROR(__xludf.DUMMYFUNCTION("""COMPUTED_VALUE"""),-0.40926318691547)</f>
        <v>-0.40926318691546998</v>
      </c>
      <c r="O301" s="23"/>
      <c r="P301" s="23"/>
      <c r="Q301" s="24">
        <f ca="1">IFERROR(__xludf.DUMMYFUNCTION("""COMPUTED_VALUE"""),-0.504153799298646)</f>
        <v>-0.50415379929864601</v>
      </c>
      <c r="R301" s="23">
        <f ca="1">IFERROR(__xludf.DUMMYFUNCTION("""COMPUTED_VALUE"""),-0.000296533580733004)</f>
        <v>-2.9653358073300398E-4</v>
      </c>
      <c r="S301" s="23">
        <f ca="1">IFERROR(__xludf.DUMMYFUNCTION("""COMPUTED_VALUE"""),-0.896282354482572)</f>
        <v>-0.89628235448257199</v>
      </c>
      <c r="T301" s="23">
        <f ca="1">IFERROR(__xludf.DUMMYFUNCTION("""COMPUTED_VALUE"""),-0.532517931737516)</f>
        <v>-0.53251793173751605</v>
      </c>
      <c r="U301" s="23">
        <f ca="1">IFERROR(__xludf.DUMMYFUNCTION("""COMPUTED_VALUE"""),-0.931939564639262)</f>
        <v>-0.93193956463926197</v>
      </c>
      <c r="V301" s="23">
        <f ca="1">IFERROR(__xludf.DUMMYFUNCTION("""COMPUTED_VALUE"""),0.631878108230139)</f>
        <v>0.63187810823013901</v>
      </c>
      <c r="W301" s="23">
        <f ca="1">IFERROR(__xludf.DUMMYFUNCTION("""COMPUTED_VALUE"""),0.323733155849329)</f>
        <v>0.32373315584932899</v>
      </c>
      <c r="X301" s="23"/>
      <c r="Y301" s="23">
        <f ca="1">IFERROR(__xludf.DUMMYFUNCTION("""COMPUTED_VALUE"""),-0.357360699042564)</f>
        <v>-0.35736069904256401</v>
      </c>
      <c r="Z301" s="23">
        <f ca="1">IFERROR(__xludf.DUMMYFUNCTION("""COMPUTED_VALUE"""),-0.386405084723644)</f>
        <v>-0.38640508472364399</v>
      </c>
      <c r="AA301" s="23">
        <f ca="1">IFERROR(__xludf.DUMMYFUNCTION("""COMPUTED_VALUE"""),0.45938504649734)</f>
        <v>0.45938504649734002</v>
      </c>
      <c r="AB301" s="23">
        <f ca="1">IFERROR(__xludf.DUMMYFUNCTION("""COMPUTED_VALUE"""),0.456047161891629)</f>
        <v>0.45604716189162903</v>
      </c>
      <c r="AC301" s="22">
        <f ca="1">IFERROR(__xludf.DUMMYFUNCTION("""COMPUTED_VALUE"""),0.331137687329644)</f>
        <v>0.33113768732964399</v>
      </c>
      <c r="AD301" s="23"/>
      <c r="AE301" s="23"/>
      <c r="AF301" s="22"/>
      <c r="AG301" s="22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</row>
    <row r="302" spans="1:45" ht="27.75" customHeight="1" x14ac:dyDescent="0.4">
      <c r="A302" s="15" t="s">
        <v>27</v>
      </c>
      <c r="B302" s="15" t="s">
        <v>169</v>
      </c>
      <c r="C302" s="15" t="str">
        <f ca="1">IFERROR(__xludf.DUMMYFUNCTION("""COMPUTED_VALUE"""),"2022/11/20 (日)
休日午前")</f>
        <v>2022/11/20 (日)
休日午前</v>
      </c>
      <c r="D302" s="15" t="str">
        <f ca="1">IFERROR(__xludf.DUMMYFUNCTION("""COMPUTED_VALUE"""),"休日午前")</f>
        <v>休日午前</v>
      </c>
      <c r="E302" s="16">
        <f ca="1">IFERROR(__xludf.DUMMYFUNCTION("""COMPUTED_VALUE"""),0.827174925918457)</f>
        <v>0.82717492591845698</v>
      </c>
      <c r="F302" s="15" t="s">
        <v>149</v>
      </c>
      <c r="G302" s="39">
        <v>-1</v>
      </c>
      <c r="H302" s="29" t="s">
        <v>45</v>
      </c>
      <c r="I302" s="27"/>
      <c r="J302" s="27" t="s">
        <v>183</v>
      </c>
      <c r="K302" s="23" t="b">
        <f ca="1">IFERROR(__xludf.DUMMYFUNCTION("""COMPUTED_VALUE"""),TRUE)</f>
        <v>1</v>
      </c>
      <c r="L302" s="22"/>
      <c r="M302" s="23">
        <f ca="1">IFERROR(__xludf.DUMMYFUNCTION("""COMPUTED_VALUE"""),-0.835473658706706)</f>
        <v>-0.83547365870670598</v>
      </c>
      <c r="N302" s="23">
        <f ca="1">IFERROR(__xludf.DUMMYFUNCTION("""COMPUTED_VALUE"""),-0.6239799077304)</f>
        <v>-0.62397990773040002</v>
      </c>
      <c r="O302" s="23"/>
      <c r="P302" s="23"/>
      <c r="Q302" s="24">
        <f ca="1">IFERROR(__xludf.DUMMYFUNCTION("""COMPUTED_VALUE"""),-0.186847837914129)</f>
        <v>-0.18684783791412901</v>
      </c>
      <c r="R302" s="23">
        <f ca="1">IFERROR(__xludf.DUMMYFUNCTION("""COMPUTED_VALUE"""),-0.93405878698568)</f>
        <v>-0.93405878698568001</v>
      </c>
      <c r="S302" s="23">
        <f ca="1">IFERROR(__xludf.DUMMYFUNCTION("""COMPUTED_VALUE"""),-0.107565224718281)</f>
        <v>-0.10756522471828101</v>
      </c>
      <c r="T302" s="23">
        <f ca="1">IFERROR(__xludf.DUMMYFUNCTION("""COMPUTED_VALUE"""),-0.874716909613561)</f>
        <v>-0.87471690961356097</v>
      </c>
      <c r="U302" s="23">
        <f ca="1">IFERROR(__xludf.DUMMYFUNCTION("""COMPUTED_VALUE"""),-0.0779244416445552)</f>
        <v>-7.7924441644555198E-2</v>
      </c>
      <c r="V302" s="23">
        <f ca="1">IFERROR(__xludf.DUMMYFUNCTION("""COMPUTED_VALUE"""),0.191774816947729)</f>
        <v>0.19177481694772899</v>
      </c>
      <c r="W302" s="23">
        <f ca="1">IFERROR(__xludf.DUMMYFUNCTION("""COMPUTED_VALUE"""),0.0118070560050238)</f>
        <v>1.1807056005023801E-2</v>
      </c>
      <c r="X302" s="23"/>
      <c r="Y302" s="23">
        <f ca="1">IFERROR(__xludf.DUMMYFUNCTION("""COMPUTED_VALUE"""),0.543054802479824)</f>
        <v>0.54305480247982396</v>
      </c>
      <c r="Z302" s="23">
        <f ca="1">IFERROR(__xludf.DUMMYFUNCTION("""COMPUTED_VALUE"""),-0.215589944586681)</f>
        <v>-0.21558994458668099</v>
      </c>
      <c r="AA302" s="23">
        <f ca="1">IFERROR(__xludf.DUMMYFUNCTION("""COMPUTED_VALUE"""),0.685022035104609)</f>
        <v>0.68502203510460902</v>
      </c>
      <c r="AB302" s="23">
        <f ca="1">IFERROR(__xludf.DUMMYFUNCTION("""COMPUTED_VALUE"""),0.292235701430784)</f>
        <v>0.29223570143078398</v>
      </c>
      <c r="AC302" s="22">
        <f ca="1">IFERROR(__xludf.DUMMYFUNCTION("""COMPUTED_VALUE"""),-0.983550975311089)</f>
        <v>-0.98355097531108904</v>
      </c>
      <c r="AD302" s="23"/>
      <c r="AE302" s="23"/>
      <c r="AF302" s="22"/>
      <c r="AG302" s="22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</row>
    <row r="303" spans="1:45" ht="27.75" customHeight="1" x14ac:dyDescent="0.4">
      <c r="A303" s="15" t="s">
        <v>27</v>
      </c>
      <c r="B303" s="15" t="s">
        <v>169</v>
      </c>
      <c r="C303" s="15" t="str">
        <f ca="1">IFERROR(__xludf.DUMMYFUNCTION("""COMPUTED_VALUE"""),"2022/11/20 (日)
休日午後")</f>
        <v>2022/11/20 (日)
休日午後</v>
      </c>
      <c r="D303" s="15" t="str">
        <f ca="1">IFERROR(__xludf.DUMMYFUNCTION("""COMPUTED_VALUE"""),"休日午後")</f>
        <v>休日午後</v>
      </c>
      <c r="E303" s="16">
        <f ca="1">IFERROR(__xludf.DUMMYFUNCTION("""COMPUTED_VALUE"""),0.992869548015951)</f>
        <v>0.99286954801595095</v>
      </c>
      <c r="F303" s="15" t="s">
        <v>9</v>
      </c>
      <c r="G303" s="39">
        <v>0</v>
      </c>
      <c r="H303" s="29" t="s">
        <v>13</v>
      </c>
      <c r="I303" s="27"/>
      <c r="J303" s="27" t="s">
        <v>183</v>
      </c>
      <c r="K303" s="23" t="b">
        <f ca="1">IFERROR(__xludf.DUMMYFUNCTION("""COMPUTED_VALUE"""),TRUE)</f>
        <v>1</v>
      </c>
      <c r="L303" s="22"/>
      <c r="M303" s="23">
        <f ca="1">IFERROR(__xludf.DUMMYFUNCTION("""COMPUTED_VALUE"""),-0.562147186399082)</f>
        <v>-0.56214718639908201</v>
      </c>
      <c r="N303" s="23">
        <f ca="1">IFERROR(__xludf.DUMMYFUNCTION("""COMPUTED_VALUE"""),-0.809943582921395)</f>
        <v>-0.80994358292139501</v>
      </c>
      <c r="O303" s="23"/>
      <c r="P303" s="23"/>
      <c r="Q303" s="24">
        <f ca="1">IFERROR(__xludf.DUMMYFUNCTION("""COMPUTED_VALUE"""),-0.212114881971543)</f>
        <v>-0.21211488197154299</v>
      </c>
      <c r="R303" s="23">
        <f ca="1">IFERROR(__xludf.DUMMYFUNCTION("""COMPUTED_VALUE"""),-0.903541807208786)</f>
        <v>-0.90354180720878596</v>
      </c>
      <c r="S303" s="23">
        <f ca="1">IFERROR(__xludf.DUMMYFUNCTION("""COMPUTED_VALUE"""),-0.792583489843483)</f>
        <v>-0.79258348984348304</v>
      </c>
      <c r="T303" s="23">
        <f ca="1">IFERROR(__xludf.DUMMYFUNCTION("""COMPUTED_VALUE"""),-0.229210665951185)</f>
        <v>-0.229210665951185</v>
      </c>
      <c r="U303" s="23">
        <f ca="1">IFERROR(__xludf.DUMMYFUNCTION("""COMPUTED_VALUE"""),-0.418177436303493)</f>
        <v>-0.41817743630349302</v>
      </c>
      <c r="V303" s="23">
        <f ca="1">IFERROR(__xludf.DUMMYFUNCTION("""COMPUTED_VALUE"""),0.992869548015951)</f>
        <v>0.99286954801595095</v>
      </c>
      <c r="W303" s="23">
        <f ca="1">IFERROR(__xludf.DUMMYFUNCTION("""COMPUTED_VALUE"""),0.0314556121892268)</f>
        <v>3.1455612189226802E-2</v>
      </c>
      <c r="X303" s="23"/>
      <c r="Y303" s="23">
        <f ca="1">IFERROR(__xludf.DUMMYFUNCTION("""COMPUTED_VALUE"""),-0.115969442852662)</f>
        <v>-0.115969442852662</v>
      </c>
      <c r="Z303" s="23">
        <f ca="1">IFERROR(__xludf.DUMMYFUNCTION("""COMPUTED_VALUE"""),-0.720784417060596)</f>
        <v>-0.72078441706059604</v>
      </c>
      <c r="AA303" s="23">
        <f ca="1">IFERROR(__xludf.DUMMYFUNCTION("""COMPUTED_VALUE"""),-0.62303462890946)</f>
        <v>-0.62303462890946004</v>
      </c>
      <c r="AB303" s="23">
        <f ca="1">IFERROR(__xludf.DUMMYFUNCTION("""COMPUTED_VALUE"""),0.210312967958955)</f>
        <v>0.21031296795895499</v>
      </c>
      <c r="AC303" s="22">
        <f ca="1">IFERROR(__xludf.DUMMYFUNCTION("""COMPUTED_VALUE"""),0.601496790086299)</f>
        <v>0.60149679008629897</v>
      </c>
      <c r="AD303" s="23"/>
      <c r="AE303" s="23"/>
      <c r="AF303" s="22"/>
      <c r="AG303" s="22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</row>
    <row r="304" spans="1:45" ht="27.75" customHeight="1" x14ac:dyDescent="0.35">
      <c r="A304" s="15" t="s">
        <v>27</v>
      </c>
      <c r="B304" s="15" t="s">
        <v>169</v>
      </c>
      <c r="C304" s="15" t="str">
        <f ca="1">IFERROR(__xludf.DUMMYFUNCTION("""COMPUTED_VALUE"""),"2022/11/21 (月)
平日夜間")</f>
        <v>2022/11/21 (月)
平日夜間</v>
      </c>
      <c r="D304" s="15" t="str">
        <f ca="1">IFERROR(__xludf.DUMMYFUNCTION("""COMPUTED_VALUE"""),"平日夜間")</f>
        <v>平日夜間</v>
      </c>
      <c r="E304" s="16">
        <f ca="1">IFERROR(__xludf.DUMMYFUNCTION("""COMPUTED_VALUE"""),0.880494646200388)</f>
        <v>0.88049464620038798</v>
      </c>
      <c r="F304" s="15" t="s">
        <v>10</v>
      </c>
      <c r="G304" s="39">
        <v>0</v>
      </c>
      <c r="H304" s="27" t="s">
        <v>1</v>
      </c>
      <c r="I304" s="27"/>
      <c r="J304" s="27" t="s">
        <v>124</v>
      </c>
      <c r="K304" s="23" t="b">
        <f ca="1">IFERROR(__xludf.DUMMYFUNCTION("""COMPUTED_VALUE"""),FALSE)</f>
        <v>0</v>
      </c>
      <c r="L304" s="22"/>
      <c r="M304" s="23">
        <f ca="1">IFERROR(__xludf.DUMMYFUNCTION("""COMPUTED_VALUE"""),-0.707038089136788)</f>
        <v>-0.70703808913678801</v>
      </c>
      <c r="N304" s="23">
        <f ca="1">IFERROR(__xludf.DUMMYFUNCTION("""COMPUTED_VALUE"""),-0.721738804202036)</f>
        <v>-0.72173880420203596</v>
      </c>
      <c r="O304" s="23"/>
      <c r="P304" s="23"/>
      <c r="Q304" s="24">
        <f ca="1">IFERROR(__xludf.DUMMYFUNCTION("""COMPUTED_VALUE"""),-0.967863551511077)</f>
        <v>-0.96786355151107695</v>
      </c>
      <c r="R304" s="23">
        <f ca="1">IFERROR(__xludf.DUMMYFUNCTION("""COMPUTED_VALUE"""),-0.573788595711825)</f>
        <v>-0.57378859571182494</v>
      </c>
      <c r="S304" s="23">
        <f ca="1">IFERROR(__xludf.DUMMYFUNCTION("""COMPUTED_VALUE"""),0.184098123716013)</f>
        <v>0.184098123716013</v>
      </c>
      <c r="T304" s="23">
        <f ca="1">IFERROR(__xludf.DUMMYFUNCTION("""COMPUTED_VALUE"""),0.701996605360366)</f>
        <v>0.70199660536036601</v>
      </c>
      <c r="U304" s="23">
        <f ca="1">IFERROR(__xludf.DUMMYFUNCTION("""COMPUTED_VALUE"""),0.331132670970575)</f>
        <v>0.33113267097057503</v>
      </c>
      <c r="V304" s="23">
        <f ca="1">IFERROR(__xludf.DUMMYFUNCTION("""COMPUTED_VALUE"""),0.0117316004837375)</f>
        <v>1.17316004837375E-2</v>
      </c>
      <c r="W304" s="23">
        <f ca="1">IFERROR(__xludf.DUMMYFUNCTION("""COMPUTED_VALUE"""),0.502283657705937)</f>
        <v>0.50228365770593697</v>
      </c>
      <c r="X304" s="23"/>
      <c r="Y304" s="23">
        <f ca="1">IFERROR(__xludf.DUMMYFUNCTION("""COMPUTED_VALUE"""),0.688551050171817)</f>
        <v>0.68855105017181695</v>
      </c>
      <c r="Z304" s="23">
        <f ca="1">IFERROR(__xludf.DUMMYFUNCTION("""COMPUTED_VALUE"""),0.880494646200388)</f>
        <v>0.88049464620038798</v>
      </c>
      <c r="AA304" s="23">
        <f ca="1">IFERROR(__xludf.DUMMYFUNCTION("""COMPUTED_VALUE"""),0.655567098434509)</f>
        <v>0.655567098434509</v>
      </c>
      <c r="AB304" s="23">
        <f ca="1">IFERROR(__xludf.DUMMYFUNCTION("""COMPUTED_VALUE"""),0.5504579487935)</f>
        <v>0.55045794879349996</v>
      </c>
      <c r="AC304" s="22">
        <f ca="1">IFERROR(__xludf.DUMMYFUNCTION("""COMPUTED_VALUE"""),0.177727066305087)</f>
        <v>0.177727066305087</v>
      </c>
      <c r="AD304" s="23"/>
      <c r="AE304" s="23"/>
      <c r="AF304" s="22"/>
      <c r="AG304" s="22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</row>
    <row r="305" spans="1:45" ht="27.75" customHeight="1" x14ac:dyDescent="0.4">
      <c r="A305" s="15" t="s">
        <v>27</v>
      </c>
      <c r="B305" s="15" t="s">
        <v>169</v>
      </c>
      <c r="C305" s="15" t="str">
        <f ca="1">IFERROR(__xludf.DUMMYFUNCTION("""COMPUTED_VALUE"""),"2022/11/22 (火)
平日夜間")</f>
        <v>2022/11/22 (火)
平日夜間</v>
      </c>
      <c r="D305" s="15" t="str">
        <f ca="1">IFERROR(__xludf.DUMMYFUNCTION("""COMPUTED_VALUE"""),"平日夜間")</f>
        <v>平日夜間</v>
      </c>
      <c r="E305" s="16">
        <f ca="1">IFERROR(__xludf.DUMMYFUNCTION("""COMPUTED_VALUE"""),2.17443863782004)</f>
        <v>2.1744386378200402</v>
      </c>
      <c r="F305" s="15" t="s">
        <v>11</v>
      </c>
      <c r="G305" s="39">
        <v>2</v>
      </c>
      <c r="H305" s="29" t="s">
        <v>11</v>
      </c>
      <c r="I305" s="27"/>
      <c r="J305" s="27" t="s">
        <v>184</v>
      </c>
      <c r="K305" s="23" t="b">
        <f ca="1">IFERROR(__xludf.DUMMYFUNCTION("""COMPUTED_VALUE"""),TRUE)</f>
        <v>1</v>
      </c>
      <c r="L305" s="22"/>
      <c r="M305" s="23">
        <f ca="1">IFERROR(__xludf.DUMMYFUNCTION("""COMPUTED_VALUE"""),-0.49862318945845)</f>
        <v>-0.49862318945845002</v>
      </c>
      <c r="N305" s="23">
        <f ca="1">IFERROR(__xludf.DUMMYFUNCTION("""COMPUTED_VALUE"""),-0.254593040194891)</f>
        <v>-0.25459304019489098</v>
      </c>
      <c r="O305" s="23"/>
      <c r="P305" s="23"/>
      <c r="Q305" s="24">
        <f ca="1">IFERROR(__xludf.DUMMYFUNCTION("""COMPUTED_VALUE"""),0.539930498082503)</f>
        <v>0.53993049808250304</v>
      </c>
      <c r="R305" s="23">
        <f ca="1">IFERROR(__xludf.DUMMYFUNCTION("""COMPUTED_VALUE"""),0.262132550921588)</f>
        <v>0.26213255092158799</v>
      </c>
      <c r="S305" s="23">
        <f ca="1">IFERROR(__xludf.DUMMYFUNCTION("""COMPUTED_VALUE"""),-0.746461468341566)</f>
        <v>-0.74646146834156601</v>
      </c>
      <c r="T305" s="23">
        <f ca="1">IFERROR(__xludf.DUMMYFUNCTION("""COMPUTED_VALUE"""),2.17443863782004)</f>
        <v>2.1744386378200402</v>
      </c>
      <c r="U305" s="23">
        <f ca="1">IFERROR(__xludf.DUMMYFUNCTION("""COMPUTED_VALUE"""),-0.0722716835867569)</f>
        <v>-7.2271683586756896E-2</v>
      </c>
      <c r="V305" s="23">
        <f ca="1">IFERROR(__xludf.DUMMYFUNCTION("""COMPUTED_VALUE"""),0.916169058367969)</f>
        <v>0.91616905836796902</v>
      </c>
      <c r="W305" s="23">
        <f ca="1">IFERROR(__xludf.DUMMYFUNCTION("""COMPUTED_VALUE"""),-0.547131659710932)</f>
        <v>-0.54713165971093203</v>
      </c>
      <c r="X305" s="23"/>
      <c r="Y305" s="23">
        <f ca="1">IFERROR(__xludf.DUMMYFUNCTION("""COMPUTED_VALUE"""),0.507908321941362)</f>
        <v>0.50790832194136204</v>
      </c>
      <c r="Z305" s="23">
        <f ca="1">IFERROR(__xludf.DUMMYFUNCTION("""COMPUTED_VALUE"""),-0.849270999190062)</f>
        <v>-0.84927099919006199</v>
      </c>
      <c r="AA305" s="23">
        <f ca="1">IFERROR(__xludf.DUMMYFUNCTION("""COMPUTED_VALUE"""),-0.461265050469416)</f>
        <v>-0.46126505046941602</v>
      </c>
      <c r="AB305" s="23">
        <f ca="1">IFERROR(__xludf.DUMMYFUNCTION("""COMPUTED_VALUE"""),0.199926679058793)</f>
        <v>0.19992667905879299</v>
      </c>
      <c r="AC305" s="22">
        <f ca="1">IFERROR(__xludf.DUMMYFUNCTION("""COMPUTED_VALUE"""),-0.686349643017724)</f>
        <v>-0.68634964301772405</v>
      </c>
      <c r="AD305" s="23"/>
      <c r="AE305" s="23"/>
      <c r="AF305" s="22"/>
      <c r="AG305" s="22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</row>
    <row r="306" spans="1:45" ht="27.75" customHeight="1" x14ac:dyDescent="0.4">
      <c r="A306" s="15" t="s">
        <v>27</v>
      </c>
      <c r="B306" s="15" t="s">
        <v>169</v>
      </c>
      <c r="C306" s="15" t="str">
        <f ca="1">IFERROR(__xludf.DUMMYFUNCTION("""COMPUTED_VALUE"""),"2022/11/23 (水)
休日午前")</f>
        <v>2022/11/23 (水)
休日午前</v>
      </c>
      <c r="D306" s="15" t="str">
        <f ca="1">IFERROR(__xludf.DUMMYFUNCTION("""COMPUTED_VALUE"""),"休日午前")</f>
        <v>休日午前</v>
      </c>
      <c r="E306" s="16">
        <f ca="1">IFERROR(__xludf.DUMMYFUNCTION("""COMPUTED_VALUE"""),2.2140625567422)</f>
        <v>2.2140625567422001</v>
      </c>
      <c r="F306" s="15" t="s">
        <v>149</v>
      </c>
      <c r="G306" s="39">
        <v>0</v>
      </c>
      <c r="H306" s="29" t="s">
        <v>14</v>
      </c>
      <c r="I306" s="27"/>
      <c r="J306" s="27" t="s">
        <v>185</v>
      </c>
      <c r="K306" s="23" t="b">
        <f ca="1">IFERROR(__xludf.DUMMYFUNCTION("""COMPUTED_VALUE"""),TRUE)</f>
        <v>1</v>
      </c>
      <c r="L306" s="22"/>
      <c r="M306" s="23">
        <f ca="1">IFERROR(__xludf.DUMMYFUNCTION("""COMPUTED_VALUE"""),-0.697998913341048)</f>
        <v>-0.69799891334104802</v>
      </c>
      <c r="N306" s="23">
        <f ca="1">IFERROR(__xludf.DUMMYFUNCTION("""COMPUTED_VALUE"""),-0.914572486566252)</f>
        <v>-0.91457248656625201</v>
      </c>
      <c r="O306" s="23"/>
      <c r="P306" s="23"/>
      <c r="Q306" s="24">
        <f ca="1">IFERROR(__xludf.DUMMYFUNCTION("""COMPUTED_VALUE"""),0.447825543884465)</f>
        <v>0.44782554388446499</v>
      </c>
      <c r="R306" s="23">
        <f ca="1">IFERROR(__xludf.DUMMYFUNCTION("""COMPUTED_VALUE"""),0.236828931912751)</f>
        <v>0.23682893191275101</v>
      </c>
      <c r="S306" s="23">
        <f ca="1">IFERROR(__xludf.DUMMYFUNCTION("""COMPUTED_VALUE"""),-0.102972562240583)</f>
        <v>-0.102972562240583</v>
      </c>
      <c r="T306" s="23">
        <f ca="1">IFERROR(__xludf.DUMMYFUNCTION("""COMPUTED_VALUE"""),-0.174390757330222)</f>
        <v>-0.174390757330222</v>
      </c>
      <c r="U306" s="23">
        <f ca="1">IFERROR(__xludf.DUMMYFUNCTION("""COMPUTED_VALUE"""),-0.421677448921111)</f>
        <v>-0.42167744892111098</v>
      </c>
      <c r="V306" s="23">
        <f ca="1">IFERROR(__xludf.DUMMYFUNCTION("""COMPUTED_VALUE"""),0.970108874992799)</f>
        <v>0.97010887499279896</v>
      </c>
      <c r="W306" s="23">
        <f ca="1">IFERROR(__xludf.DUMMYFUNCTION("""COMPUTED_VALUE"""),0.0245662258439847)</f>
        <v>2.4566225843984699E-2</v>
      </c>
      <c r="X306" s="23"/>
      <c r="Y306" s="23">
        <f ca="1">IFERROR(__xludf.DUMMYFUNCTION("""COMPUTED_VALUE"""),0.424839659828575)</f>
        <v>0.42483965982857502</v>
      </c>
      <c r="Z306" s="23">
        <f ca="1">IFERROR(__xludf.DUMMYFUNCTION("""COMPUTED_VALUE"""),-0.188549514733621)</f>
        <v>-0.188549514733621</v>
      </c>
      <c r="AA306" s="23">
        <f ca="1">IFERROR(__xludf.DUMMYFUNCTION("""COMPUTED_VALUE"""),-0.743755646223493)</f>
        <v>-0.74375564622349299</v>
      </c>
      <c r="AB306" s="23">
        <f ca="1">IFERROR(__xludf.DUMMYFUNCTION("""COMPUTED_VALUE"""),-0.608691351531485)</f>
        <v>-0.60869135153148501</v>
      </c>
      <c r="AC306" s="22">
        <f ca="1">IFERROR(__xludf.DUMMYFUNCTION("""COMPUTED_VALUE"""),-0.711490010407812)</f>
        <v>-0.71149001040781201</v>
      </c>
      <c r="AD306" s="23"/>
      <c r="AE306" s="23"/>
      <c r="AF306" s="22"/>
      <c r="AG306" s="22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</row>
    <row r="307" spans="1:45" ht="27.75" customHeight="1" x14ac:dyDescent="0.4">
      <c r="A307" s="15" t="s">
        <v>27</v>
      </c>
      <c r="B307" s="15" t="s">
        <v>169</v>
      </c>
      <c r="C307" s="15" t="str">
        <f ca="1">IFERROR(__xludf.DUMMYFUNCTION("""COMPUTED_VALUE"""),"2022/11/23 (水)
休日午後")</f>
        <v>2022/11/23 (水)
休日午後</v>
      </c>
      <c r="D307" s="15" t="str">
        <f ca="1">IFERROR(__xludf.DUMMYFUNCTION("""COMPUTED_VALUE"""),"休日午後")</f>
        <v>休日午後</v>
      </c>
      <c r="E307" s="16">
        <f ca="1">IFERROR(__xludf.DUMMYFUNCTION("""COMPUTED_VALUE"""),2.44797535073844)</f>
        <v>2.4479753507384401</v>
      </c>
      <c r="F307" s="15" t="s">
        <v>14</v>
      </c>
      <c r="G307" s="39">
        <v>0</v>
      </c>
      <c r="H307" s="29" t="s">
        <v>149</v>
      </c>
      <c r="I307" s="27"/>
      <c r="J307" s="27" t="s">
        <v>185</v>
      </c>
      <c r="K307" s="23" t="b">
        <f ca="1">IFERROR(__xludf.DUMMYFUNCTION("""COMPUTED_VALUE"""),TRUE)</f>
        <v>1</v>
      </c>
      <c r="L307" s="22"/>
      <c r="M307" s="23">
        <f ca="1">IFERROR(__xludf.DUMMYFUNCTION("""COMPUTED_VALUE"""),-0.0983545576317461)</f>
        <v>-9.8354557631746095E-2</v>
      </c>
      <c r="N307" s="23">
        <f ca="1">IFERROR(__xludf.DUMMYFUNCTION("""COMPUTED_VALUE"""),-0.0907054823842565)</f>
        <v>-9.0705482384256506E-2</v>
      </c>
      <c r="O307" s="23"/>
      <c r="P307" s="23"/>
      <c r="Q307" s="24">
        <f ca="1">IFERROR(__xludf.DUMMYFUNCTION("""COMPUTED_VALUE"""),0.513968882644532)</f>
        <v>0.513968882644532</v>
      </c>
      <c r="R307" s="23">
        <f ca="1">IFERROR(__xludf.DUMMYFUNCTION("""COMPUTED_VALUE"""),0.767597881718251)</f>
        <v>0.76759788171825105</v>
      </c>
      <c r="S307" s="23">
        <f ca="1">IFERROR(__xludf.DUMMYFUNCTION("""COMPUTED_VALUE"""),-0.768515751684972)</f>
        <v>-0.76851575168497199</v>
      </c>
      <c r="T307" s="23">
        <f ca="1">IFERROR(__xludf.DUMMYFUNCTION("""COMPUTED_VALUE"""),-0.405091833452877)</f>
        <v>-0.40509183345287703</v>
      </c>
      <c r="U307" s="23">
        <f ca="1">IFERROR(__xludf.DUMMYFUNCTION("""COMPUTED_VALUE"""),-0.466645128103398)</f>
        <v>-0.46664512810339798</v>
      </c>
      <c r="V307" s="23">
        <f ca="1">IFERROR(__xludf.DUMMYFUNCTION("""COMPUTED_VALUE"""),0.476021339679402)</f>
        <v>0.47602133967940202</v>
      </c>
      <c r="W307" s="23">
        <f ca="1">IFERROR(__xludf.DUMMYFUNCTION("""COMPUTED_VALUE"""),-0.833637972706605)</f>
        <v>-0.833637972706605</v>
      </c>
      <c r="X307" s="23"/>
      <c r="Y307" s="23">
        <f ca="1">IFERROR(__xludf.DUMMYFUNCTION("""COMPUTED_VALUE"""),2.44797535073844)</f>
        <v>2.4479753507384401</v>
      </c>
      <c r="Z307" s="23">
        <f ca="1">IFERROR(__xludf.DUMMYFUNCTION("""COMPUTED_VALUE"""),-0.684218439283663)</f>
        <v>-0.68421843928366299</v>
      </c>
      <c r="AA307" s="23">
        <f ca="1">IFERROR(__xludf.DUMMYFUNCTION("""COMPUTED_VALUE"""),-0.323304606004522)</f>
        <v>-0.32330460600452199</v>
      </c>
      <c r="AB307" s="23">
        <f ca="1">IFERROR(__xludf.DUMMYFUNCTION("""COMPUTED_VALUE"""),-0.875350441355211)</f>
        <v>-0.87535044135521101</v>
      </c>
      <c r="AC307" s="22">
        <f ca="1">IFERROR(__xludf.DUMMYFUNCTION("""COMPUTED_VALUE"""),0.815881584445782)</f>
        <v>0.81588158444578196</v>
      </c>
      <c r="AD307" s="23"/>
      <c r="AE307" s="23"/>
      <c r="AF307" s="22"/>
      <c r="AG307" s="22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</row>
    <row r="308" spans="1:45" ht="27.75" customHeight="1" x14ac:dyDescent="0.35">
      <c r="A308" s="15" t="s">
        <v>27</v>
      </c>
      <c r="B308" s="15" t="s">
        <v>169</v>
      </c>
      <c r="C308" s="15" t="str">
        <f ca="1">IFERROR(__xludf.DUMMYFUNCTION("""COMPUTED_VALUE"""),"2022/11/23 (水)
平日夜間")</f>
        <v>2022/11/23 (水)
平日夜間</v>
      </c>
      <c r="D308" s="15" t="str">
        <f ca="1">IFERROR(__xludf.DUMMYFUNCTION("""COMPUTED_VALUE"""),"平日夜間")</f>
        <v>平日夜間</v>
      </c>
      <c r="E308" s="16">
        <f ca="1">IFERROR(__xludf.DUMMYFUNCTION("""COMPUTED_VALUE"""),-0.0398801534018447)</f>
        <v>-3.9880153401844698E-2</v>
      </c>
      <c r="F308" s="15" t="s">
        <v>13</v>
      </c>
      <c r="G308" s="39"/>
      <c r="H308" s="27" t="s">
        <v>172</v>
      </c>
      <c r="I308" s="27"/>
      <c r="J308" s="44"/>
      <c r="K308" s="23" t="b">
        <f ca="1">IFERROR(__xludf.DUMMYFUNCTION("""COMPUTED_VALUE"""),FALSE)</f>
        <v>0</v>
      </c>
      <c r="L308" s="22"/>
      <c r="M308" s="23">
        <f ca="1">IFERROR(__xludf.DUMMYFUNCTION("""COMPUTED_VALUE"""),-0.978694999330655)</f>
        <v>-0.97869499933065496</v>
      </c>
      <c r="N308" s="23"/>
      <c r="O308" s="23"/>
      <c r="P308" s="23"/>
      <c r="Q308" s="24"/>
      <c r="R308" s="23"/>
      <c r="S308" s="23"/>
      <c r="T308" s="23"/>
      <c r="U308" s="23"/>
      <c r="V308" s="23"/>
      <c r="W308" s="23">
        <f ca="1">IFERROR(__xludf.DUMMYFUNCTION("""COMPUTED_VALUE"""),-0.0398801534018447)</f>
        <v>-3.9880153401844698E-2</v>
      </c>
      <c r="X308" s="23"/>
      <c r="Y308" s="23"/>
      <c r="Z308" s="23"/>
      <c r="AA308" s="23"/>
      <c r="AB308" s="23"/>
      <c r="AC308" s="22"/>
      <c r="AD308" s="23"/>
      <c r="AE308" s="23"/>
      <c r="AF308" s="22"/>
      <c r="AG308" s="22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</row>
    <row r="309" spans="1:45" ht="27.75" customHeight="1" x14ac:dyDescent="0.35">
      <c r="A309" s="15" t="s">
        <v>27</v>
      </c>
      <c r="B309" s="15" t="s">
        <v>169</v>
      </c>
      <c r="C309" s="15" t="str">
        <f ca="1">IFERROR(__xludf.DUMMYFUNCTION("""COMPUTED_VALUE"""),"2022/11/24 (木)
平日夜間")</f>
        <v>2022/11/24 (木)
平日夜間</v>
      </c>
      <c r="D309" s="15" t="str">
        <f ca="1">IFERROR(__xludf.DUMMYFUNCTION("""COMPUTED_VALUE"""),"平日夜間")</f>
        <v>平日夜間</v>
      </c>
      <c r="E309" s="16">
        <f ca="1">IFERROR(__xludf.DUMMYFUNCTION("""COMPUTED_VALUE"""),0.991378511698887)</f>
        <v>0.99137851169888702</v>
      </c>
      <c r="F309" s="15" t="s">
        <v>11</v>
      </c>
      <c r="G309" s="39">
        <v>0</v>
      </c>
      <c r="H309" s="27" t="s">
        <v>156</v>
      </c>
      <c r="I309" s="27"/>
      <c r="K309" s="23" t="b">
        <f ca="1">IFERROR(__xludf.DUMMYFUNCTION("""COMPUTED_VALUE"""),FALSE)</f>
        <v>0</v>
      </c>
      <c r="L309" s="22"/>
      <c r="M309" s="23">
        <f ca="1">IFERROR(__xludf.DUMMYFUNCTION("""COMPUTED_VALUE"""),-0.928248038429724)</f>
        <v>-0.92824803842972403</v>
      </c>
      <c r="N309" s="23">
        <f ca="1">IFERROR(__xludf.DUMMYFUNCTION("""COMPUTED_VALUE"""),-0.287396515042434)</f>
        <v>-0.28739651504243402</v>
      </c>
      <c r="O309" s="23"/>
      <c r="P309" s="23"/>
      <c r="Q309" s="24">
        <f ca="1">IFERROR(__xludf.DUMMYFUNCTION("""COMPUTED_VALUE"""),0.091013538875063)</f>
        <v>9.1013538875062999E-2</v>
      </c>
      <c r="R309" s="23">
        <f ca="1">IFERROR(__xludf.DUMMYFUNCTION("""COMPUTED_VALUE"""),-0.915885695413815)</f>
        <v>-0.91588569541381504</v>
      </c>
      <c r="S309" s="23">
        <f ca="1">IFERROR(__xludf.DUMMYFUNCTION("""COMPUTED_VALUE"""),-0.345457735730849)</f>
        <v>-0.34545773573084898</v>
      </c>
      <c r="T309" s="23">
        <f ca="1">IFERROR(__xludf.DUMMYFUNCTION("""COMPUTED_VALUE"""),0.991378511698887)</f>
        <v>0.99137851169888702</v>
      </c>
      <c r="U309" s="23">
        <f ca="1">IFERROR(__xludf.DUMMYFUNCTION("""COMPUTED_VALUE"""),-0.9625124833005)</f>
        <v>-0.96251248330049999</v>
      </c>
      <c r="V309" s="23">
        <f ca="1">IFERROR(__xludf.DUMMYFUNCTION("""COMPUTED_VALUE"""),0.308422066012054)</f>
        <v>0.30842206601205402</v>
      </c>
      <c r="W309" s="23">
        <f ca="1">IFERROR(__xludf.DUMMYFUNCTION("""COMPUTED_VALUE"""),0.0512728849414927)</f>
        <v>5.1272884941492701E-2</v>
      </c>
      <c r="X309" s="23"/>
      <c r="Y309" s="23">
        <f ca="1">IFERROR(__xludf.DUMMYFUNCTION("""COMPUTED_VALUE"""),-0.121098399825375)</f>
        <v>-0.121098399825375</v>
      </c>
      <c r="Z309" s="23">
        <f ca="1">IFERROR(__xludf.DUMMYFUNCTION("""COMPUTED_VALUE"""),0.34697589638939)</f>
        <v>0.34697589638939003</v>
      </c>
      <c r="AA309" s="23">
        <f ca="1">IFERROR(__xludf.DUMMYFUNCTION("""COMPUTED_VALUE"""),-0.841672448364051)</f>
        <v>-0.84167244836405097</v>
      </c>
      <c r="AB309" s="23">
        <f ca="1">IFERROR(__xludf.DUMMYFUNCTION("""COMPUTED_VALUE"""),-0.550463076300482)</f>
        <v>-0.55046307630048197</v>
      </c>
      <c r="AC309" s="22">
        <f ca="1">IFERROR(__xludf.DUMMYFUNCTION("""COMPUTED_VALUE"""),-0.773188515060084)</f>
        <v>-0.77318851506008401</v>
      </c>
      <c r="AD309" s="23"/>
      <c r="AE309" s="23"/>
      <c r="AF309" s="22"/>
      <c r="AG309" s="22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</row>
    <row r="310" spans="1:45" ht="27.75" customHeight="1" x14ac:dyDescent="0.4">
      <c r="A310" s="15" t="s">
        <v>27</v>
      </c>
      <c r="B310" s="15" t="s">
        <v>169</v>
      </c>
      <c r="C310" s="15" t="str">
        <f ca="1">IFERROR(__xludf.DUMMYFUNCTION("""COMPUTED_VALUE"""),"2022/11/25 (金)
平日夜間")</f>
        <v>2022/11/25 (金)
平日夜間</v>
      </c>
      <c r="D310" s="15" t="str">
        <f ca="1">IFERROR(__xludf.DUMMYFUNCTION("""COMPUTED_VALUE"""),"平日夜間")</f>
        <v>平日夜間</v>
      </c>
      <c r="E310" s="16">
        <f ca="1">IFERROR(__xludf.DUMMYFUNCTION("""COMPUTED_VALUE"""),0.936255194886501)</f>
        <v>0.936255194886501</v>
      </c>
      <c r="F310" s="15" t="s">
        <v>4</v>
      </c>
      <c r="G310" s="39"/>
      <c r="H310" s="29" t="s">
        <v>5</v>
      </c>
      <c r="I310" s="27"/>
      <c r="J310" s="27" t="s">
        <v>73</v>
      </c>
      <c r="K310" s="23" t="b">
        <f ca="1">IFERROR(__xludf.DUMMYFUNCTION("""COMPUTED_VALUE"""),TRUE)</f>
        <v>1</v>
      </c>
      <c r="L310" s="22"/>
      <c r="M310" s="23">
        <f ca="1">IFERROR(__xludf.DUMMYFUNCTION("""COMPUTED_VALUE"""),0.681489792355011)</f>
        <v>0.68148979235501095</v>
      </c>
      <c r="N310" s="23">
        <f ca="1">IFERROR(__xludf.DUMMYFUNCTION("""COMPUTED_VALUE"""),-0.815486855064992)</f>
        <v>-0.81548685506499197</v>
      </c>
      <c r="O310" s="23"/>
      <c r="P310" s="23"/>
      <c r="Q310" s="24">
        <f ca="1">IFERROR(__xludf.DUMMYFUNCTION("""COMPUTED_VALUE"""),0.403356307938897)</f>
        <v>0.40335630793889699</v>
      </c>
      <c r="R310" s="23">
        <f ca="1">IFERROR(__xludf.DUMMYFUNCTION("""COMPUTED_VALUE"""),-0.707616495055808)</f>
        <v>-0.70761649505580804</v>
      </c>
      <c r="S310" s="23">
        <f ca="1">IFERROR(__xludf.DUMMYFUNCTION("""COMPUTED_VALUE"""),-0.961418559216904)</f>
        <v>-0.961418559216904</v>
      </c>
      <c r="T310" s="23">
        <f ca="1">IFERROR(__xludf.DUMMYFUNCTION("""COMPUTED_VALUE"""),0.0189707732541506)</f>
        <v>1.89707732541506E-2</v>
      </c>
      <c r="U310" s="23">
        <f ca="1">IFERROR(__xludf.DUMMYFUNCTION("""COMPUTED_VALUE"""),-0.473128315089686)</f>
        <v>-0.473128315089686</v>
      </c>
      <c r="V310" s="23">
        <f ca="1">IFERROR(__xludf.DUMMYFUNCTION("""COMPUTED_VALUE"""),0.370825816772339)</f>
        <v>0.370825816772339</v>
      </c>
      <c r="W310" s="23">
        <f ca="1">IFERROR(__xludf.DUMMYFUNCTION("""COMPUTED_VALUE"""),0.344673812174866)</f>
        <v>0.34467381217486598</v>
      </c>
      <c r="X310" s="23"/>
      <c r="Y310" s="23">
        <f ca="1">IFERROR(__xludf.DUMMYFUNCTION("""COMPUTED_VALUE"""),0.806220455191673)</f>
        <v>0.80622045519167296</v>
      </c>
      <c r="Z310" s="23">
        <f ca="1">IFERROR(__xludf.DUMMYFUNCTION("""COMPUTED_VALUE"""),0.194550183504195)</f>
        <v>0.19455018350419501</v>
      </c>
      <c r="AA310" s="23">
        <f ca="1">IFERROR(__xludf.DUMMYFUNCTION("""COMPUTED_VALUE"""),-0.301604245102467)</f>
        <v>-0.30160424510246697</v>
      </c>
      <c r="AB310" s="23">
        <f ca="1">IFERROR(__xludf.DUMMYFUNCTION("""COMPUTED_VALUE"""),-0.71531782852791)</f>
        <v>-0.71531782852791004</v>
      </c>
      <c r="AC310" s="22">
        <f ca="1">IFERROR(__xludf.DUMMYFUNCTION("""COMPUTED_VALUE"""),0.798029798326922)</f>
        <v>0.798029798326922</v>
      </c>
      <c r="AD310" s="23"/>
      <c r="AE310" s="23"/>
      <c r="AF310" s="22"/>
      <c r="AG310" s="22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</row>
    <row r="311" spans="1:45" ht="27.75" customHeight="1" x14ac:dyDescent="0.4">
      <c r="A311" s="15" t="s">
        <v>27</v>
      </c>
      <c r="B311" s="15" t="s">
        <v>169</v>
      </c>
      <c r="C311" s="15" t="str">
        <f ca="1">IFERROR(__xludf.DUMMYFUNCTION("""COMPUTED_VALUE"""),"2022/11/26 (土)
休日午前")</f>
        <v>2022/11/26 (土)
休日午前</v>
      </c>
      <c r="D311" s="15" t="str">
        <f ca="1">IFERROR(__xludf.DUMMYFUNCTION("""COMPUTED_VALUE"""),"休日午前")</f>
        <v>休日午前</v>
      </c>
      <c r="E311" s="16">
        <f ca="1">IFERROR(__xludf.DUMMYFUNCTION("""COMPUTED_VALUE"""),2.50200079652694)</f>
        <v>2.5020007965269402</v>
      </c>
      <c r="F311" s="15" t="s">
        <v>127</v>
      </c>
      <c r="G311" s="39">
        <v>2</v>
      </c>
      <c r="H311" s="29" t="s">
        <v>127</v>
      </c>
      <c r="I311" s="27"/>
      <c r="J311" s="27" t="s">
        <v>186</v>
      </c>
      <c r="K311" s="23" t="b">
        <f ca="1">IFERROR(__xludf.DUMMYFUNCTION("""COMPUTED_VALUE"""),TRUE)</f>
        <v>1</v>
      </c>
      <c r="L311" s="22"/>
      <c r="M311" s="23">
        <f ca="1">IFERROR(__xludf.DUMMYFUNCTION("""COMPUTED_VALUE"""),0.0741854528128287)</f>
        <v>7.4185452812828706E-2</v>
      </c>
      <c r="N311" s="23">
        <f ca="1">IFERROR(__xludf.DUMMYFUNCTION("""COMPUTED_VALUE"""),-0.664899969196545)</f>
        <v>-0.66489996919654504</v>
      </c>
      <c r="O311" s="23"/>
      <c r="P311" s="23"/>
      <c r="Q311" s="24">
        <f ca="1">IFERROR(__xludf.DUMMYFUNCTION("""COMPUTED_VALUE"""),0.064153000891785)</f>
        <v>6.4153000891784995E-2</v>
      </c>
      <c r="R311" s="23">
        <f ca="1">IFERROR(__xludf.DUMMYFUNCTION("""COMPUTED_VALUE"""),-0.351378682365957)</f>
        <v>-0.35137868236595698</v>
      </c>
      <c r="S311" s="23">
        <f ca="1">IFERROR(__xludf.DUMMYFUNCTION("""COMPUTED_VALUE"""),-0.430236667547031)</f>
        <v>-0.43023666754703099</v>
      </c>
      <c r="T311" s="23">
        <f ca="1">IFERROR(__xludf.DUMMYFUNCTION("""COMPUTED_VALUE"""),0.474515021036624)</f>
        <v>0.47451502103662402</v>
      </c>
      <c r="U311" s="23">
        <f ca="1">IFERROR(__xludf.DUMMYFUNCTION("""COMPUTED_VALUE"""),-0.901599933260282)</f>
        <v>-0.90159993326028198</v>
      </c>
      <c r="V311" s="23">
        <f ca="1">IFERROR(__xludf.DUMMYFUNCTION("""COMPUTED_VALUE"""),0.584914746531)</f>
        <v>0.58491474653099995</v>
      </c>
      <c r="W311" s="23">
        <f ca="1">IFERROR(__xludf.DUMMYFUNCTION("""COMPUTED_VALUE"""),0.0287550066383912)</f>
        <v>2.8755006638391201E-2</v>
      </c>
      <c r="X311" s="23"/>
      <c r="Y311" s="23">
        <f ca="1">IFERROR(__xludf.DUMMYFUNCTION("""COMPUTED_VALUE"""),-0.872350090084224)</f>
        <v>-0.87235009008422404</v>
      </c>
      <c r="Z311" s="23">
        <f ca="1">IFERROR(__xludf.DUMMYFUNCTION("""COMPUTED_VALUE"""),-0.63309190192212)</f>
        <v>-0.63309190192211995</v>
      </c>
      <c r="AA311" s="23">
        <f ca="1">IFERROR(__xludf.DUMMYFUNCTION("""COMPUTED_VALUE"""),-0.499433743579353)</f>
        <v>-0.499433743579353</v>
      </c>
      <c r="AB311" s="23">
        <f ca="1">IFERROR(__xludf.DUMMYFUNCTION("""COMPUTED_VALUE"""),-0.947903607677106)</f>
        <v>-0.94790360767710602</v>
      </c>
      <c r="AC311" s="22">
        <f ca="1">IFERROR(__xludf.DUMMYFUNCTION("""COMPUTED_VALUE"""),0.357912621452991)</f>
        <v>0.35791262145299102</v>
      </c>
      <c r="AD311" s="23"/>
      <c r="AE311" s="23"/>
      <c r="AF311" s="22"/>
      <c r="AG311" s="22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</row>
    <row r="312" spans="1:45" ht="27.75" customHeight="1" x14ac:dyDescent="0.4">
      <c r="A312" s="15" t="s">
        <v>27</v>
      </c>
      <c r="B312" s="15" t="s">
        <v>169</v>
      </c>
      <c r="C312" s="15" t="str">
        <f ca="1">IFERROR(__xludf.DUMMYFUNCTION("""COMPUTED_VALUE"""),"2022/11/26 (土)
休日午後")</f>
        <v>2022/11/26 (土)
休日午後</v>
      </c>
      <c r="D312" s="15" t="str">
        <f ca="1">IFERROR(__xludf.DUMMYFUNCTION("""COMPUTED_VALUE"""),"休日午後")</f>
        <v>休日午後</v>
      </c>
      <c r="E312" s="16">
        <f ca="1">IFERROR(__xludf.DUMMYFUNCTION("""COMPUTED_VALUE"""),2.98125148850908)</f>
        <v>2.9812514885090802</v>
      </c>
      <c r="F312" s="15" t="s">
        <v>127</v>
      </c>
      <c r="G312" s="39">
        <v>2</v>
      </c>
      <c r="H312" s="29" t="s">
        <v>16</v>
      </c>
      <c r="I312" s="27"/>
      <c r="J312" s="27" t="s">
        <v>186</v>
      </c>
      <c r="K312" s="23" t="b">
        <f ca="1">IFERROR(__xludf.DUMMYFUNCTION("""COMPUTED_VALUE"""),TRUE)</f>
        <v>1</v>
      </c>
      <c r="L312" s="22"/>
      <c r="M312" s="23">
        <f ca="1">IFERROR(__xludf.DUMMYFUNCTION("""COMPUTED_VALUE"""),0.404400450667451)</f>
        <v>0.40440045066745101</v>
      </c>
      <c r="N312" s="23">
        <f ca="1">IFERROR(__xludf.DUMMYFUNCTION("""COMPUTED_VALUE"""),-0.558853263916503)</f>
        <v>-0.55885326391650303</v>
      </c>
      <c r="O312" s="23"/>
      <c r="P312" s="23"/>
      <c r="Q312" s="24">
        <f ca="1">IFERROR(__xludf.DUMMYFUNCTION("""COMPUTED_VALUE"""),2.87346668947014)</f>
        <v>2.8734666894701402</v>
      </c>
      <c r="R312" s="23">
        <f ca="1">IFERROR(__xludf.DUMMYFUNCTION("""COMPUTED_VALUE"""),0.00700377538879126)</f>
        <v>7.0037753887912599E-3</v>
      </c>
      <c r="S312" s="23">
        <f ca="1">IFERROR(__xludf.DUMMYFUNCTION("""COMPUTED_VALUE"""),-0.00564606176012016)</f>
        <v>-5.6460617601201604E-3</v>
      </c>
      <c r="T312" s="23">
        <f ca="1">IFERROR(__xludf.DUMMYFUNCTION("""COMPUTED_VALUE"""),0.602320421288828)</f>
        <v>0.60232042128882801</v>
      </c>
      <c r="U312" s="23">
        <f ca="1">IFERROR(__xludf.DUMMYFUNCTION("""COMPUTED_VALUE"""),-0.631808429228518)</f>
        <v>-0.63180842922851799</v>
      </c>
      <c r="V312" s="23">
        <f ca="1">IFERROR(__xludf.DUMMYFUNCTION("""COMPUTED_VALUE"""),0.791515589666519)</f>
        <v>0.79151558966651903</v>
      </c>
      <c r="W312" s="23">
        <f ca="1">IFERROR(__xludf.DUMMYFUNCTION("""COMPUTED_VALUE"""),0.814340727636854)</f>
        <v>0.81434072763685394</v>
      </c>
      <c r="X312" s="23"/>
      <c r="Y312" s="23">
        <f ca="1">IFERROR(__xludf.DUMMYFUNCTION("""COMPUTED_VALUE"""),-0.932214975553618)</f>
        <v>-0.93221497555361799</v>
      </c>
      <c r="Z312" s="23">
        <f ca="1">IFERROR(__xludf.DUMMYFUNCTION("""COMPUTED_VALUE"""),1.23319165016072)</f>
        <v>1.2331916501607201</v>
      </c>
      <c r="AA312" s="23">
        <f ca="1">IFERROR(__xludf.DUMMYFUNCTION("""COMPUTED_VALUE"""),-0.685046269413108)</f>
        <v>-0.68504626941310798</v>
      </c>
      <c r="AB312" s="23">
        <f ca="1">IFERROR(__xludf.DUMMYFUNCTION("""COMPUTED_VALUE"""),-0.827292035565888)</f>
        <v>-0.82729203556588804</v>
      </c>
      <c r="AC312" s="22">
        <f ca="1">IFERROR(__xludf.DUMMYFUNCTION("""COMPUTED_VALUE"""),0.601502305871256)</f>
        <v>0.60150230587125597</v>
      </c>
      <c r="AD312" s="23"/>
      <c r="AE312" s="23"/>
      <c r="AF312" s="22"/>
      <c r="AG312" s="22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</row>
    <row r="313" spans="1:45" ht="27.75" customHeight="1" x14ac:dyDescent="0.4">
      <c r="A313" s="15" t="s">
        <v>27</v>
      </c>
      <c r="B313" s="15" t="s">
        <v>169</v>
      </c>
      <c r="C313" s="15" t="str">
        <f ca="1">IFERROR(__xludf.DUMMYFUNCTION("""COMPUTED_VALUE"""),"2022/11/27 (日)
休日午前")</f>
        <v>2022/11/27 (日)
休日午前</v>
      </c>
      <c r="D313" s="15" t="str">
        <f ca="1">IFERROR(__xludf.DUMMYFUNCTION("""COMPUTED_VALUE"""),"休日午前")</f>
        <v>休日午前</v>
      </c>
      <c r="E313" s="16">
        <f ca="1">IFERROR(__xludf.DUMMYFUNCTION("""COMPUTED_VALUE"""),1.81697709643014)</f>
        <v>1.8169770964301399</v>
      </c>
      <c r="F313" s="15" t="s">
        <v>125</v>
      </c>
      <c r="G313" s="39">
        <v>1</v>
      </c>
      <c r="H313" s="29" t="s">
        <v>125</v>
      </c>
      <c r="I313" s="27"/>
      <c r="J313" s="27" t="s">
        <v>187</v>
      </c>
      <c r="K313" s="23" t="b">
        <f ca="1">IFERROR(__xludf.DUMMYFUNCTION("""COMPUTED_VALUE"""),TRUE)</f>
        <v>1</v>
      </c>
      <c r="L313" s="22"/>
      <c r="M313" s="23">
        <f ca="1">IFERROR(__xludf.DUMMYFUNCTION("""COMPUTED_VALUE"""),-0.243683373135659)</f>
        <v>-0.24368337313565899</v>
      </c>
      <c r="N313" s="23">
        <f ca="1">IFERROR(__xludf.DUMMYFUNCTION("""COMPUTED_VALUE"""),-0.270861670579974)</f>
        <v>-0.27086167057997401</v>
      </c>
      <c r="O313" s="23"/>
      <c r="P313" s="23"/>
      <c r="Q313" s="24">
        <f ca="1">IFERROR(__xludf.DUMMYFUNCTION("""COMPUTED_VALUE"""),-0.0696068844525961)</f>
        <v>-6.9606884452596093E-2</v>
      </c>
      <c r="R313" s="23">
        <f ca="1">IFERROR(__xludf.DUMMYFUNCTION("""COMPUTED_VALUE"""),0.215048738194645)</f>
        <v>0.21504873819464501</v>
      </c>
      <c r="S313" s="23">
        <f ca="1">IFERROR(__xludf.DUMMYFUNCTION("""COMPUTED_VALUE"""),-0.620654337899372)</f>
        <v>-0.62065433789937197</v>
      </c>
      <c r="T313" s="23">
        <f ca="1">IFERROR(__xludf.DUMMYFUNCTION("""COMPUTED_VALUE"""),0.144042942483713)</f>
        <v>0.14404294248371299</v>
      </c>
      <c r="U313" s="23">
        <f ca="1">IFERROR(__xludf.DUMMYFUNCTION("""COMPUTED_VALUE"""),-0.112500829501269)</f>
        <v>-0.112500829501269</v>
      </c>
      <c r="V313" s="23">
        <f ca="1">IFERROR(__xludf.DUMMYFUNCTION("""COMPUTED_VALUE"""),0.757536962137035)</f>
        <v>0.75753696213703503</v>
      </c>
      <c r="W313" s="23">
        <f ca="1">IFERROR(__xludf.DUMMYFUNCTION("""COMPUTED_VALUE"""),0.00118231650545919)</f>
        <v>1.18231650545919E-3</v>
      </c>
      <c r="X313" s="23"/>
      <c r="Y313" s="23">
        <f ca="1">IFERROR(__xludf.DUMMYFUNCTION("""COMPUTED_VALUE"""),-0.417603535170156)</f>
        <v>-0.41760353517015603</v>
      </c>
      <c r="Z313" s="23">
        <f ca="1">IFERROR(__xludf.DUMMYFUNCTION("""COMPUTED_VALUE"""),0.592058175154178)</f>
        <v>0.59205817515417802</v>
      </c>
      <c r="AA313" s="23">
        <f ca="1">IFERROR(__xludf.DUMMYFUNCTION("""COMPUTED_VALUE"""),-0.810570254463887)</f>
        <v>-0.81057025446388697</v>
      </c>
      <c r="AB313" s="23">
        <f ca="1">IFERROR(__xludf.DUMMYFUNCTION("""COMPUTED_VALUE"""),-0.914988135620885)</f>
        <v>-0.91498813562088499</v>
      </c>
      <c r="AC313" s="22">
        <f ca="1">IFERROR(__xludf.DUMMYFUNCTION("""COMPUTED_VALUE"""),0.153037774116892)</f>
        <v>0.15303777411689201</v>
      </c>
      <c r="AD313" s="23"/>
      <c r="AE313" s="23"/>
      <c r="AF313" s="22"/>
      <c r="AG313" s="22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</row>
    <row r="314" spans="1:45" ht="27.75" customHeight="1" x14ac:dyDescent="0.4">
      <c r="A314" s="15" t="s">
        <v>27</v>
      </c>
      <c r="B314" s="15" t="s">
        <v>169</v>
      </c>
      <c r="C314" s="15" t="str">
        <f ca="1">IFERROR(__xludf.DUMMYFUNCTION("""COMPUTED_VALUE"""),"2022/11/27 (日)
休日午後")</f>
        <v>2022/11/27 (日)
休日午後</v>
      </c>
      <c r="D314" s="15" t="str">
        <f ca="1">IFERROR(__xludf.DUMMYFUNCTION("""COMPUTED_VALUE"""),"休日午後")</f>
        <v>休日午後</v>
      </c>
      <c r="E314" s="16">
        <f ca="1">IFERROR(__xludf.DUMMYFUNCTION("""COMPUTED_VALUE"""),2.89501533966994)</f>
        <v>2.8950153396699401</v>
      </c>
      <c r="F314" s="15" t="s">
        <v>125</v>
      </c>
      <c r="G314" s="39">
        <v>2</v>
      </c>
      <c r="H314" s="29" t="s">
        <v>15</v>
      </c>
      <c r="I314" s="27"/>
      <c r="J314" s="27" t="s">
        <v>187</v>
      </c>
      <c r="K314" s="23" t="b">
        <f ca="1">IFERROR(__xludf.DUMMYFUNCTION("""COMPUTED_VALUE"""),TRUE)</f>
        <v>1</v>
      </c>
      <c r="L314" s="22"/>
      <c r="M314" s="23">
        <f ca="1">IFERROR(__xludf.DUMMYFUNCTION("""COMPUTED_VALUE"""),-0.881116542753655)</f>
        <v>-0.88111654275365503</v>
      </c>
      <c r="N314" s="23">
        <f ca="1">IFERROR(__xludf.DUMMYFUNCTION("""COMPUTED_VALUE"""),-0.117822388390433)</f>
        <v>-0.11782238839043301</v>
      </c>
      <c r="O314" s="23"/>
      <c r="P314" s="23"/>
      <c r="Q314" s="24">
        <f ca="1">IFERROR(__xludf.DUMMYFUNCTION("""COMPUTED_VALUE"""),-0.368329577147031)</f>
        <v>-0.36832957714703102</v>
      </c>
      <c r="R314" s="23">
        <f ca="1">IFERROR(__xludf.DUMMYFUNCTION("""COMPUTED_VALUE"""),2.37836341099301)</f>
        <v>2.3783634109930101</v>
      </c>
      <c r="S314" s="23">
        <f ca="1">IFERROR(__xludf.DUMMYFUNCTION("""COMPUTED_VALUE"""),-0.298955061984377)</f>
        <v>-0.29895506198437699</v>
      </c>
      <c r="T314" s="23">
        <f ca="1">IFERROR(__xludf.DUMMYFUNCTION("""COMPUTED_VALUE"""),0.119088128475627)</f>
        <v>0.119088128475627</v>
      </c>
      <c r="U314" s="23">
        <f ca="1">IFERROR(__xludf.DUMMYFUNCTION("""COMPUTED_VALUE"""),-0.961046611638386)</f>
        <v>-0.96104661163838601</v>
      </c>
      <c r="V314" s="23">
        <f ca="1">IFERROR(__xludf.DUMMYFUNCTION("""COMPUTED_VALUE"""),0.746539080661248)</f>
        <v>0.74653908066124797</v>
      </c>
      <c r="W314" s="23">
        <f ca="1">IFERROR(__xludf.DUMMYFUNCTION("""COMPUTED_VALUE"""),0.293072619742144)</f>
        <v>0.29307261974214399</v>
      </c>
      <c r="X314" s="23"/>
      <c r="Y314" s="23">
        <f ca="1">IFERROR(__xludf.DUMMYFUNCTION("""COMPUTED_VALUE"""),-0.311774229451836)</f>
        <v>-0.31177422945183603</v>
      </c>
      <c r="Z314" s="23">
        <f ca="1">IFERROR(__xludf.DUMMYFUNCTION("""COMPUTED_VALUE"""),2.67703759737456)</f>
        <v>2.6770375973745599</v>
      </c>
      <c r="AA314" s="23">
        <f ca="1">IFERROR(__xludf.DUMMYFUNCTION("""COMPUTED_VALUE"""),-0.755843595427891)</f>
        <v>-0.75584359542789104</v>
      </c>
      <c r="AB314" s="23">
        <f ca="1">IFERROR(__xludf.DUMMYFUNCTION("""COMPUTED_VALUE"""),-0.0949489035325401)</f>
        <v>-9.4948903532540097E-2</v>
      </c>
      <c r="AC314" s="22">
        <f ca="1">IFERROR(__xludf.DUMMYFUNCTION("""COMPUTED_VALUE"""),0.115594343876622)</f>
        <v>0.115594343876622</v>
      </c>
      <c r="AD314" s="23"/>
      <c r="AE314" s="23"/>
      <c r="AF314" s="22"/>
      <c r="AG314" s="22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</row>
    <row r="315" spans="1:45" ht="27.75" customHeight="1" x14ac:dyDescent="0.4">
      <c r="A315" s="15" t="s">
        <v>27</v>
      </c>
      <c r="B315" s="15" t="s">
        <v>169</v>
      </c>
      <c r="C315" s="15" t="str">
        <f ca="1">IFERROR(__xludf.DUMMYFUNCTION("""COMPUTED_VALUE"""),"2022/11/28 (月)
平日夜間")</f>
        <v>2022/11/28 (月)
平日夜間</v>
      </c>
      <c r="D315" s="15" t="str">
        <f ca="1">IFERROR(__xludf.DUMMYFUNCTION("""COMPUTED_VALUE"""),"平日夜間")</f>
        <v>平日夜間</v>
      </c>
      <c r="E315" s="16">
        <f ca="1">IFERROR(__xludf.DUMMYFUNCTION("""COMPUTED_VALUE"""),0.98126041670082)</f>
        <v>0.98126041670081998</v>
      </c>
      <c r="F315" s="15" t="s">
        <v>156</v>
      </c>
      <c r="G315" s="39">
        <v>0</v>
      </c>
      <c r="H315" s="29" t="s">
        <v>17</v>
      </c>
      <c r="I315" s="27"/>
      <c r="J315" s="27" t="s">
        <v>188</v>
      </c>
      <c r="K315" s="23" t="b">
        <f ca="1">IFERROR(__xludf.DUMMYFUNCTION("""COMPUTED_VALUE"""),TRUE)</f>
        <v>1</v>
      </c>
      <c r="L315" s="22"/>
      <c r="M315" s="23">
        <f ca="1">IFERROR(__xludf.DUMMYFUNCTION("""COMPUTED_VALUE"""),0.365192235708497)</f>
        <v>0.36519223570849701</v>
      </c>
      <c r="N315" s="23">
        <f ca="1">IFERROR(__xludf.DUMMYFUNCTION("""COMPUTED_VALUE"""),-0.317394261361691)</f>
        <v>-0.31739426136169102</v>
      </c>
      <c r="O315" s="23"/>
      <c r="P315" s="23"/>
      <c r="Q315" s="24">
        <f ca="1">IFERROR(__xludf.DUMMYFUNCTION("""COMPUTED_VALUE"""),0.814097836590986)</f>
        <v>0.814097836590986</v>
      </c>
      <c r="R315" s="23">
        <f ca="1">IFERROR(__xludf.DUMMYFUNCTION("""COMPUTED_VALUE"""),-0.0853029796985751)</f>
        <v>-8.5302979698575102E-2</v>
      </c>
      <c r="S315" s="23">
        <f ca="1">IFERROR(__xludf.DUMMYFUNCTION("""COMPUTED_VALUE"""),0.158584473167072)</f>
        <v>0.158584473167072</v>
      </c>
      <c r="T315" s="23">
        <f ca="1">IFERROR(__xludf.DUMMYFUNCTION("""COMPUTED_VALUE"""),0.345308945873109)</f>
        <v>0.34530894587310901</v>
      </c>
      <c r="U315" s="23">
        <f ca="1">IFERROR(__xludf.DUMMYFUNCTION("""COMPUTED_VALUE"""),0.685777219602768)</f>
        <v>0.68577721960276805</v>
      </c>
      <c r="V315" s="23">
        <f ca="1">IFERROR(__xludf.DUMMYFUNCTION("""COMPUTED_VALUE"""),-0.549534314484211)</f>
        <v>-0.54953431448421097</v>
      </c>
      <c r="W315" s="23">
        <f ca="1">IFERROR(__xludf.DUMMYFUNCTION("""COMPUTED_VALUE"""),0.778989607597994)</f>
        <v>0.77898960759799396</v>
      </c>
      <c r="X315" s="23"/>
      <c r="Y315" s="23">
        <f ca="1">IFERROR(__xludf.DUMMYFUNCTION("""COMPUTED_VALUE"""),0.532457074833408)</f>
        <v>0.53245707483340798</v>
      </c>
      <c r="Z315" s="23">
        <f ca="1">IFERROR(__xludf.DUMMYFUNCTION("""COMPUTED_VALUE"""),0.750522134304243)</f>
        <v>0.75052213430424297</v>
      </c>
      <c r="AA315" s="23">
        <f ca="1">IFERROR(__xludf.DUMMYFUNCTION("""COMPUTED_VALUE"""),0.468423303722253)</f>
        <v>0.46842330372225299</v>
      </c>
      <c r="AB315" s="23">
        <f ca="1">IFERROR(__xludf.DUMMYFUNCTION("""COMPUTED_VALUE"""),-0.836734073364756)</f>
        <v>-0.83673407336475603</v>
      </c>
      <c r="AC315" s="22">
        <f ca="1">IFERROR(__xludf.DUMMYFUNCTION("""COMPUTED_VALUE"""),0.318709781007832)</f>
        <v>0.31870978100783198</v>
      </c>
      <c r="AD315" s="23"/>
      <c r="AE315" s="23"/>
      <c r="AF315" s="22"/>
      <c r="AG315" s="22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</row>
    <row r="316" spans="1:45" ht="27.75" customHeight="1" x14ac:dyDescent="0.4">
      <c r="A316" s="15" t="s">
        <v>27</v>
      </c>
      <c r="B316" s="15" t="s">
        <v>169</v>
      </c>
      <c r="C316" s="15" t="str">
        <f ca="1">IFERROR(__xludf.DUMMYFUNCTION("""COMPUTED_VALUE"""),"2022/11/29 (火)
平日夜間")</f>
        <v>2022/11/29 (火)
平日夜間</v>
      </c>
      <c r="D316" s="15" t="str">
        <f ca="1">IFERROR(__xludf.DUMMYFUNCTION("""COMPUTED_VALUE"""),"平日夜間")</f>
        <v>平日夜間</v>
      </c>
      <c r="E316" s="16">
        <f ca="1">IFERROR(__xludf.DUMMYFUNCTION("""COMPUTED_VALUE"""),0.877696505148902)</f>
        <v>0.87769650514890196</v>
      </c>
      <c r="F316" s="15" t="s">
        <v>127</v>
      </c>
      <c r="G316" s="39">
        <v>0</v>
      </c>
      <c r="H316" s="29" t="s">
        <v>4</v>
      </c>
      <c r="I316" s="27"/>
      <c r="J316" s="27" t="s">
        <v>189</v>
      </c>
      <c r="K316" s="23" t="b">
        <f ca="1">IFERROR(__xludf.DUMMYFUNCTION("""COMPUTED_VALUE"""),TRUE)</f>
        <v>1</v>
      </c>
      <c r="L316" s="22"/>
      <c r="M316" s="23">
        <f ca="1">IFERROR(__xludf.DUMMYFUNCTION("""COMPUTED_VALUE"""),0.156557848222442)</f>
        <v>0.15655784822244201</v>
      </c>
      <c r="N316" s="23">
        <f ca="1">IFERROR(__xludf.DUMMYFUNCTION("""COMPUTED_VALUE"""),-0.574938161426598)</f>
        <v>-0.57493816142659804</v>
      </c>
      <c r="O316" s="23"/>
      <c r="P316" s="23"/>
      <c r="Q316" s="24">
        <f ca="1">IFERROR(__xludf.DUMMYFUNCTION("""COMPUTED_VALUE"""),0.44017434187649)</f>
        <v>0.44017434187649002</v>
      </c>
      <c r="R316" s="23">
        <f ca="1">IFERROR(__xludf.DUMMYFUNCTION("""COMPUTED_VALUE"""),0.482024305296913)</f>
        <v>0.48202430529691298</v>
      </c>
      <c r="S316" s="23">
        <f ca="1">IFERROR(__xludf.DUMMYFUNCTION("""COMPUTED_VALUE"""),0.642726212461029)</f>
        <v>0.64272621246102901</v>
      </c>
      <c r="T316" s="23">
        <f ca="1">IFERROR(__xludf.DUMMYFUNCTION("""COMPUTED_VALUE"""),0.790213054194975)</f>
        <v>0.79021305419497501</v>
      </c>
      <c r="U316" s="23">
        <f ca="1">IFERROR(__xludf.DUMMYFUNCTION("""COMPUTED_VALUE"""),0.336653940542199)</f>
        <v>0.33665394054219899</v>
      </c>
      <c r="V316" s="23">
        <f ca="1">IFERROR(__xludf.DUMMYFUNCTION("""COMPUTED_VALUE"""),0.673554584447426)</f>
        <v>0.673554584447426</v>
      </c>
      <c r="W316" s="23">
        <f ca="1">IFERROR(__xludf.DUMMYFUNCTION("""COMPUTED_VALUE"""),0.0535258621558989)</f>
        <v>5.3525862155898898E-2</v>
      </c>
      <c r="X316" s="23"/>
      <c r="Y316" s="23">
        <f ca="1">IFERROR(__xludf.DUMMYFUNCTION("""COMPUTED_VALUE"""),0.0961444531503401)</f>
        <v>9.6144453150340106E-2</v>
      </c>
      <c r="Z316" s="23">
        <f ca="1">IFERROR(__xludf.DUMMYFUNCTION("""COMPUTED_VALUE"""),-0.625076270408789)</f>
        <v>-0.62507627040878899</v>
      </c>
      <c r="AA316" s="23">
        <f ca="1">IFERROR(__xludf.DUMMYFUNCTION("""COMPUTED_VALUE"""),-0.931514817807479)</f>
        <v>-0.93151481780747902</v>
      </c>
      <c r="AB316" s="23">
        <f ca="1">IFERROR(__xludf.DUMMYFUNCTION("""COMPUTED_VALUE"""),-0.765955929847117)</f>
        <v>-0.76595592984711702</v>
      </c>
      <c r="AC316" s="22">
        <f ca="1">IFERROR(__xludf.DUMMYFUNCTION("""COMPUTED_VALUE"""),0.0999490421218436)</f>
        <v>9.9949042121843606E-2</v>
      </c>
      <c r="AD316" s="23"/>
      <c r="AE316" s="23"/>
      <c r="AF316" s="22"/>
      <c r="AG316" s="22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</row>
    <row r="317" spans="1:45" ht="27.75" customHeight="1" x14ac:dyDescent="0.4">
      <c r="A317" s="15" t="s">
        <v>27</v>
      </c>
      <c r="B317" s="15" t="s">
        <v>169</v>
      </c>
      <c r="C317" s="15" t="str">
        <f ca="1">IFERROR(__xludf.DUMMYFUNCTION("""COMPUTED_VALUE"""),"2022/11/30 (水)
平日夜間")</f>
        <v>2022/11/30 (水)
平日夜間</v>
      </c>
      <c r="D317" s="15" t="str">
        <f ca="1">IFERROR(__xludf.DUMMYFUNCTION("""COMPUTED_VALUE"""),"平日夜間")</f>
        <v>平日夜間</v>
      </c>
      <c r="E317" s="16">
        <f ca="1">IFERROR(__xludf.DUMMYFUNCTION("""COMPUTED_VALUE"""),2.79033199509148)</f>
        <v>2.79033199509148</v>
      </c>
      <c r="F317" s="15" t="s">
        <v>156</v>
      </c>
      <c r="G317" s="39">
        <v>2</v>
      </c>
      <c r="H317" s="29" t="s">
        <v>156</v>
      </c>
      <c r="I317" s="27"/>
      <c r="J317" s="27" t="s">
        <v>190</v>
      </c>
      <c r="K317" s="23" t="b">
        <f ca="1">IFERROR(__xludf.DUMMYFUNCTION("""COMPUTED_VALUE"""),TRUE)</f>
        <v>1</v>
      </c>
      <c r="L317" s="22"/>
      <c r="M317" s="23">
        <f ca="1">IFERROR(__xludf.DUMMYFUNCTION("""COMPUTED_VALUE"""),0.316793458740527)</f>
        <v>0.316793458740527</v>
      </c>
      <c r="N317" s="23">
        <f ca="1">IFERROR(__xludf.DUMMYFUNCTION("""COMPUTED_VALUE"""),-0.410284002966107)</f>
        <v>-0.41028400296610701</v>
      </c>
      <c r="O317" s="23"/>
      <c r="P317" s="23"/>
      <c r="Q317" s="24">
        <f ca="1">IFERROR(__xludf.DUMMYFUNCTION("""COMPUTED_VALUE"""),0.63170993395054)</f>
        <v>0.63170993395053998</v>
      </c>
      <c r="R317" s="23">
        <f ca="1">IFERROR(__xludf.DUMMYFUNCTION("""COMPUTED_VALUE"""),0.646498347073747)</f>
        <v>0.64649834707374698</v>
      </c>
      <c r="S317" s="23">
        <f ca="1">IFERROR(__xludf.DUMMYFUNCTION("""COMPUTED_VALUE"""),0.0470170379126149)</f>
        <v>4.7017037912614898E-2</v>
      </c>
      <c r="T317" s="23">
        <f ca="1">IFERROR(__xludf.DUMMYFUNCTION("""COMPUTED_VALUE"""),0.833884272412351)</f>
        <v>0.83388427241235097</v>
      </c>
      <c r="U317" s="23">
        <f ca="1">IFERROR(__xludf.DUMMYFUNCTION("""COMPUTED_VALUE"""),0.565262962635681)</f>
        <v>0.56526296263568099</v>
      </c>
      <c r="V317" s="23">
        <f ca="1">IFERROR(__xludf.DUMMYFUNCTION("""COMPUTED_VALUE"""),0.950483700459039)</f>
        <v>0.95048370045903896</v>
      </c>
      <c r="W317" s="23">
        <f ca="1">IFERROR(__xludf.DUMMYFUNCTION("""COMPUTED_VALUE"""),-0.717967568469017)</f>
        <v>-0.71796756846901699</v>
      </c>
      <c r="X317" s="23"/>
      <c r="Y317" s="23">
        <f ca="1">IFERROR(__xludf.DUMMYFUNCTION("""COMPUTED_VALUE"""),0.649520064975697)</f>
        <v>0.64952006497569703</v>
      </c>
      <c r="Z317" s="23">
        <f ca="1">IFERROR(__xludf.DUMMYFUNCTION("""COMPUTED_VALUE"""),0.987239287880233)</f>
        <v>0.98723928788023296</v>
      </c>
      <c r="AA317" s="23">
        <f ca="1">IFERROR(__xludf.DUMMYFUNCTION("""COMPUTED_VALUE"""),0.728377087078916)</f>
        <v>0.72837708707891602</v>
      </c>
      <c r="AB317" s="23">
        <f ca="1">IFERROR(__xludf.DUMMYFUNCTION("""COMPUTED_VALUE"""),-0.145510460893328)</f>
        <v>-0.145510460893328</v>
      </c>
      <c r="AC317" s="22">
        <f ca="1">IFERROR(__xludf.DUMMYFUNCTION("""COMPUTED_VALUE"""),0.140152266193728)</f>
        <v>0.140152266193728</v>
      </c>
      <c r="AD317" s="23"/>
      <c r="AE317" s="23"/>
      <c r="AF317" s="22"/>
      <c r="AG317" s="22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</row>
    <row r="318" spans="1:45" ht="27.75" customHeight="1" x14ac:dyDescent="0.35">
      <c r="A318" s="15" t="s">
        <v>27</v>
      </c>
      <c r="B318" s="15" t="s">
        <v>191</v>
      </c>
      <c r="C318" s="15" t="str">
        <f ca="1">IFERROR(__xludf.DUMMYFUNCTION("""COMPUTED_VALUE"""),"2022/12/01 (木)
平日夜間")</f>
        <v>2022/12/01 (木)
平日夜間</v>
      </c>
      <c r="D318" s="15" t="str">
        <f ca="1">IFERROR(__xludf.DUMMYFUNCTION("""COMPUTED_VALUE"""),"平日夜間")</f>
        <v>平日夜間</v>
      </c>
      <c r="E318" s="16">
        <f ca="1">IFERROR(__xludf.DUMMYFUNCTION("""COMPUTED_VALUE"""),1.70392573171561)</f>
        <v>1.70392573171561</v>
      </c>
      <c r="F318" s="15" t="s">
        <v>6</v>
      </c>
      <c r="G318" s="39">
        <v>1</v>
      </c>
      <c r="H318" s="27" t="s">
        <v>6</v>
      </c>
      <c r="I318" s="27"/>
      <c r="J318" s="27"/>
      <c r="K318" s="23" t="b">
        <f ca="1">IFERROR(__xludf.DUMMYFUNCTION("""COMPUTED_VALUE"""),FALSE)</f>
        <v>0</v>
      </c>
      <c r="L318" s="22">
        <f ca="1">IFERROR(__xludf.DUMMYFUNCTION("""COMPUTED_VALUE"""),-0.247299938097472)</f>
        <v>-0.247299938097472</v>
      </c>
      <c r="M318" s="23">
        <f ca="1">IFERROR(__xludf.DUMMYFUNCTION("""COMPUTED_VALUE"""),0.51076968628393)</f>
        <v>0.51076968628393005</v>
      </c>
      <c r="N318" s="23">
        <f ca="1">IFERROR(__xludf.DUMMYFUNCTION("""COMPUTED_VALUE"""),0.231179126557343)</f>
        <v>0.23117912655734299</v>
      </c>
      <c r="O318" s="23">
        <f ca="1">IFERROR(__xludf.DUMMYFUNCTION("""COMPUTED_VALUE"""),-0.820938178915982)</f>
        <v>-0.82093817891598198</v>
      </c>
      <c r="P318" s="23"/>
      <c r="Q318" s="24">
        <f ca="1">IFERROR(__xludf.DUMMYFUNCTION("""COMPUTED_VALUE"""),0.738828133208789)</f>
        <v>0.73882813320878904</v>
      </c>
      <c r="R318" s="23">
        <f ca="1">IFERROR(__xludf.DUMMYFUNCTION("""COMPUTED_VALUE"""),-0.903396724149733)</f>
        <v>-0.90339672414973304</v>
      </c>
      <c r="S318" s="23"/>
      <c r="T318" s="23"/>
      <c r="U318" s="23">
        <f ca="1">IFERROR(__xludf.DUMMYFUNCTION("""COMPUTED_VALUE"""),-0.269169745481353)</f>
        <v>-0.26916974548135297</v>
      </c>
      <c r="V318" s="23">
        <f ca="1">IFERROR(__xludf.DUMMYFUNCTION("""COMPUTED_VALUE"""),0.971699652600201)</f>
        <v>0.97169965260020097</v>
      </c>
      <c r="W318" s="23">
        <f ca="1">IFERROR(__xludf.DUMMYFUNCTION("""COMPUTED_VALUE"""),0.376971637410594)</f>
        <v>0.37697163741059397</v>
      </c>
      <c r="X318" s="23"/>
      <c r="Y318" s="23">
        <f ca="1">IFERROR(__xludf.DUMMYFUNCTION("""COMPUTED_VALUE"""),0.844367817975293)</f>
        <v>0.84436781797529303</v>
      </c>
      <c r="Z318" s="23">
        <f ca="1">IFERROR(__xludf.DUMMYFUNCTION("""COMPUTED_VALUE"""),-0.246948947149454)</f>
        <v>-0.24694894714945401</v>
      </c>
      <c r="AA318" s="23">
        <f ca="1">IFERROR(__xludf.DUMMYFUNCTION("""COMPUTED_VALUE"""),0.147588399956084)</f>
        <v>0.147588399956084</v>
      </c>
      <c r="AB318" s="23"/>
      <c r="AC318" s="22">
        <f ca="1">IFERROR(__xludf.DUMMYFUNCTION("""COMPUTED_VALUE"""),1.70392573171561)</f>
        <v>1.70392573171561</v>
      </c>
      <c r="AD318" s="23"/>
      <c r="AE318" s="23"/>
      <c r="AF318" s="22"/>
      <c r="AG318" s="22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</row>
    <row r="319" spans="1:45" ht="27.75" customHeight="1" x14ac:dyDescent="0.35">
      <c r="A319" s="15" t="s">
        <v>27</v>
      </c>
      <c r="B319" s="15" t="s">
        <v>191</v>
      </c>
      <c r="C319" s="15" t="str">
        <f ca="1">IFERROR(__xludf.DUMMYFUNCTION("""COMPUTED_VALUE"""),"2022/12/02 (金)
平日夜間")</f>
        <v>2022/12/02 (金)
平日夜間</v>
      </c>
      <c r="D319" s="15" t="str">
        <f ca="1">IFERROR(__xludf.DUMMYFUNCTION("""COMPUTED_VALUE"""),"平日夜間")</f>
        <v>平日夜間</v>
      </c>
      <c r="E319" s="16">
        <f ca="1">IFERROR(__xludf.DUMMYFUNCTION("""COMPUTED_VALUE"""),0.934044534541737)</f>
        <v>0.93404453454173697</v>
      </c>
      <c r="F319" s="15" t="s">
        <v>9</v>
      </c>
      <c r="G319" s="39">
        <v>-1</v>
      </c>
      <c r="H319" s="27" t="s">
        <v>2</v>
      </c>
      <c r="I319" s="27"/>
      <c r="J319" s="27" t="s">
        <v>192</v>
      </c>
      <c r="K319" s="23" t="b">
        <f ca="1">IFERROR(__xludf.DUMMYFUNCTION("""COMPUTED_VALUE"""),TRUE)</f>
        <v>1</v>
      </c>
      <c r="L319" s="22">
        <f ca="1">IFERROR(__xludf.DUMMYFUNCTION("""COMPUTED_VALUE"""),-0.715791872913437)</f>
        <v>-0.71579187291343704</v>
      </c>
      <c r="M319" s="23">
        <f ca="1">IFERROR(__xludf.DUMMYFUNCTION("""COMPUTED_VALUE"""),0.90783398918668)</f>
        <v>0.90783398918668001</v>
      </c>
      <c r="N319" s="23">
        <f ca="1">IFERROR(__xludf.DUMMYFUNCTION("""COMPUTED_VALUE"""),-0.743183918719687)</f>
        <v>-0.74318391871968703</v>
      </c>
      <c r="O319" s="23">
        <f ca="1">IFERROR(__xludf.DUMMYFUNCTION("""COMPUTED_VALUE"""),-0.464114154070626)</f>
        <v>-0.46411415407062601</v>
      </c>
      <c r="P319" s="23"/>
      <c r="Q319" s="24">
        <f ca="1">IFERROR(__xludf.DUMMYFUNCTION("""COMPUTED_VALUE"""),0.189036583010248)</f>
        <v>0.189036583010248</v>
      </c>
      <c r="R319" s="23">
        <f ca="1">IFERROR(__xludf.DUMMYFUNCTION("""COMPUTED_VALUE"""),-0.763589745880296)</f>
        <v>-0.76358974588029604</v>
      </c>
      <c r="S319" s="23"/>
      <c r="T319" s="23"/>
      <c r="U319" s="23">
        <f ca="1">IFERROR(__xludf.DUMMYFUNCTION("""COMPUTED_VALUE"""),-0.615717923497919)</f>
        <v>-0.61571792349791898</v>
      </c>
      <c r="V319" s="23">
        <f ca="1">IFERROR(__xludf.DUMMYFUNCTION("""COMPUTED_VALUE"""),0.934044534541737)</f>
        <v>0.93404453454173697</v>
      </c>
      <c r="W319" s="23">
        <f ca="1">IFERROR(__xludf.DUMMYFUNCTION("""COMPUTED_VALUE"""),0.740469737541592)</f>
        <v>0.74046973754159195</v>
      </c>
      <c r="X319" s="23"/>
      <c r="Y319" s="23">
        <f ca="1">IFERROR(__xludf.DUMMYFUNCTION("""COMPUTED_VALUE"""),0.567868274993614)</f>
        <v>0.56786827499361403</v>
      </c>
      <c r="Z319" s="23">
        <f ca="1">IFERROR(__xludf.DUMMYFUNCTION("""COMPUTED_VALUE"""),-0.340282374884443)</f>
        <v>-0.34028237488444302</v>
      </c>
      <c r="AA319" s="23">
        <f ca="1">IFERROR(__xludf.DUMMYFUNCTION("""COMPUTED_VALUE"""),-0.114073024198531)</f>
        <v>-0.11407302419853101</v>
      </c>
      <c r="AB319" s="23"/>
      <c r="AC319" s="22">
        <f ca="1">IFERROR(__xludf.DUMMYFUNCTION("""COMPUTED_VALUE"""),-0.506550873642618)</f>
        <v>-0.50655087364261797</v>
      </c>
      <c r="AD319" s="23"/>
      <c r="AE319" s="23"/>
      <c r="AF319" s="22"/>
      <c r="AG319" s="22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</row>
    <row r="320" spans="1:45" ht="27.75" customHeight="1" x14ac:dyDescent="0.35">
      <c r="A320" s="15" t="s">
        <v>27</v>
      </c>
      <c r="B320" s="15" t="s">
        <v>191</v>
      </c>
      <c r="C320" s="15" t="str">
        <f ca="1">IFERROR(__xludf.DUMMYFUNCTION("""COMPUTED_VALUE"""),"2022/12/03 (土)
休日午前")</f>
        <v>2022/12/03 (土)
休日午前</v>
      </c>
      <c r="D320" s="15" t="str">
        <f ca="1">IFERROR(__xludf.DUMMYFUNCTION("""COMPUTED_VALUE"""),"休日午前")</f>
        <v>休日午前</v>
      </c>
      <c r="E320" s="16">
        <f ca="1">IFERROR(__xludf.DUMMYFUNCTION("""COMPUTED_VALUE"""),0.931615446813938)</f>
        <v>0.93161544681393804</v>
      </c>
      <c r="F320" s="15" t="s">
        <v>15</v>
      </c>
      <c r="G320" s="39">
        <v>0</v>
      </c>
      <c r="H320" s="27" t="s">
        <v>149</v>
      </c>
      <c r="I320" s="27"/>
      <c r="J320" s="27" t="s">
        <v>193</v>
      </c>
      <c r="K320" s="23" t="b">
        <f ca="1">IFERROR(__xludf.DUMMYFUNCTION("""COMPUTED_VALUE"""),FALSE)</f>
        <v>0</v>
      </c>
      <c r="L320" s="22">
        <f ca="1">IFERROR(__xludf.DUMMYFUNCTION("""COMPUTED_VALUE"""),-0.90235941830983)</f>
        <v>-0.90235941830983002</v>
      </c>
      <c r="M320" s="23">
        <f ca="1">IFERROR(__xludf.DUMMYFUNCTION("""COMPUTED_VALUE"""),0.155260837216888)</f>
        <v>0.15526083721688799</v>
      </c>
      <c r="N320" s="23">
        <f ca="1">IFERROR(__xludf.DUMMYFUNCTION("""COMPUTED_VALUE"""),-0.989516873197215)</f>
        <v>-0.98951687319721504</v>
      </c>
      <c r="O320" s="23">
        <f ca="1">IFERROR(__xludf.DUMMYFUNCTION("""COMPUTED_VALUE"""),0.366477724703201)</f>
        <v>0.366477724703201</v>
      </c>
      <c r="P320" s="23"/>
      <c r="Q320" s="24">
        <f ca="1">IFERROR(__xludf.DUMMYFUNCTION("""COMPUTED_VALUE"""),0.843446416160479)</f>
        <v>0.843446416160479</v>
      </c>
      <c r="R320" s="23">
        <f ca="1">IFERROR(__xludf.DUMMYFUNCTION("""COMPUTED_VALUE"""),-0.102165155283292)</f>
        <v>-0.10216515528329199</v>
      </c>
      <c r="S320" s="23"/>
      <c r="T320" s="23"/>
      <c r="U320" s="23">
        <f ca="1">IFERROR(__xludf.DUMMYFUNCTION("""COMPUTED_VALUE"""),-0.640955983373958)</f>
        <v>-0.64095598337395798</v>
      </c>
      <c r="V320" s="23">
        <f ca="1">IFERROR(__xludf.DUMMYFUNCTION("""COMPUTED_VALUE"""),0.106300598436603)</f>
        <v>0.106300598436603</v>
      </c>
      <c r="W320" s="23">
        <f ca="1">IFERROR(__xludf.DUMMYFUNCTION("""COMPUTED_VALUE"""),-0.223205672653799)</f>
        <v>-0.22320567265379901</v>
      </c>
      <c r="X320" s="23"/>
      <c r="Y320" s="23">
        <f ca="1">IFERROR(__xludf.DUMMYFUNCTION("""COMPUTED_VALUE"""),-0.982964241331516)</f>
        <v>-0.98296424133151605</v>
      </c>
      <c r="Z320" s="23">
        <f ca="1">IFERROR(__xludf.DUMMYFUNCTION("""COMPUTED_VALUE"""),-0.702982766470404)</f>
        <v>-0.70298276647040403</v>
      </c>
      <c r="AA320" s="23">
        <f ca="1">IFERROR(__xludf.DUMMYFUNCTION("""COMPUTED_VALUE"""),-0.626483846174062)</f>
        <v>-0.62648384617406205</v>
      </c>
      <c r="AB320" s="23"/>
      <c r="AC320" s="22">
        <f ca="1">IFERROR(__xludf.DUMMYFUNCTION("""COMPUTED_VALUE"""),-0.334058597630108)</f>
        <v>-0.33405859763010798</v>
      </c>
      <c r="AD320" s="23"/>
      <c r="AE320" s="23"/>
      <c r="AF320" s="22"/>
      <c r="AG320" s="22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</row>
    <row r="321" spans="1:45" ht="27.75" customHeight="1" x14ac:dyDescent="0.4">
      <c r="A321" s="15" t="s">
        <v>27</v>
      </c>
      <c r="B321" s="15" t="s">
        <v>191</v>
      </c>
      <c r="C321" s="15" t="str">
        <f ca="1">IFERROR(__xludf.DUMMYFUNCTION("""COMPUTED_VALUE"""),"2022/12/03 (土)
休日午後")</f>
        <v>2022/12/03 (土)
休日午後</v>
      </c>
      <c r="D321" s="15" t="str">
        <f ca="1">IFERROR(__xludf.DUMMYFUNCTION("""COMPUTED_VALUE"""),"休日午後")</f>
        <v>休日午後</v>
      </c>
      <c r="E321" s="16">
        <f ca="1">IFERROR(__xludf.DUMMYFUNCTION("""COMPUTED_VALUE"""),2.99909259995883)</f>
        <v>2.9990925999588298</v>
      </c>
      <c r="F321" s="15" t="s">
        <v>15</v>
      </c>
      <c r="G321" s="39"/>
      <c r="H321" s="29" t="s">
        <v>12</v>
      </c>
      <c r="I321" s="27"/>
      <c r="J321" s="27" t="s">
        <v>193</v>
      </c>
      <c r="K321" s="23" t="b">
        <f ca="1">IFERROR(__xludf.DUMMYFUNCTION("""COMPUTED_VALUE"""),TRUE)</f>
        <v>1</v>
      </c>
      <c r="L321" s="22">
        <f ca="1">IFERROR(__xludf.DUMMYFUNCTION("""COMPUTED_VALUE"""),-0.763064810728304)</f>
        <v>-0.76306481072830401</v>
      </c>
      <c r="M321" s="23">
        <f ca="1">IFERROR(__xludf.DUMMYFUNCTION("""COMPUTED_VALUE"""),0.110345700710412)</f>
        <v>0.110345700710412</v>
      </c>
      <c r="N321" s="23">
        <f ca="1">IFERROR(__xludf.DUMMYFUNCTION("""COMPUTED_VALUE"""),-0.46725546209044)</f>
        <v>-0.46725546209044</v>
      </c>
      <c r="O321" s="23">
        <f ca="1">IFERROR(__xludf.DUMMYFUNCTION("""COMPUTED_VALUE"""),-0.352556414319921)</f>
        <v>-0.35255641431992102</v>
      </c>
      <c r="P321" s="23"/>
      <c r="Q321" s="24">
        <f ca="1">IFERROR(__xludf.DUMMYFUNCTION("""COMPUTED_VALUE"""),0.731036348584726)</f>
        <v>0.73103634858472599</v>
      </c>
      <c r="R321" s="23">
        <f ca="1">IFERROR(__xludf.DUMMYFUNCTION("""COMPUTED_VALUE"""),-0.729486270020713)</f>
        <v>-0.72948627002071298</v>
      </c>
      <c r="S321" s="23"/>
      <c r="T321" s="23"/>
      <c r="U321" s="23">
        <f ca="1">IFERROR(__xludf.DUMMYFUNCTION("""COMPUTED_VALUE"""),-0.857877955815634)</f>
        <v>-0.85787795581563397</v>
      </c>
      <c r="V321" s="23">
        <f ca="1">IFERROR(__xludf.DUMMYFUNCTION("""COMPUTED_VALUE"""),0.684176845034488)</f>
        <v>0.68417684503448795</v>
      </c>
      <c r="W321" s="23">
        <f ca="1">IFERROR(__xludf.DUMMYFUNCTION("""COMPUTED_VALUE"""),-0.143123432977657)</f>
        <v>-0.14312343297765701</v>
      </c>
      <c r="X321" s="23"/>
      <c r="Y321" s="23">
        <f ca="1">IFERROR(__xludf.DUMMYFUNCTION("""COMPUTED_VALUE"""),-0.390579457858488)</f>
        <v>-0.39057945785848802</v>
      </c>
      <c r="Z321" s="23">
        <f ca="1">IFERROR(__xludf.DUMMYFUNCTION("""COMPUTED_VALUE"""),-0.407165712135581)</f>
        <v>-0.407165712135581</v>
      </c>
      <c r="AA321" s="23">
        <f ca="1">IFERROR(__xludf.DUMMYFUNCTION("""COMPUTED_VALUE"""),-0.489532440907142)</f>
        <v>-0.48953244090714199</v>
      </c>
      <c r="AB321" s="23"/>
      <c r="AC321" s="22">
        <f ca="1">IFERROR(__xludf.DUMMYFUNCTION("""COMPUTED_VALUE"""),-0.354276246668174)</f>
        <v>-0.35427624666817398</v>
      </c>
      <c r="AD321" s="23"/>
      <c r="AE321" s="23"/>
      <c r="AF321" s="22"/>
      <c r="AG321" s="22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</row>
    <row r="322" spans="1:45" ht="27.75" customHeight="1" x14ac:dyDescent="0.35">
      <c r="A322" s="15" t="s">
        <v>27</v>
      </c>
      <c r="B322" s="15" t="s">
        <v>191</v>
      </c>
      <c r="C322" s="15" t="str">
        <f ca="1">IFERROR(__xludf.DUMMYFUNCTION("""COMPUTED_VALUE"""),"2022/12/04 (日)
休日午前")</f>
        <v>2022/12/04 (日)
休日午前</v>
      </c>
      <c r="D322" s="15" t="str">
        <f ca="1">IFERROR(__xludf.DUMMYFUNCTION("""COMPUTED_VALUE"""),"休日午前")</f>
        <v>休日午前</v>
      </c>
      <c r="E322" s="16">
        <f ca="1">IFERROR(__xludf.DUMMYFUNCTION("""COMPUTED_VALUE"""),0.939909195115088)</f>
        <v>0.93990919511508797</v>
      </c>
      <c r="F322" s="15" t="s">
        <v>4</v>
      </c>
      <c r="G322" s="39"/>
      <c r="H322" s="27" t="s">
        <v>5</v>
      </c>
      <c r="I322" s="27"/>
      <c r="J322" s="27" t="s">
        <v>194</v>
      </c>
      <c r="K322" s="23" t="b">
        <f ca="1">IFERROR(__xludf.DUMMYFUNCTION("""COMPUTED_VALUE"""),FALSE)</f>
        <v>0</v>
      </c>
      <c r="L322" s="22">
        <f ca="1">IFERROR(__xludf.DUMMYFUNCTION("""COMPUTED_VALUE"""),-0.495708746253338)</f>
        <v>-0.495708746253338</v>
      </c>
      <c r="M322" s="23">
        <f ca="1">IFERROR(__xludf.DUMMYFUNCTION("""COMPUTED_VALUE"""),0.939909195115088)</f>
        <v>0.93990919511508797</v>
      </c>
      <c r="N322" s="23">
        <f ca="1">IFERROR(__xludf.DUMMYFUNCTION("""COMPUTED_VALUE"""),0.33344332484485)</f>
        <v>0.33344332484485001</v>
      </c>
      <c r="O322" s="23">
        <f ca="1">IFERROR(__xludf.DUMMYFUNCTION("""COMPUTED_VALUE"""),-0.508352694241224)</f>
        <v>-0.50835269424122398</v>
      </c>
      <c r="P322" s="23"/>
      <c r="Q322" s="24">
        <f ca="1">IFERROR(__xludf.DUMMYFUNCTION("""COMPUTED_VALUE"""),0.781707363590435)</f>
        <v>0.78170736359043502</v>
      </c>
      <c r="R322" s="23">
        <f ca="1">IFERROR(__xludf.DUMMYFUNCTION("""COMPUTED_VALUE"""),0.0447510605701431)</f>
        <v>4.4751060570143102E-2</v>
      </c>
      <c r="S322" s="23"/>
      <c r="T322" s="23"/>
      <c r="U322" s="23">
        <f ca="1">IFERROR(__xludf.DUMMYFUNCTION("""COMPUTED_VALUE"""),-0.883555485737572)</f>
        <v>-0.88355548573757203</v>
      </c>
      <c r="V322" s="23">
        <f ca="1">IFERROR(__xludf.DUMMYFUNCTION("""COMPUTED_VALUE"""),0.835640237660159)</f>
        <v>0.83564023766015905</v>
      </c>
      <c r="W322" s="23">
        <f ca="1">IFERROR(__xludf.DUMMYFUNCTION("""COMPUTED_VALUE"""),0.799114086237851)</f>
        <v>0.79911408623785096</v>
      </c>
      <c r="X322" s="23"/>
      <c r="Y322" s="23">
        <f ca="1">IFERROR(__xludf.DUMMYFUNCTION("""COMPUTED_VALUE"""),-0.278227552493598)</f>
        <v>-0.27822755249359798</v>
      </c>
      <c r="Z322" s="23">
        <f ca="1">IFERROR(__xludf.DUMMYFUNCTION("""COMPUTED_VALUE"""),0.233618363746548)</f>
        <v>0.23361836374654801</v>
      </c>
      <c r="AA322" s="23">
        <f ca="1">IFERROR(__xludf.DUMMYFUNCTION("""COMPUTED_VALUE"""),-0.618332536650352)</f>
        <v>-0.61833253665035204</v>
      </c>
      <c r="AB322" s="23"/>
      <c r="AC322" s="22">
        <f ca="1">IFERROR(__xludf.DUMMYFUNCTION("""COMPUTED_VALUE"""),-0.550209941312549)</f>
        <v>-0.55020994131254897</v>
      </c>
      <c r="AD322" s="23"/>
      <c r="AE322" s="23"/>
      <c r="AF322" s="22"/>
      <c r="AG322" s="22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</row>
    <row r="323" spans="1:45" ht="27.75" customHeight="1" x14ac:dyDescent="0.4">
      <c r="A323" s="15" t="s">
        <v>27</v>
      </c>
      <c r="B323" s="15" t="s">
        <v>191</v>
      </c>
      <c r="C323" s="15" t="str">
        <f ca="1">IFERROR(__xludf.DUMMYFUNCTION("""COMPUTED_VALUE"""),"2022/12/04 (日)
休日午後")</f>
        <v>2022/12/04 (日)
休日午後</v>
      </c>
      <c r="D323" s="15" t="str">
        <f ca="1">IFERROR(__xludf.DUMMYFUNCTION("""COMPUTED_VALUE"""),"休日午後")</f>
        <v>休日午後</v>
      </c>
      <c r="E323" s="16">
        <f ca="1">IFERROR(__xludf.DUMMYFUNCTION("""COMPUTED_VALUE"""),2.51301077712798)</f>
        <v>2.5130107771279802</v>
      </c>
      <c r="F323" s="15" t="s">
        <v>15</v>
      </c>
      <c r="G323" s="39">
        <v>0</v>
      </c>
      <c r="H323" s="29" t="s">
        <v>15</v>
      </c>
      <c r="I323" s="27"/>
      <c r="J323" s="27" t="s">
        <v>194</v>
      </c>
      <c r="K323" s="23" t="b">
        <f ca="1">IFERROR(__xludf.DUMMYFUNCTION("""COMPUTED_VALUE"""),TRUE)</f>
        <v>1</v>
      </c>
      <c r="L323" s="22">
        <f ca="1">IFERROR(__xludf.DUMMYFUNCTION("""COMPUTED_VALUE"""),-0.98970332783142)</f>
        <v>-0.98970332783142001</v>
      </c>
      <c r="M323" s="23">
        <f ca="1">IFERROR(__xludf.DUMMYFUNCTION("""COMPUTED_VALUE"""),-0.195999845191209)</f>
        <v>-0.195999845191209</v>
      </c>
      <c r="N323" s="23">
        <f ca="1">IFERROR(__xludf.DUMMYFUNCTION("""COMPUTED_VALUE"""),0.504976498103215)</f>
        <v>0.50497649810321499</v>
      </c>
      <c r="O323" s="23">
        <f ca="1">IFERROR(__xludf.DUMMYFUNCTION("""COMPUTED_VALUE"""),-0.320032779854065)</f>
        <v>-0.32003277985406497</v>
      </c>
      <c r="P323" s="23"/>
      <c r="Q323" s="24">
        <f ca="1">IFERROR(__xludf.DUMMYFUNCTION("""COMPUTED_VALUE"""),0.666779857847188)</f>
        <v>0.66677985784718796</v>
      </c>
      <c r="R323" s="23">
        <f ca="1">IFERROR(__xludf.DUMMYFUNCTION("""COMPUTED_VALUE"""),0.574301171912075)</f>
        <v>0.57430117191207497</v>
      </c>
      <c r="S323" s="23"/>
      <c r="T323" s="23"/>
      <c r="U323" s="23">
        <f ca="1">IFERROR(__xludf.DUMMYFUNCTION("""COMPUTED_VALUE"""),-0.697829311265644)</f>
        <v>-0.69782931126564396</v>
      </c>
      <c r="V323" s="23">
        <f ca="1">IFERROR(__xludf.DUMMYFUNCTION("""COMPUTED_VALUE"""),0.0710521233176559)</f>
        <v>7.1052123317655896E-2</v>
      </c>
      <c r="W323" s="23">
        <f ca="1">IFERROR(__xludf.DUMMYFUNCTION("""COMPUTED_VALUE"""),0.629757727949654)</f>
        <v>0.62975772794965401</v>
      </c>
      <c r="X323" s="23"/>
      <c r="Y323" s="23">
        <f ca="1">IFERROR(__xludf.DUMMYFUNCTION("""COMPUTED_VALUE"""),-0.25554673638448)</f>
        <v>-0.25554673638448</v>
      </c>
      <c r="Z323" s="23">
        <f ca="1">IFERROR(__xludf.DUMMYFUNCTION("""COMPUTED_VALUE"""),0.817565141839067)</f>
        <v>0.81756514183906703</v>
      </c>
      <c r="AA323" s="23">
        <f ca="1">IFERROR(__xludf.DUMMYFUNCTION("""COMPUTED_VALUE"""),-0.856202628541019)</f>
        <v>-0.85620262854101903</v>
      </c>
      <c r="AB323" s="23"/>
      <c r="AC323" s="22">
        <f ca="1">IFERROR(__xludf.DUMMYFUNCTION("""COMPUTED_VALUE"""),-0.234032860729136)</f>
        <v>-0.23403286072913601</v>
      </c>
      <c r="AD323" s="23"/>
      <c r="AE323" s="23"/>
      <c r="AF323" s="22"/>
      <c r="AG323" s="22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</row>
    <row r="324" spans="1:45" ht="27.75" customHeight="1" x14ac:dyDescent="0.4">
      <c r="A324" s="15" t="s">
        <v>27</v>
      </c>
      <c r="B324" s="15" t="s">
        <v>191</v>
      </c>
      <c r="C324" s="15" t="str">
        <f ca="1">IFERROR(__xludf.DUMMYFUNCTION("""COMPUTED_VALUE"""),"2022/12/05 (月)
平日夜間")</f>
        <v>2022/12/05 (月)
平日夜間</v>
      </c>
      <c r="D324" s="15" t="str">
        <f ca="1">IFERROR(__xludf.DUMMYFUNCTION("""COMPUTED_VALUE"""),"平日夜間")</f>
        <v>平日夜間</v>
      </c>
      <c r="E324" s="16">
        <f ca="1">IFERROR(__xludf.DUMMYFUNCTION("""COMPUTED_VALUE"""),0.997673728671204)</f>
        <v>0.99767372867120396</v>
      </c>
      <c r="F324" s="15" t="s">
        <v>45</v>
      </c>
      <c r="G324" s="39">
        <v>0</v>
      </c>
      <c r="H324" s="29" t="s">
        <v>6</v>
      </c>
      <c r="I324" s="27"/>
      <c r="J324" s="27" t="s">
        <v>195</v>
      </c>
      <c r="K324" s="23" t="b">
        <f ca="1">IFERROR(__xludf.DUMMYFUNCTION("""COMPUTED_VALUE"""),TRUE)</f>
        <v>1</v>
      </c>
      <c r="L324" s="22">
        <f ca="1">IFERROR(__xludf.DUMMYFUNCTION("""COMPUTED_VALUE"""),0.843943400175897)</f>
        <v>0.84394340017589697</v>
      </c>
      <c r="M324" s="23">
        <f ca="1">IFERROR(__xludf.DUMMYFUNCTION("""COMPUTED_VALUE"""),-0.60425635054618)</f>
        <v>-0.60425635054617999</v>
      </c>
      <c r="N324" s="23">
        <f ca="1">IFERROR(__xludf.DUMMYFUNCTION("""COMPUTED_VALUE"""),0.222727099972598)</f>
        <v>0.22272709997259801</v>
      </c>
      <c r="O324" s="23">
        <f ca="1">IFERROR(__xludf.DUMMYFUNCTION("""COMPUTED_VALUE"""),-0.540533345976205)</f>
        <v>-0.54053334597620495</v>
      </c>
      <c r="P324" s="23"/>
      <c r="Q324" s="24">
        <f ca="1">IFERROR(__xludf.DUMMYFUNCTION("""COMPUTED_VALUE"""),0.455394636016334)</f>
        <v>0.45539463601633401</v>
      </c>
      <c r="R324" s="23">
        <f ca="1">IFERROR(__xludf.DUMMYFUNCTION("""COMPUTED_VALUE"""),-0.616333555272426)</f>
        <v>-0.61633355527242595</v>
      </c>
      <c r="S324" s="23"/>
      <c r="T324" s="23"/>
      <c r="U324" s="23">
        <f ca="1">IFERROR(__xludf.DUMMYFUNCTION("""COMPUTED_VALUE"""),0.484797856100827)</f>
        <v>0.48479785610082698</v>
      </c>
      <c r="V324" s="23">
        <f ca="1">IFERROR(__xludf.DUMMYFUNCTION("""COMPUTED_VALUE"""),0.447970713231673)</f>
        <v>0.44797071323167298</v>
      </c>
      <c r="W324" s="23">
        <f ca="1">IFERROR(__xludf.DUMMYFUNCTION("""COMPUTED_VALUE"""),0.229324619781)</f>
        <v>0.22932461978099999</v>
      </c>
      <c r="X324" s="23"/>
      <c r="Y324" s="23">
        <f ca="1">IFERROR(__xludf.DUMMYFUNCTION("""COMPUTED_VALUE"""),0.476157128678128)</f>
        <v>0.47615712867812798</v>
      </c>
      <c r="Z324" s="23">
        <f ca="1">IFERROR(__xludf.DUMMYFUNCTION("""COMPUTED_VALUE"""),0.851724170409327)</f>
        <v>0.85172417040932702</v>
      </c>
      <c r="AA324" s="23">
        <f ca="1">IFERROR(__xludf.DUMMYFUNCTION("""COMPUTED_VALUE"""),0.578462936648221)</f>
        <v>0.57846293664822102</v>
      </c>
      <c r="AB324" s="23"/>
      <c r="AC324" s="22">
        <f ca="1">IFERROR(__xludf.DUMMYFUNCTION("""COMPUTED_VALUE"""),0.499701831895797)</f>
        <v>0.49970183189579698</v>
      </c>
      <c r="AD324" s="23"/>
      <c r="AE324" s="23"/>
      <c r="AF324" s="22"/>
      <c r="AG324" s="22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</row>
    <row r="325" spans="1:45" ht="27.75" customHeight="1" x14ac:dyDescent="0.35">
      <c r="A325" s="15" t="s">
        <v>27</v>
      </c>
      <c r="B325" s="15" t="s">
        <v>191</v>
      </c>
      <c r="C325" s="15" t="str">
        <f ca="1">IFERROR(__xludf.DUMMYFUNCTION("""COMPUTED_VALUE"""),"2022/12/06 (火)
平日夜間")</f>
        <v>2022/12/06 (火)
平日夜間</v>
      </c>
      <c r="D325" s="15" t="str">
        <f ca="1">IFERROR(__xludf.DUMMYFUNCTION("""COMPUTED_VALUE"""),"平日夜間")</f>
        <v>平日夜間</v>
      </c>
      <c r="E325" s="16">
        <f ca="1">IFERROR(__xludf.DUMMYFUNCTION("""COMPUTED_VALUE"""),0.930447499477096)</f>
        <v>0.93044749947709604</v>
      </c>
      <c r="F325" s="15" t="s">
        <v>2</v>
      </c>
      <c r="G325" s="39">
        <v>0</v>
      </c>
      <c r="H325" s="27" t="s">
        <v>127</v>
      </c>
      <c r="I325" s="27"/>
      <c r="J325" s="27"/>
      <c r="K325" s="23" t="b">
        <f ca="1">IFERROR(__xludf.DUMMYFUNCTION("""COMPUTED_VALUE"""),FALSE)</f>
        <v>0</v>
      </c>
      <c r="L325" s="22">
        <f ca="1">IFERROR(__xludf.DUMMYFUNCTION("""COMPUTED_VALUE"""),0.912567639345104)</f>
        <v>0.91256763934510399</v>
      </c>
      <c r="M325" s="23">
        <f ca="1">IFERROR(__xludf.DUMMYFUNCTION("""COMPUTED_VALUE"""),-0.0735042962714505)</f>
        <v>-7.3504296271450498E-2</v>
      </c>
      <c r="N325" s="23">
        <f ca="1">IFERROR(__xludf.DUMMYFUNCTION("""COMPUTED_VALUE"""),0.911680390047138)</f>
        <v>0.91168039004713797</v>
      </c>
      <c r="O325" s="23">
        <f ca="1">IFERROR(__xludf.DUMMYFUNCTION("""COMPUTED_VALUE"""),-0.959017894259092)</f>
        <v>-0.95901789425909201</v>
      </c>
      <c r="P325" s="23"/>
      <c r="Q325" s="24">
        <f ca="1">IFERROR(__xludf.DUMMYFUNCTION("""COMPUTED_VALUE"""),0.452986917371559)</f>
        <v>0.45298691737155899</v>
      </c>
      <c r="R325" s="23">
        <f ca="1">IFERROR(__xludf.DUMMYFUNCTION("""COMPUTED_VALUE"""),-0.925672867084145)</f>
        <v>-0.92567286708414498</v>
      </c>
      <c r="S325" s="23"/>
      <c r="T325" s="23"/>
      <c r="U325" s="23">
        <f ca="1">IFERROR(__xludf.DUMMYFUNCTION("""COMPUTED_VALUE"""),0.822350250450055)</f>
        <v>0.82235025045005505</v>
      </c>
      <c r="V325" s="23">
        <f ca="1">IFERROR(__xludf.DUMMYFUNCTION("""COMPUTED_VALUE"""),0.382001639032082)</f>
        <v>0.38200163903208201</v>
      </c>
      <c r="W325" s="23">
        <f ca="1">IFERROR(__xludf.DUMMYFUNCTION("""COMPUTED_VALUE"""),-0.810411612018744)</f>
        <v>-0.81041161201874401</v>
      </c>
      <c r="X325" s="23"/>
      <c r="Y325" s="23">
        <f ca="1">IFERROR(__xludf.DUMMYFUNCTION("""COMPUTED_VALUE"""),0.422203382195144)</f>
        <v>0.42220338219514397</v>
      </c>
      <c r="Z325" s="23">
        <f ca="1">IFERROR(__xludf.DUMMYFUNCTION("""COMPUTED_VALUE"""),-0.736149277169093)</f>
        <v>-0.73614927716909295</v>
      </c>
      <c r="AA325" s="23">
        <f ca="1">IFERROR(__xludf.DUMMYFUNCTION("""COMPUTED_VALUE"""),-0.804913460668705)</f>
        <v>-0.80491346066870495</v>
      </c>
      <c r="AB325" s="23"/>
      <c r="AC325" s="22">
        <f ca="1">IFERROR(__xludf.DUMMYFUNCTION("""COMPUTED_VALUE"""),0.764915283847988)</f>
        <v>0.76491528384798801</v>
      </c>
      <c r="AD325" s="23"/>
      <c r="AE325" s="23"/>
      <c r="AF325" s="22"/>
      <c r="AG325" s="22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</row>
    <row r="326" spans="1:45" ht="27.75" customHeight="1" x14ac:dyDescent="0.4">
      <c r="A326" s="15" t="s">
        <v>27</v>
      </c>
      <c r="B326" s="15" t="s">
        <v>191</v>
      </c>
      <c r="C326" s="15" t="str">
        <f ca="1">IFERROR(__xludf.DUMMYFUNCTION("""COMPUTED_VALUE"""),"2022/12/07 (水)
平日夜間")</f>
        <v>2022/12/07 (水)
平日夜間</v>
      </c>
      <c r="D326" s="15" t="str">
        <f ca="1">IFERROR(__xludf.DUMMYFUNCTION("""COMPUTED_VALUE"""),"平日夜間")</f>
        <v>平日夜間</v>
      </c>
      <c r="E326" s="16">
        <f ca="1">IFERROR(__xludf.DUMMYFUNCTION("""COMPUTED_VALUE"""),2.28006748335315)</f>
        <v>2.2800674833531498</v>
      </c>
      <c r="F326" s="15" t="s">
        <v>9</v>
      </c>
      <c r="G326" s="39">
        <v>2</v>
      </c>
      <c r="H326" s="29" t="s">
        <v>9</v>
      </c>
      <c r="I326" s="27"/>
      <c r="J326" s="27" t="s">
        <v>196</v>
      </c>
      <c r="K326" s="23" t="b">
        <f ca="1">IFERROR(__xludf.DUMMYFUNCTION("""COMPUTED_VALUE"""),TRUE)</f>
        <v>1</v>
      </c>
      <c r="L326" s="22">
        <f ca="1">IFERROR(__xludf.DUMMYFUNCTION("""COMPUTED_VALUE"""),0.157499921397786)</f>
        <v>0.15749992139778601</v>
      </c>
      <c r="M326" s="23">
        <f ca="1">IFERROR(__xludf.DUMMYFUNCTION("""COMPUTED_VALUE"""),-0.70226576721747)</f>
        <v>-0.70226576721747003</v>
      </c>
      <c r="N326" s="23">
        <f ca="1">IFERROR(__xludf.DUMMYFUNCTION("""COMPUTED_VALUE"""),0.141477459581183)</f>
        <v>0.14147745958118299</v>
      </c>
      <c r="O326" s="23">
        <f ca="1">IFERROR(__xludf.DUMMYFUNCTION("""COMPUTED_VALUE"""),-0.0881305231847719)</f>
        <v>-8.8130523184771895E-2</v>
      </c>
      <c r="P326" s="23"/>
      <c r="Q326" s="24">
        <f ca="1">IFERROR(__xludf.DUMMYFUNCTION("""COMPUTED_VALUE"""),0.18297113930291)</f>
        <v>0.18297113930291001</v>
      </c>
      <c r="R326" s="23">
        <f ca="1">IFERROR(__xludf.DUMMYFUNCTION("""COMPUTED_VALUE"""),-0.648057829778102)</f>
        <v>-0.648057829778102</v>
      </c>
      <c r="S326" s="23"/>
      <c r="T326" s="23"/>
      <c r="U326" s="23">
        <f ca="1">IFERROR(__xludf.DUMMYFUNCTION("""COMPUTED_VALUE"""),0.198262645104917)</f>
        <v>0.19826264510491701</v>
      </c>
      <c r="V326" s="23">
        <f ca="1">IFERROR(__xludf.DUMMYFUNCTION("""COMPUTED_VALUE"""),2.28006748335315)</f>
        <v>2.2800674833531498</v>
      </c>
      <c r="W326" s="23">
        <f ca="1">IFERROR(__xludf.DUMMYFUNCTION("""COMPUTED_VALUE"""),-0.915258035273873)</f>
        <v>-0.91525803527387295</v>
      </c>
      <c r="X326" s="23"/>
      <c r="Y326" s="23">
        <f ca="1">IFERROR(__xludf.DUMMYFUNCTION("""COMPUTED_VALUE"""),0.39216917081981)</f>
        <v>0.39216917081981001</v>
      </c>
      <c r="Z326" s="23">
        <f ca="1">IFERROR(__xludf.DUMMYFUNCTION("""COMPUTED_VALUE"""),0.763770264586345)</f>
        <v>0.763770264586345</v>
      </c>
      <c r="AA326" s="23">
        <f ca="1">IFERROR(__xludf.DUMMYFUNCTION("""COMPUTED_VALUE"""),0.202984402919465)</f>
        <v>0.20298440291946501</v>
      </c>
      <c r="AB326" s="23"/>
      <c r="AC326" s="22">
        <f ca="1">IFERROR(__xludf.DUMMYFUNCTION("""COMPUTED_VALUE"""),1.01212510427278)</f>
        <v>1.0121251042727799</v>
      </c>
      <c r="AD326" s="23"/>
      <c r="AE326" s="23"/>
      <c r="AF326" s="22"/>
      <c r="AG326" s="22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</row>
    <row r="327" spans="1:45" ht="27.75" customHeight="1" x14ac:dyDescent="0.35">
      <c r="A327" s="15" t="s">
        <v>27</v>
      </c>
      <c r="B327" s="15" t="s">
        <v>191</v>
      </c>
      <c r="C327" s="15" t="str">
        <f ca="1">IFERROR(__xludf.DUMMYFUNCTION("""COMPUTED_VALUE"""),"2022/12/08 (木)
平日夜間")</f>
        <v>2022/12/08 (木)
平日夜間</v>
      </c>
      <c r="D327" s="15" t="str">
        <f ca="1">IFERROR(__xludf.DUMMYFUNCTION("""COMPUTED_VALUE"""),"平日夜間")</f>
        <v>平日夜間</v>
      </c>
      <c r="E327" s="16">
        <f ca="1">IFERROR(__xludf.DUMMYFUNCTION("""COMPUTED_VALUE"""),0.996030116915123)</f>
        <v>0.996030116915123</v>
      </c>
      <c r="F327" s="15" t="s">
        <v>2</v>
      </c>
      <c r="G327" s="39">
        <v>0</v>
      </c>
      <c r="H327" s="27" t="s">
        <v>10</v>
      </c>
      <c r="I327" s="27"/>
      <c r="J327" s="27"/>
      <c r="K327" s="23" t="b">
        <f ca="1">IFERROR(__xludf.DUMMYFUNCTION("""COMPUTED_VALUE"""),FALSE)</f>
        <v>0</v>
      </c>
      <c r="L327" s="22">
        <f ca="1">IFERROR(__xludf.DUMMYFUNCTION("""COMPUTED_VALUE"""),-0.658706475717724)</f>
        <v>-0.658706475717724</v>
      </c>
      <c r="M327" s="23">
        <f ca="1">IFERROR(__xludf.DUMMYFUNCTION("""COMPUTED_VALUE"""),0.159588401111282)</f>
        <v>0.159588401111282</v>
      </c>
      <c r="N327" s="23">
        <f ca="1">IFERROR(__xludf.DUMMYFUNCTION("""COMPUTED_VALUE"""),0.977667764082188)</f>
        <v>0.97766776408218803</v>
      </c>
      <c r="O327" s="23">
        <f ca="1">IFERROR(__xludf.DUMMYFUNCTION("""COMPUTED_VALUE"""),-0.310047229902426)</f>
        <v>-0.310047229902426</v>
      </c>
      <c r="P327" s="23"/>
      <c r="Q327" s="24">
        <f ca="1">IFERROR(__xludf.DUMMYFUNCTION("""COMPUTED_VALUE"""),-0.620359035176463)</f>
        <v>-0.62035903517646296</v>
      </c>
      <c r="R327" s="23">
        <f ca="1">IFERROR(__xludf.DUMMYFUNCTION("""COMPUTED_VALUE"""),-0.823760582130761)</f>
        <v>-0.82376058213076098</v>
      </c>
      <c r="S327" s="23"/>
      <c r="T327" s="23"/>
      <c r="U327" s="23">
        <f ca="1">IFERROR(__xludf.DUMMYFUNCTION("""COMPUTED_VALUE"""),-0.204400757369906)</f>
        <v>-0.20440075736990601</v>
      </c>
      <c r="V327" s="23">
        <f ca="1">IFERROR(__xludf.DUMMYFUNCTION("""COMPUTED_VALUE"""),0.963848092023796)</f>
        <v>0.96384809202379595</v>
      </c>
      <c r="W327" s="23">
        <f ca="1">IFERROR(__xludf.DUMMYFUNCTION("""COMPUTED_VALUE"""),0.390083465212082)</f>
        <v>0.39008346521208198</v>
      </c>
      <c r="X327" s="23"/>
      <c r="Y327" s="23">
        <f ca="1">IFERROR(__xludf.DUMMYFUNCTION("""COMPUTED_VALUE"""),0.192704584983672)</f>
        <v>0.19270458498367199</v>
      </c>
      <c r="Z327" s="23">
        <f ca="1">IFERROR(__xludf.DUMMYFUNCTION("""COMPUTED_VALUE"""),0.316464044645298)</f>
        <v>0.31646404464529798</v>
      </c>
      <c r="AA327" s="23">
        <f ca="1">IFERROR(__xludf.DUMMYFUNCTION("""COMPUTED_VALUE"""),-0.855986815480794)</f>
        <v>-0.85598681548079403</v>
      </c>
      <c r="AB327" s="23"/>
      <c r="AC327" s="22">
        <f ca="1">IFERROR(__xludf.DUMMYFUNCTION("""COMPUTED_VALUE"""),0.0373285753992183)</f>
        <v>3.73285753992183E-2</v>
      </c>
      <c r="AD327" s="23"/>
      <c r="AE327" s="23"/>
      <c r="AF327" s="22"/>
      <c r="AG327" s="22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</row>
    <row r="328" spans="1:45" ht="27.75" customHeight="1" x14ac:dyDescent="0.35">
      <c r="A328" s="15" t="s">
        <v>27</v>
      </c>
      <c r="B328" s="15" t="s">
        <v>191</v>
      </c>
      <c r="C328" s="15" t="str">
        <f ca="1">IFERROR(__xludf.DUMMYFUNCTION("""COMPUTED_VALUE"""),"2022/12/09 (金)
平日夜間")</f>
        <v>2022/12/09 (金)
平日夜間</v>
      </c>
      <c r="D328" s="15" t="str">
        <f ca="1">IFERROR(__xludf.DUMMYFUNCTION("""COMPUTED_VALUE"""),"平日夜間")</f>
        <v>平日夜間</v>
      </c>
      <c r="E328" s="16">
        <f ca="1">IFERROR(__xludf.DUMMYFUNCTION("""COMPUTED_VALUE"""),1.69263623858675)</f>
        <v>1.6926362385867499</v>
      </c>
      <c r="F328" s="15" t="s">
        <v>14</v>
      </c>
      <c r="G328" s="39"/>
      <c r="H328" s="27" t="s">
        <v>1</v>
      </c>
      <c r="I328" s="27"/>
      <c r="J328" s="27"/>
      <c r="K328" s="23" t="b">
        <f ca="1">IFERROR(__xludf.DUMMYFUNCTION("""COMPUTED_VALUE"""),FALSE)</f>
        <v>0</v>
      </c>
      <c r="L328" s="22">
        <f ca="1">IFERROR(__xludf.DUMMYFUNCTION("""COMPUTED_VALUE"""),-0.707435463592752)</f>
        <v>-0.707435463592752</v>
      </c>
      <c r="M328" s="23">
        <f ca="1">IFERROR(__xludf.DUMMYFUNCTION("""COMPUTED_VALUE"""),-0.917240328248169)</f>
        <v>-0.91724032824816903</v>
      </c>
      <c r="N328" s="23">
        <f ca="1">IFERROR(__xludf.DUMMYFUNCTION("""COMPUTED_VALUE"""),-0.976658666474965)</f>
        <v>-0.97665866647496502</v>
      </c>
      <c r="O328" s="23">
        <f ca="1">IFERROR(__xludf.DUMMYFUNCTION("""COMPUTED_VALUE"""),-0.994964915980404)</f>
        <v>-0.99496491598040404</v>
      </c>
      <c r="P328" s="23"/>
      <c r="Q328" s="24">
        <f ca="1">IFERROR(__xludf.DUMMYFUNCTION("""COMPUTED_VALUE"""),-0.582550865956807)</f>
        <v>-0.58255086595680705</v>
      </c>
      <c r="R328" s="23">
        <f ca="1">IFERROR(__xludf.DUMMYFUNCTION("""COMPUTED_VALUE"""),-0.405150584410654)</f>
        <v>-0.40515058441065399</v>
      </c>
      <c r="S328" s="23"/>
      <c r="T328" s="23"/>
      <c r="U328" s="23">
        <f ca="1">IFERROR(__xludf.DUMMYFUNCTION("""COMPUTED_VALUE"""),-0.499037924538675)</f>
        <v>-0.49903792453867502</v>
      </c>
      <c r="V328" s="23">
        <f ca="1">IFERROR(__xludf.DUMMYFUNCTION("""COMPUTED_VALUE"""),0.762455755022836)</f>
        <v>0.76245575502283602</v>
      </c>
      <c r="W328" s="23">
        <f ca="1">IFERROR(__xludf.DUMMYFUNCTION("""COMPUTED_VALUE"""),0.819858152214058)</f>
        <v>0.819858152214058</v>
      </c>
      <c r="X328" s="23"/>
      <c r="Y328" s="23">
        <f ca="1">IFERROR(__xludf.DUMMYFUNCTION("""COMPUTED_VALUE"""),1.69263623858675)</f>
        <v>1.6926362385867499</v>
      </c>
      <c r="Z328" s="23">
        <f ca="1">IFERROR(__xludf.DUMMYFUNCTION("""COMPUTED_VALUE"""),-0.315833659085085)</f>
        <v>-0.31583365908508498</v>
      </c>
      <c r="AA328" s="23">
        <f ca="1">IFERROR(__xludf.DUMMYFUNCTION("""COMPUTED_VALUE"""),-0.772322991219392)</f>
        <v>-0.77232299121939196</v>
      </c>
      <c r="AB328" s="23"/>
      <c r="AC328" s="22">
        <f ca="1">IFERROR(__xludf.DUMMYFUNCTION("""COMPUTED_VALUE"""),-0.255770837856823)</f>
        <v>-0.25577083785682297</v>
      </c>
      <c r="AD328" s="23"/>
      <c r="AE328" s="23"/>
      <c r="AF328" s="22"/>
      <c r="AG328" s="22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</row>
    <row r="329" spans="1:45" ht="27.75" customHeight="1" x14ac:dyDescent="0.35">
      <c r="A329" s="15" t="s">
        <v>27</v>
      </c>
      <c r="B329" s="15" t="s">
        <v>191</v>
      </c>
      <c r="C329" s="15" t="str">
        <f ca="1">IFERROR(__xludf.DUMMYFUNCTION("""COMPUTED_VALUE"""),"2022/12/10 (土)
休日午前")</f>
        <v>2022/12/10 (土)
休日午前</v>
      </c>
      <c r="D329" s="15" t="str">
        <f ca="1">IFERROR(__xludf.DUMMYFUNCTION("""COMPUTED_VALUE"""),"休日午前")</f>
        <v>休日午前</v>
      </c>
      <c r="E329" s="16">
        <f ca="1">IFERROR(__xludf.DUMMYFUNCTION("""COMPUTED_VALUE"""),2.26069031325007)</f>
        <v>2.2606903132500702</v>
      </c>
      <c r="F329" s="15" t="s">
        <v>38</v>
      </c>
      <c r="G329" s="39">
        <v>0</v>
      </c>
      <c r="H329" s="27" t="s">
        <v>4</v>
      </c>
      <c r="I329" s="27"/>
      <c r="J329" s="27" t="s">
        <v>197</v>
      </c>
      <c r="K329" s="23" t="b">
        <f ca="1">IFERROR(__xludf.DUMMYFUNCTION("""COMPUTED_VALUE"""),FALSE)</f>
        <v>0</v>
      </c>
      <c r="L329" s="22">
        <f ca="1">IFERROR(__xludf.DUMMYFUNCTION("""COMPUTED_VALUE"""),-0.594527664376929)</f>
        <v>-0.59452766437692905</v>
      </c>
      <c r="M329" s="23">
        <f ca="1">IFERROR(__xludf.DUMMYFUNCTION("""COMPUTED_VALUE"""),0.805676692961646)</f>
        <v>0.80567669296164601</v>
      </c>
      <c r="N329" s="23">
        <f ca="1">IFERROR(__xludf.DUMMYFUNCTION("""COMPUTED_VALUE"""),-0.862841741797753)</f>
        <v>-0.86284174179775297</v>
      </c>
      <c r="O329" s="23">
        <f ca="1">IFERROR(__xludf.DUMMYFUNCTION("""COMPUTED_VALUE"""),-0.968201550751604)</f>
        <v>-0.96820155075160397</v>
      </c>
      <c r="P329" s="23"/>
      <c r="Q329" s="24">
        <f ca="1">IFERROR(__xludf.DUMMYFUNCTION("""COMPUTED_VALUE"""),-0.805190059264066)</f>
        <v>-0.80519005926406595</v>
      </c>
      <c r="R329" s="23">
        <f ca="1">IFERROR(__xludf.DUMMYFUNCTION("""COMPUTED_VALUE"""),-0.676634819929391)</f>
        <v>-0.67663481992939101</v>
      </c>
      <c r="S329" s="23"/>
      <c r="T329" s="23"/>
      <c r="U329" s="23">
        <f ca="1">IFERROR(__xludf.DUMMYFUNCTION("""COMPUTED_VALUE"""),-0.536690445136221)</f>
        <v>-0.53669044513622099</v>
      </c>
      <c r="V329" s="23">
        <f ca="1">IFERROR(__xludf.DUMMYFUNCTION("""COMPUTED_VALUE"""),0.824269759726565)</f>
        <v>0.82426975972656502</v>
      </c>
      <c r="W329" s="23">
        <f ca="1">IFERROR(__xludf.DUMMYFUNCTION("""COMPUTED_VALUE"""),-0.254023426782275)</f>
        <v>-0.25402342678227502</v>
      </c>
      <c r="X329" s="23"/>
      <c r="Y329" s="23">
        <f ca="1">IFERROR(__xludf.DUMMYFUNCTION("""COMPUTED_VALUE"""),-0.609236968657979)</f>
        <v>-0.60923696865797905</v>
      </c>
      <c r="Z329" s="23">
        <f ca="1">IFERROR(__xludf.DUMMYFUNCTION("""COMPUTED_VALUE"""),-0.883311284717826)</f>
        <v>-0.88331128471782605</v>
      </c>
      <c r="AA329" s="23">
        <f ca="1">IFERROR(__xludf.DUMMYFUNCTION("""COMPUTED_VALUE"""),0.733288603456032)</f>
        <v>0.73328860345603197</v>
      </c>
      <c r="AB329" s="23"/>
      <c r="AC329" s="22">
        <f ca="1">IFERROR(__xludf.DUMMYFUNCTION("""COMPUTED_VALUE"""),-0.441761824354265)</f>
        <v>-0.44176182435426498</v>
      </c>
      <c r="AD329" s="23"/>
      <c r="AE329" s="23"/>
      <c r="AF329" s="22"/>
      <c r="AG329" s="22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</row>
    <row r="330" spans="1:45" ht="27.75" customHeight="1" x14ac:dyDescent="0.4">
      <c r="A330" s="15" t="s">
        <v>27</v>
      </c>
      <c r="B330" s="15" t="s">
        <v>191</v>
      </c>
      <c r="C330" s="15" t="str">
        <f ca="1">IFERROR(__xludf.DUMMYFUNCTION("""COMPUTED_VALUE"""),"2022/12/10 (土)
休日午後")</f>
        <v>2022/12/10 (土)
休日午後</v>
      </c>
      <c r="D330" s="15" t="str">
        <f ca="1">IFERROR(__xludf.DUMMYFUNCTION("""COMPUTED_VALUE"""),"休日午後")</f>
        <v>休日午後</v>
      </c>
      <c r="E330" s="16">
        <f ca="1">IFERROR(__xludf.DUMMYFUNCTION("""COMPUTED_VALUE"""),0.999781481810251)</f>
        <v>0.99978148181025095</v>
      </c>
      <c r="F330" s="15" t="s">
        <v>9</v>
      </c>
      <c r="G330" s="39">
        <v>-1</v>
      </c>
      <c r="H330" s="29" t="s">
        <v>38</v>
      </c>
      <c r="I330" s="27"/>
      <c r="J330" s="27" t="s">
        <v>197</v>
      </c>
      <c r="K330" s="23" t="b">
        <f ca="1">IFERROR(__xludf.DUMMYFUNCTION("""COMPUTED_VALUE"""),TRUE)</f>
        <v>1</v>
      </c>
      <c r="L330" s="22">
        <f ca="1">IFERROR(__xludf.DUMMYFUNCTION("""COMPUTED_VALUE"""),-0.786431657374193)</f>
        <v>-0.78643165737419296</v>
      </c>
      <c r="M330" s="23">
        <f ca="1">IFERROR(__xludf.DUMMYFUNCTION("""COMPUTED_VALUE"""),-0.199977386915103)</f>
        <v>-0.199977386915103</v>
      </c>
      <c r="N330" s="23">
        <f ca="1">IFERROR(__xludf.DUMMYFUNCTION("""COMPUTED_VALUE"""),-0.657699972751782)</f>
        <v>-0.65769997275178205</v>
      </c>
      <c r="O330" s="23">
        <f ca="1">IFERROR(__xludf.DUMMYFUNCTION("""COMPUTED_VALUE"""),-0.849473096483271)</f>
        <v>-0.84947309648327096</v>
      </c>
      <c r="P330" s="23"/>
      <c r="Q330" s="24">
        <f ca="1">IFERROR(__xludf.DUMMYFUNCTION("""COMPUTED_VALUE"""),-0.040931620388968)</f>
        <v>-4.0931620388967999E-2</v>
      </c>
      <c r="R330" s="23">
        <f ca="1">IFERROR(__xludf.DUMMYFUNCTION("""COMPUTED_VALUE"""),-0.531829031229764)</f>
        <v>-0.53182903122976399</v>
      </c>
      <c r="S330" s="23"/>
      <c r="T330" s="23"/>
      <c r="U330" s="23">
        <f ca="1">IFERROR(__xludf.DUMMYFUNCTION("""COMPUTED_VALUE"""),-0.346429429038114)</f>
        <v>-0.34642942903811402</v>
      </c>
      <c r="V330" s="23">
        <f ca="1">IFERROR(__xludf.DUMMYFUNCTION("""COMPUTED_VALUE"""),0.999781481810251)</f>
        <v>0.99978148181025095</v>
      </c>
      <c r="W330" s="23">
        <f ca="1">IFERROR(__xludf.DUMMYFUNCTION("""COMPUTED_VALUE"""),-0.355083609925022)</f>
        <v>-0.35508360992502203</v>
      </c>
      <c r="X330" s="23"/>
      <c r="Y330" s="23">
        <f ca="1">IFERROR(__xludf.DUMMYFUNCTION("""COMPUTED_VALUE"""),-0.627607042877801)</f>
        <v>-0.627607042877801</v>
      </c>
      <c r="Z330" s="23">
        <f ca="1">IFERROR(__xludf.DUMMYFUNCTION("""COMPUTED_VALUE"""),-0.551795750727114)</f>
        <v>-0.55179575072711395</v>
      </c>
      <c r="AA330" s="23">
        <f ca="1">IFERROR(__xludf.DUMMYFUNCTION("""COMPUTED_VALUE"""),-0.753235847291927)</f>
        <v>-0.75323584729192705</v>
      </c>
      <c r="AB330" s="23"/>
      <c r="AC330" s="22">
        <f ca="1">IFERROR(__xludf.DUMMYFUNCTION("""COMPUTED_VALUE"""),-0.271835382086293)</f>
        <v>-0.27183538208629299</v>
      </c>
      <c r="AD330" s="23"/>
      <c r="AE330" s="23"/>
      <c r="AF330" s="22"/>
      <c r="AG330" s="22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</row>
    <row r="331" spans="1:45" ht="27.75" customHeight="1" x14ac:dyDescent="0.35">
      <c r="A331" s="15" t="s">
        <v>27</v>
      </c>
      <c r="B331" s="15" t="s">
        <v>191</v>
      </c>
      <c r="C331" s="15" t="str">
        <f ca="1">IFERROR(__xludf.DUMMYFUNCTION("""COMPUTED_VALUE"""),"2022/12/11 (日)
休日午前")</f>
        <v>2022/12/11 (日)
休日午前</v>
      </c>
      <c r="D331" s="15" t="str">
        <f ca="1">IFERROR(__xludf.DUMMYFUNCTION("""COMPUTED_VALUE"""),"休日午前")</f>
        <v>休日午前</v>
      </c>
      <c r="E331" s="16">
        <f ca="1">IFERROR(__xludf.DUMMYFUNCTION("""COMPUTED_VALUE"""),1.68097942232838)</f>
        <v>1.68097942232838</v>
      </c>
      <c r="F331" s="15" t="s">
        <v>38</v>
      </c>
      <c r="G331" s="39">
        <v>0</v>
      </c>
      <c r="H331" s="27" t="s">
        <v>9</v>
      </c>
      <c r="I331" s="27"/>
      <c r="J331" s="27" t="s">
        <v>198</v>
      </c>
      <c r="K331" s="23" t="b">
        <f ca="1">IFERROR(__xludf.DUMMYFUNCTION("""COMPUTED_VALUE"""),FALSE)</f>
        <v>0</v>
      </c>
      <c r="L331" s="22">
        <f ca="1">IFERROR(__xludf.DUMMYFUNCTION("""COMPUTED_VALUE"""),-0.264512428472445)</f>
        <v>-0.26451242847244499</v>
      </c>
      <c r="M331" s="23">
        <f ca="1">IFERROR(__xludf.DUMMYFUNCTION("""COMPUTED_VALUE"""),-0.534442012372293)</f>
        <v>-0.53444201237229305</v>
      </c>
      <c r="N331" s="23">
        <f ca="1">IFERROR(__xludf.DUMMYFUNCTION("""COMPUTED_VALUE"""),0.820307181988743)</f>
        <v>0.82030718198874297</v>
      </c>
      <c r="O331" s="23">
        <f ca="1">IFERROR(__xludf.DUMMYFUNCTION("""COMPUTED_VALUE"""),-0.374862366061184)</f>
        <v>-0.374862366061184</v>
      </c>
      <c r="P331" s="23"/>
      <c r="Q331" s="24">
        <f ca="1">IFERROR(__xludf.DUMMYFUNCTION("""COMPUTED_VALUE"""),-0.244159576882899)</f>
        <v>-0.24415957688289899</v>
      </c>
      <c r="R331" s="23">
        <f ca="1">IFERROR(__xludf.DUMMYFUNCTION("""COMPUTED_VALUE"""),-0.885293096794902)</f>
        <v>-0.88529309679490198</v>
      </c>
      <c r="S331" s="23"/>
      <c r="T331" s="23"/>
      <c r="U331" s="23">
        <f ca="1">IFERROR(__xludf.DUMMYFUNCTION("""COMPUTED_VALUE"""),-0.835633279827406)</f>
        <v>-0.83563327982740598</v>
      </c>
      <c r="V331" s="23">
        <f ca="1">IFERROR(__xludf.DUMMYFUNCTION("""COMPUTED_VALUE"""),0.0466926279602837)</f>
        <v>4.66926279602837E-2</v>
      </c>
      <c r="W331" s="23">
        <f ca="1">IFERROR(__xludf.DUMMYFUNCTION("""COMPUTED_VALUE"""),0.684291923790874)</f>
        <v>0.684291923790874</v>
      </c>
      <c r="X331" s="23"/>
      <c r="Y331" s="23">
        <f ca="1">IFERROR(__xludf.DUMMYFUNCTION("""COMPUTED_VALUE"""),-0.375284714301612)</f>
        <v>-0.37528471430161198</v>
      </c>
      <c r="Z331" s="23">
        <f ca="1">IFERROR(__xludf.DUMMYFUNCTION("""COMPUTED_VALUE"""),-0.219564597747373)</f>
        <v>-0.219564597747373</v>
      </c>
      <c r="AA331" s="23">
        <f ca="1">IFERROR(__xludf.DUMMYFUNCTION("""COMPUTED_VALUE"""),0.156946977947521)</f>
        <v>0.15694697794752099</v>
      </c>
      <c r="AB331" s="23"/>
      <c r="AC331" s="22">
        <f ca="1">IFERROR(__xludf.DUMMYFUNCTION("""COMPUTED_VALUE"""),-0.054333951979995)</f>
        <v>-5.4333951979995E-2</v>
      </c>
      <c r="AD331" s="23"/>
      <c r="AE331" s="23"/>
      <c r="AF331" s="22"/>
      <c r="AG331" s="22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</row>
    <row r="332" spans="1:45" ht="27.75" customHeight="1" x14ac:dyDescent="0.4">
      <c r="A332" s="15" t="s">
        <v>27</v>
      </c>
      <c r="B332" s="15" t="s">
        <v>191</v>
      </c>
      <c r="C332" s="15" t="str">
        <f ca="1">IFERROR(__xludf.DUMMYFUNCTION("""COMPUTED_VALUE"""),"2022/12/11 (日)
休日午後")</f>
        <v>2022/12/11 (日)
休日午後</v>
      </c>
      <c r="D332" s="15" t="str">
        <f ca="1">IFERROR(__xludf.DUMMYFUNCTION("""COMPUTED_VALUE"""),"休日午後")</f>
        <v>休日午後</v>
      </c>
      <c r="E332" s="16">
        <f ca="1">IFERROR(__xludf.DUMMYFUNCTION("""COMPUTED_VALUE"""),2.21156729033042)</f>
        <v>2.2115672903304202</v>
      </c>
      <c r="F332" s="15" t="s">
        <v>2</v>
      </c>
      <c r="G332" s="39">
        <v>0</v>
      </c>
      <c r="H332" s="29" t="s">
        <v>45</v>
      </c>
      <c r="I332" s="27"/>
      <c r="J332" s="27" t="s">
        <v>198</v>
      </c>
      <c r="K332" s="23" t="b">
        <f ca="1">IFERROR(__xludf.DUMMYFUNCTION("""COMPUTED_VALUE"""),TRUE)</f>
        <v>1</v>
      </c>
      <c r="L332" s="22">
        <f ca="1">IFERROR(__xludf.DUMMYFUNCTION("""COMPUTED_VALUE"""),-0.458154558985109)</f>
        <v>-0.45815455898510898</v>
      </c>
      <c r="M332" s="23">
        <f ca="1">IFERROR(__xludf.DUMMYFUNCTION("""COMPUTED_VALUE"""),-0.463392830104927)</f>
        <v>-0.46339283010492699</v>
      </c>
      <c r="N332" s="23">
        <f ca="1">IFERROR(__xludf.DUMMYFUNCTION("""COMPUTED_VALUE"""),0.940969403244269)</f>
        <v>0.94096940324426903</v>
      </c>
      <c r="O332" s="23">
        <f ca="1">IFERROR(__xludf.DUMMYFUNCTION("""COMPUTED_VALUE"""),-0.331540205687769)</f>
        <v>-0.33154020568776899</v>
      </c>
      <c r="P332" s="23"/>
      <c r="Q332" s="24">
        <f ca="1">IFERROR(__xludf.DUMMYFUNCTION("""COMPUTED_VALUE"""),-0.870483865094448)</f>
        <v>-0.87048386509444797</v>
      </c>
      <c r="R332" s="23">
        <f ca="1">IFERROR(__xludf.DUMMYFUNCTION("""COMPUTED_VALUE"""),-0.750446518232061)</f>
        <v>-0.75044651823206099</v>
      </c>
      <c r="S332" s="23"/>
      <c r="T332" s="23"/>
      <c r="U332" s="23">
        <f ca="1">IFERROR(__xludf.DUMMYFUNCTION("""COMPUTED_VALUE"""),-0.837570352088372)</f>
        <v>-0.83757035208837205</v>
      </c>
      <c r="V332" s="23">
        <f ca="1">IFERROR(__xludf.DUMMYFUNCTION("""COMPUTED_VALUE"""),0.671823546278539)</f>
        <v>0.67182354627853902</v>
      </c>
      <c r="W332" s="23">
        <f ca="1">IFERROR(__xludf.DUMMYFUNCTION("""COMPUTED_VALUE"""),0.317553562810257)</f>
        <v>0.31755356281025698</v>
      </c>
      <c r="X332" s="23"/>
      <c r="Y332" s="23">
        <f ca="1">IFERROR(__xludf.DUMMYFUNCTION("""COMPUTED_VALUE"""),-0.310477562138482)</f>
        <v>-0.31047756213848199</v>
      </c>
      <c r="Z332" s="23">
        <f ca="1">IFERROR(__xludf.DUMMYFUNCTION("""COMPUTED_VALUE"""),-0.239868823495835)</f>
        <v>-0.23986882349583499</v>
      </c>
      <c r="AA332" s="23">
        <f ca="1">IFERROR(__xludf.DUMMYFUNCTION("""COMPUTED_VALUE"""),0.380015547530968)</f>
        <v>0.380015547530968</v>
      </c>
      <c r="AB332" s="23"/>
      <c r="AC332" s="22">
        <f ca="1">IFERROR(__xludf.DUMMYFUNCTION("""COMPUTED_VALUE"""),0.725869648939631)</f>
        <v>0.72586964893963102</v>
      </c>
      <c r="AD332" s="23"/>
      <c r="AE332" s="23"/>
      <c r="AF332" s="22"/>
      <c r="AG332" s="22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</row>
    <row r="333" spans="1:45" ht="27.75" customHeight="1" x14ac:dyDescent="0.4">
      <c r="A333" s="15" t="s">
        <v>27</v>
      </c>
      <c r="B333" s="15" t="s">
        <v>191</v>
      </c>
      <c r="C333" s="15" t="str">
        <f ca="1">IFERROR(__xludf.DUMMYFUNCTION("""COMPUTED_VALUE"""),"2022/12/12 (月)
平日夜間")</f>
        <v>2022/12/12 (月)
平日夜間</v>
      </c>
      <c r="D333" s="15" t="str">
        <f ca="1">IFERROR(__xludf.DUMMYFUNCTION("""COMPUTED_VALUE"""),"平日夜間")</f>
        <v>平日夜間</v>
      </c>
      <c r="E333" s="16">
        <f ca="1">IFERROR(__xludf.DUMMYFUNCTION("""COMPUTED_VALUE"""),2.50022218961948)</f>
        <v>2.5002221896194801</v>
      </c>
      <c r="F333" s="15" t="s">
        <v>149</v>
      </c>
      <c r="G333" s="39">
        <v>2</v>
      </c>
      <c r="H333" s="29" t="s">
        <v>149</v>
      </c>
      <c r="I333" s="27"/>
      <c r="J333" s="27" t="s">
        <v>199</v>
      </c>
      <c r="K333" s="23" t="b">
        <f ca="1">IFERROR(__xludf.DUMMYFUNCTION("""COMPUTED_VALUE"""),TRUE)</f>
        <v>1</v>
      </c>
      <c r="L333" s="22">
        <f ca="1">IFERROR(__xludf.DUMMYFUNCTION("""COMPUTED_VALUE"""),0.238727217488606)</f>
        <v>0.23872721748860601</v>
      </c>
      <c r="M333" s="23">
        <f ca="1">IFERROR(__xludf.DUMMYFUNCTION("""COMPUTED_VALUE"""),-0.714928065172223)</f>
        <v>-0.71492806517222296</v>
      </c>
      <c r="N333" s="23">
        <f ca="1">IFERROR(__xludf.DUMMYFUNCTION("""COMPUTED_VALUE"""),0.816655040545572)</f>
        <v>0.81665504054557203</v>
      </c>
      <c r="O333" s="23">
        <f ca="1">IFERROR(__xludf.DUMMYFUNCTION("""COMPUTED_VALUE"""),-0.907495604581635)</f>
        <v>-0.90749560458163503</v>
      </c>
      <c r="P333" s="23"/>
      <c r="Q333" s="24">
        <f ca="1">IFERROR(__xludf.DUMMYFUNCTION("""COMPUTED_VALUE"""),0.760927454840258)</f>
        <v>0.76092745484025803</v>
      </c>
      <c r="R333" s="23">
        <f ca="1">IFERROR(__xludf.DUMMYFUNCTION("""COMPUTED_VALUE"""),-0.814929478861731)</f>
        <v>-0.81492947886173095</v>
      </c>
      <c r="S333" s="23"/>
      <c r="T333" s="23"/>
      <c r="U333" s="23">
        <f ca="1">IFERROR(__xludf.DUMMYFUNCTION("""COMPUTED_VALUE"""),0.221793559962669)</f>
        <v>0.221793559962669</v>
      </c>
      <c r="V333" s="23">
        <f ca="1">IFERROR(__xludf.DUMMYFUNCTION("""COMPUTED_VALUE"""),0.694324740077213)</f>
        <v>0.69432474007721301</v>
      </c>
      <c r="W333" s="23">
        <f ca="1">IFERROR(__xludf.DUMMYFUNCTION("""COMPUTED_VALUE"""),0.643638414628997)</f>
        <v>0.64363841462899696</v>
      </c>
      <c r="X333" s="23"/>
      <c r="Y333" s="23">
        <f ca="1">IFERROR(__xludf.DUMMYFUNCTION("""COMPUTED_VALUE"""),0.841170068945087)</f>
        <v>0.84117006894508695</v>
      </c>
      <c r="Z333" s="23">
        <f ca="1">IFERROR(__xludf.DUMMYFUNCTION("""COMPUTED_VALUE"""),0.796894763298273)</f>
        <v>0.79689476329827302</v>
      </c>
      <c r="AA333" s="23">
        <f ca="1">IFERROR(__xludf.DUMMYFUNCTION("""COMPUTED_VALUE"""),0.222799115080135)</f>
        <v>0.222799115080135</v>
      </c>
      <c r="AB333" s="23"/>
      <c r="AC333" s="22">
        <f ca="1">IFERROR(__xludf.DUMMYFUNCTION("""COMPUTED_VALUE"""),0.264503006102825)</f>
        <v>0.26450300610282501</v>
      </c>
      <c r="AD333" s="23"/>
      <c r="AE333" s="23"/>
      <c r="AF333" s="22"/>
      <c r="AG333" s="22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</row>
    <row r="334" spans="1:45" ht="27.75" customHeight="1" x14ac:dyDescent="0.4">
      <c r="A334" s="15" t="s">
        <v>27</v>
      </c>
      <c r="B334" s="15" t="s">
        <v>191</v>
      </c>
      <c r="C334" s="15" t="str">
        <f ca="1">IFERROR(__xludf.DUMMYFUNCTION("""COMPUTED_VALUE"""),"2022/12/13 (火)
平日夜間")</f>
        <v>2022/12/13 (火)
平日夜間</v>
      </c>
      <c r="D334" s="15" t="str">
        <f ca="1">IFERROR(__xludf.DUMMYFUNCTION("""COMPUTED_VALUE"""),"平日夜間")</f>
        <v>平日夜間</v>
      </c>
      <c r="E334" s="16">
        <f ca="1">IFERROR(__xludf.DUMMYFUNCTION("""COMPUTED_VALUE"""),0.930830006232295)</f>
        <v>0.93083000623229495</v>
      </c>
      <c r="F334" s="15" t="s">
        <v>2</v>
      </c>
      <c r="G334" s="39">
        <v>0</v>
      </c>
      <c r="H334" s="29" t="s">
        <v>45</v>
      </c>
      <c r="I334" s="27"/>
      <c r="J334" s="27"/>
      <c r="K334" s="23" t="b">
        <f ca="1">IFERROR(__xludf.DUMMYFUNCTION("""COMPUTED_VALUE"""),FALSE)</f>
        <v>0</v>
      </c>
      <c r="L334" s="22">
        <f ca="1">IFERROR(__xludf.DUMMYFUNCTION("""COMPUTED_VALUE"""),0.331033335572286)</f>
        <v>0.33103333557228598</v>
      </c>
      <c r="M334" s="23">
        <f ca="1">IFERROR(__xludf.DUMMYFUNCTION("""COMPUTED_VALUE"""),-0.548631585126836)</f>
        <v>-0.54863158512683596</v>
      </c>
      <c r="N334" s="23">
        <f ca="1">IFERROR(__xludf.DUMMYFUNCTION("""COMPUTED_VALUE"""),0.185912386612357)</f>
        <v>0.18591238661235701</v>
      </c>
      <c r="O334" s="23">
        <f ca="1">IFERROR(__xludf.DUMMYFUNCTION("""COMPUTED_VALUE"""),0.00503703847827341)</f>
        <v>5.0370384782734102E-3</v>
      </c>
      <c r="P334" s="23"/>
      <c r="Q334" s="24">
        <f ca="1">IFERROR(__xludf.DUMMYFUNCTION("""COMPUTED_VALUE"""),0.703484337769857)</f>
        <v>0.70348433776985697</v>
      </c>
      <c r="R334" s="23">
        <f ca="1">IFERROR(__xludf.DUMMYFUNCTION("""COMPUTED_VALUE"""),-0.864082670637752)</f>
        <v>-0.86408267063775201</v>
      </c>
      <c r="S334" s="23"/>
      <c r="T334" s="23"/>
      <c r="U334" s="23">
        <f ca="1">IFERROR(__xludf.DUMMYFUNCTION("""COMPUTED_VALUE"""),0.478284647286949)</f>
        <v>0.47828464728694903</v>
      </c>
      <c r="V334" s="23">
        <f ca="1">IFERROR(__xludf.DUMMYFUNCTION("""COMPUTED_VALUE"""),0.348028571977117)</f>
        <v>0.34802857197711701</v>
      </c>
      <c r="W334" s="23">
        <f ca="1">IFERROR(__xludf.DUMMYFUNCTION("""COMPUTED_VALUE"""),-0.618513515147812)</f>
        <v>-0.61851351514781205</v>
      </c>
      <c r="X334" s="23"/>
      <c r="Y334" s="23">
        <f ca="1">IFERROR(__xludf.DUMMYFUNCTION("""COMPUTED_VALUE"""),0.634601923475367)</f>
        <v>0.63460192347536704</v>
      </c>
      <c r="Z334" s="23">
        <f ca="1">IFERROR(__xludf.DUMMYFUNCTION("""COMPUTED_VALUE"""),-0.926837908023172)</f>
        <v>-0.92683790802317201</v>
      </c>
      <c r="AA334" s="23">
        <f ca="1">IFERROR(__xludf.DUMMYFUNCTION("""COMPUTED_VALUE"""),-0.481586591821727)</f>
        <v>-0.48158659182172697</v>
      </c>
      <c r="AB334" s="23"/>
      <c r="AC334" s="22">
        <f ca="1">IFERROR(__xludf.DUMMYFUNCTION("""COMPUTED_VALUE"""),0.333220444229464)</f>
        <v>0.33322044422946401</v>
      </c>
      <c r="AD334" s="23"/>
      <c r="AE334" s="23"/>
      <c r="AF334" s="22"/>
      <c r="AG334" s="22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</row>
    <row r="335" spans="1:45" ht="27.75" customHeight="1" x14ac:dyDescent="0.4">
      <c r="A335" s="15" t="s">
        <v>27</v>
      </c>
      <c r="B335" s="15" t="s">
        <v>191</v>
      </c>
      <c r="C335" s="15" t="str">
        <f ca="1">IFERROR(__xludf.DUMMYFUNCTION("""COMPUTED_VALUE"""),"2022/12/14 (水)
平日夜間")</f>
        <v>2022/12/14 (水)
平日夜間</v>
      </c>
      <c r="D335" s="15" t="str">
        <f ca="1">IFERROR(__xludf.DUMMYFUNCTION("""COMPUTED_VALUE"""),"平日夜間")</f>
        <v>平日夜間</v>
      </c>
      <c r="E335" s="16">
        <f ca="1">IFERROR(__xludf.DUMMYFUNCTION("""COMPUTED_VALUE"""),2.26277890354491)</f>
        <v>2.26277890354491</v>
      </c>
      <c r="F335" s="15" t="s">
        <v>14</v>
      </c>
      <c r="G335" s="39">
        <v>2</v>
      </c>
      <c r="H335" s="29" t="s">
        <v>14</v>
      </c>
      <c r="I335" s="27"/>
      <c r="J335" s="27" t="s">
        <v>14</v>
      </c>
      <c r="K335" s="23" t="b">
        <f ca="1">IFERROR(__xludf.DUMMYFUNCTION("""COMPUTED_VALUE"""),TRUE)</f>
        <v>1</v>
      </c>
      <c r="L335" s="22">
        <f ca="1">IFERROR(__xludf.DUMMYFUNCTION("""COMPUTED_VALUE"""),0.577654955098572)</f>
        <v>0.57765495509857201</v>
      </c>
      <c r="M335" s="23">
        <f ca="1">IFERROR(__xludf.DUMMYFUNCTION("""COMPUTED_VALUE"""),0.0484544295196069)</f>
        <v>4.8454429519606899E-2</v>
      </c>
      <c r="N335" s="23">
        <f ca="1">IFERROR(__xludf.DUMMYFUNCTION("""COMPUTED_VALUE"""),0.236068955960698)</f>
        <v>0.23606895596069799</v>
      </c>
      <c r="O335" s="23">
        <f ca="1">IFERROR(__xludf.DUMMYFUNCTION("""COMPUTED_VALUE"""),0.41577178080532)</f>
        <v>0.41577178080532001</v>
      </c>
      <c r="P335" s="23"/>
      <c r="Q335" s="24">
        <f ca="1">IFERROR(__xludf.DUMMYFUNCTION("""COMPUTED_VALUE"""),-0.465289593569961)</f>
        <v>-0.46528959356996102</v>
      </c>
      <c r="R335" s="23">
        <f ca="1">IFERROR(__xludf.DUMMYFUNCTION("""COMPUTED_VALUE"""),0.201522736921637)</f>
        <v>0.201522736921637</v>
      </c>
      <c r="S335" s="23"/>
      <c r="T335" s="23"/>
      <c r="U335" s="23">
        <f ca="1">IFERROR(__xludf.DUMMYFUNCTION("""COMPUTED_VALUE"""),0.91063805467292)</f>
        <v>0.91063805467292003</v>
      </c>
      <c r="V335" s="23">
        <f ca="1">IFERROR(__xludf.DUMMYFUNCTION("""COMPUTED_VALUE"""),-0.98574698949003)</f>
        <v>-0.98574698949003003</v>
      </c>
      <c r="W335" s="23">
        <f ca="1">IFERROR(__xludf.DUMMYFUNCTION("""COMPUTED_VALUE"""),-0.60107104326708)</f>
        <v>-0.60107104326708005</v>
      </c>
      <c r="X335" s="23"/>
      <c r="Y335" s="23">
        <f ca="1">IFERROR(__xludf.DUMMYFUNCTION("""COMPUTED_VALUE"""),2.26277890354491)</f>
        <v>2.26277890354491</v>
      </c>
      <c r="Z335" s="23">
        <f ca="1">IFERROR(__xludf.DUMMYFUNCTION("""COMPUTED_VALUE"""),-0.418741668358532)</f>
        <v>-0.41874166835853199</v>
      </c>
      <c r="AA335" s="23">
        <f ca="1">IFERROR(__xludf.DUMMYFUNCTION("""COMPUTED_VALUE"""),0.496903986922277)</f>
        <v>0.496903986922277</v>
      </c>
      <c r="AB335" s="23"/>
      <c r="AC335" s="22">
        <f ca="1">IFERROR(__xludf.DUMMYFUNCTION("""COMPUTED_VALUE"""),1.17066886895082)</f>
        <v>1.17066886895082</v>
      </c>
      <c r="AD335" s="23"/>
      <c r="AE335" s="23"/>
      <c r="AF335" s="22"/>
      <c r="AG335" s="22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</row>
    <row r="336" spans="1:45" ht="27.75" customHeight="1" x14ac:dyDescent="0.35">
      <c r="A336" s="15" t="s">
        <v>27</v>
      </c>
      <c r="B336" s="15" t="s">
        <v>191</v>
      </c>
      <c r="C336" s="15" t="str">
        <f ca="1">IFERROR(__xludf.DUMMYFUNCTION("""COMPUTED_VALUE"""),"2022/12/15 (木)
平日夜間")</f>
        <v>2022/12/15 (木)
平日夜間</v>
      </c>
      <c r="D336" s="15" t="str">
        <f ca="1">IFERROR(__xludf.DUMMYFUNCTION("""COMPUTED_VALUE"""),"平日夜間")</f>
        <v>平日夜間</v>
      </c>
      <c r="E336" s="16">
        <f ca="1">IFERROR(__xludf.DUMMYFUNCTION("""COMPUTED_VALUE"""),0.991767999997202)</f>
        <v>0.991767999997202</v>
      </c>
      <c r="F336" s="15" t="s">
        <v>127</v>
      </c>
      <c r="G336" s="39">
        <v>0</v>
      </c>
      <c r="H336" s="27" t="s">
        <v>7</v>
      </c>
      <c r="I336" s="27" t="s">
        <v>200</v>
      </c>
      <c r="J336" s="27"/>
      <c r="K336" s="23" t="b">
        <f ca="1">IFERROR(__xludf.DUMMYFUNCTION("""COMPUTED_VALUE"""),FALSE)</f>
        <v>0</v>
      </c>
      <c r="L336" s="22">
        <f ca="1">IFERROR(__xludf.DUMMYFUNCTION("""COMPUTED_VALUE"""),0.280063569978585)</f>
        <v>0.280063569978585</v>
      </c>
      <c r="M336" s="23">
        <f ca="1">IFERROR(__xludf.DUMMYFUNCTION("""COMPUTED_VALUE"""),0.0371319606968403)</f>
        <v>3.7131960696840299E-2</v>
      </c>
      <c r="N336" s="23">
        <f ca="1">IFERROR(__xludf.DUMMYFUNCTION("""COMPUTED_VALUE"""),0.0465959422677453)</f>
        <v>4.6595942267745299E-2</v>
      </c>
      <c r="O336" s="23">
        <f ca="1">IFERROR(__xludf.DUMMYFUNCTION("""COMPUTED_VALUE"""),0.290810838939693)</f>
        <v>0.29081083893969301</v>
      </c>
      <c r="P336" s="23"/>
      <c r="Q336" s="24">
        <f ca="1">IFERROR(__xludf.DUMMYFUNCTION("""COMPUTED_VALUE"""),0.0491482244718739)</f>
        <v>4.9148224471873898E-2</v>
      </c>
      <c r="R336" s="23">
        <f ca="1">IFERROR(__xludf.DUMMYFUNCTION("""COMPUTED_VALUE"""),-0.744213416617572)</f>
        <v>-0.74421341661757201</v>
      </c>
      <c r="S336" s="23"/>
      <c r="T336" s="23"/>
      <c r="U336" s="23">
        <f ca="1">IFERROR(__xludf.DUMMYFUNCTION("""COMPUTED_VALUE"""),-0.234047848974181)</f>
        <v>-0.23404784897418099</v>
      </c>
      <c r="V336" s="23">
        <f ca="1">IFERROR(__xludf.DUMMYFUNCTION("""COMPUTED_VALUE"""),-0.00476722210841806)</f>
        <v>-4.7672221084180599E-3</v>
      </c>
      <c r="W336" s="23">
        <f ca="1">IFERROR(__xludf.DUMMYFUNCTION("""COMPUTED_VALUE"""),0.168633958620773)</f>
        <v>0.16863395862077299</v>
      </c>
      <c r="X336" s="23"/>
      <c r="Y336" s="23">
        <f ca="1">IFERROR(__xludf.DUMMYFUNCTION("""COMPUTED_VALUE"""),0.915691500228699)</f>
        <v>0.91569150022869905</v>
      </c>
      <c r="Z336" s="23">
        <f ca="1">IFERROR(__xludf.DUMMYFUNCTION("""COMPUTED_VALUE"""),-0.28719947484612)</f>
        <v>-0.28719947484612002</v>
      </c>
      <c r="AA336" s="23">
        <f ca="1">IFERROR(__xludf.DUMMYFUNCTION("""COMPUTED_VALUE"""),0.0823342718940851)</f>
        <v>8.2334271894085098E-2</v>
      </c>
      <c r="AB336" s="23"/>
      <c r="AC336" s="22">
        <f ca="1">IFERROR(__xludf.DUMMYFUNCTION("""COMPUTED_VALUE"""),0.936347671452263)</f>
        <v>0.93634767145226305</v>
      </c>
      <c r="AD336" s="23"/>
      <c r="AE336" s="23"/>
      <c r="AF336" s="22"/>
      <c r="AG336" s="22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</row>
    <row r="337" spans="1:45" ht="27.75" customHeight="1" x14ac:dyDescent="0.4">
      <c r="A337" s="15" t="s">
        <v>27</v>
      </c>
      <c r="B337" s="15" t="s">
        <v>191</v>
      </c>
      <c r="C337" s="15" t="str">
        <f ca="1">IFERROR(__xludf.DUMMYFUNCTION("""COMPUTED_VALUE"""),"2022/12/16 (金)
平日夜間")</f>
        <v>2022/12/16 (金)
平日夜間</v>
      </c>
      <c r="D337" s="15" t="str">
        <f ca="1">IFERROR(__xludf.DUMMYFUNCTION("""COMPUTED_VALUE"""),"平日夜間")</f>
        <v>平日夜間</v>
      </c>
      <c r="E337" s="16">
        <f ca="1">IFERROR(__xludf.DUMMYFUNCTION("""COMPUTED_VALUE"""),2.80550779141531)</f>
        <v>2.8055077914153101</v>
      </c>
      <c r="F337" s="15" t="s">
        <v>18</v>
      </c>
      <c r="G337" s="39">
        <v>2</v>
      </c>
      <c r="H337" s="29" t="s">
        <v>18</v>
      </c>
      <c r="I337" s="27"/>
      <c r="J337" s="27" t="s">
        <v>143</v>
      </c>
      <c r="K337" s="23" t="b">
        <f ca="1">IFERROR(__xludf.DUMMYFUNCTION("""COMPUTED_VALUE"""),TRUE)</f>
        <v>1</v>
      </c>
      <c r="L337" s="22">
        <f ca="1">IFERROR(__xludf.DUMMYFUNCTION("""COMPUTED_VALUE"""),2.80550779141531)</f>
        <v>2.8055077914153101</v>
      </c>
      <c r="M337" s="23">
        <f ca="1">IFERROR(__xludf.DUMMYFUNCTION("""COMPUTED_VALUE"""),0.0305237780386451)</f>
        <v>3.0523778038645099E-2</v>
      </c>
      <c r="N337" s="23">
        <f ca="1">IFERROR(__xludf.DUMMYFUNCTION("""COMPUTED_VALUE"""),-0.933848958728217)</f>
        <v>-0.93384895872821705</v>
      </c>
      <c r="O337" s="23">
        <f ca="1">IFERROR(__xludf.DUMMYFUNCTION("""COMPUTED_VALUE"""),-0.517401891045579)</f>
        <v>-0.51740189104557899</v>
      </c>
      <c r="P337" s="23"/>
      <c r="Q337" s="24">
        <f ca="1">IFERROR(__xludf.DUMMYFUNCTION("""COMPUTED_VALUE"""),0.982779681626292)</f>
        <v>0.98277968162629203</v>
      </c>
      <c r="R337" s="23">
        <f ca="1">IFERROR(__xludf.DUMMYFUNCTION("""COMPUTED_VALUE"""),0.18422367465179)</f>
        <v>0.18422367465178999</v>
      </c>
      <c r="S337" s="23"/>
      <c r="T337" s="23"/>
      <c r="U337" s="23">
        <f ca="1">IFERROR(__xludf.DUMMYFUNCTION("""COMPUTED_VALUE"""),-0.804315194919443)</f>
        <v>-0.80431519491944303</v>
      </c>
      <c r="V337" s="23">
        <f ca="1">IFERROR(__xludf.DUMMYFUNCTION("""COMPUTED_VALUE"""),0.806472802107183)</f>
        <v>0.80647280210718297</v>
      </c>
      <c r="W337" s="23">
        <f ca="1">IFERROR(__xludf.DUMMYFUNCTION("""COMPUTED_VALUE"""),0.832154821610989)</f>
        <v>0.83215482161098897</v>
      </c>
      <c r="X337" s="23"/>
      <c r="Y337" s="23">
        <f ca="1">IFERROR(__xludf.DUMMYFUNCTION("""COMPUTED_VALUE"""),0.917852552534088)</f>
        <v>0.91785255253408804</v>
      </c>
      <c r="Z337" s="23">
        <f ca="1">IFERROR(__xludf.DUMMYFUNCTION("""COMPUTED_VALUE"""),-0.0964156659790942)</f>
        <v>-9.6415665979094206E-2</v>
      </c>
      <c r="AA337" s="23">
        <f ca="1">IFERROR(__xludf.DUMMYFUNCTION("""COMPUTED_VALUE"""),0.746696213728774)</f>
        <v>0.74669621372877404</v>
      </c>
      <c r="AB337" s="23"/>
      <c r="AC337" s="22">
        <f ca="1">IFERROR(__xludf.DUMMYFUNCTION("""COMPUTED_VALUE"""),-0.615950745374219)</f>
        <v>-0.61595074537421901</v>
      </c>
      <c r="AD337" s="23"/>
      <c r="AE337" s="23"/>
      <c r="AF337" s="22"/>
      <c r="AG337" s="22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</row>
    <row r="338" spans="1:45" ht="27.75" customHeight="1" x14ac:dyDescent="0.4">
      <c r="A338" s="15" t="s">
        <v>27</v>
      </c>
      <c r="B338" s="15" t="s">
        <v>191</v>
      </c>
      <c r="C338" s="15" t="str">
        <f ca="1">IFERROR(__xludf.DUMMYFUNCTION("""COMPUTED_VALUE"""),"2022/12/17 (土)
休日午前")</f>
        <v>2022/12/17 (土)
休日午前</v>
      </c>
      <c r="D338" s="15" t="str">
        <f ca="1">IFERROR(__xludf.DUMMYFUNCTION("""COMPUTED_VALUE"""),"休日午前")</f>
        <v>休日午前</v>
      </c>
      <c r="E338" s="16">
        <f ca="1">IFERROR(__xludf.DUMMYFUNCTION("""COMPUTED_VALUE"""),2.75141349893803)</f>
        <v>2.7514134989380299</v>
      </c>
      <c r="F338" s="15" t="s">
        <v>18</v>
      </c>
      <c r="G338" s="39">
        <v>2</v>
      </c>
      <c r="H338" s="29" t="s">
        <v>18</v>
      </c>
      <c r="I338" s="27"/>
      <c r="J338" s="27" t="s">
        <v>201</v>
      </c>
      <c r="K338" s="23" t="b">
        <f ca="1">IFERROR(__xludf.DUMMYFUNCTION("""COMPUTED_VALUE"""),FALSE)</f>
        <v>0</v>
      </c>
      <c r="L338" s="22">
        <f ca="1">IFERROR(__xludf.DUMMYFUNCTION("""COMPUTED_VALUE"""),2.75141349893803)</f>
        <v>2.7514134989380299</v>
      </c>
      <c r="M338" s="23">
        <f ca="1">IFERROR(__xludf.DUMMYFUNCTION("""COMPUTED_VALUE"""),0.397649576707927)</f>
        <v>0.397649576707927</v>
      </c>
      <c r="N338" s="23">
        <f ca="1">IFERROR(__xludf.DUMMYFUNCTION("""COMPUTED_VALUE"""),-0.175701619268407)</f>
        <v>-0.17570161926840699</v>
      </c>
      <c r="O338" s="23">
        <f ca="1">IFERROR(__xludf.DUMMYFUNCTION("""COMPUTED_VALUE"""),2.12961614916189)</f>
        <v>2.1296161491618899</v>
      </c>
      <c r="P338" s="23"/>
      <c r="Q338" s="24">
        <f ca="1">IFERROR(__xludf.DUMMYFUNCTION("""COMPUTED_VALUE"""),0.324359374140416)</f>
        <v>0.32435937414041599</v>
      </c>
      <c r="R338" s="23">
        <f ca="1">IFERROR(__xludf.DUMMYFUNCTION("""COMPUTED_VALUE"""),-0.204583686801677)</f>
        <v>-0.20458368680167699</v>
      </c>
      <c r="S338" s="23"/>
      <c r="T338" s="23"/>
      <c r="U338" s="23">
        <f ca="1">IFERROR(__xludf.DUMMYFUNCTION("""COMPUTED_VALUE"""),-0.0769022580401521)</f>
        <v>-7.6902258040152105E-2</v>
      </c>
      <c r="V338" s="23">
        <f ca="1">IFERROR(__xludf.DUMMYFUNCTION("""COMPUTED_VALUE"""),0.548989264396398)</f>
        <v>0.54898926439639795</v>
      </c>
      <c r="W338" s="23">
        <f ca="1">IFERROR(__xludf.DUMMYFUNCTION("""COMPUTED_VALUE"""),0.316857061928125)</f>
        <v>0.31685706192812502</v>
      </c>
      <c r="X338" s="23"/>
      <c r="Y338" s="23">
        <f ca="1">IFERROR(__xludf.DUMMYFUNCTION("""COMPUTED_VALUE"""),0.576692053671136)</f>
        <v>0.57669205367113596</v>
      </c>
      <c r="Z338" s="23">
        <f ca="1">IFERROR(__xludf.DUMMYFUNCTION("""COMPUTED_VALUE"""),-0.811052634632407)</f>
        <v>-0.81105263463240695</v>
      </c>
      <c r="AA338" s="23">
        <f ca="1">IFERROR(__xludf.DUMMYFUNCTION("""COMPUTED_VALUE"""),0.555313365588411)</f>
        <v>0.55531336558841105</v>
      </c>
      <c r="AB338" s="23"/>
      <c r="AC338" s="22">
        <f ca="1">IFERROR(__xludf.DUMMYFUNCTION("""COMPUTED_VALUE"""),-0.804373770978145)</f>
        <v>-0.804373770978145</v>
      </c>
      <c r="AD338" s="23"/>
      <c r="AE338" s="23"/>
      <c r="AF338" s="22"/>
      <c r="AG338" s="22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</row>
    <row r="339" spans="1:45" ht="27.75" customHeight="1" x14ac:dyDescent="0.35">
      <c r="A339" s="15" t="s">
        <v>27</v>
      </c>
      <c r="B339" s="15" t="s">
        <v>191</v>
      </c>
      <c r="C339" s="15" t="str">
        <f ca="1">IFERROR(__xludf.DUMMYFUNCTION("""COMPUTED_VALUE"""),"2022/12/17 (土)
休日午後")</f>
        <v>2022/12/17 (土)
休日午後</v>
      </c>
      <c r="D339" s="15" t="str">
        <f ca="1">IFERROR(__xludf.DUMMYFUNCTION("""COMPUTED_VALUE"""),"休日午後")</f>
        <v>休日午後</v>
      </c>
      <c r="E339" s="16">
        <f ca="1">IFERROR(__xludf.DUMMYFUNCTION("""COMPUTED_VALUE"""),0.944323271835491)</f>
        <v>0.94432327183549103</v>
      </c>
      <c r="F339" s="15" t="s">
        <v>7</v>
      </c>
      <c r="G339" s="39">
        <v>0</v>
      </c>
      <c r="H339" s="27" t="s">
        <v>7</v>
      </c>
      <c r="I339" s="27"/>
      <c r="J339" s="27" t="s">
        <v>201</v>
      </c>
      <c r="K339" s="23" t="b">
        <f ca="1">IFERROR(__xludf.DUMMYFUNCTION("""COMPUTED_VALUE"""),FALSE)</f>
        <v>0</v>
      </c>
      <c r="L339" s="22">
        <f ca="1">IFERROR(__xludf.DUMMYFUNCTION("""COMPUTED_VALUE"""),-0.645207961681528)</f>
        <v>-0.64520796168152805</v>
      </c>
      <c r="M339" s="23">
        <f ca="1">IFERROR(__xludf.DUMMYFUNCTION("""COMPUTED_VALUE"""),-0.52720044782221)</f>
        <v>-0.52720044782220998</v>
      </c>
      <c r="N339" s="23">
        <f ca="1">IFERROR(__xludf.DUMMYFUNCTION("""COMPUTED_VALUE"""),-0.595356509560544)</f>
        <v>-0.59535650956054398</v>
      </c>
      <c r="O339" s="23">
        <f ca="1">IFERROR(__xludf.DUMMYFUNCTION("""COMPUTED_VALUE"""),-0.72369681479374)</f>
        <v>-0.72369681479374004</v>
      </c>
      <c r="P339" s="23"/>
      <c r="Q339" s="24">
        <f ca="1">IFERROR(__xludf.DUMMYFUNCTION("""COMPUTED_VALUE"""),0.187561344635617)</f>
        <v>0.18756134463561699</v>
      </c>
      <c r="R339" s="23">
        <f ca="1">IFERROR(__xludf.DUMMYFUNCTION("""COMPUTED_VALUE"""),0.154309897809634)</f>
        <v>0.154309897809634</v>
      </c>
      <c r="S339" s="23"/>
      <c r="T339" s="23"/>
      <c r="U339" s="23">
        <f ca="1">IFERROR(__xludf.DUMMYFUNCTION("""COMPUTED_VALUE"""),-0.332623069841943)</f>
        <v>-0.33262306984194301</v>
      </c>
      <c r="V339" s="23">
        <f ca="1">IFERROR(__xludf.DUMMYFUNCTION("""COMPUTED_VALUE"""),0.891877371202533)</f>
        <v>0.89187737120253296</v>
      </c>
      <c r="W339" s="23">
        <f ca="1">IFERROR(__xludf.DUMMYFUNCTION("""COMPUTED_VALUE"""),0.791528380803888)</f>
        <v>0.79152838080388799</v>
      </c>
      <c r="X339" s="23"/>
      <c r="Y339" s="23">
        <f ca="1">IFERROR(__xludf.DUMMYFUNCTION("""COMPUTED_VALUE"""),-0.666408995056475)</f>
        <v>-0.666408995056475</v>
      </c>
      <c r="Z339" s="23">
        <f ca="1">IFERROR(__xludf.DUMMYFUNCTION("""COMPUTED_VALUE"""),-0.477547845482033)</f>
        <v>-0.477547845482033</v>
      </c>
      <c r="AA339" s="23">
        <f ca="1">IFERROR(__xludf.DUMMYFUNCTION("""COMPUTED_VALUE"""),0.944323271835491)</f>
        <v>0.94432327183549103</v>
      </c>
      <c r="AB339" s="23"/>
      <c r="AC339" s="22">
        <f ca="1">IFERROR(__xludf.DUMMYFUNCTION("""COMPUTED_VALUE"""),-0.119802273313258)</f>
        <v>-0.119802273313258</v>
      </c>
      <c r="AD339" s="23"/>
      <c r="AE339" s="23"/>
      <c r="AF339" s="22"/>
      <c r="AG339" s="22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</row>
    <row r="340" spans="1:45" ht="27.75" customHeight="1" x14ac:dyDescent="0.35">
      <c r="A340" s="15" t="s">
        <v>27</v>
      </c>
      <c r="B340" s="15" t="s">
        <v>191</v>
      </c>
      <c r="C340" s="15" t="str">
        <f ca="1">IFERROR(__xludf.DUMMYFUNCTION("""COMPUTED_VALUE"""),"2022/12/18 (日)
休日午前")</f>
        <v>2022/12/18 (日)
休日午前</v>
      </c>
      <c r="D340" s="15" t="str">
        <f ca="1">IFERROR(__xludf.DUMMYFUNCTION("""COMPUTED_VALUE"""),"休日午前")</f>
        <v>休日午前</v>
      </c>
      <c r="E340" s="16">
        <f ca="1">IFERROR(__xludf.DUMMYFUNCTION("""COMPUTED_VALUE"""),0.97629589143724)</f>
        <v>0.97629589143724005</v>
      </c>
      <c r="F340" s="15" t="s">
        <v>7</v>
      </c>
      <c r="G340" s="39">
        <v>0</v>
      </c>
      <c r="H340" s="27" t="s">
        <v>13</v>
      </c>
      <c r="I340" s="27"/>
      <c r="J340" s="27" t="s">
        <v>202</v>
      </c>
      <c r="K340" s="23" t="b">
        <f ca="1">IFERROR(__xludf.DUMMYFUNCTION("""COMPUTED_VALUE"""),FALSE)</f>
        <v>0</v>
      </c>
      <c r="L340" s="22">
        <f ca="1">IFERROR(__xludf.DUMMYFUNCTION("""COMPUTED_VALUE"""),-0.93112962917402)</f>
        <v>-0.93112962917401998</v>
      </c>
      <c r="M340" s="23">
        <f ca="1">IFERROR(__xludf.DUMMYFUNCTION("""COMPUTED_VALUE"""),-0.148146298324469)</f>
        <v>-0.14814629832446899</v>
      </c>
      <c r="N340" s="23">
        <f ca="1">IFERROR(__xludf.DUMMYFUNCTION("""COMPUTED_VALUE"""),0.123438783709992)</f>
        <v>0.12343878370999201</v>
      </c>
      <c r="O340" s="23">
        <f ca="1">IFERROR(__xludf.DUMMYFUNCTION("""COMPUTED_VALUE"""),0.829664075721031)</f>
        <v>0.82966407572103096</v>
      </c>
      <c r="P340" s="23"/>
      <c r="Q340" s="24">
        <f ca="1">IFERROR(__xludf.DUMMYFUNCTION("""COMPUTED_VALUE"""),0.90413183181986)</f>
        <v>0.90413183181986001</v>
      </c>
      <c r="R340" s="23">
        <f ca="1">IFERROR(__xludf.DUMMYFUNCTION("""COMPUTED_VALUE"""),0.0861938020500774)</f>
        <v>8.61938020500774E-2</v>
      </c>
      <c r="S340" s="23"/>
      <c r="T340" s="23"/>
      <c r="U340" s="23">
        <f ca="1">IFERROR(__xludf.DUMMYFUNCTION("""COMPUTED_VALUE"""),-0.320000659388196)</f>
        <v>-0.320000659388196</v>
      </c>
      <c r="V340" s="23">
        <f ca="1">IFERROR(__xludf.DUMMYFUNCTION("""COMPUTED_VALUE"""),0.970745749936009)</f>
        <v>0.97074574993600904</v>
      </c>
      <c r="W340" s="23">
        <f ca="1">IFERROR(__xludf.DUMMYFUNCTION("""COMPUTED_VALUE"""),0.160123550917939)</f>
        <v>0.16012355091793901</v>
      </c>
      <c r="X340" s="23"/>
      <c r="Y340" s="23">
        <f ca="1">IFERROR(__xludf.DUMMYFUNCTION("""COMPUTED_VALUE"""),-0.807497982162176)</f>
        <v>-0.80749798216217605</v>
      </c>
      <c r="Z340" s="23">
        <f ca="1">IFERROR(__xludf.DUMMYFUNCTION("""COMPUTED_VALUE"""),-0.907240195958423)</f>
        <v>-0.90724019595842298</v>
      </c>
      <c r="AA340" s="23">
        <f ca="1">IFERROR(__xludf.DUMMYFUNCTION("""COMPUTED_VALUE"""),0.97629589143724)</f>
        <v>0.97629589143724005</v>
      </c>
      <c r="AB340" s="23"/>
      <c r="AC340" s="22">
        <f ca="1">IFERROR(__xludf.DUMMYFUNCTION("""COMPUTED_VALUE"""),-0.175300240342469)</f>
        <v>-0.17530024034246899</v>
      </c>
      <c r="AD340" s="23"/>
      <c r="AE340" s="23"/>
      <c r="AF340" s="22"/>
      <c r="AG340" s="22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</row>
    <row r="341" spans="1:45" ht="27.75" customHeight="1" x14ac:dyDescent="0.35">
      <c r="A341" s="15" t="s">
        <v>27</v>
      </c>
      <c r="B341" s="15" t="s">
        <v>191</v>
      </c>
      <c r="C341" s="15" t="str">
        <f ca="1">IFERROR(__xludf.DUMMYFUNCTION("""COMPUTED_VALUE"""),"2022/12/18 (日)
休日午後")</f>
        <v>2022/12/18 (日)
休日午後</v>
      </c>
      <c r="D341" s="15" t="str">
        <f ca="1">IFERROR(__xludf.DUMMYFUNCTION("""COMPUTED_VALUE"""),"休日午後")</f>
        <v>休日午後</v>
      </c>
      <c r="E341" s="16">
        <f ca="1">IFERROR(__xludf.DUMMYFUNCTION("""COMPUTED_VALUE"""),0.998572487768256)</f>
        <v>0.99857248776825602</v>
      </c>
      <c r="F341" s="15" t="s">
        <v>16</v>
      </c>
      <c r="G341" s="39">
        <v>0</v>
      </c>
      <c r="H341" s="27" t="s">
        <v>127</v>
      </c>
      <c r="I341" s="27"/>
      <c r="J341" s="27" t="s">
        <v>202</v>
      </c>
      <c r="K341" s="23" t="b">
        <f ca="1">IFERROR(__xludf.DUMMYFUNCTION("""COMPUTED_VALUE"""),FALSE)</f>
        <v>0</v>
      </c>
      <c r="L341" s="22">
        <f ca="1">IFERROR(__xludf.DUMMYFUNCTION("""COMPUTED_VALUE"""),-0.596494415660612)</f>
        <v>-0.59649441566061201</v>
      </c>
      <c r="M341" s="23">
        <f ca="1">IFERROR(__xludf.DUMMYFUNCTION("""COMPUTED_VALUE"""),-0.465988138837699)</f>
        <v>-0.46598813883769902</v>
      </c>
      <c r="N341" s="23">
        <f ca="1">IFERROR(__xludf.DUMMYFUNCTION("""COMPUTED_VALUE"""),0.184025089757374)</f>
        <v>0.184025089757374</v>
      </c>
      <c r="O341" s="23">
        <f ca="1">IFERROR(__xludf.DUMMYFUNCTION("""COMPUTED_VALUE"""),-0.734919569915137)</f>
        <v>-0.73491956991513696</v>
      </c>
      <c r="P341" s="23"/>
      <c r="Q341" s="24">
        <f ca="1">IFERROR(__xludf.DUMMYFUNCTION("""COMPUTED_VALUE"""),0.998572487768256)</f>
        <v>0.99857248776825602</v>
      </c>
      <c r="R341" s="23">
        <f ca="1">IFERROR(__xludf.DUMMYFUNCTION("""COMPUTED_VALUE"""),0.813418164809275)</f>
        <v>0.81341816480927498</v>
      </c>
      <c r="S341" s="23"/>
      <c r="T341" s="23"/>
      <c r="U341" s="23">
        <f ca="1">IFERROR(__xludf.DUMMYFUNCTION("""COMPUTED_VALUE"""),-0.834559538126845)</f>
        <v>-0.83455953812684502</v>
      </c>
      <c r="V341" s="23">
        <f ca="1">IFERROR(__xludf.DUMMYFUNCTION("""COMPUTED_VALUE"""),0.875486372415322)</f>
        <v>0.87548637241532201</v>
      </c>
      <c r="W341" s="23">
        <f ca="1">IFERROR(__xludf.DUMMYFUNCTION("""COMPUTED_VALUE"""),0.0628157790206473)</f>
        <v>6.2815779020647305E-2</v>
      </c>
      <c r="X341" s="23"/>
      <c r="Y341" s="23">
        <f ca="1">IFERROR(__xludf.DUMMYFUNCTION("""COMPUTED_VALUE"""),-0.509240853826429)</f>
        <v>-0.50924085382642903</v>
      </c>
      <c r="Z341" s="23">
        <f ca="1">IFERROR(__xludf.DUMMYFUNCTION("""COMPUTED_VALUE"""),-0.893276031444671)</f>
        <v>-0.89327603144467105</v>
      </c>
      <c r="AA341" s="23">
        <f ca="1">IFERROR(__xludf.DUMMYFUNCTION("""COMPUTED_VALUE"""),0.656704262038018)</f>
        <v>0.65670426203801802</v>
      </c>
      <c r="AB341" s="23"/>
      <c r="AC341" s="22">
        <f ca="1">IFERROR(__xludf.DUMMYFUNCTION("""COMPUTED_VALUE"""),-0.569540338369458)</f>
        <v>-0.56954033836945805</v>
      </c>
      <c r="AD341" s="23"/>
      <c r="AE341" s="23"/>
      <c r="AF341" s="22"/>
      <c r="AG341" s="22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</row>
    <row r="342" spans="1:45" ht="27.75" customHeight="1" x14ac:dyDescent="0.4">
      <c r="A342" s="15" t="s">
        <v>27</v>
      </c>
      <c r="B342" s="15" t="s">
        <v>191</v>
      </c>
      <c r="C342" s="15" t="str">
        <f ca="1">IFERROR(__xludf.DUMMYFUNCTION("""COMPUTED_VALUE"""),"2022/12/19 (月)
平日夜間")</f>
        <v>2022/12/19 (月)
平日夜間</v>
      </c>
      <c r="D342" s="15" t="str">
        <f ca="1">IFERROR(__xludf.DUMMYFUNCTION("""COMPUTED_VALUE"""),"平日夜間")</f>
        <v>平日夜間</v>
      </c>
      <c r="E342" s="16">
        <f ca="1">IFERROR(__xludf.DUMMYFUNCTION("""COMPUTED_VALUE"""),2.56502932703473)</f>
        <v>2.56502932703473</v>
      </c>
      <c r="F342" s="15" t="s">
        <v>16</v>
      </c>
      <c r="G342" s="39">
        <v>2</v>
      </c>
      <c r="H342" s="29" t="s">
        <v>16</v>
      </c>
      <c r="I342" s="27"/>
      <c r="J342" s="27" t="s">
        <v>203</v>
      </c>
      <c r="K342" s="23" t="b">
        <f ca="1">IFERROR(__xludf.DUMMYFUNCTION("""COMPUTED_VALUE"""),TRUE)</f>
        <v>1</v>
      </c>
      <c r="L342" s="22">
        <f ca="1">IFERROR(__xludf.DUMMYFUNCTION("""COMPUTED_VALUE"""),0.0950546780238921)</f>
        <v>9.50546780238921E-2</v>
      </c>
      <c r="M342" s="23">
        <f ca="1">IFERROR(__xludf.DUMMYFUNCTION("""COMPUTED_VALUE"""),0.849696462572934)</f>
        <v>0.84969646257293396</v>
      </c>
      <c r="N342" s="23">
        <f ca="1">IFERROR(__xludf.DUMMYFUNCTION("""COMPUTED_VALUE"""),0.204349400864528)</f>
        <v>0.20434940086452799</v>
      </c>
      <c r="O342" s="23">
        <f ca="1">IFERROR(__xludf.DUMMYFUNCTION("""COMPUTED_VALUE"""),-0.718767069152415)</f>
        <v>-0.71876706915241495</v>
      </c>
      <c r="P342" s="23"/>
      <c r="Q342" s="24">
        <f ca="1">IFERROR(__xludf.DUMMYFUNCTION("""COMPUTED_VALUE"""),2.56502932703473)</f>
        <v>2.56502932703473</v>
      </c>
      <c r="R342" s="23">
        <f ca="1">IFERROR(__xludf.DUMMYFUNCTION("""COMPUTED_VALUE"""),0.139596251904361)</f>
        <v>0.13959625190436101</v>
      </c>
      <c r="S342" s="23"/>
      <c r="T342" s="23"/>
      <c r="U342" s="23">
        <f ca="1">IFERROR(__xludf.DUMMYFUNCTION("""COMPUTED_VALUE"""),0.134621578372253)</f>
        <v>0.134621578372253</v>
      </c>
      <c r="V342" s="23">
        <f ca="1">IFERROR(__xludf.DUMMYFUNCTION("""COMPUTED_VALUE"""),0.0216123001109349)</f>
        <v>2.1612300110934901E-2</v>
      </c>
      <c r="W342" s="23">
        <f ca="1">IFERROR(__xludf.DUMMYFUNCTION("""COMPUTED_VALUE"""),0.200608854972279)</f>
        <v>0.20060885497227901</v>
      </c>
      <c r="X342" s="23"/>
      <c r="Y342" s="23">
        <f ca="1">IFERROR(__xludf.DUMMYFUNCTION("""COMPUTED_VALUE"""),-0.134413770657356)</f>
        <v>-0.13441377065735599</v>
      </c>
      <c r="Z342" s="23">
        <f ca="1">IFERROR(__xludf.DUMMYFUNCTION("""COMPUTED_VALUE"""),0.877805104643897)</f>
        <v>0.87780510464389705</v>
      </c>
      <c r="AA342" s="23">
        <f ca="1">IFERROR(__xludf.DUMMYFUNCTION("""COMPUTED_VALUE"""),0.772885272353318)</f>
        <v>0.77288527235331805</v>
      </c>
      <c r="AB342" s="23"/>
      <c r="AC342" s="22">
        <f ca="1">IFERROR(__xludf.DUMMYFUNCTION("""COMPUTED_VALUE"""),0.0278812321166359)</f>
        <v>2.7881232116635901E-2</v>
      </c>
      <c r="AD342" s="23"/>
      <c r="AE342" s="23"/>
      <c r="AF342" s="22"/>
      <c r="AG342" s="22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</row>
    <row r="343" spans="1:45" ht="27.75" customHeight="1" x14ac:dyDescent="0.4">
      <c r="A343" s="15" t="s">
        <v>27</v>
      </c>
      <c r="B343" s="15" t="s">
        <v>191</v>
      </c>
      <c r="C343" s="15" t="str">
        <f ca="1">IFERROR(__xludf.DUMMYFUNCTION("""COMPUTED_VALUE"""),"2022/12/20 (火)
平日夜間")</f>
        <v>2022/12/20 (火)
平日夜間</v>
      </c>
      <c r="D343" s="15" t="str">
        <f ca="1">IFERROR(__xludf.DUMMYFUNCTION("""COMPUTED_VALUE"""),"平日夜間")</f>
        <v>平日夜間</v>
      </c>
      <c r="E343" s="16">
        <f ca="1">IFERROR(__xludf.DUMMYFUNCTION("""COMPUTED_VALUE"""),0.95788376224362)</f>
        <v>0.95788376224362004</v>
      </c>
      <c r="F343" s="15" t="s">
        <v>45</v>
      </c>
      <c r="G343" s="39">
        <v>0</v>
      </c>
      <c r="H343" s="29" t="s">
        <v>17</v>
      </c>
      <c r="I343" s="27"/>
      <c r="J343" s="27" t="s">
        <v>119</v>
      </c>
      <c r="K343" s="23" t="b">
        <f ca="1">IFERROR(__xludf.DUMMYFUNCTION("""COMPUTED_VALUE"""),TRUE)</f>
        <v>1</v>
      </c>
      <c r="L343" s="22">
        <f ca="1">IFERROR(__xludf.DUMMYFUNCTION("""COMPUTED_VALUE"""),0.361550347688615)</f>
        <v>0.36155034768861499</v>
      </c>
      <c r="M343" s="23">
        <f ca="1">IFERROR(__xludf.DUMMYFUNCTION("""COMPUTED_VALUE"""),0.89239081240365)</f>
        <v>0.89239081240365004</v>
      </c>
      <c r="N343" s="23">
        <f ca="1">IFERROR(__xludf.DUMMYFUNCTION("""COMPUTED_VALUE"""),0.254354229504758)</f>
        <v>0.254354229504758</v>
      </c>
      <c r="O343" s="23">
        <f ca="1">IFERROR(__xludf.DUMMYFUNCTION("""COMPUTED_VALUE"""),0.859510283994394)</f>
        <v>0.859510283994394</v>
      </c>
      <c r="P343" s="23"/>
      <c r="Q343" s="24">
        <f ca="1">IFERROR(__xludf.DUMMYFUNCTION("""COMPUTED_VALUE"""),-0.992139407890816)</f>
        <v>-0.99213940789081601</v>
      </c>
      <c r="R343" s="23">
        <f ca="1">IFERROR(__xludf.DUMMYFUNCTION("""COMPUTED_VALUE"""),-0.427294801862533)</f>
        <v>-0.42729480186253299</v>
      </c>
      <c r="S343" s="23"/>
      <c r="T343" s="23"/>
      <c r="U343" s="23">
        <f ca="1">IFERROR(__xludf.DUMMYFUNCTION("""COMPUTED_VALUE"""),0.428946423292783)</f>
        <v>0.42894642329278299</v>
      </c>
      <c r="V343" s="23">
        <f ca="1">IFERROR(__xludf.DUMMYFUNCTION("""COMPUTED_VALUE"""),0.809973855877141)</f>
        <v>0.80997385587714099</v>
      </c>
      <c r="W343" s="23">
        <f ca="1">IFERROR(__xludf.DUMMYFUNCTION("""COMPUTED_VALUE"""),-0.629724324903061)</f>
        <v>-0.62972432490306096</v>
      </c>
      <c r="X343" s="23"/>
      <c r="Y343" s="23">
        <f ca="1">IFERROR(__xludf.DUMMYFUNCTION("""COMPUTED_VALUE"""),0.791343142570084)</f>
        <v>0.79134314257008398</v>
      </c>
      <c r="Z343" s="23">
        <f ca="1">IFERROR(__xludf.DUMMYFUNCTION("""COMPUTED_VALUE"""),-0.769181757723256)</f>
        <v>-0.76918175772325603</v>
      </c>
      <c r="AA343" s="23">
        <f ca="1">IFERROR(__xludf.DUMMYFUNCTION("""COMPUTED_VALUE"""),-0.374460005249836)</f>
        <v>-0.37446000524983603</v>
      </c>
      <c r="AB343" s="23"/>
      <c r="AC343" s="22">
        <f ca="1">IFERROR(__xludf.DUMMYFUNCTION("""COMPUTED_VALUE"""),0.141017711270562)</f>
        <v>0.14101771127056201</v>
      </c>
      <c r="AD343" s="23"/>
      <c r="AE343" s="23"/>
      <c r="AF343" s="22"/>
      <c r="AG343" s="22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</row>
    <row r="344" spans="1:45" ht="27.75" customHeight="1" x14ac:dyDescent="0.4">
      <c r="A344" s="15" t="s">
        <v>27</v>
      </c>
      <c r="B344" s="15" t="s">
        <v>191</v>
      </c>
      <c r="C344" s="15" t="str">
        <f ca="1">IFERROR(__xludf.DUMMYFUNCTION("""COMPUTED_VALUE"""),"2022/12/21 (水)
平日夜間")</f>
        <v>2022/12/21 (水)
平日夜間</v>
      </c>
      <c r="D344" s="15" t="str">
        <f ca="1">IFERROR(__xludf.DUMMYFUNCTION("""COMPUTED_VALUE"""),"平日夜間")</f>
        <v>平日夜間</v>
      </c>
      <c r="E344" s="16">
        <f ca="1">IFERROR(__xludf.DUMMYFUNCTION("""COMPUTED_VALUE"""),2.3847390960367)</f>
        <v>2.3847390960367001</v>
      </c>
      <c r="F344" s="15" t="s">
        <v>14</v>
      </c>
      <c r="G344" s="39">
        <v>2</v>
      </c>
      <c r="H344" s="29" t="s">
        <v>14</v>
      </c>
      <c r="I344" s="27"/>
      <c r="J344" s="27" t="s">
        <v>204</v>
      </c>
      <c r="K344" s="23" t="b">
        <f ca="1">IFERROR(__xludf.DUMMYFUNCTION("""COMPUTED_VALUE"""),TRUE)</f>
        <v>1</v>
      </c>
      <c r="L344" s="22">
        <f ca="1">IFERROR(__xludf.DUMMYFUNCTION("""COMPUTED_VALUE"""),0.961424910821303)</f>
        <v>0.96142491082130299</v>
      </c>
      <c r="M344" s="23">
        <f ca="1">IFERROR(__xludf.DUMMYFUNCTION("""COMPUTED_VALUE"""),-0.301969103856737)</f>
        <v>-0.30196910385673698</v>
      </c>
      <c r="N344" s="23">
        <f ca="1">IFERROR(__xludf.DUMMYFUNCTION("""COMPUTED_VALUE"""),0.663097356797028)</f>
        <v>0.66309735679702797</v>
      </c>
      <c r="O344" s="23">
        <f ca="1">IFERROR(__xludf.DUMMYFUNCTION("""COMPUTED_VALUE"""),0.746239917818269)</f>
        <v>0.74623991781826904</v>
      </c>
      <c r="P344" s="23"/>
      <c r="Q344" s="24">
        <f ca="1">IFERROR(__xludf.DUMMYFUNCTION("""COMPUTED_VALUE"""),-0.482683409572127)</f>
        <v>-0.48268340957212702</v>
      </c>
      <c r="R344" s="23">
        <f ca="1">IFERROR(__xludf.DUMMYFUNCTION("""COMPUTED_VALUE"""),-0.152930567984123)</f>
        <v>-0.15293056798412299</v>
      </c>
      <c r="S344" s="23"/>
      <c r="T344" s="23"/>
      <c r="U344" s="23">
        <f ca="1">IFERROR(__xludf.DUMMYFUNCTION("""COMPUTED_VALUE"""),0.0743864014279649)</f>
        <v>7.4386401427964904E-2</v>
      </c>
      <c r="V344" s="23">
        <f ca="1">IFERROR(__xludf.DUMMYFUNCTION("""COMPUTED_VALUE"""),0.226637952419912)</f>
        <v>0.226637952419912</v>
      </c>
      <c r="W344" s="23">
        <f ca="1">IFERROR(__xludf.DUMMYFUNCTION("""COMPUTED_VALUE"""),-0.906750026016277)</f>
        <v>-0.90675002601627697</v>
      </c>
      <c r="X344" s="23"/>
      <c r="Y344" s="23">
        <f ca="1">IFERROR(__xludf.DUMMYFUNCTION("""COMPUTED_VALUE"""),2.3847390960367)</f>
        <v>2.3847390960367001</v>
      </c>
      <c r="Z344" s="23">
        <f ca="1">IFERROR(__xludf.DUMMYFUNCTION("""COMPUTED_VALUE"""),0.222429619782774)</f>
        <v>0.22242961978277401</v>
      </c>
      <c r="AA344" s="23">
        <f ca="1">IFERROR(__xludf.DUMMYFUNCTION("""COMPUTED_VALUE"""),0.872456637505472)</f>
        <v>0.87245663750547198</v>
      </c>
      <c r="AB344" s="23"/>
      <c r="AC344" s="22">
        <f ca="1">IFERROR(__xludf.DUMMYFUNCTION("""COMPUTED_VALUE"""),0.815996998862328)</f>
        <v>0.81599699886232802</v>
      </c>
      <c r="AD344" s="23"/>
      <c r="AE344" s="23"/>
      <c r="AF344" s="22"/>
      <c r="AG344" s="22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</row>
    <row r="345" spans="1:45" ht="27.75" customHeight="1" x14ac:dyDescent="0.4">
      <c r="A345" s="15" t="s">
        <v>27</v>
      </c>
      <c r="B345" s="15" t="s">
        <v>191</v>
      </c>
      <c r="C345" s="15" t="str">
        <f ca="1">IFERROR(__xludf.DUMMYFUNCTION("""COMPUTED_VALUE"""),"2022/12/22 (木)
平日夜間")</f>
        <v>2022/12/22 (木)
平日夜間</v>
      </c>
      <c r="D345" s="15" t="str">
        <f ca="1">IFERROR(__xludf.DUMMYFUNCTION("""COMPUTED_VALUE"""),"平日夜間")</f>
        <v>平日夜間</v>
      </c>
      <c r="E345" s="16">
        <f ca="1">IFERROR(__xludf.DUMMYFUNCTION("""COMPUTED_VALUE"""),2.42202479809425)</f>
        <v>2.4220247980942502</v>
      </c>
      <c r="F345" s="15" t="s">
        <v>6</v>
      </c>
      <c r="G345" s="39">
        <v>2</v>
      </c>
      <c r="H345" s="29" t="s">
        <v>4</v>
      </c>
      <c r="I345" s="27"/>
      <c r="J345" s="27" t="s">
        <v>132</v>
      </c>
      <c r="K345" s="23" t="b">
        <f ca="1">IFERROR(__xludf.DUMMYFUNCTION("""COMPUTED_VALUE"""),TRUE)</f>
        <v>1</v>
      </c>
      <c r="L345" s="22">
        <f ca="1">IFERROR(__xludf.DUMMYFUNCTION("""COMPUTED_VALUE"""),0.0257467832532471)</f>
        <v>2.5746783253247099E-2</v>
      </c>
      <c r="M345" s="23">
        <f ca="1">IFERROR(__xludf.DUMMYFUNCTION("""COMPUTED_VALUE"""),2.15194600082096)</f>
        <v>2.1519460008209599</v>
      </c>
      <c r="N345" s="23">
        <f ca="1">IFERROR(__xludf.DUMMYFUNCTION("""COMPUTED_VALUE"""),0.259324400197407)</f>
        <v>0.25932440019740699</v>
      </c>
      <c r="O345" s="23">
        <f ca="1">IFERROR(__xludf.DUMMYFUNCTION("""COMPUTED_VALUE"""),0.773155886179574)</f>
        <v>0.77315588617957398</v>
      </c>
      <c r="P345" s="23"/>
      <c r="Q345" s="24">
        <f ca="1">IFERROR(__xludf.DUMMYFUNCTION("""COMPUTED_VALUE"""),0.981476484418998)</f>
        <v>0.98147648441899804</v>
      </c>
      <c r="R345" s="23">
        <f ca="1">IFERROR(__xludf.DUMMYFUNCTION("""COMPUTED_VALUE"""),-0.939668170630915)</f>
        <v>-0.93966817063091501</v>
      </c>
      <c r="S345" s="23"/>
      <c r="T345" s="23"/>
      <c r="U345" s="23">
        <f ca="1">IFERROR(__xludf.DUMMYFUNCTION("""COMPUTED_VALUE"""),-0.784295643683808)</f>
        <v>-0.784295643683808</v>
      </c>
      <c r="V345" s="23">
        <f ca="1">IFERROR(__xludf.DUMMYFUNCTION("""COMPUTED_VALUE"""),0.113099803061933)</f>
        <v>0.113099803061933</v>
      </c>
      <c r="W345" s="23">
        <f ca="1">IFERROR(__xludf.DUMMYFUNCTION("""COMPUTED_VALUE"""),0.562024566791784)</f>
        <v>0.56202456679178403</v>
      </c>
      <c r="X345" s="23"/>
      <c r="Y345" s="23">
        <f ca="1">IFERROR(__xludf.DUMMYFUNCTION("""COMPUTED_VALUE"""),0.367836113440501)</f>
        <v>0.36783611344050099</v>
      </c>
      <c r="Z345" s="23">
        <f ca="1">IFERROR(__xludf.DUMMYFUNCTION("""COMPUTED_VALUE"""),0.695136987640103)</f>
        <v>0.69513698764010301</v>
      </c>
      <c r="AA345" s="23">
        <f ca="1">IFERROR(__xludf.DUMMYFUNCTION("""COMPUTED_VALUE"""),0.284182455263611)</f>
        <v>0.28418245526361102</v>
      </c>
      <c r="AB345" s="23"/>
      <c r="AC345" s="22">
        <f ca="1">IFERROR(__xludf.DUMMYFUNCTION("""COMPUTED_VALUE"""),2.42202479809425)</f>
        <v>2.4220247980942502</v>
      </c>
      <c r="AD345" s="23"/>
      <c r="AE345" s="23"/>
      <c r="AF345" s="22"/>
      <c r="AG345" s="22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</row>
    <row r="346" spans="1:45" ht="27.75" customHeight="1" x14ac:dyDescent="0.4">
      <c r="A346" s="15" t="s">
        <v>27</v>
      </c>
      <c r="B346" s="15" t="s">
        <v>191</v>
      </c>
      <c r="C346" s="15" t="str">
        <f ca="1">IFERROR(__xludf.DUMMYFUNCTION("""COMPUTED_VALUE"""),"2022/12/23 (金)
平日夜間")</f>
        <v>2022/12/23 (金)
平日夜間</v>
      </c>
      <c r="D346" s="15" t="str">
        <f ca="1">IFERROR(__xludf.DUMMYFUNCTION("""COMPUTED_VALUE"""),"平日夜間")</f>
        <v>平日夜間</v>
      </c>
      <c r="E346" s="16">
        <f ca="1">IFERROR(__xludf.DUMMYFUNCTION("""COMPUTED_VALUE"""),2.51177688220052)</f>
        <v>2.51177688220052</v>
      </c>
      <c r="F346" s="15" t="s">
        <v>9</v>
      </c>
      <c r="G346" s="39">
        <v>2</v>
      </c>
      <c r="H346" s="29" t="s">
        <v>9</v>
      </c>
      <c r="I346" s="27"/>
      <c r="J346" s="27" t="s">
        <v>205</v>
      </c>
      <c r="K346" s="23" t="b">
        <f ca="1">IFERROR(__xludf.DUMMYFUNCTION("""COMPUTED_VALUE"""),TRUE)</f>
        <v>1</v>
      </c>
      <c r="L346" s="22">
        <f ca="1">IFERROR(__xludf.DUMMYFUNCTION("""COMPUTED_VALUE"""),0.95983565097973)</f>
        <v>0.95983565097973</v>
      </c>
      <c r="M346" s="23">
        <f ca="1">IFERROR(__xludf.DUMMYFUNCTION("""COMPUTED_VALUE"""),-0.753171483331893)</f>
        <v>-0.75317148333189299</v>
      </c>
      <c r="N346" s="23">
        <f ca="1">IFERROR(__xludf.DUMMYFUNCTION("""COMPUTED_VALUE"""),-0.956493562112244)</f>
        <v>-0.95649356211224401</v>
      </c>
      <c r="O346" s="23">
        <f ca="1">IFERROR(__xludf.DUMMYFUNCTION("""COMPUTED_VALUE"""),-0.737875672990937)</f>
        <v>-0.73787567299093704</v>
      </c>
      <c r="P346" s="23"/>
      <c r="Q346" s="24">
        <f ca="1">IFERROR(__xludf.DUMMYFUNCTION("""COMPUTED_VALUE"""),0.332495947460509)</f>
        <v>0.33249594746050898</v>
      </c>
      <c r="R346" s="23">
        <f ca="1">IFERROR(__xludf.DUMMYFUNCTION("""COMPUTED_VALUE"""),-0.790997650642676)</f>
        <v>-0.79099765064267602</v>
      </c>
      <c r="S346" s="23"/>
      <c r="T346" s="23"/>
      <c r="U346" s="23">
        <f ca="1">IFERROR(__xludf.DUMMYFUNCTION("""COMPUTED_VALUE"""),-0.812542313797719)</f>
        <v>-0.81254231379771902</v>
      </c>
      <c r="V346" s="23">
        <f ca="1">IFERROR(__xludf.DUMMYFUNCTION("""COMPUTED_VALUE"""),2.51177688220052)</f>
        <v>2.51177688220052</v>
      </c>
      <c r="W346" s="23">
        <f ca="1">IFERROR(__xludf.DUMMYFUNCTION("""COMPUTED_VALUE"""),0.049842188596503)</f>
        <v>4.9842188596503002E-2</v>
      </c>
      <c r="X346" s="23"/>
      <c r="Y346" s="23">
        <f ca="1">IFERROR(__xludf.DUMMYFUNCTION("""COMPUTED_VALUE"""),0.393956344834006)</f>
        <v>0.39395634483400599</v>
      </c>
      <c r="Z346" s="23">
        <f ca="1">IFERROR(__xludf.DUMMYFUNCTION("""COMPUTED_VALUE"""),0.720181726546417)</f>
        <v>0.72018172654641699</v>
      </c>
      <c r="AA346" s="23">
        <f ca="1">IFERROR(__xludf.DUMMYFUNCTION("""COMPUTED_VALUE"""),0.548090709298044)</f>
        <v>0.54809070929804404</v>
      </c>
      <c r="AB346" s="23"/>
      <c r="AC346" s="22">
        <f ca="1">IFERROR(__xludf.DUMMYFUNCTION("""COMPUTED_VALUE"""),0.372313843871491)</f>
        <v>0.37231384387149102</v>
      </c>
      <c r="AD346" s="23"/>
      <c r="AE346" s="23"/>
      <c r="AF346" s="22"/>
      <c r="AG346" s="22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</row>
    <row r="347" spans="1:45" ht="27.75" customHeight="1" x14ac:dyDescent="0.35">
      <c r="A347" s="15" t="s">
        <v>27</v>
      </c>
      <c r="B347" s="15" t="s">
        <v>191</v>
      </c>
      <c r="C347" s="15" t="str">
        <f ca="1">IFERROR(__xludf.DUMMYFUNCTION("""COMPUTED_VALUE"""),"2022/12/24 (土)
休日午前")</f>
        <v>2022/12/24 (土)
休日午前</v>
      </c>
      <c r="D347" s="15" t="str">
        <f ca="1">IFERROR(__xludf.DUMMYFUNCTION("""COMPUTED_VALUE"""),"休日午前")</f>
        <v>休日午前</v>
      </c>
      <c r="E347" s="16">
        <f ca="1">IFERROR(__xludf.DUMMYFUNCTION("""COMPUTED_VALUE"""),2.83277694311893)</f>
        <v>2.83277694311893</v>
      </c>
      <c r="F347" s="15" t="s">
        <v>19</v>
      </c>
      <c r="G347" s="39">
        <v>2</v>
      </c>
      <c r="H347" s="27" t="s">
        <v>19</v>
      </c>
      <c r="I347" s="27"/>
      <c r="J347" s="27" t="s">
        <v>206</v>
      </c>
      <c r="K347" s="23" t="b">
        <f ca="1">IFERROR(__xludf.DUMMYFUNCTION("""COMPUTED_VALUE"""),TRUE)</f>
        <v>1</v>
      </c>
      <c r="L347" s="22">
        <f ca="1">IFERROR(__xludf.DUMMYFUNCTION("""COMPUTED_VALUE"""),0.497533148385072)</f>
        <v>0.49753314838507201</v>
      </c>
      <c r="M347" s="23">
        <f ca="1">IFERROR(__xludf.DUMMYFUNCTION("""COMPUTED_VALUE"""),0.0992075208058573)</f>
        <v>9.9207520805857305E-2</v>
      </c>
      <c r="N347" s="23">
        <f ca="1">IFERROR(__xludf.DUMMYFUNCTION("""COMPUTED_VALUE"""),-0.339008161789445)</f>
        <v>-0.33900816178944498</v>
      </c>
      <c r="O347" s="23">
        <f ca="1">IFERROR(__xludf.DUMMYFUNCTION("""COMPUTED_VALUE"""),2.83277694311893)</f>
        <v>2.83277694311893</v>
      </c>
      <c r="P347" s="23"/>
      <c r="Q347" s="24">
        <f ca="1">IFERROR(__xludf.DUMMYFUNCTION("""COMPUTED_VALUE"""),0.578249720078061)</f>
        <v>0.57824972007806097</v>
      </c>
      <c r="R347" s="23">
        <f ca="1">IFERROR(__xludf.DUMMYFUNCTION("""COMPUTED_VALUE"""),-0.25334983955136)</f>
        <v>-0.25334983955135998</v>
      </c>
      <c r="S347" s="23"/>
      <c r="T347" s="23"/>
      <c r="U347" s="23">
        <f ca="1">IFERROR(__xludf.DUMMYFUNCTION("""COMPUTED_VALUE"""),-0.256848019092291)</f>
        <v>-0.25684801909229099</v>
      </c>
      <c r="V347" s="23">
        <f ca="1">IFERROR(__xludf.DUMMYFUNCTION("""COMPUTED_VALUE"""),0.863912971164593)</f>
        <v>0.86391297116459298</v>
      </c>
      <c r="W347" s="23">
        <f ca="1">IFERROR(__xludf.DUMMYFUNCTION("""COMPUTED_VALUE"""),0.188997232939046)</f>
        <v>0.18899723293904599</v>
      </c>
      <c r="X347" s="23"/>
      <c r="Y347" s="23">
        <f ca="1">IFERROR(__xludf.DUMMYFUNCTION("""COMPUTED_VALUE"""),-0.325570751753424)</f>
        <v>-0.32557075175342398</v>
      </c>
      <c r="Z347" s="23">
        <f ca="1">IFERROR(__xludf.DUMMYFUNCTION("""COMPUTED_VALUE"""),0.388082315652263)</f>
        <v>0.38808231565226298</v>
      </c>
      <c r="AA347" s="23">
        <f ca="1">IFERROR(__xludf.DUMMYFUNCTION("""COMPUTED_VALUE"""),-0.614400786243539)</f>
        <v>-0.614400786243539</v>
      </c>
      <c r="AB347" s="23"/>
      <c r="AC347" s="22">
        <f ca="1">IFERROR(__xludf.DUMMYFUNCTION("""COMPUTED_VALUE"""),0.24644458867399)</f>
        <v>0.24644458867398999</v>
      </c>
      <c r="AD347" s="23"/>
      <c r="AE347" s="23"/>
      <c r="AF347" s="22"/>
      <c r="AG347" s="22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</row>
    <row r="348" spans="1:45" ht="27.75" customHeight="1" x14ac:dyDescent="0.35">
      <c r="A348" s="15" t="s">
        <v>27</v>
      </c>
      <c r="B348" s="15" t="s">
        <v>191</v>
      </c>
      <c r="C348" s="15" t="str">
        <f ca="1">IFERROR(__xludf.DUMMYFUNCTION("""COMPUTED_VALUE"""),"2022/12/24 (土)
休日午後")</f>
        <v>2022/12/24 (土)
休日午後</v>
      </c>
      <c r="D348" s="15" t="str">
        <f ca="1">IFERROR(__xludf.DUMMYFUNCTION("""COMPUTED_VALUE"""),"休日午後")</f>
        <v>休日午後</v>
      </c>
      <c r="E348" s="16">
        <f ca="1">IFERROR(__xludf.DUMMYFUNCTION("""COMPUTED_VALUE"""),0.993122487873726)</f>
        <v>0.99312248787372603</v>
      </c>
      <c r="F348" s="15" t="s">
        <v>16</v>
      </c>
      <c r="G348" s="39"/>
      <c r="H348" s="27" t="s">
        <v>1</v>
      </c>
      <c r="I348" s="27"/>
      <c r="J348" s="27" t="s">
        <v>206</v>
      </c>
      <c r="K348" s="23" t="b">
        <f ca="1">IFERROR(__xludf.DUMMYFUNCTION("""COMPUTED_VALUE"""),FALSE)</f>
        <v>0</v>
      </c>
      <c r="L348" s="22">
        <f ca="1">IFERROR(__xludf.DUMMYFUNCTION("""COMPUTED_VALUE"""),-0.897118858644366)</f>
        <v>-0.89711885864436602</v>
      </c>
      <c r="M348" s="23">
        <f ca="1">IFERROR(__xludf.DUMMYFUNCTION("""COMPUTED_VALUE"""),0.190311323352263)</f>
        <v>0.190311323352263</v>
      </c>
      <c r="N348" s="23">
        <f ca="1">IFERROR(__xludf.DUMMYFUNCTION("""COMPUTED_VALUE"""),-0.596245912235172)</f>
        <v>-0.59624591223517198</v>
      </c>
      <c r="O348" s="23">
        <f ca="1">IFERROR(__xludf.DUMMYFUNCTION("""COMPUTED_VALUE"""),-0.61474490699389)</f>
        <v>-0.61474490699388995</v>
      </c>
      <c r="P348" s="23"/>
      <c r="Q348" s="24">
        <f ca="1">IFERROR(__xludf.DUMMYFUNCTION("""COMPUTED_VALUE"""),0.993122487873726)</f>
        <v>0.99312248787372603</v>
      </c>
      <c r="R348" s="23">
        <f ca="1">IFERROR(__xludf.DUMMYFUNCTION("""COMPUTED_VALUE"""),-0.330686294576338)</f>
        <v>-0.33068629457633802</v>
      </c>
      <c r="S348" s="23"/>
      <c r="T348" s="23"/>
      <c r="U348" s="23">
        <f ca="1">IFERROR(__xludf.DUMMYFUNCTION("""COMPUTED_VALUE"""),-0.675108699625837)</f>
        <v>-0.67510869962583697</v>
      </c>
      <c r="V348" s="23">
        <f ca="1">IFERROR(__xludf.DUMMYFUNCTION("""COMPUTED_VALUE"""),0.164567643797653)</f>
        <v>0.16456764379765301</v>
      </c>
      <c r="W348" s="23">
        <f ca="1">IFERROR(__xludf.DUMMYFUNCTION("""COMPUTED_VALUE"""),0.711999600240112)</f>
        <v>0.711999600240112</v>
      </c>
      <c r="X348" s="23"/>
      <c r="Y348" s="23">
        <f ca="1">IFERROR(__xludf.DUMMYFUNCTION("""COMPUTED_VALUE"""),-0.915687934538864)</f>
        <v>-0.91568793453886399</v>
      </c>
      <c r="Z348" s="23">
        <f ca="1">IFERROR(__xludf.DUMMYFUNCTION("""COMPUTED_VALUE"""),0.6154668659653)</f>
        <v>0.61546686596529998</v>
      </c>
      <c r="AA348" s="23">
        <f ca="1">IFERROR(__xludf.DUMMYFUNCTION("""COMPUTED_VALUE"""),-0.197155935925747)</f>
        <v>-0.19715593592574701</v>
      </c>
      <c r="AB348" s="23"/>
      <c r="AC348" s="22">
        <f ca="1">IFERROR(__xludf.DUMMYFUNCTION("""COMPUTED_VALUE"""),0.980984640993403)</f>
        <v>0.98098464099340299</v>
      </c>
      <c r="AD348" s="23"/>
      <c r="AE348" s="23"/>
      <c r="AF348" s="22"/>
      <c r="AG348" s="22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</row>
    <row r="349" spans="1:45" ht="27.75" customHeight="1" x14ac:dyDescent="0.35">
      <c r="A349" s="15" t="s">
        <v>27</v>
      </c>
      <c r="B349" s="15" t="s">
        <v>191</v>
      </c>
      <c r="C349" s="15" t="str">
        <f ca="1">IFERROR(__xludf.DUMMYFUNCTION("""COMPUTED_VALUE"""),"2022/12/25 (日)
休日午前")</f>
        <v>2022/12/25 (日)
休日午前</v>
      </c>
      <c r="D349" s="15" t="str">
        <f ca="1">IFERROR(__xludf.DUMMYFUNCTION("""COMPUTED_VALUE"""),"休日午前")</f>
        <v>休日午前</v>
      </c>
      <c r="E349" s="16">
        <f ca="1">IFERROR(__xludf.DUMMYFUNCTION("""COMPUTED_VALUE"""),0.91154903333171)</f>
        <v>0.91154903333171</v>
      </c>
      <c r="F349" s="15" t="s">
        <v>16</v>
      </c>
      <c r="G349" s="39">
        <v>0</v>
      </c>
      <c r="H349" s="27" t="s">
        <v>6</v>
      </c>
      <c r="I349" s="27"/>
      <c r="J349" s="27" t="s">
        <v>182</v>
      </c>
      <c r="K349" s="23" t="b">
        <f ca="1">IFERROR(__xludf.DUMMYFUNCTION("""COMPUTED_VALUE"""),TRUE)</f>
        <v>1</v>
      </c>
      <c r="L349" s="22">
        <f ca="1">IFERROR(__xludf.DUMMYFUNCTION("""COMPUTED_VALUE"""),-0.285084745823702)</f>
        <v>-0.28508474582370202</v>
      </c>
      <c r="M349" s="23">
        <f ca="1">IFERROR(__xludf.DUMMYFUNCTION("""COMPUTED_VALUE"""),0.892604565881323)</f>
        <v>0.89260456588132298</v>
      </c>
      <c r="N349" s="23">
        <f ca="1">IFERROR(__xludf.DUMMYFUNCTION("""COMPUTED_VALUE"""),0.624130643418811)</f>
        <v>0.62413064341881097</v>
      </c>
      <c r="O349" s="23">
        <f ca="1">IFERROR(__xludf.DUMMYFUNCTION("""COMPUTED_VALUE"""),-0.504815842336107)</f>
        <v>-0.50481584233610699</v>
      </c>
      <c r="P349" s="23"/>
      <c r="Q349" s="24">
        <f ca="1">IFERROR(__xludf.DUMMYFUNCTION("""COMPUTED_VALUE"""),0.91154903333171)</f>
        <v>0.91154903333171</v>
      </c>
      <c r="R349" s="23">
        <f ca="1">IFERROR(__xludf.DUMMYFUNCTION("""COMPUTED_VALUE"""),-0.370075124773956)</f>
        <v>-0.37007512477395599</v>
      </c>
      <c r="S349" s="23"/>
      <c r="T349" s="23"/>
      <c r="U349" s="23">
        <f ca="1">IFERROR(__xludf.DUMMYFUNCTION("""COMPUTED_VALUE"""),-0.443653656402783)</f>
        <v>-0.44365365640278298</v>
      </c>
      <c r="V349" s="23">
        <f ca="1">IFERROR(__xludf.DUMMYFUNCTION("""COMPUTED_VALUE"""),0.176090103625443)</f>
        <v>0.176090103625443</v>
      </c>
      <c r="W349" s="23">
        <f ca="1">IFERROR(__xludf.DUMMYFUNCTION("""COMPUTED_VALUE"""),0.616614593188753)</f>
        <v>0.616614593188753</v>
      </c>
      <c r="X349" s="23"/>
      <c r="Y349" s="23">
        <f ca="1">IFERROR(__xludf.DUMMYFUNCTION("""COMPUTED_VALUE"""),-0.183221053255374)</f>
        <v>-0.18322105325537399</v>
      </c>
      <c r="Z349" s="23">
        <f ca="1">IFERROR(__xludf.DUMMYFUNCTION("""COMPUTED_VALUE"""),-0.579557945275097)</f>
        <v>-0.57955794527509696</v>
      </c>
      <c r="AA349" s="23">
        <f ca="1">IFERROR(__xludf.DUMMYFUNCTION("""COMPUTED_VALUE"""),-0.691577687035494)</f>
        <v>-0.69157768703549405</v>
      </c>
      <c r="AB349" s="23"/>
      <c r="AC349" s="22">
        <f ca="1">IFERROR(__xludf.DUMMYFUNCTION("""COMPUTED_VALUE"""),0.112134915084515)</f>
        <v>0.11213491508451499</v>
      </c>
      <c r="AD349" s="23"/>
      <c r="AE349" s="23"/>
      <c r="AF349" s="22"/>
      <c r="AG349" s="22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</row>
    <row r="350" spans="1:45" ht="27.75" customHeight="1" x14ac:dyDescent="0.35">
      <c r="A350" s="15" t="s">
        <v>27</v>
      </c>
      <c r="B350" s="15" t="s">
        <v>191</v>
      </c>
      <c r="C350" s="15" t="str">
        <f ca="1">IFERROR(__xludf.DUMMYFUNCTION("""COMPUTED_VALUE"""),"2022/12/25 (日)
休日午後")</f>
        <v>2022/12/25 (日)
休日午後</v>
      </c>
      <c r="D350" s="15" t="str">
        <f ca="1">IFERROR(__xludf.DUMMYFUNCTION("""COMPUTED_VALUE"""),"休日午後")</f>
        <v>休日午後</v>
      </c>
      <c r="E350" s="16">
        <f ca="1">IFERROR(__xludf.DUMMYFUNCTION("""COMPUTED_VALUE"""),0.979863764064697)</f>
        <v>0.979863764064697</v>
      </c>
      <c r="F350" s="15" t="s">
        <v>38</v>
      </c>
      <c r="G350" s="39">
        <v>0</v>
      </c>
      <c r="H350" s="27" t="s">
        <v>2</v>
      </c>
      <c r="I350" s="27"/>
      <c r="J350" s="27" t="s">
        <v>182</v>
      </c>
      <c r="K350" s="23" t="b">
        <f ca="1">IFERROR(__xludf.DUMMYFUNCTION("""COMPUTED_VALUE"""),FALSE)</f>
        <v>0</v>
      </c>
      <c r="L350" s="22">
        <f ca="1">IFERROR(__xludf.DUMMYFUNCTION("""COMPUTED_VALUE"""),-0.711870802303964)</f>
        <v>-0.71187080230396405</v>
      </c>
      <c r="M350" s="23">
        <f ca="1">IFERROR(__xludf.DUMMYFUNCTION("""COMPUTED_VALUE"""),-0.549352210298303)</f>
        <v>-0.54935221029830295</v>
      </c>
      <c r="N350" s="23">
        <f ca="1">IFERROR(__xludf.DUMMYFUNCTION("""COMPUTED_VALUE"""),0.50236405902577)</f>
        <v>0.50236405902576997</v>
      </c>
      <c r="O350" s="23">
        <f ca="1">IFERROR(__xludf.DUMMYFUNCTION("""COMPUTED_VALUE"""),-0.746749834765986)</f>
        <v>-0.746749834765986</v>
      </c>
      <c r="P350" s="23"/>
      <c r="Q350" s="24">
        <f ca="1">IFERROR(__xludf.DUMMYFUNCTION("""COMPUTED_VALUE"""),0.281375452610875)</f>
        <v>0.28137545261087499</v>
      </c>
      <c r="R350" s="23">
        <f ca="1">IFERROR(__xludf.DUMMYFUNCTION("""COMPUTED_VALUE"""),-0.857763745611973)</f>
        <v>-0.85776374561197299</v>
      </c>
      <c r="S350" s="23"/>
      <c r="T350" s="23"/>
      <c r="U350" s="23">
        <f ca="1">IFERROR(__xludf.DUMMYFUNCTION("""COMPUTED_VALUE"""),-0.954542179177533)</f>
        <v>-0.95454217917753303</v>
      </c>
      <c r="V350" s="23">
        <f ca="1">IFERROR(__xludf.DUMMYFUNCTION("""COMPUTED_VALUE"""),0.172370334660304)</f>
        <v>0.17237033466030399</v>
      </c>
      <c r="W350" s="23">
        <f ca="1">IFERROR(__xludf.DUMMYFUNCTION("""COMPUTED_VALUE"""),0.394494689714294)</f>
        <v>0.39449468971429402</v>
      </c>
      <c r="X350" s="23"/>
      <c r="Y350" s="23">
        <f ca="1">IFERROR(__xludf.DUMMYFUNCTION("""COMPUTED_VALUE"""),-0.131809579767284)</f>
        <v>-0.131809579767284</v>
      </c>
      <c r="Z350" s="23">
        <f ca="1">IFERROR(__xludf.DUMMYFUNCTION("""COMPUTED_VALUE"""),-0.586018964721052)</f>
        <v>-0.58601896472105197</v>
      </c>
      <c r="AA350" s="23">
        <f ca="1">IFERROR(__xludf.DUMMYFUNCTION("""COMPUTED_VALUE"""),-0.158936580533261)</f>
        <v>-0.15893658053326101</v>
      </c>
      <c r="AB350" s="23"/>
      <c r="AC350" s="22">
        <f ca="1">IFERROR(__xludf.DUMMYFUNCTION("""COMPUTED_VALUE"""),0.799809595259269)</f>
        <v>0.79980959525926898</v>
      </c>
      <c r="AD350" s="23"/>
      <c r="AE350" s="23"/>
      <c r="AF350" s="22"/>
      <c r="AG350" s="22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</row>
    <row r="351" spans="1:45" ht="27.75" customHeight="1" x14ac:dyDescent="0.4">
      <c r="A351" s="15" t="s">
        <v>27</v>
      </c>
      <c r="B351" s="15" t="s">
        <v>191</v>
      </c>
      <c r="C351" s="15" t="str">
        <f ca="1">IFERROR(__xludf.DUMMYFUNCTION("""COMPUTED_VALUE"""),"2022/12/26 (月)
平日夜間")</f>
        <v>2022/12/26 (月)
平日夜間</v>
      </c>
      <c r="D351" s="15" t="str">
        <f ca="1">IFERROR(__xludf.DUMMYFUNCTION("""COMPUTED_VALUE"""),"平日夜間")</f>
        <v>平日夜間</v>
      </c>
      <c r="E351" s="16">
        <f ca="1">IFERROR(__xludf.DUMMYFUNCTION("""COMPUTED_VALUE"""),2.72649118101239)</f>
        <v>2.7264911810123902</v>
      </c>
      <c r="F351" s="15" t="s">
        <v>10</v>
      </c>
      <c r="G351" s="39">
        <v>2</v>
      </c>
      <c r="H351" s="29" t="s">
        <v>10</v>
      </c>
      <c r="I351" s="27"/>
      <c r="J351" s="27" t="s">
        <v>137</v>
      </c>
      <c r="K351" s="23" t="b">
        <f ca="1">IFERROR(__xludf.DUMMYFUNCTION("""COMPUTED_VALUE"""),TRUE)</f>
        <v>1</v>
      </c>
      <c r="L351" s="22">
        <f ca="1">IFERROR(__xludf.DUMMYFUNCTION("""COMPUTED_VALUE"""),0.808299802321425)</f>
        <v>0.80829980232142495</v>
      </c>
      <c r="M351" s="23">
        <f ca="1">IFERROR(__xludf.DUMMYFUNCTION("""COMPUTED_VALUE"""),-0.602575666093239)</f>
        <v>-0.60257566609323898</v>
      </c>
      <c r="N351" s="23">
        <f ca="1">IFERROR(__xludf.DUMMYFUNCTION("""COMPUTED_VALUE"""),0.0270536069046158)</f>
        <v>2.70536069046158E-2</v>
      </c>
      <c r="O351" s="23">
        <f ca="1">IFERROR(__xludf.DUMMYFUNCTION("""COMPUTED_VALUE"""),-0.289324099198615)</f>
        <v>-0.28932409919861501</v>
      </c>
      <c r="P351" s="23"/>
      <c r="Q351" s="24">
        <f ca="1">IFERROR(__xludf.DUMMYFUNCTION("""COMPUTED_VALUE"""),0.91718689148534)</f>
        <v>0.91718689148534005</v>
      </c>
      <c r="R351" s="23">
        <f ca="1">IFERROR(__xludf.DUMMYFUNCTION("""COMPUTED_VALUE"""),0.319477258893125)</f>
        <v>0.319477258893125</v>
      </c>
      <c r="S351" s="23"/>
      <c r="T351" s="23"/>
      <c r="U351" s="23">
        <f ca="1">IFERROR(__xludf.DUMMYFUNCTION("""COMPUTED_VALUE"""),0.0155463843642742)</f>
        <v>1.5546384364274199E-2</v>
      </c>
      <c r="V351" s="23">
        <f ca="1">IFERROR(__xludf.DUMMYFUNCTION("""COMPUTED_VALUE"""),0.860385044227731)</f>
        <v>0.86038504422773099</v>
      </c>
      <c r="W351" s="23">
        <f ca="1">IFERROR(__xludf.DUMMYFUNCTION("""COMPUTED_VALUE"""),0.684741656493603)</f>
        <v>0.68474165649360297</v>
      </c>
      <c r="X351" s="23"/>
      <c r="Y351" s="23">
        <f ca="1">IFERROR(__xludf.DUMMYFUNCTION("""COMPUTED_VALUE"""),0.243157886620402)</f>
        <v>0.243157886620402</v>
      </c>
      <c r="Z351" s="23">
        <f ca="1">IFERROR(__xludf.DUMMYFUNCTION("""COMPUTED_VALUE"""),2.72649118101239)</f>
        <v>2.7264911810123902</v>
      </c>
      <c r="AA351" s="23">
        <f ca="1">IFERROR(__xludf.DUMMYFUNCTION("""COMPUTED_VALUE"""),0.196096738582161)</f>
        <v>0.19609673858216101</v>
      </c>
      <c r="AB351" s="23"/>
      <c r="AC351" s="22">
        <f ca="1">IFERROR(__xludf.DUMMYFUNCTION("""COMPUTED_VALUE"""),0.0503221585332505)</f>
        <v>5.0322158533250498E-2</v>
      </c>
      <c r="AD351" s="23"/>
      <c r="AE351" s="23"/>
      <c r="AF351" s="22"/>
      <c r="AG351" s="22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</row>
    <row r="352" spans="1:45" ht="27.75" customHeight="1" x14ac:dyDescent="0.35">
      <c r="A352" s="15" t="s">
        <v>27</v>
      </c>
      <c r="B352" s="15" t="s">
        <v>191</v>
      </c>
      <c r="C352" s="15" t="str">
        <f ca="1">IFERROR(__xludf.DUMMYFUNCTION("""COMPUTED_VALUE"""),"2022/12/27 (火)
平日夜間")</f>
        <v>2022/12/27 (火)
平日夜間</v>
      </c>
      <c r="D352" s="15" t="str">
        <f ca="1">IFERROR(__xludf.DUMMYFUNCTION("""COMPUTED_VALUE"""),"平日夜間")</f>
        <v>平日夜間</v>
      </c>
      <c r="E352" s="16">
        <f ca="1">IFERROR(__xludf.DUMMYFUNCTION("""COMPUTED_VALUE"""),0.993235631147596)</f>
        <v>0.99323563114759605</v>
      </c>
      <c r="F352" s="15" t="s">
        <v>16</v>
      </c>
      <c r="G352" s="39">
        <v>0</v>
      </c>
      <c r="H352" s="27" t="s">
        <v>19</v>
      </c>
      <c r="I352" s="27"/>
      <c r="J352" s="27"/>
      <c r="K352" s="23" t="b">
        <f ca="1">IFERROR(__xludf.DUMMYFUNCTION("""COMPUTED_VALUE"""),FALSE)</f>
        <v>0</v>
      </c>
      <c r="L352" s="22">
        <f ca="1">IFERROR(__xludf.DUMMYFUNCTION("""COMPUTED_VALUE"""),0.65167237910312)</f>
        <v>0.65167237910312004</v>
      </c>
      <c r="M352" s="23">
        <f ca="1">IFERROR(__xludf.DUMMYFUNCTION("""COMPUTED_VALUE"""),-0.961487755536339)</f>
        <v>-0.96148775553633903</v>
      </c>
      <c r="N352" s="23">
        <f ca="1">IFERROR(__xludf.DUMMYFUNCTION("""COMPUTED_VALUE"""),0.826500985961172)</f>
        <v>0.82650098596117205</v>
      </c>
      <c r="O352" s="23">
        <f ca="1">IFERROR(__xludf.DUMMYFUNCTION("""COMPUTED_VALUE"""),0.908102287566671)</f>
        <v>0.908102287566671</v>
      </c>
      <c r="P352" s="23"/>
      <c r="Q352" s="24">
        <f ca="1">IFERROR(__xludf.DUMMYFUNCTION("""COMPUTED_VALUE"""),0.993235631147596)</f>
        <v>0.99323563114759605</v>
      </c>
      <c r="R352" s="23">
        <f ca="1">IFERROR(__xludf.DUMMYFUNCTION("""COMPUTED_VALUE"""),-0.441018442709511)</f>
        <v>-0.44101844270951102</v>
      </c>
      <c r="S352" s="23"/>
      <c r="T352" s="23"/>
      <c r="U352" s="23">
        <f ca="1">IFERROR(__xludf.DUMMYFUNCTION("""COMPUTED_VALUE"""),0.123708497708538)</f>
        <v>0.12370849770853801</v>
      </c>
      <c r="V352" s="23">
        <f ca="1">IFERROR(__xludf.DUMMYFUNCTION("""COMPUTED_VALUE"""),0.431853010755423)</f>
        <v>0.43185301075542298</v>
      </c>
      <c r="W352" s="23">
        <f ca="1">IFERROR(__xludf.DUMMYFUNCTION("""COMPUTED_VALUE"""),0.719449693153586)</f>
        <v>0.71944969315358598</v>
      </c>
      <c r="X352" s="23"/>
      <c r="Y352" s="23">
        <f ca="1">IFERROR(__xludf.DUMMYFUNCTION("""COMPUTED_VALUE"""),0.701602736434201)</f>
        <v>0.70160273643420101</v>
      </c>
      <c r="Z352" s="23">
        <f ca="1">IFERROR(__xludf.DUMMYFUNCTION("""COMPUTED_VALUE"""),-0.00104592008047021)</f>
        <v>-1.04592008047021E-3</v>
      </c>
      <c r="AA352" s="23">
        <f ca="1">IFERROR(__xludf.DUMMYFUNCTION("""COMPUTED_VALUE"""),-0.452428887915803)</f>
        <v>-0.45242888791580299</v>
      </c>
      <c r="AB352" s="23"/>
      <c r="AC352" s="22">
        <f ca="1">IFERROR(__xludf.DUMMYFUNCTION("""COMPUTED_VALUE"""),0.541574751269759)</f>
        <v>0.54157475126975896</v>
      </c>
      <c r="AD352" s="23"/>
      <c r="AE352" s="23"/>
      <c r="AF352" s="22"/>
      <c r="AG352" s="22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</row>
    <row r="353" spans="1:45" ht="27.75" customHeight="1" x14ac:dyDescent="0.4">
      <c r="A353" s="15" t="s">
        <v>27</v>
      </c>
      <c r="B353" s="15" t="s">
        <v>191</v>
      </c>
      <c r="C353" s="15" t="str">
        <f ca="1">IFERROR(__xludf.DUMMYFUNCTION("""COMPUTED_VALUE"""),"2022/12/28 (水)
平日夜間")</f>
        <v>2022/12/28 (水)
平日夜間</v>
      </c>
      <c r="D353" s="15" t="str">
        <f ca="1">IFERROR(__xludf.DUMMYFUNCTION("""COMPUTED_VALUE"""),"平日夜間")</f>
        <v>平日夜間</v>
      </c>
      <c r="E353" s="16">
        <f ca="1">IFERROR(__xludf.DUMMYFUNCTION("""COMPUTED_VALUE"""),0.927764373966782)</f>
        <v>0.92776437396678202</v>
      </c>
      <c r="F353" s="15" t="s">
        <v>127</v>
      </c>
      <c r="G353" s="39"/>
      <c r="H353" s="29" t="s">
        <v>5</v>
      </c>
      <c r="I353" s="27"/>
      <c r="J353" s="27" t="s">
        <v>73</v>
      </c>
      <c r="K353" s="23" t="b">
        <f ca="1">IFERROR(__xludf.DUMMYFUNCTION("""COMPUTED_VALUE"""),TRUE)</f>
        <v>1</v>
      </c>
      <c r="L353" s="22">
        <f ca="1">IFERROR(__xludf.DUMMYFUNCTION("""COMPUTED_VALUE"""),-0.79609878545609)</f>
        <v>-0.79609878545609003</v>
      </c>
      <c r="M353" s="23">
        <f ca="1">IFERROR(__xludf.DUMMYFUNCTION("""COMPUTED_VALUE"""),-0.52943324108253)</f>
        <v>-0.52943324108252998</v>
      </c>
      <c r="N353" s="23">
        <f ca="1">IFERROR(__xludf.DUMMYFUNCTION("""COMPUTED_VALUE"""),0.158800050771849)</f>
        <v>0.158800050771849</v>
      </c>
      <c r="O353" s="23">
        <f ca="1">IFERROR(__xludf.DUMMYFUNCTION("""COMPUTED_VALUE"""),0.397974517411467)</f>
        <v>0.397974517411467</v>
      </c>
      <c r="P353" s="23"/>
      <c r="Q353" s="24">
        <f ca="1">IFERROR(__xludf.DUMMYFUNCTION("""COMPUTED_VALUE"""),0.663510172314468)</f>
        <v>0.66351017231446796</v>
      </c>
      <c r="R353" s="23">
        <f ca="1">IFERROR(__xludf.DUMMYFUNCTION("""COMPUTED_VALUE"""),-0.379048398084709)</f>
        <v>-0.37904839808470903</v>
      </c>
      <c r="S353" s="23"/>
      <c r="T353" s="23"/>
      <c r="U353" s="23">
        <f ca="1">IFERROR(__xludf.DUMMYFUNCTION("""COMPUTED_VALUE"""),0.863079995213898)</f>
        <v>0.863079995213898</v>
      </c>
      <c r="V353" s="23">
        <f ca="1">IFERROR(__xludf.DUMMYFUNCTION("""COMPUTED_VALUE"""),-0.398873428266727)</f>
        <v>-0.398873428266727</v>
      </c>
      <c r="W353" s="23">
        <f ca="1">IFERROR(__xludf.DUMMYFUNCTION("""COMPUTED_VALUE"""),-0.667380182886565)</f>
        <v>-0.66738018288656498</v>
      </c>
      <c r="X353" s="23"/>
      <c r="Y353" s="23">
        <f ca="1">IFERROR(__xludf.DUMMYFUNCTION("""COMPUTED_VALUE"""),0.711857585061226)</f>
        <v>0.71185758506122598</v>
      </c>
      <c r="Z353" s="23">
        <f ca="1">IFERROR(__xludf.DUMMYFUNCTION("""COMPUTED_VALUE"""),0.832152196802618)</f>
        <v>0.83215219680261798</v>
      </c>
      <c r="AA353" s="23">
        <f ca="1">IFERROR(__xludf.DUMMYFUNCTION("""COMPUTED_VALUE"""),0.622590915061173)</f>
        <v>0.62259091506117303</v>
      </c>
      <c r="AB353" s="23"/>
      <c r="AC353" s="22">
        <f ca="1">IFERROR(__xludf.DUMMYFUNCTION("""COMPUTED_VALUE"""),0.779367596728979)</f>
        <v>0.77936759672897904</v>
      </c>
      <c r="AD353" s="23"/>
      <c r="AE353" s="23"/>
      <c r="AF353" s="22"/>
      <c r="AG353" s="22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</row>
    <row r="354" spans="1:45" ht="27.75" customHeight="1" x14ac:dyDescent="0.4">
      <c r="A354" s="15" t="s">
        <v>207</v>
      </c>
      <c r="B354" s="15" t="s">
        <v>208</v>
      </c>
      <c r="C354" s="15" t="str">
        <f ca="1">IFERROR(__xludf.DUMMYFUNCTION("""COMPUTED_VALUE"""),"2023/01/04 (水)
平日夜間")</f>
        <v>2023/01/04 (水)
平日夜間</v>
      </c>
      <c r="D354" s="15" t="str">
        <f ca="1">IFERROR(__xludf.DUMMYFUNCTION("""COMPUTED_VALUE"""),"平日夜間")</f>
        <v>平日夜間</v>
      </c>
      <c r="E354" s="16">
        <f ca="1">IFERROR(__xludf.DUMMYFUNCTION("""COMPUTED_VALUE"""),0.817762182681562)</f>
        <v>0.81776218268156198</v>
      </c>
      <c r="F354" s="15" t="s">
        <v>1</v>
      </c>
      <c r="G354" s="39"/>
      <c r="H354" s="29" t="s">
        <v>45</v>
      </c>
      <c r="I354" s="27"/>
      <c r="J354" s="27" t="s">
        <v>209</v>
      </c>
      <c r="K354" s="23" t="b">
        <f ca="1">IFERROR(__xludf.DUMMYFUNCTION("""COMPUTED_VALUE"""),TRUE)</f>
        <v>1</v>
      </c>
      <c r="L354" s="22">
        <f ca="1">IFERROR(__xludf.DUMMYFUNCTION("""COMPUTED_VALUE"""),-0.381516014775096)</f>
        <v>-0.381516014775096</v>
      </c>
      <c r="M354" s="23">
        <f ca="1">IFERROR(__xludf.DUMMYFUNCTION("""COMPUTED_VALUE"""),-0.420550870830724)</f>
        <v>-0.42055087083072401</v>
      </c>
      <c r="N354" s="23">
        <f ca="1">IFERROR(__xludf.DUMMYFUNCTION("""COMPUTED_VALUE"""),0.223697500093768)</f>
        <v>0.22369750009376799</v>
      </c>
      <c r="O354" s="23">
        <f ca="1">IFERROR(__xludf.DUMMYFUNCTION("""COMPUTED_VALUE"""),-0.74382808324165)</f>
        <v>-0.74382808324164995</v>
      </c>
      <c r="P354" s="23"/>
      <c r="Q354" s="24">
        <f ca="1">IFERROR(__xludf.DUMMYFUNCTION("""COMPUTED_VALUE"""),0.497120692632363)</f>
        <v>0.49712069263236303</v>
      </c>
      <c r="R354" s="23"/>
      <c r="S354" s="23"/>
      <c r="T354" s="23"/>
      <c r="U354" s="23">
        <f ca="1">IFERROR(__xludf.DUMMYFUNCTION("""COMPUTED_VALUE"""),0.386331327452063)</f>
        <v>0.386331327452063</v>
      </c>
      <c r="V354" s="23">
        <f ca="1">IFERROR(__xludf.DUMMYFUNCTION("""COMPUTED_VALUE"""),0.245473484548757)</f>
        <v>0.245473484548757</v>
      </c>
      <c r="W354" s="23">
        <f ca="1">IFERROR(__xludf.DUMMYFUNCTION("""COMPUTED_VALUE"""),-0.548527685608678)</f>
        <v>-0.54852768560867804</v>
      </c>
      <c r="X354" s="23"/>
      <c r="Y354" s="23">
        <f ca="1">IFERROR(__xludf.DUMMYFUNCTION("""COMPUTED_VALUE"""),0.147299121210943)</f>
        <v>0.14729912121094299</v>
      </c>
      <c r="Z354" s="23">
        <f ca="1">IFERROR(__xludf.DUMMYFUNCTION("""COMPUTED_VALUE"""),-0.894636196704153)</f>
        <v>-0.89463619670415295</v>
      </c>
      <c r="AA354" s="23">
        <f ca="1">IFERROR(__xludf.DUMMYFUNCTION("""COMPUTED_VALUE"""),-0.518571675117512)</f>
        <v>-0.51857167511751201</v>
      </c>
      <c r="AB354" s="23">
        <f ca="1">IFERROR(__xludf.DUMMYFUNCTION("""COMPUTED_VALUE"""),0.817762182681562)</f>
        <v>0.81776218268156198</v>
      </c>
      <c r="AC354" s="22">
        <f ca="1">IFERROR(__xludf.DUMMYFUNCTION("""COMPUTED_VALUE"""),-0.83047319947926)</f>
        <v>-0.83047319947926002</v>
      </c>
      <c r="AD354" s="23"/>
      <c r="AE354" s="23"/>
      <c r="AF354" s="22"/>
      <c r="AG354" s="22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</row>
    <row r="355" spans="1:45" ht="27.75" customHeight="1" x14ac:dyDescent="0.35">
      <c r="A355" s="15" t="s">
        <v>207</v>
      </c>
      <c r="B355" s="15" t="s">
        <v>208</v>
      </c>
      <c r="C355" s="15" t="str">
        <f ca="1">IFERROR(__xludf.DUMMYFUNCTION("""COMPUTED_VALUE"""),"2023/01/05 (木)
平日夜間")</f>
        <v>2023/01/05 (木)
平日夜間</v>
      </c>
      <c r="D355" s="15" t="str">
        <f ca="1">IFERROR(__xludf.DUMMYFUNCTION("""COMPUTED_VALUE"""),"平日夜間")</f>
        <v>平日夜間</v>
      </c>
      <c r="E355" s="16">
        <f ca="1">IFERROR(__xludf.DUMMYFUNCTION("""COMPUTED_VALUE"""),0.963367839587151)</f>
        <v>0.963367839587151</v>
      </c>
      <c r="F355" s="15" t="s">
        <v>2</v>
      </c>
      <c r="G355" s="39">
        <v>0</v>
      </c>
      <c r="H355" s="27" t="s">
        <v>2</v>
      </c>
      <c r="I355" s="27"/>
      <c r="J355" s="27"/>
      <c r="K355" s="23" t="b">
        <f ca="1">IFERROR(__xludf.DUMMYFUNCTION("""COMPUTED_VALUE"""),FALSE)</f>
        <v>0</v>
      </c>
      <c r="L355" s="22">
        <f ca="1">IFERROR(__xludf.DUMMYFUNCTION("""COMPUTED_VALUE"""),-0.883750050063434)</f>
        <v>-0.88375005006343399</v>
      </c>
      <c r="M355" s="23">
        <f ca="1">IFERROR(__xludf.DUMMYFUNCTION("""COMPUTED_VALUE"""),0.249990160004287)</f>
        <v>0.249990160004287</v>
      </c>
      <c r="N355" s="23">
        <f ca="1">IFERROR(__xludf.DUMMYFUNCTION("""COMPUTED_VALUE"""),0.963367839587151)</f>
        <v>0.963367839587151</v>
      </c>
      <c r="O355" s="23">
        <f ca="1">IFERROR(__xludf.DUMMYFUNCTION("""COMPUTED_VALUE"""),0.618262732647368)</f>
        <v>0.61826273264736797</v>
      </c>
      <c r="P355" s="23"/>
      <c r="Q355" s="24">
        <f ca="1">IFERROR(__xludf.DUMMYFUNCTION("""COMPUTED_VALUE"""),0.0786024694563127)</f>
        <v>7.8602469456312704E-2</v>
      </c>
      <c r="R355" s="23"/>
      <c r="S355" s="23"/>
      <c r="T355" s="23"/>
      <c r="U355" s="23">
        <f ca="1">IFERROR(__xludf.DUMMYFUNCTION("""COMPUTED_VALUE"""),-0.551727563159751)</f>
        <v>-0.55172756315975102</v>
      </c>
      <c r="V355" s="23">
        <f ca="1">IFERROR(__xludf.DUMMYFUNCTION("""COMPUTED_VALUE"""),0.535268726318007)</f>
        <v>0.53526872631800704</v>
      </c>
      <c r="W355" s="23">
        <f ca="1">IFERROR(__xludf.DUMMYFUNCTION("""COMPUTED_VALUE"""),0.950095779516634)</f>
        <v>0.95009577951663404</v>
      </c>
      <c r="X355" s="23"/>
      <c r="Y355" s="23">
        <f ca="1">IFERROR(__xludf.DUMMYFUNCTION("""COMPUTED_VALUE"""),0.931345715095989)</f>
        <v>0.93134571509598896</v>
      </c>
      <c r="Z355" s="23">
        <f ca="1">IFERROR(__xludf.DUMMYFUNCTION("""COMPUTED_VALUE"""),-0.31795232579556)</f>
        <v>-0.31795232579555999</v>
      </c>
      <c r="AA355" s="23">
        <f ca="1">IFERROR(__xludf.DUMMYFUNCTION("""COMPUTED_VALUE"""),0.266651393060156)</f>
        <v>0.26665139306015601</v>
      </c>
      <c r="AB355" s="23">
        <f ca="1">IFERROR(__xludf.DUMMYFUNCTION("""COMPUTED_VALUE"""),0.684324730208773)</f>
        <v>0.68432473020877305</v>
      </c>
      <c r="AC355" s="22">
        <f ca="1">IFERROR(__xludf.DUMMYFUNCTION("""COMPUTED_VALUE"""),0.561169355227719)</f>
        <v>0.56116935522771905</v>
      </c>
      <c r="AD355" s="23"/>
      <c r="AE355" s="23"/>
      <c r="AF355" s="22"/>
      <c r="AG355" s="22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</row>
    <row r="356" spans="1:45" ht="27.75" customHeight="1" x14ac:dyDescent="0.35">
      <c r="A356" s="15" t="s">
        <v>207</v>
      </c>
      <c r="B356" s="15" t="s">
        <v>208</v>
      </c>
      <c r="C356" s="15" t="str">
        <f ca="1">IFERROR(__xludf.DUMMYFUNCTION("""COMPUTED_VALUE"""),"2023/01/06 (金)
平日夜間")</f>
        <v>2023/01/06 (金)
平日夜間</v>
      </c>
      <c r="D356" s="15" t="str">
        <f ca="1">IFERROR(__xludf.DUMMYFUNCTION("""COMPUTED_VALUE"""),"平日夜間")</f>
        <v>平日夜間</v>
      </c>
      <c r="E356" s="16">
        <f ca="1">IFERROR(__xludf.DUMMYFUNCTION("""COMPUTED_VALUE"""),0.903079332284786)</f>
        <v>0.90307933228478598</v>
      </c>
      <c r="F356" s="15" t="s">
        <v>127</v>
      </c>
      <c r="G356" s="39">
        <v>0</v>
      </c>
      <c r="H356" s="27" t="s">
        <v>1</v>
      </c>
      <c r="I356" s="27"/>
      <c r="J356" s="27" t="s">
        <v>210</v>
      </c>
      <c r="K356" s="23" t="b">
        <f ca="1">IFERROR(__xludf.DUMMYFUNCTION("""COMPUTED_VALUE"""),FALSE)</f>
        <v>0</v>
      </c>
      <c r="L356" s="22">
        <f ca="1">IFERROR(__xludf.DUMMYFUNCTION("""COMPUTED_VALUE"""),0.44570087714109)</f>
        <v>0.44570087714109002</v>
      </c>
      <c r="M356" s="23">
        <f ca="1">IFERROR(__xludf.DUMMYFUNCTION("""COMPUTED_VALUE"""),0.857202582454937)</f>
        <v>0.85720258245493697</v>
      </c>
      <c r="N356" s="23">
        <f ca="1">IFERROR(__xludf.DUMMYFUNCTION("""COMPUTED_VALUE"""),-0.0568768686287575)</f>
        <v>-5.6876868628757501E-2</v>
      </c>
      <c r="O356" s="23">
        <f ca="1">IFERROR(__xludf.DUMMYFUNCTION("""COMPUTED_VALUE"""),-0.687050752430748)</f>
        <v>-0.68705075243074798</v>
      </c>
      <c r="P356" s="23"/>
      <c r="Q356" s="24">
        <f ca="1">IFERROR(__xludf.DUMMYFUNCTION("""COMPUTED_VALUE"""),0.425216439890945)</f>
        <v>0.42521643989094499</v>
      </c>
      <c r="R356" s="23"/>
      <c r="S356" s="23"/>
      <c r="T356" s="23"/>
      <c r="U356" s="23">
        <f ca="1">IFERROR(__xludf.DUMMYFUNCTION("""COMPUTED_VALUE"""),-0.827221365593976)</f>
        <v>-0.82722136559397597</v>
      </c>
      <c r="V356" s="23">
        <f ca="1">IFERROR(__xludf.DUMMYFUNCTION("""COMPUTED_VALUE"""),0.844445519145279)</f>
        <v>0.84444551914527899</v>
      </c>
      <c r="W356" s="23">
        <f ca="1">IFERROR(__xludf.DUMMYFUNCTION("""COMPUTED_VALUE"""),0.47555899297857)</f>
        <v>0.47555899297857002</v>
      </c>
      <c r="X356" s="23"/>
      <c r="Y356" s="23">
        <f ca="1">IFERROR(__xludf.DUMMYFUNCTION("""COMPUTED_VALUE"""),0.861010800906292)</f>
        <v>0.86101080090629201</v>
      </c>
      <c r="Z356" s="23">
        <f ca="1">IFERROR(__xludf.DUMMYFUNCTION("""COMPUTED_VALUE"""),0.0784217866323273)</f>
        <v>7.8421786632327295E-2</v>
      </c>
      <c r="AA356" s="23">
        <f ca="1">IFERROR(__xludf.DUMMYFUNCTION("""COMPUTED_VALUE"""),-0.415437618808312)</f>
        <v>-0.41543761880831198</v>
      </c>
      <c r="AB356" s="23">
        <f ca="1">IFERROR(__xludf.DUMMYFUNCTION("""COMPUTED_VALUE"""),0.0147634137839316)</f>
        <v>1.47634137839316E-2</v>
      </c>
      <c r="AC356" s="22">
        <f ca="1">IFERROR(__xludf.DUMMYFUNCTION("""COMPUTED_VALUE"""),0.746364964112706)</f>
        <v>0.74636496411270603</v>
      </c>
      <c r="AD356" s="23"/>
      <c r="AE356" s="23"/>
      <c r="AF356" s="22"/>
      <c r="AG356" s="22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</row>
    <row r="357" spans="1:45" ht="27.75" customHeight="1" x14ac:dyDescent="0.35">
      <c r="A357" s="15" t="s">
        <v>207</v>
      </c>
      <c r="B357" s="15" t="s">
        <v>208</v>
      </c>
      <c r="C357" s="15" t="str">
        <f ca="1">IFERROR(__xludf.DUMMYFUNCTION("""COMPUTED_VALUE"""),"2023/01/07 (土)
休日午前")</f>
        <v>2023/01/07 (土)
休日午前</v>
      </c>
      <c r="D357" s="15" t="str">
        <f ca="1">IFERROR(__xludf.DUMMYFUNCTION("""COMPUTED_VALUE"""),"休日午前")</f>
        <v>休日午前</v>
      </c>
      <c r="E357" s="16">
        <f ca="1">IFERROR(__xludf.DUMMYFUNCTION("""COMPUTED_VALUE"""),0.916365072163688)</f>
        <v>0.91636507216368801</v>
      </c>
      <c r="F357" s="15" t="s">
        <v>13</v>
      </c>
      <c r="G357" s="39">
        <v>0</v>
      </c>
      <c r="H357" s="27" t="s">
        <v>4</v>
      </c>
      <c r="I357" s="27"/>
      <c r="J357" s="27" t="s">
        <v>211</v>
      </c>
      <c r="K357" s="23" t="b">
        <f ca="1">IFERROR(__xludf.DUMMYFUNCTION("""COMPUTED_VALUE"""),FALSE)</f>
        <v>0</v>
      </c>
      <c r="L357" s="22">
        <f ca="1">IFERROR(__xludf.DUMMYFUNCTION("""COMPUTED_VALUE"""),-0.601686830552235)</f>
        <v>-0.60168683055223504</v>
      </c>
      <c r="M357" s="23">
        <f ca="1">IFERROR(__xludf.DUMMYFUNCTION("""COMPUTED_VALUE"""),0.59609871920728)</f>
        <v>0.59609871920727997</v>
      </c>
      <c r="N357" s="23">
        <f ca="1">IFERROR(__xludf.DUMMYFUNCTION("""COMPUTED_VALUE"""),-0.312443528359931)</f>
        <v>-0.312443528359931</v>
      </c>
      <c r="O357" s="23">
        <f ca="1">IFERROR(__xludf.DUMMYFUNCTION("""COMPUTED_VALUE"""),0.65977685467126)</f>
        <v>0.65977685467126002</v>
      </c>
      <c r="P357" s="23"/>
      <c r="Q357" s="24">
        <f ca="1">IFERROR(__xludf.DUMMYFUNCTION("""COMPUTED_VALUE"""),0.534209243961221)</f>
        <v>0.53420924396122105</v>
      </c>
      <c r="R357" s="23"/>
      <c r="S357" s="23"/>
      <c r="T357" s="23"/>
      <c r="U357" s="23">
        <f ca="1">IFERROR(__xludf.DUMMYFUNCTION("""COMPUTED_VALUE"""),-0.225926685693997)</f>
        <v>-0.22592668569399699</v>
      </c>
      <c r="V357" s="23">
        <f ca="1">IFERROR(__xludf.DUMMYFUNCTION("""COMPUTED_VALUE"""),0.256908067004312)</f>
        <v>0.25690806700431201</v>
      </c>
      <c r="W357" s="23">
        <f ca="1">IFERROR(__xludf.DUMMYFUNCTION("""COMPUTED_VALUE"""),0.916365072163688)</f>
        <v>0.91636507216368801</v>
      </c>
      <c r="X357" s="23"/>
      <c r="Y357" s="23">
        <f ca="1">IFERROR(__xludf.DUMMYFUNCTION("""COMPUTED_VALUE"""),-0.319881128096738)</f>
        <v>-0.31988112809673802</v>
      </c>
      <c r="Z357" s="23">
        <f ca="1">IFERROR(__xludf.DUMMYFUNCTION("""COMPUTED_VALUE"""),0.681233535020176)</f>
        <v>0.68123353502017603</v>
      </c>
      <c r="AA357" s="23">
        <f ca="1">IFERROR(__xludf.DUMMYFUNCTION("""COMPUTED_VALUE"""),0.0134038713452051)</f>
        <v>1.34038713452051E-2</v>
      </c>
      <c r="AB357" s="23">
        <f ca="1">IFERROR(__xludf.DUMMYFUNCTION("""COMPUTED_VALUE"""),-0.849448258809003)</f>
        <v>-0.84944825880900299</v>
      </c>
      <c r="AC357" s="22">
        <f ca="1">IFERROR(__xludf.DUMMYFUNCTION("""COMPUTED_VALUE"""),-0.346807528493556)</f>
        <v>-0.34680752849355601</v>
      </c>
      <c r="AD357" s="23"/>
      <c r="AE357" s="23"/>
      <c r="AF357" s="22"/>
      <c r="AG357" s="22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</row>
    <row r="358" spans="1:45" ht="27.75" customHeight="1" x14ac:dyDescent="0.35">
      <c r="A358" s="15" t="s">
        <v>207</v>
      </c>
      <c r="B358" s="15" t="s">
        <v>208</v>
      </c>
      <c r="C358" s="15" t="str">
        <f ca="1">IFERROR(__xludf.DUMMYFUNCTION("""COMPUTED_VALUE"""),"2023/01/07 (土)
休日午後")</f>
        <v>2023/01/07 (土)
休日午後</v>
      </c>
      <c r="D358" s="15" t="str">
        <f ca="1">IFERROR(__xludf.DUMMYFUNCTION("""COMPUTED_VALUE"""),"休日午後")</f>
        <v>休日午後</v>
      </c>
      <c r="E358" s="16">
        <f ca="1">IFERROR(__xludf.DUMMYFUNCTION("""COMPUTED_VALUE"""),0.79706840589048)</f>
        <v>0.79706840589048</v>
      </c>
      <c r="F358" s="15" t="s">
        <v>127</v>
      </c>
      <c r="G358" s="39"/>
      <c r="H358" s="27" t="s">
        <v>5</v>
      </c>
      <c r="I358" s="27"/>
      <c r="J358" s="27" t="s">
        <v>211</v>
      </c>
      <c r="K358" s="23" t="b">
        <f ca="1">IFERROR(__xludf.DUMMYFUNCTION("""COMPUTED_VALUE"""),TRUE)</f>
        <v>1</v>
      </c>
      <c r="L358" s="22">
        <f ca="1">IFERROR(__xludf.DUMMYFUNCTION("""COMPUTED_VALUE"""),-0.784450277335236)</f>
        <v>-0.78445027733523598</v>
      </c>
      <c r="M358" s="23">
        <f ca="1">IFERROR(__xludf.DUMMYFUNCTION("""COMPUTED_VALUE"""),-0.841450760376097)</f>
        <v>-0.84145076037609701</v>
      </c>
      <c r="N358" s="23">
        <f ca="1">IFERROR(__xludf.DUMMYFUNCTION("""COMPUTED_VALUE"""),-0.698338860509937)</f>
        <v>-0.69833886050993699</v>
      </c>
      <c r="O358" s="23">
        <f ca="1">IFERROR(__xludf.DUMMYFUNCTION("""COMPUTED_VALUE"""),-0.528381645559729)</f>
        <v>-0.528381645559729</v>
      </c>
      <c r="P358" s="23"/>
      <c r="Q358" s="24">
        <f ca="1">IFERROR(__xludf.DUMMYFUNCTION("""COMPUTED_VALUE"""),0.426037256161456)</f>
        <v>0.42603725616145599</v>
      </c>
      <c r="R358" s="23"/>
      <c r="S358" s="23"/>
      <c r="T358" s="23"/>
      <c r="U358" s="23">
        <f ca="1">IFERROR(__xludf.DUMMYFUNCTION("""COMPUTED_VALUE"""),-0.526117375464811)</f>
        <v>-0.52611737546481097</v>
      </c>
      <c r="V358" s="23">
        <f ca="1">IFERROR(__xludf.DUMMYFUNCTION("""COMPUTED_VALUE"""),0.0940839657496404)</f>
        <v>9.4083965749640397E-2</v>
      </c>
      <c r="W358" s="23">
        <f ca="1">IFERROR(__xludf.DUMMYFUNCTION("""COMPUTED_VALUE"""),-0.423847436748185)</f>
        <v>-0.42384743674818498</v>
      </c>
      <c r="X358" s="23"/>
      <c r="Y358" s="23">
        <f ca="1">IFERROR(__xludf.DUMMYFUNCTION("""COMPUTED_VALUE"""),-0.283147958127603)</f>
        <v>-0.28314795812760302</v>
      </c>
      <c r="Z358" s="23">
        <f ca="1">IFERROR(__xludf.DUMMYFUNCTION("""COMPUTED_VALUE"""),0.540397785665832)</f>
        <v>0.54039778566583196</v>
      </c>
      <c r="AA358" s="23">
        <f ca="1">IFERROR(__xludf.DUMMYFUNCTION("""COMPUTED_VALUE"""),0.0174231020465831)</f>
        <v>1.7423102046583101E-2</v>
      </c>
      <c r="AB358" s="23">
        <f ca="1">IFERROR(__xludf.DUMMYFUNCTION("""COMPUTED_VALUE"""),-0.754948722215463)</f>
        <v>-0.75494872221546305</v>
      </c>
      <c r="AC358" s="22">
        <f ca="1">IFERROR(__xludf.DUMMYFUNCTION("""COMPUTED_VALUE"""),-0.628648724773102)</f>
        <v>-0.62864872477310196</v>
      </c>
      <c r="AD358" s="23"/>
      <c r="AE358" s="23"/>
      <c r="AF358" s="22"/>
      <c r="AG358" s="22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</row>
    <row r="359" spans="1:45" ht="27.75" customHeight="1" x14ac:dyDescent="0.4">
      <c r="A359" s="15" t="s">
        <v>207</v>
      </c>
      <c r="B359" s="15" t="s">
        <v>208</v>
      </c>
      <c r="C359" s="15" t="str">
        <f ca="1">IFERROR(__xludf.DUMMYFUNCTION("""COMPUTED_VALUE"""),"2023/01/08 (日)
休日午前")</f>
        <v>2023/01/08 (日)
休日午前</v>
      </c>
      <c r="D359" s="15" t="str">
        <f ca="1">IFERROR(__xludf.DUMMYFUNCTION("""COMPUTED_VALUE"""),"休日午前")</f>
        <v>休日午前</v>
      </c>
      <c r="E359" s="16">
        <f ca="1">IFERROR(__xludf.DUMMYFUNCTION("""COMPUTED_VALUE"""),1.99125681535545)</f>
        <v>1.99125681535545</v>
      </c>
      <c r="F359" s="15" t="s">
        <v>10</v>
      </c>
      <c r="G359" s="39">
        <v>1</v>
      </c>
      <c r="H359" s="29" t="s">
        <v>10</v>
      </c>
      <c r="I359" s="27"/>
      <c r="J359" s="27" t="s">
        <v>123</v>
      </c>
      <c r="K359" s="23" t="b">
        <f ca="1">IFERROR(__xludf.DUMMYFUNCTION("""COMPUTED_VALUE"""),TRUE)</f>
        <v>1</v>
      </c>
      <c r="L359" s="22">
        <f ca="1">IFERROR(__xludf.DUMMYFUNCTION("""COMPUTED_VALUE"""),-0.529552201407658)</f>
        <v>-0.52955220140765802</v>
      </c>
      <c r="M359" s="23">
        <f ca="1">IFERROR(__xludf.DUMMYFUNCTION("""COMPUTED_VALUE"""),0.929140134633105)</f>
        <v>0.92914013463310496</v>
      </c>
      <c r="N359" s="23">
        <f ca="1">IFERROR(__xludf.DUMMYFUNCTION("""COMPUTED_VALUE"""),0.0624792514222753)</f>
        <v>6.2479251422275298E-2</v>
      </c>
      <c r="O359" s="23">
        <f ca="1">IFERROR(__xludf.DUMMYFUNCTION("""COMPUTED_VALUE"""),-0.325227321646998)</f>
        <v>-0.32522732164699802</v>
      </c>
      <c r="P359" s="23"/>
      <c r="Q359" s="24">
        <f ca="1">IFERROR(__xludf.DUMMYFUNCTION("""COMPUTED_VALUE"""),0.270355299536015)</f>
        <v>0.270355299536015</v>
      </c>
      <c r="R359" s="23"/>
      <c r="S359" s="23"/>
      <c r="T359" s="23"/>
      <c r="U359" s="23">
        <f ca="1">IFERROR(__xludf.DUMMYFUNCTION("""COMPUTED_VALUE"""),-0.842007447478688)</f>
        <v>-0.84200744747868805</v>
      </c>
      <c r="V359" s="23">
        <f ca="1">IFERROR(__xludf.DUMMYFUNCTION("""COMPUTED_VALUE"""),0.233556912329895)</f>
        <v>0.23355691232989501</v>
      </c>
      <c r="W359" s="23">
        <f ca="1">IFERROR(__xludf.DUMMYFUNCTION("""COMPUTED_VALUE"""),0.792633020787615)</f>
        <v>0.79263302078761499</v>
      </c>
      <c r="X359" s="23"/>
      <c r="Y359" s="23">
        <f ca="1">IFERROR(__xludf.DUMMYFUNCTION("""COMPUTED_VALUE"""),-0.90204799149667)</f>
        <v>-0.90204799149667003</v>
      </c>
      <c r="Z359" s="23">
        <f ca="1">IFERROR(__xludf.DUMMYFUNCTION("""COMPUTED_VALUE"""),1.99125681535545)</f>
        <v>1.99125681535545</v>
      </c>
      <c r="AA359" s="23">
        <f ca="1">IFERROR(__xludf.DUMMYFUNCTION("""COMPUTED_VALUE"""),0.18697657099626)</f>
        <v>0.18697657099626</v>
      </c>
      <c r="AB359" s="23">
        <f ca="1">IFERROR(__xludf.DUMMYFUNCTION("""COMPUTED_VALUE"""),-0.51042027520414)</f>
        <v>-0.51042027520414002</v>
      </c>
      <c r="AC359" s="22">
        <f ca="1">IFERROR(__xludf.DUMMYFUNCTION("""COMPUTED_VALUE"""),-0.651980801862387)</f>
        <v>-0.65198080186238705</v>
      </c>
      <c r="AD359" s="23"/>
      <c r="AE359" s="23"/>
      <c r="AF359" s="22"/>
      <c r="AG359" s="22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</row>
    <row r="360" spans="1:45" ht="27.75" customHeight="1" x14ac:dyDescent="0.35">
      <c r="A360" s="15" t="s">
        <v>207</v>
      </c>
      <c r="B360" s="15" t="s">
        <v>208</v>
      </c>
      <c r="C360" s="15" t="str">
        <f ca="1">IFERROR(__xludf.DUMMYFUNCTION("""COMPUTED_VALUE"""),"2023/01/08 (日)
休日午後")</f>
        <v>2023/01/08 (日)
休日午後</v>
      </c>
      <c r="D360" s="15" t="str">
        <f ca="1">IFERROR(__xludf.DUMMYFUNCTION("""COMPUTED_VALUE"""),"休日午後")</f>
        <v>休日午後</v>
      </c>
      <c r="E360" s="16">
        <f ca="1">IFERROR(__xludf.DUMMYFUNCTION("""COMPUTED_VALUE"""),0.883723949135697)</f>
        <v>0.88372394913569696</v>
      </c>
      <c r="F360" s="15" t="s">
        <v>16</v>
      </c>
      <c r="G360" s="39">
        <v>0</v>
      </c>
      <c r="H360" s="27" t="s">
        <v>9</v>
      </c>
      <c r="I360" s="27"/>
      <c r="J360" s="27" t="s">
        <v>123</v>
      </c>
      <c r="K360" s="23" t="b">
        <f ca="1">IFERROR(__xludf.DUMMYFUNCTION("""COMPUTED_VALUE"""),FALSE)</f>
        <v>0</v>
      </c>
      <c r="L360" s="22">
        <f ca="1">IFERROR(__xludf.DUMMYFUNCTION("""COMPUTED_VALUE"""),-0.941285103430636)</f>
        <v>-0.94128510343063598</v>
      </c>
      <c r="M360" s="23">
        <f ca="1">IFERROR(__xludf.DUMMYFUNCTION("""COMPUTED_VALUE"""),-0.879471915046442)</f>
        <v>-0.87947191504644195</v>
      </c>
      <c r="N360" s="23">
        <f ca="1">IFERROR(__xludf.DUMMYFUNCTION("""COMPUTED_VALUE"""),0.364542141363092)</f>
        <v>0.36454214136309199</v>
      </c>
      <c r="O360" s="23">
        <f ca="1">IFERROR(__xludf.DUMMYFUNCTION("""COMPUTED_VALUE"""),-0.277340122952786)</f>
        <v>-0.27734012295278598</v>
      </c>
      <c r="P360" s="23"/>
      <c r="Q360" s="24">
        <f ca="1">IFERROR(__xludf.DUMMYFUNCTION("""COMPUTED_VALUE"""),0.883723949135697)</f>
        <v>0.88372394913569696</v>
      </c>
      <c r="R360" s="23"/>
      <c r="S360" s="23"/>
      <c r="T360" s="23"/>
      <c r="U360" s="23">
        <f ca="1">IFERROR(__xludf.DUMMYFUNCTION("""COMPUTED_VALUE"""),-0.274688254786701)</f>
        <v>-0.274688254786701</v>
      </c>
      <c r="V360" s="23">
        <f ca="1">IFERROR(__xludf.DUMMYFUNCTION("""COMPUTED_VALUE"""),0.791195143633245)</f>
        <v>0.79119514363324495</v>
      </c>
      <c r="W360" s="23">
        <f ca="1">IFERROR(__xludf.DUMMYFUNCTION("""COMPUTED_VALUE"""),-0.619495007675752)</f>
        <v>-0.61949500767575205</v>
      </c>
      <c r="X360" s="23"/>
      <c r="Y360" s="23">
        <f ca="1">IFERROR(__xludf.DUMMYFUNCTION("""COMPUTED_VALUE"""),-0.379572488242057)</f>
        <v>-0.37957248824205703</v>
      </c>
      <c r="Z360" s="23">
        <f ca="1">IFERROR(__xludf.DUMMYFUNCTION("""COMPUTED_VALUE"""),-0.740945075744404)</f>
        <v>-0.74094507574440405</v>
      </c>
      <c r="AA360" s="23">
        <f ca="1">IFERROR(__xludf.DUMMYFUNCTION("""COMPUTED_VALUE"""),0.789741025080782)</f>
        <v>0.78974102508078203</v>
      </c>
      <c r="AB360" s="23">
        <f ca="1">IFERROR(__xludf.DUMMYFUNCTION("""COMPUTED_VALUE"""),-0.349708569425439)</f>
        <v>-0.34970856942543899</v>
      </c>
      <c r="AC360" s="22">
        <f ca="1">IFERROR(__xludf.DUMMYFUNCTION("""COMPUTED_VALUE"""),-0.621126484600722)</f>
        <v>-0.62112648460072195</v>
      </c>
      <c r="AD360" s="23"/>
      <c r="AE360" s="23"/>
      <c r="AF360" s="22"/>
      <c r="AG360" s="22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</row>
    <row r="361" spans="1:45" ht="27.75" customHeight="1" x14ac:dyDescent="0.35">
      <c r="A361" s="15" t="s">
        <v>207</v>
      </c>
      <c r="B361" s="15" t="s">
        <v>208</v>
      </c>
      <c r="C361" s="15" t="str">
        <f ca="1">IFERROR(__xludf.DUMMYFUNCTION("""COMPUTED_VALUE"""),"2023/01/09 (月)
休日午前")</f>
        <v>2023/01/09 (月)
休日午前</v>
      </c>
      <c r="D361" s="15" t="str">
        <f ca="1">IFERROR(__xludf.DUMMYFUNCTION("""COMPUTED_VALUE"""),"休日午前")</f>
        <v>休日午前</v>
      </c>
      <c r="E361" s="16">
        <f ca="1">IFERROR(__xludf.DUMMYFUNCTION("""COMPUTED_VALUE"""),0.978883563248781)</f>
        <v>0.97888356324878101</v>
      </c>
      <c r="F361" s="15" t="s">
        <v>14</v>
      </c>
      <c r="G361" s="39">
        <v>0</v>
      </c>
      <c r="H361" s="27" t="s">
        <v>2</v>
      </c>
      <c r="I361" s="27"/>
      <c r="J361" s="27" t="s">
        <v>212</v>
      </c>
      <c r="K361" s="23" t="b">
        <f ca="1">IFERROR(__xludf.DUMMYFUNCTION("""COMPUTED_VALUE"""),FALSE)</f>
        <v>0</v>
      </c>
      <c r="L361" s="22">
        <f ca="1">IFERROR(__xludf.DUMMYFUNCTION("""COMPUTED_VALUE"""),-0.346846721896307)</f>
        <v>-0.346846721896307</v>
      </c>
      <c r="M361" s="23">
        <f ca="1">IFERROR(__xludf.DUMMYFUNCTION("""COMPUTED_VALUE"""),-0.440377177543692)</f>
        <v>-0.44037717754369199</v>
      </c>
      <c r="N361" s="23">
        <f ca="1">IFERROR(__xludf.DUMMYFUNCTION("""COMPUTED_VALUE"""),0.123326575962863)</f>
        <v>0.12332657596286301</v>
      </c>
      <c r="O361" s="23">
        <f ca="1">IFERROR(__xludf.DUMMYFUNCTION("""COMPUTED_VALUE"""),-0.144794486776964)</f>
        <v>-0.14479448677696399</v>
      </c>
      <c r="P361" s="23"/>
      <c r="Q361" s="24">
        <f ca="1">IFERROR(__xludf.DUMMYFUNCTION("""COMPUTED_VALUE"""),0.596457868691907)</f>
        <v>0.59645786869190698</v>
      </c>
      <c r="R361" s="23"/>
      <c r="S361" s="23"/>
      <c r="T361" s="23"/>
      <c r="U361" s="23">
        <f ca="1">IFERROR(__xludf.DUMMYFUNCTION("""COMPUTED_VALUE"""),-0.0443510536695943)</f>
        <v>-4.4351053669594298E-2</v>
      </c>
      <c r="V361" s="23">
        <f ca="1">IFERROR(__xludf.DUMMYFUNCTION("""COMPUTED_VALUE"""),0.915722144384046)</f>
        <v>0.91572214438404598</v>
      </c>
      <c r="W361" s="23">
        <f ca="1">IFERROR(__xludf.DUMMYFUNCTION("""COMPUTED_VALUE"""),0.0197558023789636)</f>
        <v>1.9755802378963599E-2</v>
      </c>
      <c r="X361" s="23"/>
      <c r="Y361" s="23">
        <f ca="1">IFERROR(__xludf.DUMMYFUNCTION("""COMPUTED_VALUE"""),0.978883563248781)</f>
        <v>0.97888356324878101</v>
      </c>
      <c r="Z361" s="23">
        <f ca="1">IFERROR(__xludf.DUMMYFUNCTION("""COMPUTED_VALUE"""),0.512505082707736)</f>
        <v>0.51250508270773598</v>
      </c>
      <c r="AA361" s="23">
        <f ca="1">IFERROR(__xludf.DUMMYFUNCTION("""COMPUTED_VALUE"""),-0.790197275455121)</f>
        <v>-0.79019727545512097</v>
      </c>
      <c r="AB361" s="23">
        <f ca="1">IFERROR(__xludf.DUMMYFUNCTION("""COMPUTED_VALUE"""),0.153592584883634)</f>
        <v>0.153592584883634</v>
      </c>
      <c r="AC361" s="22">
        <f ca="1">IFERROR(__xludf.DUMMYFUNCTION("""COMPUTED_VALUE"""),0.0324033729877513)</f>
        <v>3.2403372987751297E-2</v>
      </c>
      <c r="AD361" s="23"/>
      <c r="AE361" s="23"/>
      <c r="AF361" s="22"/>
      <c r="AG361" s="22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</row>
    <row r="362" spans="1:45" ht="27.75" customHeight="1" x14ac:dyDescent="0.35">
      <c r="A362" s="15" t="s">
        <v>207</v>
      </c>
      <c r="B362" s="15" t="s">
        <v>208</v>
      </c>
      <c r="C362" s="15" t="str">
        <f ca="1">IFERROR(__xludf.DUMMYFUNCTION("""COMPUTED_VALUE"""),"2023/01/09 (月)
休日午後")</f>
        <v>2023/01/09 (月)
休日午後</v>
      </c>
      <c r="D362" s="15" t="str">
        <f ca="1">IFERROR(__xludf.DUMMYFUNCTION("""COMPUTED_VALUE"""),"休日午後")</f>
        <v>休日午後</v>
      </c>
      <c r="E362" s="16">
        <f ca="1">IFERROR(__xludf.DUMMYFUNCTION("""COMPUTED_VALUE"""),0.87880106373959)</f>
        <v>0.87880106373958999</v>
      </c>
      <c r="F362" s="15" t="s">
        <v>2</v>
      </c>
      <c r="G362" s="39">
        <v>0</v>
      </c>
      <c r="H362" s="27" t="s">
        <v>200</v>
      </c>
      <c r="I362" s="27"/>
      <c r="J362" s="27" t="s">
        <v>213</v>
      </c>
      <c r="K362" s="23" t="b">
        <f ca="1">IFERROR(__xludf.DUMMYFUNCTION("""COMPUTED_VALUE"""),FALSE)</f>
        <v>0</v>
      </c>
      <c r="L362" s="22">
        <f ca="1">IFERROR(__xludf.DUMMYFUNCTION("""COMPUTED_VALUE"""),-0.892198955795831)</f>
        <v>-0.89219895579583097</v>
      </c>
      <c r="M362" s="23">
        <f ca="1">IFERROR(__xludf.DUMMYFUNCTION("""COMPUTED_VALUE"""),-0.226004202040236)</f>
        <v>-0.226004202040236</v>
      </c>
      <c r="N362" s="23">
        <f ca="1">IFERROR(__xludf.DUMMYFUNCTION("""COMPUTED_VALUE"""),0.87880106373959)</f>
        <v>0.87880106373958999</v>
      </c>
      <c r="O362" s="23">
        <f ca="1">IFERROR(__xludf.DUMMYFUNCTION("""COMPUTED_VALUE"""),-0.67588994601406)</f>
        <v>-0.67588994601406005</v>
      </c>
      <c r="P362" s="23"/>
      <c r="Q362" s="24">
        <f ca="1">IFERROR(__xludf.DUMMYFUNCTION("""COMPUTED_VALUE"""),0.199467335643434)</f>
        <v>0.199467335643434</v>
      </c>
      <c r="R362" s="23"/>
      <c r="S362" s="23"/>
      <c r="T362" s="23"/>
      <c r="U362" s="23">
        <f ca="1">IFERROR(__xludf.DUMMYFUNCTION("""COMPUTED_VALUE"""),-0.345743427769644)</f>
        <v>-0.34574342776964401</v>
      </c>
      <c r="V362" s="23">
        <f ca="1">IFERROR(__xludf.DUMMYFUNCTION("""COMPUTED_VALUE"""),0.165392523020711)</f>
        <v>0.165392523020711</v>
      </c>
      <c r="W362" s="23">
        <f ca="1">IFERROR(__xludf.DUMMYFUNCTION("""COMPUTED_VALUE"""),0.439561853595273)</f>
        <v>0.439561853595273</v>
      </c>
      <c r="X362" s="23"/>
      <c r="Y362" s="23">
        <f ca="1">IFERROR(__xludf.DUMMYFUNCTION("""COMPUTED_VALUE"""),0.260620969792333)</f>
        <v>0.26062096979233301</v>
      </c>
      <c r="Z362" s="23">
        <f ca="1">IFERROR(__xludf.DUMMYFUNCTION("""COMPUTED_VALUE"""),-0.541824614555481)</f>
        <v>-0.54182461455548103</v>
      </c>
      <c r="AA362" s="23">
        <f ca="1">IFERROR(__xludf.DUMMYFUNCTION("""COMPUTED_VALUE"""),-0.267404286156667)</f>
        <v>-0.267404286156667</v>
      </c>
      <c r="AB362" s="23">
        <f ca="1">IFERROR(__xludf.DUMMYFUNCTION("""COMPUTED_VALUE"""),0.669399996501205)</f>
        <v>0.66939999650120496</v>
      </c>
      <c r="AC362" s="22">
        <f ca="1">IFERROR(__xludf.DUMMYFUNCTION("""COMPUTED_VALUE"""),0.0493907202374417)</f>
        <v>4.9390720237441697E-2</v>
      </c>
      <c r="AD362" s="23"/>
      <c r="AE362" s="23"/>
      <c r="AF362" s="22"/>
      <c r="AG362" s="22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</row>
    <row r="363" spans="1:45" ht="27.75" customHeight="1" x14ac:dyDescent="0.35">
      <c r="A363" s="15" t="s">
        <v>207</v>
      </c>
      <c r="B363" s="15" t="s">
        <v>208</v>
      </c>
      <c r="C363" s="15" t="str">
        <f ca="1">IFERROR(__xludf.DUMMYFUNCTION("""COMPUTED_VALUE"""),"2023/01/10 (火)
平日夜間")</f>
        <v>2023/01/10 (火)
平日夜間</v>
      </c>
      <c r="D363" s="15" t="str">
        <f ca="1">IFERROR(__xludf.DUMMYFUNCTION("""COMPUTED_VALUE"""),"平日夜間")</f>
        <v>平日夜間</v>
      </c>
      <c r="E363" s="16">
        <f ca="1">IFERROR(__xludf.DUMMYFUNCTION("""COMPUTED_VALUE"""),0.950432205318124)</f>
        <v>0.950432205318124</v>
      </c>
      <c r="F363" s="15" t="s">
        <v>9</v>
      </c>
      <c r="G363" s="39">
        <v>0</v>
      </c>
      <c r="H363" s="27" t="s">
        <v>9</v>
      </c>
      <c r="I363" s="27"/>
      <c r="J363" s="27" t="s">
        <v>56</v>
      </c>
      <c r="K363" s="23" t="b">
        <f ca="1">IFERROR(__xludf.DUMMYFUNCTION("""COMPUTED_VALUE"""),FALSE)</f>
        <v>0</v>
      </c>
      <c r="L363" s="22">
        <f ca="1">IFERROR(__xludf.DUMMYFUNCTION("""COMPUTED_VALUE"""),0.758770405582797)</f>
        <v>0.75877040558279696</v>
      </c>
      <c r="M363" s="23">
        <f ca="1">IFERROR(__xludf.DUMMYFUNCTION("""COMPUTED_VALUE"""),0.273222094674798)</f>
        <v>0.27322209467479802</v>
      </c>
      <c r="N363" s="23">
        <f ca="1">IFERROR(__xludf.DUMMYFUNCTION("""COMPUTED_VALUE"""),0.329158266614335)</f>
        <v>0.329158266614335</v>
      </c>
      <c r="O363" s="23">
        <f ca="1">IFERROR(__xludf.DUMMYFUNCTION("""COMPUTED_VALUE"""),-0.196105805294611)</f>
        <v>-0.196105805294611</v>
      </c>
      <c r="P363" s="23"/>
      <c r="Q363" s="24">
        <f ca="1">IFERROR(__xludf.DUMMYFUNCTION("""COMPUTED_VALUE"""),0.10544642125001)</f>
        <v>0.10544642125001</v>
      </c>
      <c r="R363" s="23"/>
      <c r="S363" s="23"/>
      <c r="T363" s="23"/>
      <c r="U363" s="23">
        <f ca="1">IFERROR(__xludf.DUMMYFUNCTION("""COMPUTED_VALUE"""),-0.265998732182914)</f>
        <v>-0.26599873218291398</v>
      </c>
      <c r="V363" s="23">
        <f ca="1">IFERROR(__xludf.DUMMYFUNCTION("""COMPUTED_VALUE"""),0.950432205318124)</f>
        <v>0.950432205318124</v>
      </c>
      <c r="W363" s="23">
        <f ca="1">IFERROR(__xludf.DUMMYFUNCTION("""COMPUTED_VALUE"""),0.464517237333379)</f>
        <v>0.46451723733337902</v>
      </c>
      <c r="X363" s="23"/>
      <c r="Y363" s="23">
        <f ca="1">IFERROR(__xludf.DUMMYFUNCTION("""COMPUTED_VALUE"""),0.20629495984748)</f>
        <v>0.20629495984748</v>
      </c>
      <c r="Z363" s="23">
        <f ca="1">IFERROR(__xludf.DUMMYFUNCTION("""COMPUTED_VALUE"""),-0.461374342626479)</f>
        <v>-0.46137434262647897</v>
      </c>
      <c r="AA363" s="23">
        <f ca="1">IFERROR(__xludf.DUMMYFUNCTION("""COMPUTED_VALUE"""),-0.988892370410319)</f>
        <v>-0.98889237041031897</v>
      </c>
      <c r="AB363" s="23">
        <f ca="1">IFERROR(__xludf.DUMMYFUNCTION("""COMPUTED_VALUE"""),0.289832922743017)</f>
        <v>0.28983292274301697</v>
      </c>
      <c r="AC363" s="22">
        <f ca="1">IFERROR(__xludf.DUMMYFUNCTION("""COMPUTED_VALUE"""),0.898278818048901)</f>
        <v>0.89827881804890097</v>
      </c>
      <c r="AD363" s="23"/>
      <c r="AE363" s="23"/>
      <c r="AF363" s="22"/>
      <c r="AG363" s="22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</row>
    <row r="364" spans="1:45" ht="27.75" customHeight="1" x14ac:dyDescent="0.4">
      <c r="A364" s="15" t="s">
        <v>207</v>
      </c>
      <c r="B364" s="15" t="s">
        <v>208</v>
      </c>
      <c r="C364" s="15" t="str">
        <f ca="1">IFERROR(__xludf.DUMMYFUNCTION("""COMPUTED_VALUE"""),"2023/01/11 (水)
平日夜間")</f>
        <v>2023/01/11 (水)
平日夜間</v>
      </c>
      <c r="D364" s="15" t="str">
        <f ca="1">IFERROR(__xludf.DUMMYFUNCTION("""COMPUTED_VALUE"""),"平日夜間")</f>
        <v>平日夜間</v>
      </c>
      <c r="E364" s="16">
        <f ca="1">IFERROR(__xludf.DUMMYFUNCTION("""COMPUTED_VALUE"""),2.9016308037345)</f>
        <v>2.9016308037345002</v>
      </c>
      <c r="F364" s="15" t="s">
        <v>7</v>
      </c>
      <c r="G364" s="39">
        <v>2</v>
      </c>
      <c r="H364" s="29" t="s">
        <v>7</v>
      </c>
      <c r="I364" s="27"/>
      <c r="J364" s="27" t="s">
        <v>214</v>
      </c>
      <c r="K364" s="23" t="b">
        <f ca="1">IFERROR(__xludf.DUMMYFUNCTION("""COMPUTED_VALUE"""),TRUE)</f>
        <v>1</v>
      </c>
      <c r="L364" s="22">
        <f ca="1">IFERROR(__xludf.DUMMYFUNCTION("""COMPUTED_VALUE"""),-0.763423336105499)</f>
        <v>-0.76342333610549895</v>
      </c>
      <c r="M364" s="23">
        <f ca="1">IFERROR(__xludf.DUMMYFUNCTION("""COMPUTED_VALUE"""),0.325011827471463)</f>
        <v>0.32501182747146301</v>
      </c>
      <c r="N364" s="23">
        <f ca="1">IFERROR(__xludf.DUMMYFUNCTION("""COMPUTED_VALUE"""),0.392457820829662)</f>
        <v>0.39245782082966202</v>
      </c>
      <c r="O364" s="23">
        <f ca="1">IFERROR(__xludf.DUMMYFUNCTION("""COMPUTED_VALUE"""),0.779349726027902)</f>
        <v>0.77934972602790198</v>
      </c>
      <c r="P364" s="23"/>
      <c r="Q364" s="24">
        <f ca="1">IFERROR(__xludf.DUMMYFUNCTION("""COMPUTED_VALUE"""),0.0660455492444174)</f>
        <v>6.6045549244417398E-2</v>
      </c>
      <c r="R364" s="23"/>
      <c r="S364" s="23"/>
      <c r="T364" s="23"/>
      <c r="U364" s="23">
        <f ca="1">IFERROR(__xludf.DUMMYFUNCTION("""COMPUTED_VALUE"""),0.422263436258848)</f>
        <v>0.42226343625884799</v>
      </c>
      <c r="V364" s="23">
        <f ca="1">IFERROR(__xludf.DUMMYFUNCTION("""COMPUTED_VALUE"""),0.299189875628982)</f>
        <v>0.29918987562898203</v>
      </c>
      <c r="W364" s="23">
        <f ca="1">IFERROR(__xludf.DUMMYFUNCTION("""COMPUTED_VALUE"""),-0.0987663414079609)</f>
        <v>-9.8766341407960895E-2</v>
      </c>
      <c r="X364" s="23"/>
      <c r="Y364" s="23">
        <f ca="1">IFERROR(__xludf.DUMMYFUNCTION("""COMPUTED_VALUE"""),0.367464203572411)</f>
        <v>0.367464203572411</v>
      </c>
      <c r="Z364" s="23">
        <f ca="1">IFERROR(__xludf.DUMMYFUNCTION("""COMPUTED_VALUE"""),0.312486732071153)</f>
        <v>0.31248673207115302</v>
      </c>
      <c r="AA364" s="23">
        <f ca="1">IFERROR(__xludf.DUMMYFUNCTION("""COMPUTED_VALUE"""),2.9016308037345)</f>
        <v>2.9016308037345002</v>
      </c>
      <c r="AB364" s="23">
        <f ca="1">IFERROR(__xludf.DUMMYFUNCTION("""COMPUTED_VALUE"""),0.262040452323761)</f>
        <v>0.262040452323761</v>
      </c>
      <c r="AC364" s="22">
        <f ca="1">IFERROR(__xludf.DUMMYFUNCTION("""COMPUTED_VALUE"""),0.340592592198169)</f>
        <v>0.34059259219816901</v>
      </c>
      <c r="AD364" s="23"/>
      <c r="AE364" s="23"/>
      <c r="AF364" s="22"/>
      <c r="AG364" s="22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</row>
    <row r="365" spans="1:45" ht="27.75" customHeight="1" x14ac:dyDescent="0.4">
      <c r="A365" s="15" t="s">
        <v>207</v>
      </c>
      <c r="B365" s="15" t="s">
        <v>208</v>
      </c>
      <c r="C365" s="15" t="str">
        <f ca="1">IFERROR(__xludf.DUMMYFUNCTION("""COMPUTED_VALUE"""),"2023/01/12 (木)
平日夜間")</f>
        <v>2023/01/12 (木)
平日夜間</v>
      </c>
      <c r="D365" s="15" t="str">
        <f ca="1">IFERROR(__xludf.DUMMYFUNCTION("""COMPUTED_VALUE"""),"平日夜間")</f>
        <v>平日夜間</v>
      </c>
      <c r="E365" s="16">
        <f ca="1">IFERROR(__xludf.DUMMYFUNCTION("""COMPUTED_VALUE"""),1.71432399940593)</f>
        <v>1.7143239994059301</v>
      </c>
      <c r="F365" s="15" t="s">
        <v>6</v>
      </c>
      <c r="G365" s="39">
        <v>1</v>
      </c>
      <c r="H365" s="29" t="s">
        <v>6</v>
      </c>
      <c r="I365" s="27"/>
      <c r="J365" s="27"/>
      <c r="K365" s="23" t="b">
        <f ca="1">IFERROR(__xludf.DUMMYFUNCTION("""COMPUTED_VALUE"""),FALSE)</f>
        <v>0</v>
      </c>
      <c r="L365" s="22">
        <f ca="1">IFERROR(__xludf.DUMMYFUNCTION("""COMPUTED_VALUE"""),-0.140696269769903)</f>
        <v>-0.14069626976990299</v>
      </c>
      <c r="M365" s="23">
        <f ca="1">IFERROR(__xludf.DUMMYFUNCTION("""COMPUTED_VALUE"""),-0.630856480329155)</f>
        <v>-0.63085648032915498</v>
      </c>
      <c r="N365" s="23">
        <f ca="1">IFERROR(__xludf.DUMMYFUNCTION("""COMPUTED_VALUE"""),0.557687848339039)</f>
        <v>0.55768784833903895</v>
      </c>
      <c r="O365" s="23">
        <f ca="1">IFERROR(__xludf.DUMMYFUNCTION("""COMPUTED_VALUE"""),0.171113387451266)</f>
        <v>0.171113387451266</v>
      </c>
      <c r="P365" s="23"/>
      <c r="Q365" s="24">
        <f ca="1">IFERROR(__xludf.DUMMYFUNCTION("""COMPUTED_VALUE"""),0.68249459780264)</f>
        <v>0.68249459780263999</v>
      </c>
      <c r="R365" s="23"/>
      <c r="S365" s="23"/>
      <c r="T365" s="23"/>
      <c r="U365" s="23">
        <f ca="1">IFERROR(__xludf.DUMMYFUNCTION("""COMPUTED_VALUE"""),-0.42376336246775)</f>
        <v>-0.42376336246774998</v>
      </c>
      <c r="V365" s="23">
        <f ca="1">IFERROR(__xludf.DUMMYFUNCTION("""COMPUTED_VALUE"""),0.210449879160305)</f>
        <v>0.210449879160305</v>
      </c>
      <c r="W365" s="23">
        <f ca="1">IFERROR(__xludf.DUMMYFUNCTION("""COMPUTED_VALUE"""),0.213986355160405)</f>
        <v>0.21398635516040501</v>
      </c>
      <c r="X365" s="23"/>
      <c r="Y365" s="23">
        <f ca="1">IFERROR(__xludf.DUMMYFUNCTION("""COMPUTED_VALUE"""),0.568153021711294)</f>
        <v>0.568153021711294</v>
      </c>
      <c r="Z365" s="23">
        <f ca="1">IFERROR(__xludf.DUMMYFUNCTION("""COMPUTED_VALUE"""),0.230689405031465)</f>
        <v>0.23068940503146501</v>
      </c>
      <c r="AA365" s="23">
        <f ca="1">IFERROR(__xludf.DUMMYFUNCTION("""COMPUTED_VALUE"""),-0.491135311192555)</f>
        <v>-0.49113531119255499</v>
      </c>
      <c r="AB365" s="23">
        <f ca="1">IFERROR(__xludf.DUMMYFUNCTION("""COMPUTED_VALUE"""),0.113428602080179)</f>
        <v>0.11342860208017901</v>
      </c>
      <c r="AC365" s="22">
        <f ca="1">IFERROR(__xludf.DUMMYFUNCTION("""COMPUTED_VALUE"""),1.71432399940593)</f>
        <v>1.7143239994059301</v>
      </c>
      <c r="AD365" s="23"/>
      <c r="AE365" s="23"/>
      <c r="AF365" s="22"/>
      <c r="AG365" s="22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</row>
    <row r="366" spans="1:45" ht="27.75" customHeight="1" x14ac:dyDescent="0.4">
      <c r="A366" s="15" t="s">
        <v>207</v>
      </c>
      <c r="B366" s="15" t="s">
        <v>208</v>
      </c>
      <c r="C366" s="15" t="str">
        <f ca="1">IFERROR(__xludf.DUMMYFUNCTION("""COMPUTED_VALUE"""),"2023/01/13 (金)
平日夜間")</f>
        <v>2023/01/13 (金)
平日夜間</v>
      </c>
      <c r="D366" s="15" t="str">
        <f ca="1">IFERROR(__xludf.DUMMYFUNCTION("""COMPUTED_VALUE"""),"平日夜間")</f>
        <v>平日夜間</v>
      </c>
      <c r="E366" s="16">
        <f ca="1">IFERROR(__xludf.DUMMYFUNCTION("""COMPUTED_VALUE"""),2.25817266834989)</f>
        <v>2.2581726683498902</v>
      </c>
      <c r="F366" s="15" t="s">
        <v>4</v>
      </c>
      <c r="G366" s="39">
        <v>2</v>
      </c>
      <c r="H366" s="29" t="s">
        <v>4</v>
      </c>
      <c r="I366" s="27"/>
      <c r="J366" s="27" t="s">
        <v>132</v>
      </c>
      <c r="K366" s="23" t="b">
        <f ca="1">IFERROR(__xludf.DUMMYFUNCTION("""COMPUTED_VALUE"""),TRUE)</f>
        <v>1</v>
      </c>
      <c r="L366" s="22">
        <f ca="1">IFERROR(__xludf.DUMMYFUNCTION("""COMPUTED_VALUE"""),-0.403055489190215)</f>
        <v>-0.403055489190215</v>
      </c>
      <c r="M366" s="23">
        <f ca="1">IFERROR(__xludf.DUMMYFUNCTION("""COMPUTED_VALUE"""),2.25817266834989)</f>
        <v>2.2581726683498902</v>
      </c>
      <c r="N366" s="23">
        <f ca="1">IFERROR(__xludf.DUMMYFUNCTION("""COMPUTED_VALUE"""),-0.863684799359786)</f>
        <v>-0.86368479935978604</v>
      </c>
      <c r="O366" s="23">
        <f ca="1">IFERROR(__xludf.DUMMYFUNCTION("""COMPUTED_VALUE"""),-0.582330760252646)</f>
        <v>-0.58233076025264596</v>
      </c>
      <c r="P366" s="23"/>
      <c r="Q366" s="24">
        <f ca="1">IFERROR(__xludf.DUMMYFUNCTION("""COMPUTED_VALUE"""),0.14124162237497)</f>
        <v>0.14124162237497001</v>
      </c>
      <c r="R366" s="23"/>
      <c r="S366" s="23"/>
      <c r="T366" s="23"/>
      <c r="U366" s="23">
        <f ca="1">IFERROR(__xludf.DUMMYFUNCTION("""COMPUTED_VALUE"""),-0.210715149726355)</f>
        <v>-0.21071514972635499</v>
      </c>
      <c r="V366" s="23">
        <f ca="1">IFERROR(__xludf.DUMMYFUNCTION("""COMPUTED_VALUE"""),0.56810306389651)</f>
        <v>0.56810306389651</v>
      </c>
      <c r="W366" s="23">
        <f ca="1">IFERROR(__xludf.DUMMYFUNCTION("""COMPUTED_VALUE"""),0.483957966593521)</f>
        <v>0.48395796659352103</v>
      </c>
      <c r="X366" s="23"/>
      <c r="Y366" s="23">
        <f ca="1">IFERROR(__xludf.DUMMYFUNCTION("""COMPUTED_VALUE"""),0.787975672095812)</f>
        <v>0.78797567209581199</v>
      </c>
      <c r="Z366" s="23">
        <f ca="1">IFERROR(__xludf.DUMMYFUNCTION("""COMPUTED_VALUE"""),0.988712851855154)</f>
        <v>0.98871285185515401</v>
      </c>
      <c r="AA366" s="23">
        <f ca="1">IFERROR(__xludf.DUMMYFUNCTION("""COMPUTED_VALUE"""),0.457525619170881)</f>
        <v>0.45752561917088103</v>
      </c>
      <c r="AB366" s="23">
        <f ca="1">IFERROR(__xludf.DUMMYFUNCTION("""COMPUTED_VALUE"""),0.466608901244826)</f>
        <v>0.46660890124482601</v>
      </c>
      <c r="AC366" s="22">
        <f ca="1">IFERROR(__xludf.DUMMYFUNCTION("""COMPUTED_VALUE"""),-0.733043355059927)</f>
        <v>-0.73304335505992702</v>
      </c>
      <c r="AD366" s="23"/>
      <c r="AE366" s="23"/>
      <c r="AF366" s="22"/>
      <c r="AG366" s="22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</row>
    <row r="367" spans="1:45" ht="27.75" customHeight="1" x14ac:dyDescent="0.35">
      <c r="A367" s="15" t="s">
        <v>207</v>
      </c>
      <c r="B367" s="15" t="s">
        <v>208</v>
      </c>
      <c r="C367" s="15" t="str">
        <f ca="1">IFERROR(__xludf.DUMMYFUNCTION("""COMPUTED_VALUE"""),"2023/01/14 (土)
休日午前")</f>
        <v>2023/01/14 (土)
休日午前</v>
      </c>
      <c r="D367" s="15" t="str">
        <f ca="1">IFERROR(__xludf.DUMMYFUNCTION("""COMPUTED_VALUE"""),"休日午前")</f>
        <v>休日午前</v>
      </c>
      <c r="E367" s="16">
        <f ca="1">IFERROR(__xludf.DUMMYFUNCTION("""COMPUTED_VALUE"""),0.861787155132747)</f>
        <v>0.86178715513274695</v>
      </c>
      <c r="F367" s="15" t="s">
        <v>18</v>
      </c>
      <c r="G367" s="39">
        <v>0</v>
      </c>
      <c r="H367" s="27" t="s">
        <v>7</v>
      </c>
      <c r="I367" s="27"/>
      <c r="J367" s="27" t="s">
        <v>215</v>
      </c>
      <c r="K367" s="23" t="b">
        <f ca="1">IFERROR(__xludf.DUMMYFUNCTION("""COMPUTED_VALUE"""),FALSE)</f>
        <v>0</v>
      </c>
      <c r="L367" s="22">
        <f ca="1">IFERROR(__xludf.DUMMYFUNCTION("""COMPUTED_VALUE"""),0.861787155132747)</f>
        <v>0.86178715513274695</v>
      </c>
      <c r="M367" s="23">
        <f ca="1">IFERROR(__xludf.DUMMYFUNCTION("""COMPUTED_VALUE"""),-0.426853709770375)</f>
        <v>-0.42685370977037501</v>
      </c>
      <c r="N367" s="23">
        <f ca="1">IFERROR(__xludf.DUMMYFUNCTION("""COMPUTED_VALUE"""),-0.525873084899818)</f>
        <v>-0.52587308489981799</v>
      </c>
      <c r="O367" s="23">
        <f ca="1">IFERROR(__xludf.DUMMYFUNCTION("""COMPUTED_VALUE"""),-0.294681673087636)</f>
        <v>-0.29468167308763599</v>
      </c>
      <c r="P367" s="23"/>
      <c r="Q367" s="24">
        <f ca="1">IFERROR(__xludf.DUMMYFUNCTION("""COMPUTED_VALUE"""),-0.236318434997019)</f>
        <v>-0.23631843499701899</v>
      </c>
      <c r="R367" s="23"/>
      <c r="S367" s="23"/>
      <c r="T367" s="23"/>
      <c r="U367" s="23">
        <f ca="1">IFERROR(__xludf.DUMMYFUNCTION("""COMPUTED_VALUE"""),-0.821513121838841)</f>
        <v>-0.82151312183884095</v>
      </c>
      <c r="V367" s="23">
        <f ca="1">IFERROR(__xludf.DUMMYFUNCTION("""COMPUTED_VALUE"""),0.250067936509547)</f>
        <v>0.25006793650954701</v>
      </c>
      <c r="W367" s="23">
        <f ca="1">IFERROR(__xludf.DUMMYFUNCTION("""COMPUTED_VALUE"""),-0.359864958102425)</f>
        <v>-0.35986495810242503</v>
      </c>
      <c r="X367" s="23"/>
      <c r="Y367" s="23">
        <f ca="1">IFERROR(__xludf.DUMMYFUNCTION("""COMPUTED_VALUE"""),-0.330119377133369)</f>
        <v>-0.33011937713336897</v>
      </c>
      <c r="Z367" s="23">
        <f ca="1">IFERROR(__xludf.DUMMYFUNCTION("""COMPUTED_VALUE"""),0.0375547183492717)</f>
        <v>3.7554718349271703E-2</v>
      </c>
      <c r="AA367" s="23">
        <f ca="1">IFERROR(__xludf.DUMMYFUNCTION("""COMPUTED_VALUE"""),0.602636388100177)</f>
        <v>0.60263638810017695</v>
      </c>
      <c r="AB367" s="23">
        <f ca="1">IFERROR(__xludf.DUMMYFUNCTION("""COMPUTED_VALUE"""),0.253164788106652)</f>
        <v>0.25316478810665199</v>
      </c>
      <c r="AC367" s="22">
        <f ca="1">IFERROR(__xludf.DUMMYFUNCTION("""COMPUTED_VALUE"""),-0.148741463477845)</f>
        <v>-0.148741463477845</v>
      </c>
      <c r="AD367" s="23"/>
      <c r="AE367" s="23"/>
      <c r="AF367" s="22"/>
      <c r="AG367" s="22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</row>
    <row r="368" spans="1:45" ht="27.75" customHeight="1" x14ac:dyDescent="0.4">
      <c r="A368" s="15" t="s">
        <v>207</v>
      </c>
      <c r="B368" s="15" t="s">
        <v>208</v>
      </c>
      <c r="C368" s="15" t="str">
        <f ca="1">IFERROR(__xludf.DUMMYFUNCTION("""COMPUTED_VALUE"""),"2023/01/14 (土)
休日午後")</f>
        <v>2023/01/14 (土)
休日午後</v>
      </c>
      <c r="D368" s="15" t="str">
        <f ca="1">IFERROR(__xludf.DUMMYFUNCTION("""COMPUTED_VALUE"""),"休日午後")</f>
        <v>休日午後</v>
      </c>
      <c r="E368" s="16">
        <f ca="1">IFERROR(__xludf.DUMMYFUNCTION("""COMPUTED_VALUE"""),0.964968055815861)</f>
        <v>0.96496805581586098</v>
      </c>
      <c r="F368" s="15" t="s">
        <v>1</v>
      </c>
      <c r="G368" s="39">
        <v>-1</v>
      </c>
      <c r="H368" s="29" t="s">
        <v>6</v>
      </c>
      <c r="I368" s="27"/>
      <c r="J368" s="27" t="s">
        <v>215</v>
      </c>
      <c r="K368" s="23" t="b">
        <f ca="1">IFERROR(__xludf.DUMMYFUNCTION("""COMPUTED_VALUE"""),TRUE)</f>
        <v>1</v>
      </c>
      <c r="L368" s="22">
        <f ca="1">IFERROR(__xludf.DUMMYFUNCTION("""COMPUTED_VALUE"""),-0.449610378285397)</f>
        <v>-0.44961037828539702</v>
      </c>
      <c r="M368" s="23">
        <f ca="1">IFERROR(__xludf.DUMMYFUNCTION("""COMPUTED_VALUE"""),-0.631282263067895)</f>
        <v>-0.63128226306789503</v>
      </c>
      <c r="N368" s="23">
        <f ca="1">IFERROR(__xludf.DUMMYFUNCTION("""COMPUTED_VALUE"""),-0.171746544747897)</f>
        <v>-0.171746544747897</v>
      </c>
      <c r="O368" s="23">
        <f ca="1">IFERROR(__xludf.DUMMYFUNCTION("""COMPUTED_VALUE"""),-0.637503086270804)</f>
        <v>-0.63750308627080399</v>
      </c>
      <c r="P368" s="23"/>
      <c r="Q368" s="24">
        <f ca="1">IFERROR(__xludf.DUMMYFUNCTION("""COMPUTED_VALUE"""),-0.049738397390908)</f>
        <v>-4.9738397390907997E-2</v>
      </c>
      <c r="R368" s="23"/>
      <c r="S368" s="23"/>
      <c r="T368" s="23"/>
      <c r="U368" s="23">
        <f ca="1">IFERROR(__xludf.DUMMYFUNCTION("""COMPUTED_VALUE"""),-0.796192547504624)</f>
        <v>-0.79619254750462398</v>
      </c>
      <c r="V368" s="23">
        <f ca="1">IFERROR(__xludf.DUMMYFUNCTION("""COMPUTED_VALUE"""),0.243387333651365)</f>
        <v>0.243387333651365</v>
      </c>
      <c r="W368" s="23">
        <f ca="1">IFERROR(__xludf.DUMMYFUNCTION("""COMPUTED_VALUE"""),-0.875573780443565)</f>
        <v>-0.87557378044356504</v>
      </c>
      <c r="X368" s="23"/>
      <c r="Y368" s="23">
        <f ca="1">IFERROR(__xludf.DUMMYFUNCTION("""COMPUTED_VALUE"""),-0.076829963099245)</f>
        <v>-7.6829963099245002E-2</v>
      </c>
      <c r="Z368" s="23">
        <f ca="1">IFERROR(__xludf.DUMMYFUNCTION("""COMPUTED_VALUE"""),0.449247184909394)</f>
        <v>0.44924718490939403</v>
      </c>
      <c r="AA368" s="23">
        <f ca="1">IFERROR(__xludf.DUMMYFUNCTION("""COMPUTED_VALUE"""),0.0796819902033731)</f>
        <v>7.9681990203373104E-2</v>
      </c>
      <c r="AB368" s="23">
        <f ca="1">IFERROR(__xludf.DUMMYFUNCTION("""COMPUTED_VALUE"""),0.964968055815861)</f>
        <v>0.96496805581586098</v>
      </c>
      <c r="AC368" s="22">
        <f ca="1">IFERROR(__xludf.DUMMYFUNCTION("""COMPUTED_VALUE"""),-0.277638537184076)</f>
        <v>-0.277638537184076</v>
      </c>
      <c r="AD368" s="23"/>
      <c r="AE368" s="23"/>
      <c r="AF368" s="22"/>
      <c r="AG368" s="22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</row>
    <row r="369" spans="1:45" ht="27.75" customHeight="1" x14ac:dyDescent="0.4">
      <c r="A369" s="15" t="s">
        <v>207</v>
      </c>
      <c r="B369" s="15" t="s">
        <v>208</v>
      </c>
      <c r="C369" s="15" t="str">
        <f ca="1">IFERROR(__xludf.DUMMYFUNCTION("""COMPUTED_VALUE"""),"2023/01/15 (日)
休日午前")</f>
        <v>2023/01/15 (日)
休日午前</v>
      </c>
      <c r="D369" s="15" t="str">
        <f ca="1">IFERROR(__xludf.DUMMYFUNCTION("""COMPUTED_VALUE"""),"休日午前")</f>
        <v>休日午前</v>
      </c>
      <c r="E369" s="16">
        <f ca="1">IFERROR(__xludf.DUMMYFUNCTION("""COMPUTED_VALUE"""),2.46501995594076)</f>
        <v>2.4650199559407602</v>
      </c>
      <c r="F369" s="15" t="s">
        <v>127</v>
      </c>
      <c r="G369" s="39">
        <v>2</v>
      </c>
      <c r="H369" s="29" t="s">
        <v>127</v>
      </c>
      <c r="I369" s="27"/>
      <c r="J369" s="27" t="s">
        <v>216</v>
      </c>
      <c r="K369" s="23" t="b">
        <f ca="1">IFERROR(__xludf.DUMMYFUNCTION("""COMPUTED_VALUE"""),TRUE)</f>
        <v>1</v>
      </c>
      <c r="L369" s="22">
        <f ca="1">IFERROR(__xludf.DUMMYFUNCTION("""COMPUTED_VALUE"""),0.293614161815899)</f>
        <v>0.293614161815899</v>
      </c>
      <c r="M369" s="23">
        <f ca="1">IFERROR(__xludf.DUMMYFUNCTION("""COMPUTED_VALUE"""),-0.374789187305789)</f>
        <v>-0.37478918730578897</v>
      </c>
      <c r="N369" s="23">
        <f ca="1">IFERROR(__xludf.DUMMYFUNCTION("""COMPUTED_VALUE"""),2.26275526647022)</f>
        <v>2.26275526647022</v>
      </c>
      <c r="O369" s="23">
        <f ca="1">IFERROR(__xludf.DUMMYFUNCTION("""COMPUTED_VALUE"""),-0.565983470833275)</f>
        <v>-0.56598347083327505</v>
      </c>
      <c r="P369" s="23"/>
      <c r="Q369" s="24">
        <f ca="1">IFERROR(__xludf.DUMMYFUNCTION("""COMPUTED_VALUE"""),-0.463134202311411)</f>
        <v>-0.463134202311411</v>
      </c>
      <c r="R369" s="23"/>
      <c r="S369" s="23"/>
      <c r="T369" s="23"/>
      <c r="U369" s="23">
        <f ca="1">IFERROR(__xludf.DUMMYFUNCTION("""COMPUTED_VALUE"""),-0.160605810816519)</f>
        <v>-0.16060581081651901</v>
      </c>
      <c r="V369" s="23">
        <f ca="1">IFERROR(__xludf.DUMMYFUNCTION("""COMPUTED_VALUE"""),0.298105620826926)</f>
        <v>0.29810562082692599</v>
      </c>
      <c r="W369" s="23">
        <f ca="1">IFERROR(__xludf.DUMMYFUNCTION("""COMPUTED_VALUE"""),0.0903721652711695)</f>
        <v>9.0372165271169494E-2</v>
      </c>
      <c r="X369" s="23"/>
      <c r="Y369" s="23">
        <f ca="1">IFERROR(__xludf.DUMMYFUNCTION("""COMPUTED_VALUE"""),1.33951962821349)</f>
        <v>1.33951962821349</v>
      </c>
      <c r="Z369" s="23">
        <f ca="1">IFERROR(__xludf.DUMMYFUNCTION("""COMPUTED_VALUE"""),0.863227206458266)</f>
        <v>0.86322720645826601</v>
      </c>
      <c r="AA369" s="23">
        <f ca="1">IFERROR(__xludf.DUMMYFUNCTION("""COMPUTED_VALUE"""),0.642617245500775)</f>
        <v>0.64261724550077504</v>
      </c>
      <c r="AB369" s="23">
        <f ca="1">IFERROR(__xludf.DUMMYFUNCTION("""COMPUTED_VALUE"""),0.0016472002842347)</f>
        <v>1.6472002842346999E-3</v>
      </c>
      <c r="AC369" s="22">
        <f ca="1">IFERROR(__xludf.DUMMYFUNCTION("""COMPUTED_VALUE"""),-0.618208288801606)</f>
        <v>-0.61820828880160605</v>
      </c>
      <c r="AD369" s="23"/>
      <c r="AE369" s="23"/>
      <c r="AF369" s="22"/>
      <c r="AG369" s="22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</row>
    <row r="370" spans="1:45" ht="27.75" customHeight="1" x14ac:dyDescent="0.4">
      <c r="A370" s="15" t="s">
        <v>207</v>
      </c>
      <c r="B370" s="15" t="s">
        <v>208</v>
      </c>
      <c r="C370" s="15" t="str">
        <f ca="1">IFERROR(__xludf.DUMMYFUNCTION("""COMPUTED_VALUE"""),"2023/01/15 (日)
休日午後")</f>
        <v>2023/01/15 (日)
休日午後</v>
      </c>
      <c r="D370" s="15" t="str">
        <f ca="1">IFERROR(__xludf.DUMMYFUNCTION("""COMPUTED_VALUE"""),"休日午後")</f>
        <v>休日午後</v>
      </c>
      <c r="E370" s="16">
        <f ca="1">IFERROR(__xludf.DUMMYFUNCTION("""COMPUTED_VALUE"""),2.79639510105653)</f>
        <v>2.7963951010565302</v>
      </c>
      <c r="F370" s="15" t="s">
        <v>127</v>
      </c>
      <c r="G370" s="39">
        <v>1</v>
      </c>
      <c r="H370" s="29" t="s">
        <v>14</v>
      </c>
      <c r="I370" s="27"/>
      <c r="J370" s="27" t="s">
        <v>216</v>
      </c>
      <c r="K370" s="23" t="b">
        <f ca="1">IFERROR(__xludf.DUMMYFUNCTION("""COMPUTED_VALUE"""),TRUE)</f>
        <v>1</v>
      </c>
      <c r="L370" s="22">
        <f ca="1">IFERROR(__xludf.DUMMYFUNCTION("""COMPUTED_VALUE"""),-0.81956506800542)</f>
        <v>-0.81956506800541995</v>
      </c>
      <c r="M370" s="23">
        <f ca="1">IFERROR(__xludf.DUMMYFUNCTION("""COMPUTED_VALUE"""),-0.370675161738231)</f>
        <v>-0.37067516173823101</v>
      </c>
      <c r="N370" s="23">
        <f ca="1">IFERROR(__xludf.DUMMYFUNCTION("""COMPUTED_VALUE"""),2.71200503458063)</f>
        <v>2.7120050345806299</v>
      </c>
      <c r="O370" s="23">
        <f ca="1">IFERROR(__xludf.DUMMYFUNCTION("""COMPUTED_VALUE"""),-0.51420518032278)</f>
        <v>-0.51420518032277995</v>
      </c>
      <c r="P370" s="23"/>
      <c r="Q370" s="24">
        <f ca="1">IFERROR(__xludf.DUMMYFUNCTION("""COMPUTED_VALUE"""),-0.523830531248092)</f>
        <v>-0.52383053124809198</v>
      </c>
      <c r="R370" s="23"/>
      <c r="S370" s="23"/>
      <c r="T370" s="23"/>
      <c r="U370" s="23">
        <f ca="1">IFERROR(__xludf.DUMMYFUNCTION("""COMPUTED_VALUE"""),-0.156975840629122)</f>
        <v>-0.15697584062912201</v>
      </c>
      <c r="V370" s="23">
        <f ca="1">IFERROR(__xludf.DUMMYFUNCTION("""COMPUTED_VALUE"""),0.579132187348018)</f>
        <v>0.57913218734801797</v>
      </c>
      <c r="W370" s="23">
        <f ca="1">IFERROR(__xludf.DUMMYFUNCTION("""COMPUTED_VALUE"""),0.318657201444267)</f>
        <v>0.31865720144426701</v>
      </c>
      <c r="X370" s="23"/>
      <c r="Y370" s="23">
        <f ca="1">IFERROR(__xludf.DUMMYFUNCTION("""COMPUTED_VALUE"""),1.25661968954878)</f>
        <v>1.25661968954878</v>
      </c>
      <c r="Z370" s="23">
        <f ca="1">IFERROR(__xludf.DUMMYFUNCTION("""COMPUTED_VALUE"""),0.85008102207774)</f>
        <v>0.85008102207773995</v>
      </c>
      <c r="AA370" s="23">
        <f ca="1">IFERROR(__xludf.DUMMYFUNCTION("""COMPUTED_VALUE"""),0.196478546903868)</f>
        <v>0.19647854690386801</v>
      </c>
      <c r="AB370" s="23">
        <f ca="1">IFERROR(__xludf.DUMMYFUNCTION("""COMPUTED_VALUE"""),-0.97197187677474)</f>
        <v>-0.97197187677473995</v>
      </c>
      <c r="AC370" s="22">
        <f ca="1">IFERROR(__xludf.DUMMYFUNCTION("""COMPUTED_VALUE"""),-0.0868851912378219)</f>
        <v>-8.6885191237821902E-2</v>
      </c>
      <c r="AD370" s="23"/>
      <c r="AE370" s="23"/>
      <c r="AF370" s="22"/>
      <c r="AG370" s="22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</row>
    <row r="371" spans="1:45" ht="27.75" customHeight="1" x14ac:dyDescent="0.4">
      <c r="A371" s="15" t="s">
        <v>207</v>
      </c>
      <c r="B371" s="15" t="s">
        <v>208</v>
      </c>
      <c r="C371" s="15" t="str">
        <f ca="1">IFERROR(__xludf.DUMMYFUNCTION("""COMPUTED_VALUE"""),"2023/01/16 (月)
平日夜間")</f>
        <v>2023/01/16 (月)
平日夜間</v>
      </c>
      <c r="D371" s="15" t="str">
        <f ca="1">IFERROR(__xludf.DUMMYFUNCTION("""COMPUTED_VALUE"""),"平日夜間")</f>
        <v>平日夜間</v>
      </c>
      <c r="E371" s="16">
        <f ca="1">IFERROR(__xludf.DUMMYFUNCTION("""COMPUTED_VALUE"""),0.873361658839084)</f>
        <v>0.87336165883908401</v>
      </c>
      <c r="F371" s="15" t="s">
        <v>13</v>
      </c>
      <c r="G371" s="39"/>
      <c r="H371" s="29" t="s">
        <v>5</v>
      </c>
      <c r="I371" s="27"/>
      <c r="J371" s="27" t="s">
        <v>217</v>
      </c>
      <c r="K371" s="23" t="b">
        <f ca="1">IFERROR(__xludf.DUMMYFUNCTION("""COMPUTED_VALUE"""),TRUE)</f>
        <v>1</v>
      </c>
      <c r="L371" s="22">
        <f ca="1">IFERROR(__xludf.DUMMYFUNCTION("""COMPUTED_VALUE"""),0.594267367027687)</f>
        <v>0.59426736702768701</v>
      </c>
      <c r="M371" s="23">
        <f ca="1">IFERROR(__xludf.DUMMYFUNCTION("""COMPUTED_VALUE"""),0.378416226146072)</f>
        <v>0.37841622614607201</v>
      </c>
      <c r="N371" s="23">
        <f ca="1">IFERROR(__xludf.DUMMYFUNCTION("""COMPUTED_VALUE"""),0.477765626871986)</f>
        <v>0.47776562687198598</v>
      </c>
      <c r="O371" s="23">
        <f ca="1">IFERROR(__xludf.DUMMYFUNCTION("""COMPUTED_VALUE"""),-0.842357250341661)</f>
        <v>-0.84235725034166098</v>
      </c>
      <c r="P371" s="23"/>
      <c r="Q371" s="24">
        <f ca="1">IFERROR(__xludf.DUMMYFUNCTION("""COMPUTED_VALUE"""),0.296390143904249)</f>
        <v>0.296390143904249</v>
      </c>
      <c r="R371" s="23"/>
      <c r="S371" s="23"/>
      <c r="T371" s="23"/>
      <c r="U371" s="23">
        <f ca="1">IFERROR(__xludf.DUMMYFUNCTION("""COMPUTED_VALUE"""),-0.20897295526384)</f>
        <v>-0.20897295526383999</v>
      </c>
      <c r="V371" s="23">
        <f ca="1">IFERROR(__xludf.DUMMYFUNCTION("""COMPUTED_VALUE"""),0.500745695146329)</f>
        <v>0.50074569514632905</v>
      </c>
      <c r="W371" s="23">
        <f ca="1">IFERROR(__xludf.DUMMYFUNCTION("""COMPUTED_VALUE"""),0.873361658839084)</f>
        <v>0.87336165883908401</v>
      </c>
      <c r="X371" s="23"/>
      <c r="Y371" s="23">
        <f ca="1">IFERROR(__xludf.DUMMYFUNCTION("""COMPUTED_VALUE"""),0.41023808641744)</f>
        <v>0.41023808641743997</v>
      </c>
      <c r="Z371" s="23">
        <f ca="1">IFERROR(__xludf.DUMMYFUNCTION("""COMPUTED_VALUE"""),0.0372451603952386)</f>
        <v>3.7245160395238598E-2</v>
      </c>
      <c r="AA371" s="23">
        <f ca="1">IFERROR(__xludf.DUMMYFUNCTION("""COMPUTED_VALUE"""),0.0321754957296249)</f>
        <v>3.2175495729624901E-2</v>
      </c>
      <c r="AB371" s="23">
        <f ca="1">IFERROR(__xludf.DUMMYFUNCTION("""COMPUTED_VALUE"""),0.319006483502118)</f>
        <v>0.31900648350211802</v>
      </c>
      <c r="AC371" s="22">
        <f ca="1">IFERROR(__xludf.DUMMYFUNCTION("""COMPUTED_VALUE"""),0.398921243095242)</f>
        <v>0.39892124309524202</v>
      </c>
      <c r="AD371" s="23"/>
      <c r="AE371" s="23"/>
      <c r="AF371" s="22"/>
      <c r="AG371" s="22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</row>
    <row r="372" spans="1:45" ht="27.75" customHeight="1" x14ac:dyDescent="0.35">
      <c r="A372" s="15" t="s">
        <v>207</v>
      </c>
      <c r="B372" s="15" t="s">
        <v>208</v>
      </c>
      <c r="C372" s="15" t="str">
        <f ca="1">IFERROR(__xludf.DUMMYFUNCTION("""COMPUTED_VALUE"""),"2023/01/17 (火)
平日夜間")</f>
        <v>2023/01/17 (火)
平日夜間</v>
      </c>
      <c r="D372" s="15" t="str">
        <f ca="1">IFERROR(__xludf.DUMMYFUNCTION("""COMPUTED_VALUE"""),"平日夜間")</f>
        <v>平日夜間</v>
      </c>
      <c r="E372" s="16">
        <f ca="1">IFERROR(__xludf.DUMMYFUNCTION("""COMPUTED_VALUE"""),0.980637808832199)</f>
        <v>0.98063780883219898</v>
      </c>
      <c r="F372" s="15" t="s">
        <v>218</v>
      </c>
      <c r="G372" s="39">
        <v>0</v>
      </c>
      <c r="H372" s="27" t="s">
        <v>18</v>
      </c>
      <c r="I372" s="27"/>
      <c r="J372" s="27" t="s">
        <v>44</v>
      </c>
      <c r="K372" s="23" t="b">
        <f ca="1">IFERROR(__xludf.DUMMYFUNCTION("""COMPUTED_VALUE"""),FALSE)</f>
        <v>0</v>
      </c>
      <c r="L372" s="22">
        <f ca="1">IFERROR(__xludf.DUMMYFUNCTION("""COMPUTED_VALUE"""),0.133504459743776)</f>
        <v>0.133504459743776</v>
      </c>
      <c r="M372" s="23">
        <f ca="1">IFERROR(__xludf.DUMMYFUNCTION("""COMPUTED_VALUE"""),0.470018711682839)</f>
        <v>0.47001871168283899</v>
      </c>
      <c r="N372" s="23">
        <f ca="1">IFERROR(__xludf.DUMMYFUNCTION("""COMPUTED_VALUE"""),0.517391238580855)</f>
        <v>0.51739123858085501</v>
      </c>
      <c r="O372" s="23">
        <f ca="1">IFERROR(__xludf.DUMMYFUNCTION("""COMPUTED_VALUE"""),0.867156927465884)</f>
        <v>0.86715692746588402</v>
      </c>
      <c r="P372" s="23"/>
      <c r="Q372" s="24">
        <f ca="1">IFERROR(__xludf.DUMMYFUNCTION("""COMPUTED_VALUE"""),-0.391217867903412)</f>
        <v>-0.39121786790341201</v>
      </c>
      <c r="R372" s="23"/>
      <c r="S372" s="23"/>
      <c r="T372" s="23"/>
      <c r="U372" s="23">
        <f ca="1">IFERROR(__xludf.DUMMYFUNCTION("""COMPUTED_VALUE"""),0.258512899041717)</f>
        <v>0.25851289904171698</v>
      </c>
      <c r="V372" s="23">
        <f ca="1">IFERROR(__xludf.DUMMYFUNCTION("""COMPUTED_VALUE"""),0.819724890250035)</f>
        <v>0.81972489025003503</v>
      </c>
      <c r="W372" s="23">
        <f ca="1">IFERROR(__xludf.DUMMYFUNCTION("""COMPUTED_VALUE"""),-0.398148050492447)</f>
        <v>-0.398148050492447</v>
      </c>
      <c r="X372" s="23"/>
      <c r="Y372" s="23">
        <f ca="1">IFERROR(__xludf.DUMMYFUNCTION("""COMPUTED_VALUE"""),0.61207910814423)</f>
        <v>0.61207910814423006</v>
      </c>
      <c r="Z372" s="23">
        <f ca="1">IFERROR(__xludf.DUMMYFUNCTION("""COMPUTED_VALUE"""),-0.57898834542529)</f>
        <v>-0.57898834542528999</v>
      </c>
      <c r="AA372" s="23">
        <f ca="1">IFERROR(__xludf.DUMMYFUNCTION("""COMPUTED_VALUE"""),-0.565758188555878)</f>
        <v>-0.56575818855587801</v>
      </c>
      <c r="AB372" s="23">
        <f ca="1">IFERROR(__xludf.DUMMYFUNCTION("""COMPUTED_VALUE"""),0.00984410383488443)</f>
        <v>9.8441038348844306E-3</v>
      </c>
      <c r="AC372" s="22">
        <f ca="1">IFERROR(__xludf.DUMMYFUNCTION("""COMPUTED_VALUE"""),0.421650039118173)</f>
        <v>0.421650039118173</v>
      </c>
      <c r="AD372" s="23"/>
      <c r="AE372" s="23"/>
      <c r="AF372" s="22"/>
      <c r="AG372" s="22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</row>
    <row r="373" spans="1:45" ht="27.75" customHeight="1" x14ac:dyDescent="0.4">
      <c r="A373" s="15" t="s">
        <v>207</v>
      </c>
      <c r="B373" s="15" t="s">
        <v>208</v>
      </c>
      <c r="C373" s="15" t="str">
        <f ca="1">IFERROR(__xludf.DUMMYFUNCTION("""COMPUTED_VALUE"""),"2023/01/18 (水)
平日夜間")</f>
        <v>2023/01/18 (水)
平日夜間</v>
      </c>
      <c r="D373" s="15" t="str">
        <f ca="1">IFERROR(__xludf.DUMMYFUNCTION("""COMPUTED_VALUE"""),"平日夜間")</f>
        <v>平日夜間</v>
      </c>
      <c r="E373" s="16">
        <f ca="1">IFERROR(__xludf.DUMMYFUNCTION("""COMPUTED_VALUE"""),1.32794921011837)</f>
        <v>1.3279492101183701</v>
      </c>
      <c r="F373" s="15" t="s">
        <v>6</v>
      </c>
      <c r="G373" s="39"/>
      <c r="H373" s="29" t="s">
        <v>45</v>
      </c>
      <c r="I373" s="27"/>
      <c r="J373" s="27" t="s">
        <v>78</v>
      </c>
      <c r="K373" s="23" t="b">
        <f ca="1">IFERROR(__xludf.DUMMYFUNCTION("""COMPUTED_VALUE"""),TRUE)</f>
        <v>1</v>
      </c>
      <c r="L373" s="22">
        <f ca="1">IFERROR(__xludf.DUMMYFUNCTION("""COMPUTED_VALUE"""),-0.987705025281452)</f>
        <v>-0.98770502528145199</v>
      </c>
      <c r="M373" s="23">
        <f ca="1">IFERROR(__xludf.DUMMYFUNCTION("""COMPUTED_VALUE"""),0.358173401672583)</f>
        <v>0.35817340167258299</v>
      </c>
      <c r="N373" s="23">
        <f ca="1">IFERROR(__xludf.DUMMYFUNCTION("""COMPUTED_VALUE"""),0.416816899803774)</f>
        <v>0.41681689980377401</v>
      </c>
      <c r="O373" s="23">
        <f ca="1">IFERROR(__xludf.DUMMYFUNCTION("""COMPUTED_VALUE"""),0.16471420207465)</f>
        <v>0.16471420207465001</v>
      </c>
      <c r="P373" s="23"/>
      <c r="Q373" s="24">
        <f ca="1">IFERROR(__xludf.DUMMYFUNCTION("""COMPUTED_VALUE"""),-0.142927522159098)</f>
        <v>-0.14292752215909801</v>
      </c>
      <c r="R373" s="23"/>
      <c r="S373" s="23"/>
      <c r="T373" s="23"/>
      <c r="U373" s="23">
        <f ca="1">IFERROR(__xludf.DUMMYFUNCTION("""COMPUTED_VALUE"""),0.174939828178637)</f>
        <v>0.17493982817863701</v>
      </c>
      <c r="V373" s="23">
        <f ca="1">IFERROR(__xludf.DUMMYFUNCTION("""COMPUTED_VALUE"""),-0.0715384798710623)</f>
        <v>-7.1538479871062294E-2</v>
      </c>
      <c r="W373" s="23">
        <f ca="1">IFERROR(__xludf.DUMMYFUNCTION("""COMPUTED_VALUE"""),-0.747495291226429)</f>
        <v>-0.74749529122642899</v>
      </c>
      <c r="X373" s="23"/>
      <c r="Y373" s="23">
        <f ca="1">IFERROR(__xludf.DUMMYFUNCTION("""COMPUTED_VALUE"""),0.369759043264979)</f>
        <v>0.36975904326497899</v>
      </c>
      <c r="Z373" s="23">
        <f ca="1">IFERROR(__xludf.DUMMYFUNCTION("""COMPUTED_VALUE"""),0.801627240829113)</f>
        <v>0.80162724082911296</v>
      </c>
      <c r="AA373" s="23">
        <f ca="1">IFERROR(__xludf.DUMMYFUNCTION("""COMPUTED_VALUE"""),0.268937842832999)</f>
        <v>0.26893784283299899</v>
      </c>
      <c r="AB373" s="23">
        <f ca="1">IFERROR(__xludf.DUMMYFUNCTION("""COMPUTED_VALUE"""),0.0628143862049843)</f>
        <v>6.2814386204984293E-2</v>
      </c>
      <c r="AC373" s="22">
        <f ca="1">IFERROR(__xludf.DUMMYFUNCTION("""COMPUTED_VALUE"""),1.32794921011837)</f>
        <v>1.3279492101183701</v>
      </c>
      <c r="AD373" s="23"/>
      <c r="AE373" s="23"/>
      <c r="AF373" s="22"/>
      <c r="AG373" s="22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</row>
    <row r="374" spans="1:45" ht="27.75" customHeight="1" x14ac:dyDescent="0.35">
      <c r="A374" s="15" t="s">
        <v>207</v>
      </c>
      <c r="B374" s="15" t="s">
        <v>208</v>
      </c>
      <c r="C374" s="15" t="str">
        <f ca="1">IFERROR(__xludf.DUMMYFUNCTION("""COMPUTED_VALUE"""),"2023/01/19 (木)
平日夜間")</f>
        <v>2023/01/19 (木)
平日夜間</v>
      </c>
      <c r="D374" s="15" t="str">
        <f ca="1">IFERROR(__xludf.DUMMYFUNCTION("""COMPUTED_VALUE"""),"平日夜間")</f>
        <v>平日夜間</v>
      </c>
      <c r="E374" s="16">
        <f ca="1">IFERROR(__xludf.DUMMYFUNCTION("""COMPUTED_VALUE"""),0.902162733283326)</f>
        <v>0.90216273328332597</v>
      </c>
      <c r="F374" s="15" t="s">
        <v>218</v>
      </c>
      <c r="G374" s="39">
        <v>0</v>
      </c>
      <c r="H374" s="27" t="s">
        <v>19</v>
      </c>
      <c r="I374" s="27"/>
      <c r="J374" s="27"/>
      <c r="K374" s="23" t="b">
        <f ca="1">IFERROR(__xludf.DUMMYFUNCTION("""COMPUTED_VALUE"""),FALSE)</f>
        <v>0</v>
      </c>
      <c r="L374" s="22">
        <f ca="1">IFERROR(__xludf.DUMMYFUNCTION("""COMPUTED_VALUE"""),-0.0729983093780131)</f>
        <v>-7.2998309378013104E-2</v>
      </c>
      <c r="M374" s="23">
        <f ca="1">IFERROR(__xludf.DUMMYFUNCTION("""COMPUTED_VALUE"""),-0.750849114654228)</f>
        <v>-0.75084911465422799</v>
      </c>
      <c r="N374" s="23">
        <f ca="1">IFERROR(__xludf.DUMMYFUNCTION("""COMPUTED_VALUE"""),0.504951052140854)</f>
        <v>0.50495105214085401</v>
      </c>
      <c r="O374" s="23">
        <f ca="1">IFERROR(__xludf.DUMMYFUNCTION("""COMPUTED_VALUE"""),0.328019933859053)</f>
        <v>0.32801993385905298</v>
      </c>
      <c r="P374" s="23"/>
      <c r="Q374" s="24">
        <f ca="1">IFERROR(__xludf.DUMMYFUNCTION("""COMPUTED_VALUE"""),0.562731005599264)</f>
        <v>0.56273100559926403</v>
      </c>
      <c r="R374" s="23"/>
      <c r="S374" s="23"/>
      <c r="T374" s="23"/>
      <c r="U374" s="23">
        <f ca="1">IFERROR(__xludf.DUMMYFUNCTION("""COMPUTED_VALUE"""),-0.428134085376261)</f>
        <v>-0.42813408537626102</v>
      </c>
      <c r="V374" s="23">
        <f ca="1">IFERROR(__xludf.DUMMYFUNCTION("""COMPUTED_VALUE"""),-0.505053965953177)</f>
        <v>-0.50505396595317698</v>
      </c>
      <c r="W374" s="23">
        <f ca="1">IFERROR(__xludf.DUMMYFUNCTION("""COMPUTED_VALUE"""),0.600657136852716)</f>
        <v>0.60065713685271604</v>
      </c>
      <c r="X374" s="23"/>
      <c r="Y374" s="23">
        <f ca="1">IFERROR(__xludf.DUMMYFUNCTION("""COMPUTED_VALUE"""),0.520964774892744)</f>
        <v>0.52096477489274395</v>
      </c>
      <c r="Z374" s="23">
        <f ca="1">IFERROR(__xludf.DUMMYFUNCTION("""COMPUTED_VALUE"""),0.0253181013021484)</f>
        <v>2.5318101302148399E-2</v>
      </c>
      <c r="AA374" s="23">
        <f ca="1">IFERROR(__xludf.DUMMYFUNCTION("""COMPUTED_VALUE"""),0.179146411915972)</f>
        <v>0.179146411915972</v>
      </c>
      <c r="AB374" s="23">
        <f ca="1">IFERROR(__xludf.DUMMYFUNCTION("""COMPUTED_VALUE"""),0.550994708952731)</f>
        <v>0.55099470895273095</v>
      </c>
      <c r="AC374" s="22">
        <f ca="1">IFERROR(__xludf.DUMMYFUNCTION("""COMPUTED_VALUE"""),0.505503621617265)</f>
        <v>0.50550362161726503</v>
      </c>
      <c r="AD374" s="23"/>
      <c r="AE374" s="23"/>
      <c r="AF374" s="22"/>
      <c r="AG374" s="22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</row>
    <row r="375" spans="1:45" ht="27.75" customHeight="1" x14ac:dyDescent="0.4">
      <c r="A375" s="15" t="s">
        <v>207</v>
      </c>
      <c r="B375" s="15" t="s">
        <v>208</v>
      </c>
      <c r="C375" s="15" t="str">
        <f ca="1">IFERROR(__xludf.DUMMYFUNCTION("""COMPUTED_VALUE"""),"2023/01/20 (金)
平日夜間")</f>
        <v>2023/01/20 (金)
平日夜間</v>
      </c>
      <c r="D375" s="15" t="str">
        <f ca="1">IFERROR(__xludf.DUMMYFUNCTION("""COMPUTED_VALUE"""),"平日夜間")</f>
        <v>平日夜間</v>
      </c>
      <c r="E375" s="16">
        <f ca="1">IFERROR(__xludf.DUMMYFUNCTION("""COMPUTED_VALUE"""),2.2538609700144)</f>
        <v>2.2538609700143999</v>
      </c>
      <c r="F375" s="15" t="s">
        <v>7</v>
      </c>
      <c r="G375" s="39">
        <v>-1</v>
      </c>
      <c r="H375" s="29" t="s">
        <v>200</v>
      </c>
      <c r="I375" s="27"/>
      <c r="J375" s="27" t="s">
        <v>214</v>
      </c>
      <c r="K375" s="23" t="b">
        <f ca="1">IFERROR(__xludf.DUMMYFUNCTION("""COMPUTED_VALUE"""),TRUE)</f>
        <v>1</v>
      </c>
      <c r="L375" s="22">
        <f ca="1">IFERROR(__xludf.DUMMYFUNCTION("""COMPUTED_VALUE"""),0.769109268931229)</f>
        <v>0.769109268931229</v>
      </c>
      <c r="M375" s="23">
        <f ca="1">IFERROR(__xludf.DUMMYFUNCTION("""COMPUTED_VALUE"""),0.54021298056305)</f>
        <v>0.54021298056305</v>
      </c>
      <c r="N375" s="23">
        <f ca="1">IFERROR(__xludf.DUMMYFUNCTION("""COMPUTED_VALUE"""),-0.551061439740485)</f>
        <v>-0.55106143974048505</v>
      </c>
      <c r="O375" s="23">
        <f ca="1">IFERROR(__xludf.DUMMYFUNCTION("""COMPUTED_VALUE"""),-0.0165186514659934)</f>
        <v>-1.6518651465993399E-2</v>
      </c>
      <c r="P375" s="23"/>
      <c r="Q375" s="24">
        <f ca="1">IFERROR(__xludf.DUMMYFUNCTION("""COMPUTED_VALUE"""),0.230261021098149)</f>
        <v>0.230261021098149</v>
      </c>
      <c r="R375" s="23"/>
      <c r="S375" s="23"/>
      <c r="T375" s="23"/>
      <c r="U375" s="23">
        <f ca="1">IFERROR(__xludf.DUMMYFUNCTION("""COMPUTED_VALUE"""),-0.660655867100956)</f>
        <v>-0.66065586710095603</v>
      </c>
      <c r="V375" s="23">
        <f ca="1">IFERROR(__xludf.DUMMYFUNCTION("""COMPUTED_VALUE"""),0.690151469648996)</f>
        <v>0.69015146964899599</v>
      </c>
      <c r="W375" s="23">
        <f ca="1">IFERROR(__xludf.DUMMYFUNCTION("""COMPUTED_VALUE"""),0.145888803628792)</f>
        <v>0.145888803628792</v>
      </c>
      <c r="X375" s="23"/>
      <c r="Y375" s="23">
        <f ca="1">IFERROR(__xludf.DUMMYFUNCTION("""COMPUTED_VALUE"""),0.335007852973)</f>
        <v>0.33500785297300001</v>
      </c>
      <c r="Z375" s="23">
        <f ca="1">IFERROR(__xludf.DUMMYFUNCTION("""COMPUTED_VALUE"""),-0.524816906585877)</f>
        <v>-0.52481690658587699</v>
      </c>
      <c r="AA375" s="23">
        <f ca="1">IFERROR(__xludf.DUMMYFUNCTION("""COMPUTED_VALUE"""),2.2538609700144)</f>
        <v>2.2538609700143999</v>
      </c>
      <c r="AB375" s="23">
        <f ca="1">IFERROR(__xludf.DUMMYFUNCTION("""COMPUTED_VALUE"""),0.695841215193576)</f>
        <v>0.695841215193576</v>
      </c>
      <c r="AC375" s="22">
        <f ca="1">IFERROR(__xludf.DUMMYFUNCTION("""COMPUTED_VALUE"""),-0.740478090511292)</f>
        <v>-0.74047809051129199</v>
      </c>
      <c r="AD375" s="23"/>
      <c r="AE375" s="23"/>
      <c r="AF375" s="22"/>
      <c r="AG375" s="22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</row>
    <row r="376" spans="1:45" ht="27.75" customHeight="1" x14ac:dyDescent="0.35">
      <c r="A376" s="15" t="s">
        <v>207</v>
      </c>
      <c r="B376" s="15" t="s">
        <v>208</v>
      </c>
      <c r="C376" s="15" t="str">
        <f ca="1">IFERROR(__xludf.DUMMYFUNCTION("""COMPUTED_VALUE"""),"2023/01/21 (土)
休日午前")</f>
        <v>2023/01/21 (土)
休日午前</v>
      </c>
      <c r="D376" s="15" t="str">
        <f ca="1">IFERROR(__xludf.DUMMYFUNCTION("""COMPUTED_VALUE"""),"休日午前")</f>
        <v>休日午前</v>
      </c>
      <c r="E376" s="16">
        <f ca="1">IFERROR(__xludf.DUMMYFUNCTION("""COMPUTED_VALUE"""),0.958379193975379)</f>
        <v>0.95837919397537896</v>
      </c>
      <c r="F376" s="15" t="s">
        <v>16</v>
      </c>
      <c r="G376" s="39">
        <v>0</v>
      </c>
      <c r="H376" s="27" t="s">
        <v>1</v>
      </c>
      <c r="I376" s="27"/>
      <c r="J376" s="27" t="s">
        <v>219</v>
      </c>
      <c r="K376" s="23" t="b">
        <f ca="1">IFERROR(__xludf.DUMMYFUNCTION("""COMPUTED_VALUE"""),FALSE)</f>
        <v>0</v>
      </c>
      <c r="L376" s="22">
        <f ca="1">IFERROR(__xludf.DUMMYFUNCTION("""COMPUTED_VALUE"""),0.427819283763082)</f>
        <v>0.42781928376308198</v>
      </c>
      <c r="M376" s="23">
        <f ca="1">IFERROR(__xludf.DUMMYFUNCTION("""COMPUTED_VALUE"""),0.203665436070977)</f>
        <v>0.20366543607097701</v>
      </c>
      <c r="N376" s="23">
        <f ca="1">IFERROR(__xludf.DUMMYFUNCTION("""COMPUTED_VALUE"""),-0.0272904584801652)</f>
        <v>-2.7290458480165199E-2</v>
      </c>
      <c r="O376" s="23">
        <f ca="1">IFERROR(__xludf.DUMMYFUNCTION("""COMPUTED_VALUE"""),0.475357510871857)</f>
        <v>0.47535751087185701</v>
      </c>
      <c r="P376" s="23"/>
      <c r="Q376" s="24">
        <f ca="1">IFERROR(__xludf.DUMMYFUNCTION("""COMPUTED_VALUE"""),0.958379193975379)</f>
        <v>0.95837919397537896</v>
      </c>
      <c r="R376" s="23"/>
      <c r="S376" s="23"/>
      <c r="T376" s="23"/>
      <c r="U376" s="23">
        <f ca="1">IFERROR(__xludf.DUMMYFUNCTION("""COMPUTED_VALUE"""),-0.502875240531472)</f>
        <v>-0.50287524053147203</v>
      </c>
      <c r="V376" s="23">
        <f ca="1">IFERROR(__xludf.DUMMYFUNCTION("""COMPUTED_VALUE"""),0.104385713407156)</f>
        <v>0.10438571340715599</v>
      </c>
      <c r="W376" s="23">
        <f ca="1">IFERROR(__xludf.DUMMYFUNCTION("""COMPUTED_VALUE"""),0.379274233019021)</f>
        <v>0.37927423301902102</v>
      </c>
      <c r="X376" s="23"/>
      <c r="Y376" s="23">
        <f ca="1">IFERROR(__xludf.DUMMYFUNCTION("""COMPUTED_VALUE"""),-0.729473997897508)</f>
        <v>-0.729473997897508</v>
      </c>
      <c r="Z376" s="23">
        <f ca="1">IFERROR(__xludf.DUMMYFUNCTION("""COMPUTED_VALUE"""),-0.249105721763025)</f>
        <v>-0.24910572176302501</v>
      </c>
      <c r="AA376" s="23">
        <f ca="1">IFERROR(__xludf.DUMMYFUNCTION("""COMPUTED_VALUE"""),0.636672235962175)</f>
        <v>0.63667223596217504</v>
      </c>
      <c r="AB376" s="23">
        <f ca="1">IFERROR(__xludf.DUMMYFUNCTION("""COMPUTED_VALUE"""),0.945066667512316)</f>
        <v>0.94506666751231605</v>
      </c>
      <c r="AC376" s="22">
        <f ca="1">IFERROR(__xludf.DUMMYFUNCTION("""COMPUTED_VALUE"""),-0.619651242031519)</f>
        <v>-0.619651242031519</v>
      </c>
      <c r="AD376" s="23"/>
      <c r="AE376" s="23"/>
      <c r="AF376" s="22"/>
      <c r="AG376" s="22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</row>
    <row r="377" spans="1:45" ht="27.75" customHeight="1" x14ac:dyDescent="0.4">
      <c r="A377" s="15" t="s">
        <v>207</v>
      </c>
      <c r="B377" s="15" t="s">
        <v>208</v>
      </c>
      <c r="C377" s="15" t="str">
        <f ca="1">IFERROR(__xludf.DUMMYFUNCTION("""COMPUTED_VALUE"""),"2023/01/21 (土)
休日午後")</f>
        <v>2023/01/21 (土)
休日午後</v>
      </c>
      <c r="D377" s="15" t="str">
        <f ca="1">IFERROR(__xludf.DUMMYFUNCTION("""COMPUTED_VALUE"""),"休日午後")</f>
        <v>休日午後</v>
      </c>
      <c r="E377" s="16">
        <f ca="1">IFERROR(__xludf.DUMMYFUNCTION("""COMPUTED_VALUE"""),0.995588945264284)</f>
        <v>0.99558894526428399</v>
      </c>
      <c r="F377" s="15" t="s">
        <v>127</v>
      </c>
      <c r="G377" s="39"/>
      <c r="H377" s="29" t="s">
        <v>12</v>
      </c>
      <c r="I377" s="27"/>
      <c r="J377" s="27" t="s">
        <v>219</v>
      </c>
      <c r="K377" s="23" t="b">
        <f ca="1">IFERROR(__xludf.DUMMYFUNCTION("""COMPUTED_VALUE"""),TRUE)</f>
        <v>1</v>
      </c>
      <c r="L377" s="22">
        <f ca="1">IFERROR(__xludf.DUMMYFUNCTION("""COMPUTED_VALUE"""),-0.690547716640369)</f>
        <v>-0.69054771664036896</v>
      </c>
      <c r="M377" s="23">
        <f ca="1">IFERROR(__xludf.DUMMYFUNCTION("""COMPUTED_VALUE"""),0.591633219790478)</f>
        <v>0.591633219790478</v>
      </c>
      <c r="N377" s="23">
        <f ca="1">IFERROR(__xludf.DUMMYFUNCTION("""COMPUTED_VALUE"""),-0.718776846274256)</f>
        <v>-0.71877684627425598</v>
      </c>
      <c r="O377" s="23">
        <f ca="1">IFERROR(__xludf.DUMMYFUNCTION("""COMPUTED_VALUE"""),-0.8088539007097)</f>
        <v>-0.80885390070969998</v>
      </c>
      <c r="P377" s="23"/>
      <c r="Q377" s="24">
        <f ca="1">IFERROR(__xludf.DUMMYFUNCTION("""COMPUTED_VALUE"""),0.853733549425865)</f>
        <v>0.85373354942586499</v>
      </c>
      <c r="R377" s="23"/>
      <c r="S377" s="23"/>
      <c r="T377" s="23"/>
      <c r="U377" s="23">
        <f ca="1">IFERROR(__xludf.DUMMYFUNCTION("""COMPUTED_VALUE"""),-0.672517957964199)</f>
        <v>-0.672517957964199</v>
      </c>
      <c r="V377" s="23">
        <f ca="1">IFERROR(__xludf.DUMMYFUNCTION("""COMPUTED_VALUE"""),0.911972077278878)</f>
        <v>0.91197207727887797</v>
      </c>
      <c r="W377" s="23">
        <f ca="1">IFERROR(__xludf.DUMMYFUNCTION("""COMPUTED_VALUE"""),-0.527017803241363)</f>
        <v>-0.52701780324136305</v>
      </c>
      <c r="X377" s="23"/>
      <c r="Y377" s="23">
        <f ca="1">IFERROR(__xludf.DUMMYFUNCTION("""COMPUTED_VALUE"""),-0.761636355180057)</f>
        <v>-0.76163635518005701</v>
      </c>
      <c r="Z377" s="23">
        <f ca="1">IFERROR(__xludf.DUMMYFUNCTION("""COMPUTED_VALUE"""),-0.061958040232906)</f>
        <v>-6.1958040232905999E-2</v>
      </c>
      <c r="AA377" s="23">
        <f ca="1">IFERROR(__xludf.DUMMYFUNCTION("""COMPUTED_VALUE"""),0.778858202223621)</f>
        <v>0.77885820222362101</v>
      </c>
      <c r="AB377" s="23">
        <f ca="1">IFERROR(__xludf.DUMMYFUNCTION("""COMPUTED_VALUE"""),-0.660217871324546)</f>
        <v>-0.66021787132454601</v>
      </c>
      <c r="AC377" s="22">
        <f ca="1">IFERROR(__xludf.DUMMYFUNCTION("""COMPUTED_VALUE"""),-0.442046203664058)</f>
        <v>-0.442046203664058</v>
      </c>
      <c r="AD377" s="23"/>
      <c r="AE377" s="23"/>
      <c r="AF377" s="22"/>
      <c r="AG377" s="22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</row>
    <row r="378" spans="1:45" ht="27.75" customHeight="1" x14ac:dyDescent="0.4">
      <c r="A378" s="15" t="s">
        <v>207</v>
      </c>
      <c r="B378" s="15" t="s">
        <v>208</v>
      </c>
      <c r="C378" s="15" t="str">
        <f ca="1">IFERROR(__xludf.DUMMYFUNCTION("""COMPUTED_VALUE"""),"2023/01/22 (日)
休日午前")</f>
        <v>2023/01/22 (日)
休日午前</v>
      </c>
      <c r="D378" s="15" t="str">
        <f ca="1">IFERROR(__xludf.DUMMYFUNCTION("""COMPUTED_VALUE"""),"休日午前")</f>
        <v>休日午前</v>
      </c>
      <c r="E378" s="16">
        <f ca="1">IFERROR(__xludf.DUMMYFUNCTION("""COMPUTED_VALUE"""),2.40045430504685)</f>
        <v>2.4004543050468499</v>
      </c>
      <c r="F378" s="15" t="s">
        <v>19</v>
      </c>
      <c r="G378" s="39">
        <v>2</v>
      </c>
      <c r="H378" s="29" t="s">
        <v>19</v>
      </c>
      <c r="I378" s="27"/>
      <c r="J378" s="27" t="s">
        <v>220</v>
      </c>
      <c r="K378" s="23" t="b">
        <f ca="1">IFERROR(__xludf.DUMMYFUNCTION("""COMPUTED_VALUE"""),TRUE)</f>
        <v>1</v>
      </c>
      <c r="L378" s="22">
        <f ca="1">IFERROR(__xludf.DUMMYFUNCTION("""COMPUTED_VALUE"""),0.184363371488317)</f>
        <v>0.184363371488317</v>
      </c>
      <c r="M378" s="23">
        <f ca="1">IFERROR(__xludf.DUMMYFUNCTION("""COMPUTED_VALUE"""),0.510497705067838)</f>
        <v>0.51049770506783798</v>
      </c>
      <c r="N378" s="23">
        <f ca="1">IFERROR(__xludf.DUMMYFUNCTION("""COMPUTED_VALUE"""),0.960885678886416)</f>
        <v>0.96088567888641596</v>
      </c>
      <c r="O378" s="23">
        <f ca="1">IFERROR(__xludf.DUMMYFUNCTION("""COMPUTED_VALUE"""),2.40045430504685)</f>
        <v>2.4004543050468499</v>
      </c>
      <c r="P378" s="23"/>
      <c r="Q378" s="24">
        <f ca="1">IFERROR(__xludf.DUMMYFUNCTION("""COMPUTED_VALUE"""),0.57884666136171)</f>
        <v>0.57884666136171004</v>
      </c>
      <c r="R378" s="23"/>
      <c r="S378" s="23"/>
      <c r="T378" s="23"/>
      <c r="U378" s="23">
        <f ca="1">IFERROR(__xludf.DUMMYFUNCTION("""COMPUTED_VALUE"""),-0.683693827859008)</f>
        <v>-0.68369382785900801</v>
      </c>
      <c r="V378" s="23">
        <f ca="1">IFERROR(__xludf.DUMMYFUNCTION("""COMPUTED_VALUE"""),0.788167622891979)</f>
        <v>0.78816762289197895</v>
      </c>
      <c r="W378" s="23">
        <f ca="1">IFERROR(__xludf.DUMMYFUNCTION("""COMPUTED_VALUE"""),0.353746087527435)</f>
        <v>0.35374608752743503</v>
      </c>
      <c r="X378" s="23"/>
      <c r="Y378" s="23">
        <f ca="1">IFERROR(__xludf.DUMMYFUNCTION("""COMPUTED_VALUE"""),0.391817344371356)</f>
        <v>0.39181734437135601</v>
      </c>
      <c r="Z378" s="23">
        <f ca="1">IFERROR(__xludf.DUMMYFUNCTION("""COMPUTED_VALUE"""),-0.507544004342667)</f>
        <v>-0.507544004342667</v>
      </c>
      <c r="AA378" s="23">
        <f ca="1">IFERROR(__xludf.DUMMYFUNCTION("""COMPUTED_VALUE"""),0.435198669770551)</f>
        <v>0.43519866977055099</v>
      </c>
      <c r="AB378" s="23">
        <f ca="1">IFERROR(__xludf.DUMMYFUNCTION("""COMPUTED_VALUE"""),-0.602031259351849)</f>
        <v>-0.60203125935184898</v>
      </c>
      <c r="AC378" s="22">
        <f ca="1">IFERROR(__xludf.DUMMYFUNCTION("""COMPUTED_VALUE"""),-0.0739575612352612)</f>
        <v>-7.3957561235261204E-2</v>
      </c>
      <c r="AD378" s="23"/>
      <c r="AE378" s="23"/>
      <c r="AF378" s="22"/>
      <c r="AG378" s="22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</row>
    <row r="379" spans="1:45" ht="27.75" customHeight="1" x14ac:dyDescent="0.4">
      <c r="A379" s="15" t="s">
        <v>207</v>
      </c>
      <c r="B379" s="15" t="s">
        <v>208</v>
      </c>
      <c r="C379" s="15" t="str">
        <f ca="1">IFERROR(__xludf.DUMMYFUNCTION("""COMPUTED_VALUE"""),"2023/01/22 (日)
休日午後")</f>
        <v>2023/01/22 (日)
休日午後</v>
      </c>
      <c r="D379" s="15" t="str">
        <f ca="1">IFERROR(__xludf.DUMMYFUNCTION("""COMPUTED_VALUE"""),"休日午後")</f>
        <v>休日午後</v>
      </c>
      <c r="E379" s="16">
        <f ca="1">IFERROR(__xludf.DUMMYFUNCTION("""COMPUTED_VALUE"""),0.92723433065763)</f>
        <v>0.92723433065762995</v>
      </c>
      <c r="F379" s="15" t="s">
        <v>127</v>
      </c>
      <c r="G379" s="39">
        <v>0</v>
      </c>
      <c r="H379" s="29" t="s">
        <v>13</v>
      </c>
      <c r="I379" s="27"/>
      <c r="J379" s="27" t="s">
        <v>220</v>
      </c>
      <c r="K379" s="23" t="b">
        <f ca="1">IFERROR(__xludf.DUMMYFUNCTION("""COMPUTED_VALUE"""),TRUE)</f>
        <v>1</v>
      </c>
      <c r="L379" s="22">
        <f ca="1">IFERROR(__xludf.DUMMYFUNCTION("""COMPUTED_VALUE"""),-0.541018118401851)</f>
        <v>-0.54101811840185099</v>
      </c>
      <c r="M379" s="23">
        <f ca="1">IFERROR(__xludf.DUMMYFUNCTION("""COMPUTED_VALUE"""),-0.199624079629121)</f>
        <v>-0.19962407962912099</v>
      </c>
      <c r="N379" s="23">
        <f ca="1">IFERROR(__xludf.DUMMYFUNCTION("""COMPUTED_VALUE"""),0.777813131506696)</f>
        <v>0.77781313150669595</v>
      </c>
      <c r="O379" s="23">
        <f ca="1">IFERROR(__xludf.DUMMYFUNCTION("""COMPUTED_VALUE"""),-0.759581396401879)</f>
        <v>-0.75958139640187905</v>
      </c>
      <c r="P379" s="23"/>
      <c r="Q379" s="24">
        <f ca="1">IFERROR(__xludf.DUMMYFUNCTION("""COMPUTED_VALUE"""),0.223150189735823)</f>
        <v>0.22315018973582301</v>
      </c>
      <c r="R379" s="23"/>
      <c r="S379" s="23"/>
      <c r="T379" s="23"/>
      <c r="U379" s="23">
        <f ca="1">IFERROR(__xludf.DUMMYFUNCTION("""COMPUTED_VALUE"""),-0.140555158649944)</f>
        <v>-0.140555158649944</v>
      </c>
      <c r="V379" s="23">
        <f ca="1">IFERROR(__xludf.DUMMYFUNCTION("""COMPUTED_VALUE"""),0.542487462200823)</f>
        <v>0.542487462200823</v>
      </c>
      <c r="W379" s="23">
        <f ca="1">IFERROR(__xludf.DUMMYFUNCTION("""COMPUTED_VALUE"""),0.203021891595945)</f>
        <v>0.203021891595945</v>
      </c>
      <c r="X379" s="23"/>
      <c r="Y379" s="23">
        <f ca="1">IFERROR(__xludf.DUMMYFUNCTION("""COMPUTED_VALUE"""),0.181363995723019)</f>
        <v>0.18136399572301901</v>
      </c>
      <c r="Z379" s="23">
        <f ca="1">IFERROR(__xludf.DUMMYFUNCTION("""COMPUTED_VALUE"""),-0.873860397156105)</f>
        <v>-0.87386039715610497</v>
      </c>
      <c r="AA379" s="23">
        <f ca="1">IFERROR(__xludf.DUMMYFUNCTION("""COMPUTED_VALUE"""),0.610964441850343)</f>
        <v>0.61096444185034304</v>
      </c>
      <c r="AB379" s="23">
        <f ca="1">IFERROR(__xludf.DUMMYFUNCTION("""COMPUTED_VALUE"""),0.924199923645499)</f>
        <v>0.92419992364549897</v>
      </c>
      <c r="AC379" s="22">
        <f ca="1">IFERROR(__xludf.DUMMYFUNCTION("""COMPUTED_VALUE"""),-0.357912209072331)</f>
        <v>-0.35791220907233101</v>
      </c>
      <c r="AD379" s="23"/>
      <c r="AE379" s="23"/>
      <c r="AF379" s="22"/>
      <c r="AG379" s="22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</row>
    <row r="380" spans="1:45" ht="27.75" customHeight="1" x14ac:dyDescent="0.4">
      <c r="A380" s="15" t="s">
        <v>207</v>
      </c>
      <c r="B380" s="15" t="s">
        <v>208</v>
      </c>
      <c r="C380" s="15" t="str">
        <f ca="1">IFERROR(__xludf.DUMMYFUNCTION("""COMPUTED_VALUE"""),"2023/01/23 (月)
平日夜間")</f>
        <v>2023/01/23 (月)
平日夜間</v>
      </c>
      <c r="D380" s="15" t="str">
        <f ca="1">IFERROR(__xludf.DUMMYFUNCTION("""COMPUTED_VALUE"""),"平日夜間")</f>
        <v>平日夜間</v>
      </c>
      <c r="E380" s="16">
        <f ca="1">IFERROR(__xludf.DUMMYFUNCTION("""COMPUTED_VALUE"""),2.30917278956963)</f>
        <v>2.3091727895696299</v>
      </c>
      <c r="F380" s="15" t="s">
        <v>149</v>
      </c>
      <c r="G380" s="39">
        <v>2</v>
      </c>
      <c r="H380" s="29" t="s">
        <v>149</v>
      </c>
      <c r="I380" s="27"/>
      <c r="J380" s="27" t="s">
        <v>221</v>
      </c>
      <c r="K380" s="23" t="b">
        <f ca="1">IFERROR(__xludf.DUMMYFUNCTION("""COMPUTED_VALUE"""),TRUE)</f>
        <v>1</v>
      </c>
      <c r="L380" s="22">
        <f ca="1">IFERROR(__xludf.DUMMYFUNCTION("""COMPUTED_VALUE"""),0.00258378446755869)</f>
        <v>2.5837844675586901E-3</v>
      </c>
      <c r="M380" s="23">
        <f ca="1">IFERROR(__xludf.DUMMYFUNCTION("""COMPUTED_VALUE"""),-0.241699630239424)</f>
        <v>-0.24169963023942401</v>
      </c>
      <c r="N380" s="23">
        <f ca="1">IFERROR(__xludf.DUMMYFUNCTION("""COMPUTED_VALUE"""),0.311198054479843)</f>
        <v>0.311198054479843</v>
      </c>
      <c r="O380" s="23">
        <f ca="1">IFERROR(__xludf.DUMMYFUNCTION("""COMPUTED_VALUE"""),-0.0936730266310492)</f>
        <v>-9.3673026631049205E-2</v>
      </c>
      <c r="P380" s="23"/>
      <c r="Q380" s="24">
        <f ca="1">IFERROR(__xludf.DUMMYFUNCTION("""COMPUTED_VALUE"""),0.579913404527299)</f>
        <v>0.579913404527299</v>
      </c>
      <c r="R380" s="23"/>
      <c r="S380" s="23"/>
      <c r="T380" s="23"/>
      <c r="U380" s="23">
        <f ca="1">IFERROR(__xludf.DUMMYFUNCTION("""COMPUTED_VALUE"""),-0.68337811625039)</f>
        <v>-0.68337811625039002</v>
      </c>
      <c r="V380" s="23">
        <f ca="1">IFERROR(__xludf.DUMMYFUNCTION("""COMPUTED_VALUE"""),0.915721733722788)</f>
        <v>0.91572173372278798</v>
      </c>
      <c r="W380" s="23">
        <f ca="1">IFERROR(__xludf.DUMMYFUNCTION("""COMPUTED_VALUE"""),-0.0909797541032939)</f>
        <v>-9.0979754103293897E-2</v>
      </c>
      <c r="X380" s="23"/>
      <c r="Y380" s="23">
        <f ca="1">IFERROR(__xludf.DUMMYFUNCTION("""COMPUTED_VALUE"""),0.427450675194844)</f>
        <v>0.42745067519484398</v>
      </c>
      <c r="Z380" s="23">
        <f ca="1">IFERROR(__xludf.DUMMYFUNCTION("""COMPUTED_VALUE"""),0.985952333656823)</f>
        <v>0.985952333656823</v>
      </c>
      <c r="AA380" s="23">
        <f ca="1">IFERROR(__xludf.DUMMYFUNCTION("""COMPUTED_VALUE"""),-0.614621094585708)</f>
        <v>-0.61462109458570802</v>
      </c>
      <c r="AB380" s="23">
        <f ca="1">IFERROR(__xludf.DUMMYFUNCTION("""COMPUTED_VALUE"""),0.704907326518087)</f>
        <v>0.70490732651808696</v>
      </c>
      <c r="AC380" s="22">
        <f ca="1">IFERROR(__xludf.DUMMYFUNCTION("""COMPUTED_VALUE"""),-0.105120697829702)</f>
        <v>-0.105120697829702</v>
      </c>
      <c r="AD380" s="23"/>
      <c r="AE380" s="23"/>
      <c r="AF380" s="22"/>
      <c r="AG380" s="22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</row>
    <row r="381" spans="1:45" ht="27.75" customHeight="1" x14ac:dyDescent="0.35">
      <c r="A381" s="15" t="s">
        <v>207</v>
      </c>
      <c r="B381" s="15" t="s">
        <v>208</v>
      </c>
      <c r="C381" s="15" t="str">
        <f ca="1">IFERROR(__xludf.DUMMYFUNCTION("""COMPUTED_VALUE"""),"2023/01/24 (火)
平日夜間")</f>
        <v>2023/01/24 (火)
平日夜間</v>
      </c>
      <c r="D381" s="15" t="str">
        <f ca="1">IFERROR(__xludf.DUMMYFUNCTION("""COMPUTED_VALUE"""),"平日夜間")</f>
        <v>平日夜間</v>
      </c>
      <c r="E381" s="16">
        <f ca="1">IFERROR(__xludf.DUMMYFUNCTION("""COMPUTED_VALUE"""),0.983184065992448)</f>
        <v>0.98318406599244801</v>
      </c>
      <c r="F381" s="15" t="s">
        <v>14</v>
      </c>
      <c r="G381" s="39">
        <v>0</v>
      </c>
      <c r="H381" s="27" t="s">
        <v>17</v>
      </c>
      <c r="I381" s="27"/>
      <c r="J381" s="27" t="s">
        <v>46</v>
      </c>
      <c r="K381" s="23" t="b">
        <f ca="1">IFERROR(__xludf.DUMMYFUNCTION("""COMPUTED_VALUE"""),FALSE)</f>
        <v>0</v>
      </c>
      <c r="L381" s="22">
        <f ca="1">IFERROR(__xludf.DUMMYFUNCTION("""COMPUTED_VALUE"""),0.657131536833715)</f>
        <v>0.65713153683371495</v>
      </c>
      <c r="M381" s="23">
        <f ca="1">IFERROR(__xludf.DUMMYFUNCTION("""COMPUTED_VALUE"""),-0.221801425442063)</f>
        <v>-0.22180142544206299</v>
      </c>
      <c r="N381" s="23">
        <f ca="1">IFERROR(__xludf.DUMMYFUNCTION("""COMPUTED_VALUE"""),0.806052717811914)</f>
        <v>0.80605271781191401</v>
      </c>
      <c r="O381" s="23">
        <f ca="1">IFERROR(__xludf.DUMMYFUNCTION("""COMPUTED_VALUE"""),0.484184227174495)</f>
        <v>0.484184227174495</v>
      </c>
      <c r="P381" s="23"/>
      <c r="Q381" s="24">
        <f ca="1">IFERROR(__xludf.DUMMYFUNCTION("""COMPUTED_VALUE"""),0.498250225021249)</f>
        <v>0.49825022502124899</v>
      </c>
      <c r="R381" s="23"/>
      <c r="S381" s="23"/>
      <c r="T381" s="23"/>
      <c r="U381" s="23">
        <f ca="1">IFERROR(__xludf.DUMMYFUNCTION("""COMPUTED_VALUE"""),0.0596036325602793)</f>
        <v>5.9603632560279299E-2</v>
      </c>
      <c r="V381" s="23">
        <f ca="1">IFERROR(__xludf.DUMMYFUNCTION("""COMPUTED_VALUE"""),0.833301390462601)</f>
        <v>0.83330139046260099</v>
      </c>
      <c r="W381" s="23">
        <f ca="1">IFERROR(__xludf.DUMMYFUNCTION("""COMPUTED_VALUE"""),-0.257218075257395)</f>
        <v>-0.25721807525739498</v>
      </c>
      <c r="X381" s="23"/>
      <c r="Y381" s="23">
        <f ca="1">IFERROR(__xludf.DUMMYFUNCTION("""COMPUTED_VALUE"""),0.983184065992448)</f>
        <v>0.98318406599244801</v>
      </c>
      <c r="Z381" s="23">
        <f ca="1">IFERROR(__xludf.DUMMYFUNCTION("""COMPUTED_VALUE"""),-0.120425553515216)</f>
        <v>-0.120425553515216</v>
      </c>
      <c r="AA381" s="23">
        <f ca="1">IFERROR(__xludf.DUMMYFUNCTION("""COMPUTED_VALUE"""),-0.0122383823080114)</f>
        <v>-1.22383823080114E-2</v>
      </c>
      <c r="AB381" s="23">
        <f ca="1">IFERROR(__xludf.DUMMYFUNCTION("""COMPUTED_VALUE"""),0.101751597075882)</f>
        <v>0.10175159707588199</v>
      </c>
      <c r="AC381" s="22">
        <f ca="1">IFERROR(__xludf.DUMMYFUNCTION("""COMPUTED_VALUE"""),-0.559758401485636)</f>
        <v>-0.55975840148563605</v>
      </c>
      <c r="AD381" s="23"/>
      <c r="AE381" s="23"/>
      <c r="AF381" s="22"/>
      <c r="AG381" s="22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</row>
    <row r="382" spans="1:45" ht="27.75" customHeight="1" x14ac:dyDescent="0.4">
      <c r="A382" s="15" t="s">
        <v>207</v>
      </c>
      <c r="B382" s="15" t="s">
        <v>208</v>
      </c>
      <c r="C382" s="15" t="str">
        <f ca="1">IFERROR(__xludf.DUMMYFUNCTION("""COMPUTED_VALUE"""),"2023/01/25 (水)
平日夜間")</f>
        <v>2023/01/25 (水)
平日夜間</v>
      </c>
      <c r="D382" s="15" t="str">
        <f ca="1">IFERROR(__xludf.DUMMYFUNCTION("""COMPUTED_VALUE"""),"平日夜間")</f>
        <v>平日夜間</v>
      </c>
      <c r="E382" s="16">
        <f ca="1">IFERROR(__xludf.DUMMYFUNCTION("""COMPUTED_VALUE"""),2.56884152294335)</f>
        <v>2.5688415229433499</v>
      </c>
      <c r="F382" s="15" t="s">
        <v>10</v>
      </c>
      <c r="G382" s="39">
        <v>2</v>
      </c>
      <c r="H382" s="29" t="s">
        <v>10</v>
      </c>
      <c r="I382" s="27"/>
      <c r="J382" s="27" t="s">
        <v>137</v>
      </c>
      <c r="K382" s="23" t="b">
        <f ca="1">IFERROR(__xludf.DUMMYFUNCTION("""COMPUTED_VALUE"""),TRUE)</f>
        <v>1</v>
      </c>
      <c r="L382" s="22">
        <f ca="1">IFERROR(__xludf.DUMMYFUNCTION("""COMPUTED_VALUE"""),-0.0528828674459742)</f>
        <v>-5.2882867445974202E-2</v>
      </c>
      <c r="M382" s="23">
        <f ca="1">IFERROR(__xludf.DUMMYFUNCTION("""COMPUTED_VALUE"""),-0.317731181365463)</f>
        <v>-0.31773118136546302</v>
      </c>
      <c r="N382" s="23">
        <f ca="1">IFERROR(__xludf.DUMMYFUNCTION("""COMPUTED_VALUE"""),0.485029934835433)</f>
        <v>0.485029934835433</v>
      </c>
      <c r="O382" s="23">
        <f ca="1">IFERROR(__xludf.DUMMYFUNCTION("""COMPUTED_VALUE"""),0.325999349593163)</f>
        <v>0.32599934959316301</v>
      </c>
      <c r="P382" s="23"/>
      <c r="Q382" s="24">
        <f ca="1">IFERROR(__xludf.DUMMYFUNCTION("""COMPUTED_VALUE"""),0.203852519319749)</f>
        <v>0.20385251931974899</v>
      </c>
      <c r="R382" s="23"/>
      <c r="S382" s="23"/>
      <c r="T382" s="23"/>
      <c r="U382" s="23">
        <f ca="1">IFERROR(__xludf.DUMMYFUNCTION("""COMPUTED_VALUE"""),0.655572769056991)</f>
        <v>0.65557276905699102</v>
      </c>
      <c r="V382" s="23">
        <f ca="1">IFERROR(__xludf.DUMMYFUNCTION("""COMPUTED_VALUE"""),0.246492981979298)</f>
        <v>0.246492981979298</v>
      </c>
      <c r="W382" s="23">
        <f ca="1">IFERROR(__xludf.DUMMYFUNCTION("""COMPUTED_VALUE"""),-0.930586781661516)</f>
        <v>-0.93058678166151598</v>
      </c>
      <c r="X382" s="23"/>
      <c r="Y382" s="23">
        <f ca="1">IFERROR(__xludf.DUMMYFUNCTION("""COMPUTED_VALUE"""),0.61333692626697)</f>
        <v>0.61333692626697001</v>
      </c>
      <c r="Z382" s="23">
        <f ca="1">IFERROR(__xludf.DUMMYFUNCTION("""COMPUTED_VALUE"""),2.56884152294335)</f>
        <v>2.5688415229433499</v>
      </c>
      <c r="AA382" s="23">
        <f ca="1">IFERROR(__xludf.DUMMYFUNCTION("""COMPUTED_VALUE"""),0.605775835635854)</f>
        <v>0.60577583563585402</v>
      </c>
      <c r="AB382" s="23">
        <f ca="1">IFERROR(__xludf.DUMMYFUNCTION("""COMPUTED_VALUE"""),0.305340513736538)</f>
        <v>0.30534051373653798</v>
      </c>
      <c r="AC382" s="22">
        <f ca="1">IFERROR(__xludf.DUMMYFUNCTION("""COMPUTED_VALUE"""),0.173650232059106)</f>
        <v>0.17365023205910601</v>
      </c>
      <c r="AD382" s="23"/>
      <c r="AE382" s="23"/>
      <c r="AF382" s="22"/>
      <c r="AG382" s="22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</row>
    <row r="383" spans="1:45" ht="27.75" customHeight="1" x14ac:dyDescent="0.4">
      <c r="A383" s="15" t="s">
        <v>207</v>
      </c>
      <c r="B383" s="15" t="s">
        <v>208</v>
      </c>
      <c r="C383" s="15" t="str">
        <f ca="1">IFERROR(__xludf.DUMMYFUNCTION("""COMPUTED_VALUE"""),"2023/01/26 (木)
平日夜間")</f>
        <v>2023/01/26 (木)
平日夜間</v>
      </c>
      <c r="D383" s="15" t="str">
        <f ca="1">IFERROR(__xludf.DUMMYFUNCTION("""COMPUTED_VALUE"""),"平日夜間")</f>
        <v>平日夜間</v>
      </c>
      <c r="E383" s="16">
        <f ca="1">IFERROR(__xludf.DUMMYFUNCTION("""COMPUTED_VALUE"""),2.73213144830618)</f>
        <v>2.73213144830618</v>
      </c>
      <c r="F383" s="15" t="s">
        <v>127</v>
      </c>
      <c r="G383" s="39">
        <v>2</v>
      </c>
      <c r="H383" s="29" t="s">
        <v>127</v>
      </c>
      <c r="I383" s="27"/>
      <c r="J383" s="27" t="s">
        <v>158</v>
      </c>
      <c r="K383" s="23" t="b">
        <f ca="1">IFERROR(__xludf.DUMMYFUNCTION("""COMPUTED_VALUE"""),TRUE)</f>
        <v>1</v>
      </c>
      <c r="L383" s="22">
        <f ca="1">IFERROR(__xludf.DUMMYFUNCTION("""COMPUTED_VALUE"""),-0.266889705375989)</f>
        <v>-0.26688970537598899</v>
      </c>
      <c r="M383" s="23">
        <f ca="1">IFERROR(__xludf.DUMMYFUNCTION("""COMPUTED_VALUE"""),0.740394095008792)</f>
        <v>0.74039409500879205</v>
      </c>
      <c r="N383" s="23">
        <f ca="1">IFERROR(__xludf.DUMMYFUNCTION("""COMPUTED_VALUE"""),0.985941804053061)</f>
        <v>0.98594180405306098</v>
      </c>
      <c r="O383" s="23">
        <f ca="1">IFERROR(__xludf.DUMMYFUNCTION("""COMPUTED_VALUE"""),-0.956738574625058)</f>
        <v>-0.95673857462505796</v>
      </c>
      <c r="P383" s="23"/>
      <c r="Q383" s="24">
        <f ca="1">IFERROR(__xludf.DUMMYFUNCTION("""COMPUTED_VALUE"""),0.633599270865176)</f>
        <v>0.63359927086517598</v>
      </c>
      <c r="R383" s="23"/>
      <c r="S383" s="23"/>
      <c r="T383" s="23"/>
      <c r="U383" s="23">
        <f ca="1">IFERROR(__xludf.DUMMYFUNCTION("""COMPUTED_VALUE"""),-0.917700321645597)</f>
        <v>-0.91770032164559701</v>
      </c>
      <c r="V383" s="23">
        <f ca="1">IFERROR(__xludf.DUMMYFUNCTION("""COMPUTED_VALUE"""),-0.768851778750289)</f>
        <v>-0.76885177875028898</v>
      </c>
      <c r="W383" s="23">
        <f ca="1">IFERROR(__xludf.DUMMYFUNCTION("""COMPUTED_VALUE"""),0.4372037351407)</f>
        <v>0.43720373514069999</v>
      </c>
      <c r="X383" s="23"/>
      <c r="Y383" s="23">
        <f ca="1">IFERROR(__xludf.DUMMYFUNCTION("""COMPUTED_VALUE"""),0.0286525943804523)</f>
        <v>2.8652594380452302E-2</v>
      </c>
      <c r="Z383" s="23">
        <f ca="1">IFERROR(__xludf.DUMMYFUNCTION("""COMPUTED_VALUE"""),0.662258726191131)</f>
        <v>0.66225872619113102</v>
      </c>
      <c r="AA383" s="23">
        <f ca="1">IFERROR(__xludf.DUMMYFUNCTION("""COMPUTED_VALUE"""),0.0899570513548522)</f>
        <v>8.9957051354852199E-2</v>
      </c>
      <c r="AB383" s="23">
        <f ca="1">IFERROR(__xludf.DUMMYFUNCTION("""COMPUTED_VALUE"""),0.438661592275174)</f>
        <v>0.43866159227517398</v>
      </c>
      <c r="AC383" s="22">
        <f ca="1">IFERROR(__xludf.DUMMYFUNCTION("""COMPUTED_VALUE"""),0.829515520768754)</f>
        <v>0.82951552076875401</v>
      </c>
      <c r="AD383" s="23"/>
      <c r="AE383" s="23"/>
      <c r="AF383" s="22"/>
      <c r="AG383" s="22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</row>
    <row r="384" spans="1:45" ht="27.75" customHeight="1" x14ac:dyDescent="0.35">
      <c r="A384" s="15" t="s">
        <v>207</v>
      </c>
      <c r="B384" s="15" t="s">
        <v>208</v>
      </c>
      <c r="C384" s="15" t="str">
        <f ca="1">IFERROR(__xludf.DUMMYFUNCTION("""COMPUTED_VALUE"""),"2023/01/27 (金)
平日夜間")</f>
        <v>2023/01/27 (金)
平日夜間</v>
      </c>
      <c r="D384" s="15" t="str">
        <f ca="1">IFERROR(__xludf.DUMMYFUNCTION("""COMPUTED_VALUE"""),"平日夜間")</f>
        <v>平日夜間</v>
      </c>
      <c r="E384" s="16">
        <f ca="1">IFERROR(__xludf.DUMMYFUNCTION("""COMPUTED_VALUE"""),0.920496049981373)</f>
        <v>0.92049604998137302</v>
      </c>
      <c r="F384" s="15" t="s">
        <v>200</v>
      </c>
      <c r="G384" s="39">
        <v>0</v>
      </c>
      <c r="H384" s="27" t="s">
        <v>4</v>
      </c>
      <c r="I384" s="27"/>
      <c r="J384" s="27"/>
      <c r="K384" s="23" t="b">
        <f ca="1">IFERROR(__xludf.DUMMYFUNCTION("""COMPUTED_VALUE"""),FALSE)</f>
        <v>0</v>
      </c>
      <c r="L384" s="22">
        <f ca="1">IFERROR(__xludf.DUMMYFUNCTION("""COMPUTED_VALUE"""),0.888237198219932)</f>
        <v>0.88823719821993197</v>
      </c>
      <c r="M384" s="23">
        <f ca="1">IFERROR(__xludf.DUMMYFUNCTION("""COMPUTED_VALUE"""),0.554644777844078)</f>
        <v>0.55464477784407795</v>
      </c>
      <c r="N384" s="23">
        <f ca="1">IFERROR(__xludf.DUMMYFUNCTION("""COMPUTED_VALUE"""),-0.235609738208822)</f>
        <v>-0.235609738208822</v>
      </c>
      <c r="O384" s="23">
        <f ca="1">IFERROR(__xludf.DUMMYFUNCTION("""COMPUTED_VALUE"""),-0.0926959886517084)</f>
        <v>-9.2695988651708403E-2</v>
      </c>
      <c r="P384" s="23"/>
      <c r="Q384" s="24">
        <f ca="1">IFERROR(__xludf.DUMMYFUNCTION("""COMPUTED_VALUE"""),0.279962637330363)</f>
        <v>0.27996263733036297</v>
      </c>
      <c r="R384" s="23"/>
      <c r="S384" s="23"/>
      <c r="T384" s="23"/>
      <c r="U384" s="23">
        <f ca="1">IFERROR(__xludf.DUMMYFUNCTION("""COMPUTED_VALUE"""),-0.519373442148175)</f>
        <v>-0.51937344214817505</v>
      </c>
      <c r="V384" s="23">
        <f ca="1">IFERROR(__xludf.DUMMYFUNCTION("""COMPUTED_VALUE"""),-0.504802527393755)</f>
        <v>-0.50480252739375497</v>
      </c>
      <c r="W384" s="23">
        <f ca="1">IFERROR(__xludf.DUMMYFUNCTION("""COMPUTED_VALUE"""),0.111191556961264)</f>
        <v>0.111191556961264</v>
      </c>
      <c r="X384" s="23"/>
      <c r="Y384" s="23">
        <f ca="1">IFERROR(__xludf.DUMMYFUNCTION("""COMPUTED_VALUE"""),0.557212600927086)</f>
        <v>0.55721260092708602</v>
      </c>
      <c r="Z384" s="23">
        <f ca="1">IFERROR(__xludf.DUMMYFUNCTION("""COMPUTED_VALUE"""),-0.255966719969851)</f>
        <v>-0.25596671996985099</v>
      </c>
      <c r="AA384" s="23">
        <f ca="1">IFERROR(__xludf.DUMMYFUNCTION("""COMPUTED_VALUE"""),0.313957197730739)</f>
        <v>0.31395719773073899</v>
      </c>
      <c r="AB384" s="23">
        <f ca="1">IFERROR(__xludf.DUMMYFUNCTION("""COMPUTED_VALUE"""),0.0550199972699285)</f>
        <v>5.5019997269928497E-2</v>
      </c>
      <c r="AC384" s="22">
        <f ca="1">IFERROR(__xludf.DUMMYFUNCTION("""COMPUTED_VALUE"""),0.749091420285358)</f>
        <v>0.74909142028535802</v>
      </c>
      <c r="AD384" s="23"/>
      <c r="AE384" s="23"/>
      <c r="AF384" s="22"/>
      <c r="AG384" s="22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</row>
    <row r="385" spans="1:45" ht="27.75" customHeight="1" x14ac:dyDescent="0.4">
      <c r="A385" s="15" t="s">
        <v>207</v>
      </c>
      <c r="B385" s="15" t="s">
        <v>208</v>
      </c>
      <c r="C385" s="15" t="str">
        <f ca="1">IFERROR(__xludf.DUMMYFUNCTION("""COMPUTED_VALUE"""),"2023/01/28 (土)
休日午前")</f>
        <v>2023/01/28 (土)
休日午前</v>
      </c>
      <c r="D385" s="15" t="str">
        <f ca="1">IFERROR(__xludf.DUMMYFUNCTION("""COMPUTED_VALUE"""),"休日午前")</f>
        <v>休日午前</v>
      </c>
      <c r="E385" s="16">
        <f ca="1">IFERROR(__xludf.DUMMYFUNCTION("""COMPUTED_VALUE"""),0.767362852025717)</f>
        <v>0.76736285202571697</v>
      </c>
      <c r="F385" s="15" t="s">
        <v>127</v>
      </c>
      <c r="G385" s="39">
        <v>-1</v>
      </c>
      <c r="H385" s="29" t="s">
        <v>18</v>
      </c>
      <c r="I385" s="27"/>
      <c r="J385" s="27" t="s">
        <v>222</v>
      </c>
      <c r="K385" s="23" t="b">
        <f ca="1">IFERROR(__xludf.DUMMYFUNCTION("""COMPUTED_VALUE"""),TRUE)</f>
        <v>1</v>
      </c>
      <c r="L385" s="22">
        <f ca="1">IFERROR(__xludf.DUMMYFUNCTION("""COMPUTED_VALUE"""),-0.29307557073789)</f>
        <v>-0.29307557073788998</v>
      </c>
      <c r="M385" s="23">
        <f ca="1">IFERROR(__xludf.DUMMYFUNCTION("""COMPUTED_VALUE"""),0.0919467397007931)</f>
        <v>9.1946739700793104E-2</v>
      </c>
      <c r="N385" s="23">
        <f ca="1">IFERROR(__xludf.DUMMYFUNCTION("""COMPUTED_VALUE"""),-0.0622252450054623)</f>
        <v>-6.2225245005462303E-2</v>
      </c>
      <c r="O385" s="23">
        <f ca="1">IFERROR(__xludf.DUMMYFUNCTION("""COMPUTED_VALUE"""),-0.592665249915884)</f>
        <v>-0.59266524991588398</v>
      </c>
      <c r="P385" s="23"/>
      <c r="Q385" s="24">
        <f ca="1">IFERROR(__xludf.DUMMYFUNCTION("""COMPUTED_VALUE"""),0.399812640509961)</f>
        <v>0.39981264050996101</v>
      </c>
      <c r="R385" s="23"/>
      <c r="S385" s="23"/>
      <c r="T385" s="23"/>
      <c r="U385" s="23">
        <f ca="1">IFERROR(__xludf.DUMMYFUNCTION("""COMPUTED_VALUE"""),-0.66034373971296)</f>
        <v>-0.66034373971296001</v>
      </c>
      <c r="V385" s="23">
        <f ca="1">IFERROR(__xludf.DUMMYFUNCTION("""COMPUTED_VALUE"""),0.410318872373522)</f>
        <v>0.41031887237352199</v>
      </c>
      <c r="W385" s="23">
        <f ca="1">IFERROR(__xludf.DUMMYFUNCTION("""COMPUTED_VALUE"""),0.309577135769039)</f>
        <v>0.309577135769039</v>
      </c>
      <c r="X385" s="23"/>
      <c r="Y385" s="23">
        <f ca="1">IFERROR(__xludf.DUMMYFUNCTION("""COMPUTED_VALUE"""),-0.083985520732178)</f>
        <v>-8.3985520732178007E-2</v>
      </c>
      <c r="Z385" s="23">
        <f ca="1">IFERROR(__xludf.DUMMYFUNCTION("""COMPUTED_VALUE"""),0.450579213284282)</f>
        <v>0.45057921328428202</v>
      </c>
      <c r="AA385" s="23">
        <f ca="1">IFERROR(__xludf.DUMMYFUNCTION("""COMPUTED_VALUE"""),-0.170072606215059)</f>
        <v>-0.17007260621505901</v>
      </c>
      <c r="AB385" s="23">
        <f ca="1">IFERROR(__xludf.DUMMYFUNCTION("""COMPUTED_VALUE"""),0.332557102424539)</f>
        <v>0.33255710242453901</v>
      </c>
      <c r="AC385" s="22">
        <f ca="1">IFERROR(__xludf.DUMMYFUNCTION("""COMPUTED_VALUE"""),0.604739897563118)</f>
        <v>0.60473989756311797</v>
      </c>
      <c r="AD385" s="23"/>
      <c r="AE385" s="23"/>
      <c r="AF385" s="22"/>
      <c r="AG385" s="22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</row>
    <row r="386" spans="1:45" ht="27.75" customHeight="1" x14ac:dyDescent="0.4">
      <c r="A386" s="15" t="s">
        <v>207</v>
      </c>
      <c r="B386" s="15" t="s">
        <v>208</v>
      </c>
      <c r="C386" s="15" t="str">
        <f ca="1">IFERROR(__xludf.DUMMYFUNCTION("""COMPUTED_VALUE"""),"2023/01/28 (土)
休日午後")</f>
        <v>2023/01/28 (土)
休日午後</v>
      </c>
      <c r="D386" s="15" t="str">
        <f ca="1">IFERROR(__xludf.DUMMYFUNCTION("""COMPUTED_VALUE"""),"休日午後")</f>
        <v>休日午後</v>
      </c>
      <c r="E386" s="16">
        <f ca="1">IFERROR(__xludf.DUMMYFUNCTION("""COMPUTED_VALUE"""),2.90480754073514)</f>
        <v>2.9048075407351401</v>
      </c>
      <c r="F386" s="15" t="s">
        <v>16</v>
      </c>
      <c r="G386" s="39">
        <v>2</v>
      </c>
      <c r="H386" s="29" t="s">
        <v>16</v>
      </c>
      <c r="I386" s="27"/>
      <c r="J386" s="27" t="s">
        <v>222</v>
      </c>
      <c r="K386" s="23" t="b">
        <f ca="1">IFERROR(__xludf.DUMMYFUNCTION("""COMPUTED_VALUE"""),TRUE)</f>
        <v>1</v>
      </c>
      <c r="L386" s="22">
        <f ca="1">IFERROR(__xludf.DUMMYFUNCTION("""COMPUTED_VALUE"""),-0.666032789788521)</f>
        <v>-0.66603278978852098</v>
      </c>
      <c r="M386" s="23">
        <f ca="1">IFERROR(__xludf.DUMMYFUNCTION("""COMPUTED_VALUE"""),-0.524457110191167)</f>
        <v>-0.52445711019116703</v>
      </c>
      <c r="N386" s="23">
        <f ca="1">IFERROR(__xludf.DUMMYFUNCTION("""COMPUTED_VALUE"""),-0.13332320079727)</f>
        <v>-0.13332320079727</v>
      </c>
      <c r="O386" s="23">
        <f ca="1">IFERROR(__xludf.DUMMYFUNCTION("""COMPUTED_VALUE"""),-0.0359492940801651)</f>
        <v>-3.5949294080165103E-2</v>
      </c>
      <c r="P386" s="23"/>
      <c r="Q386" s="24">
        <f ca="1">IFERROR(__xludf.DUMMYFUNCTION("""COMPUTED_VALUE"""),2.90480754073514)</f>
        <v>2.9048075407351401</v>
      </c>
      <c r="R386" s="23"/>
      <c r="S386" s="23"/>
      <c r="T386" s="23"/>
      <c r="U386" s="23">
        <f ca="1">IFERROR(__xludf.DUMMYFUNCTION("""COMPUTED_VALUE"""),-0.666888776818823)</f>
        <v>-0.66688877681882297</v>
      </c>
      <c r="V386" s="23">
        <f ca="1">IFERROR(__xludf.DUMMYFUNCTION("""COMPUTED_VALUE"""),0.356857454675063)</f>
        <v>0.35685745467506302</v>
      </c>
      <c r="W386" s="23">
        <f ca="1">IFERROR(__xludf.DUMMYFUNCTION("""COMPUTED_VALUE"""),0.348711972332972)</f>
        <v>0.34871197233297202</v>
      </c>
      <c r="X386" s="23"/>
      <c r="Y386" s="23">
        <f ca="1">IFERROR(__xludf.DUMMYFUNCTION("""COMPUTED_VALUE"""),-0.741471153239551)</f>
        <v>-0.74147115323955104</v>
      </c>
      <c r="Z386" s="23">
        <f ca="1">IFERROR(__xludf.DUMMYFUNCTION("""COMPUTED_VALUE"""),0.776739602897246)</f>
        <v>0.77673960289724597</v>
      </c>
      <c r="AA386" s="23">
        <f ca="1">IFERROR(__xludf.DUMMYFUNCTION("""COMPUTED_VALUE"""),-0.450937982345815)</f>
        <v>-0.450937982345815</v>
      </c>
      <c r="AB386" s="23">
        <f ca="1">IFERROR(__xludf.DUMMYFUNCTION("""COMPUTED_VALUE"""),0.2308032960327)</f>
        <v>0.2308032960327</v>
      </c>
      <c r="AC386" s="22">
        <f ca="1">IFERROR(__xludf.DUMMYFUNCTION("""COMPUTED_VALUE"""),-0.0919332739953067)</f>
        <v>-9.1933273995306694E-2</v>
      </c>
      <c r="AD386" s="23"/>
      <c r="AE386" s="23"/>
      <c r="AF386" s="22"/>
      <c r="AG386" s="22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</row>
    <row r="387" spans="1:45" ht="27.75" customHeight="1" x14ac:dyDescent="0.4">
      <c r="A387" s="15" t="s">
        <v>207</v>
      </c>
      <c r="B387" s="15" t="s">
        <v>208</v>
      </c>
      <c r="C387" s="15" t="str">
        <f ca="1">IFERROR(__xludf.DUMMYFUNCTION("""COMPUTED_VALUE"""),"2023/01/29 (日)
休日午前")</f>
        <v>2023/01/29 (日)
休日午前</v>
      </c>
      <c r="D387" s="15" t="str">
        <f ca="1">IFERROR(__xludf.DUMMYFUNCTION("""COMPUTED_VALUE"""),"休日午前")</f>
        <v>休日午前</v>
      </c>
      <c r="E387" s="16">
        <f ca="1">IFERROR(__xludf.DUMMYFUNCTION("""COMPUTED_VALUE"""),0.921795579703677)</f>
        <v>0.92179557970367698</v>
      </c>
      <c r="F387" s="15" t="s">
        <v>2</v>
      </c>
      <c r="G387" s="39">
        <v>-1</v>
      </c>
      <c r="H387" s="29" t="s">
        <v>19</v>
      </c>
      <c r="I387" s="27"/>
      <c r="J387" s="27" t="s">
        <v>223</v>
      </c>
      <c r="K387" s="23" t="b">
        <f ca="1">IFERROR(__xludf.DUMMYFUNCTION("""COMPUTED_VALUE"""),TRUE)</f>
        <v>1</v>
      </c>
      <c r="L387" s="22">
        <f ca="1">IFERROR(__xludf.DUMMYFUNCTION("""COMPUTED_VALUE"""),-0.869979172567777)</f>
        <v>-0.86997917256777701</v>
      </c>
      <c r="M387" s="23">
        <f ca="1">IFERROR(__xludf.DUMMYFUNCTION("""COMPUTED_VALUE"""),-0.137737191032031)</f>
        <v>-0.137737191032031</v>
      </c>
      <c r="N387" s="23">
        <f ca="1">IFERROR(__xludf.DUMMYFUNCTION("""COMPUTED_VALUE"""),0.921795579703677)</f>
        <v>0.92179557970367698</v>
      </c>
      <c r="O387" s="23">
        <f ca="1">IFERROR(__xludf.DUMMYFUNCTION("""COMPUTED_VALUE"""),-0.665692830868514)</f>
        <v>-0.66569283086851405</v>
      </c>
      <c r="P387" s="23"/>
      <c r="Q387" s="24">
        <f ca="1">IFERROR(__xludf.DUMMYFUNCTION("""COMPUTED_VALUE"""),-0.983531055134511)</f>
        <v>-0.983531055134511</v>
      </c>
      <c r="R387" s="23"/>
      <c r="S387" s="23"/>
      <c r="T387" s="23"/>
      <c r="U387" s="23">
        <f ca="1">IFERROR(__xludf.DUMMYFUNCTION("""COMPUTED_VALUE"""),-0.890628207339009)</f>
        <v>-0.89062820733900905</v>
      </c>
      <c r="V387" s="23">
        <f ca="1">IFERROR(__xludf.DUMMYFUNCTION("""COMPUTED_VALUE"""),0.180519117230145)</f>
        <v>0.18051911723014499</v>
      </c>
      <c r="W387" s="23">
        <f ca="1">IFERROR(__xludf.DUMMYFUNCTION("""COMPUTED_VALUE"""),0.454792306947735)</f>
        <v>0.45479230694773498</v>
      </c>
      <c r="X387" s="23"/>
      <c r="Y387" s="23">
        <f ca="1">IFERROR(__xludf.DUMMYFUNCTION("""COMPUTED_VALUE"""),0.562263149595658)</f>
        <v>0.56226314959565804</v>
      </c>
      <c r="Z387" s="23">
        <f ca="1">IFERROR(__xludf.DUMMYFUNCTION("""COMPUTED_VALUE"""),0.685112965705301)</f>
        <v>0.685112965705301</v>
      </c>
      <c r="AA387" s="23">
        <f ca="1">IFERROR(__xludf.DUMMYFUNCTION("""COMPUTED_VALUE"""),-0.964373669631344)</f>
        <v>-0.96437366963134397</v>
      </c>
      <c r="AB387" s="23">
        <f ca="1">IFERROR(__xludf.DUMMYFUNCTION("""COMPUTED_VALUE"""),0.0131253513600551)</f>
        <v>1.3125351360055101E-2</v>
      </c>
      <c r="AC387" s="22">
        <f ca="1">IFERROR(__xludf.DUMMYFUNCTION("""COMPUTED_VALUE"""),-0.155950466773587)</f>
        <v>-0.15595046677358701</v>
      </c>
      <c r="AD387" s="23"/>
      <c r="AE387" s="23"/>
      <c r="AF387" s="22"/>
      <c r="AG387" s="22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</row>
    <row r="388" spans="1:45" ht="27.75" customHeight="1" x14ac:dyDescent="0.4">
      <c r="A388" s="15" t="s">
        <v>207</v>
      </c>
      <c r="B388" s="15" t="s">
        <v>208</v>
      </c>
      <c r="C388" s="15" t="str">
        <f ca="1">IFERROR(__xludf.DUMMYFUNCTION("""COMPUTED_VALUE"""),"2023/01/29 (日)
休日午後")</f>
        <v>2023/01/29 (日)
休日午後</v>
      </c>
      <c r="D388" s="15" t="str">
        <f ca="1">IFERROR(__xludf.DUMMYFUNCTION("""COMPUTED_VALUE"""),"休日午後")</f>
        <v>休日午後</v>
      </c>
      <c r="E388" s="16">
        <f ca="1">IFERROR(__xludf.DUMMYFUNCTION("""COMPUTED_VALUE"""),0.910919143054848)</f>
        <v>0.910919143054848</v>
      </c>
      <c r="F388" s="15" t="s">
        <v>9</v>
      </c>
      <c r="G388" s="39"/>
      <c r="H388" s="29" t="s">
        <v>15</v>
      </c>
      <c r="I388" s="27"/>
      <c r="J388" s="27" t="s">
        <v>223</v>
      </c>
      <c r="K388" s="23" t="b">
        <f ca="1">IFERROR(__xludf.DUMMYFUNCTION("""COMPUTED_VALUE"""),TRUE)</f>
        <v>1</v>
      </c>
      <c r="L388" s="22">
        <f ca="1">IFERROR(__xludf.DUMMYFUNCTION("""COMPUTED_VALUE"""),-0.956222117407666)</f>
        <v>-0.95622211740766605</v>
      </c>
      <c r="M388" s="23">
        <f ca="1">IFERROR(__xludf.DUMMYFUNCTION("""COMPUTED_VALUE"""),-0.75768880777442)</f>
        <v>-0.75768880777442005</v>
      </c>
      <c r="N388" s="23">
        <f ca="1">IFERROR(__xludf.DUMMYFUNCTION("""COMPUTED_VALUE"""),0.128963481241209)</f>
        <v>0.12896348124120899</v>
      </c>
      <c r="O388" s="23">
        <f ca="1">IFERROR(__xludf.DUMMYFUNCTION("""COMPUTED_VALUE"""),-0.757738159333371)</f>
        <v>-0.75773815933337096</v>
      </c>
      <c r="P388" s="23"/>
      <c r="Q388" s="24">
        <f ca="1">IFERROR(__xludf.DUMMYFUNCTION("""COMPUTED_VALUE"""),-0.682562983205996)</f>
        <v>-0.68256298320599595</v>
      </c>
      <c r="R388" s="23"/>
      <c r="S388" s="23"/>
      <c r="T388" s="23"/>
      <c r="U388" s="23">
        <f ca="1">IFERROR(__xludf.DUMMYFUNCTION("""COMPUTED_VALUE"""),-0.927730636567353)</f>
        <v>-0.927730636567353</v>
      </c>
      <c r="V388" s="23">
        <f ca="1">IFERROR(__xludf.DUMMYFUNCTION("""COMPUTED_VALUE"""),0.910919143054848)</f>
        <v>0.910919143054848</v>
      </c>
      <c r="W388" s="23">
        <f ca="1">IFERROR(__xludf.DUMMYFUNCTION("""COMPUTED_VALUE"""),0.126201039832865)</f>
        <v>0.12620103983286499</v>
      </c>
      <c r="X388" s="23"/>
      <c r="Y388" s="23">
        <f ca="1">IFERROR(__xludf.DUMMYFUNCTION("""COMPUTED_VALUE"""),0.807364584619085)</f>
        <v>0.807364584619085</v>
      </c>
      <c r="Z388" s="23">
        <f ca="1">IFERROR(__xludf.DUMMYFUNCTION("""COMPUTED_VALUE"""),0.140385662343051)</f>
        <v>0.140385662343051</v>
      </c>
      <c r="AA388" s="23">
        <f ca="1">IFERROR(__xludf.DUMMYFUNCTION("""COMPUTED_VALUE"""),-0.108970596667228)</f>
        <v>-0.108970596667228</v>
      </c>
      <c r="AB388" s="23">
        <f ca="1">IFERROR(__xludf.DUMMYFUNCTION("""COMPUTED_VALUE"""),0.0590387840437949)</f>
        <v>5.9038784043794902E-2</v>
      </c>
      <c r="AC388" s="22">
        <f ca="1">IFERROR(__xludf.DUMMYFUNCTION("""COMPUTED_VALUE"""),-0.808180927532299)</f>
        <v>-0.80818092753229898</v>
      </c>
      <c r="AD388" s="23"/>
      <c r="AE388" s="23"/>
      <c r="AF388" s="22"/>
      <c r="AG388" s="22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</row>
    <row r="389" spans="1:45" ht="27.75" customHeight="1" x14ac:dyDescent="0.35">
      <c r="A389" s="15" t="s">
        <v>207</v>
      </c>
      <c r="B389" s="15" t="s">
        <v>208</v>
      </c>
      <c r="C389" s="15" t="str">
        <f ca="1">IFERROR(__xludf.DUMMYFUNCTION("""COMPUTED_VALUE"""),"2023/01/30 (月)
平日夜間")</f>
        <v>2023/01/30 (月)
平日夜間</v>
      </c>
      <c r="D389" s="15" t="str">
        <f ca="1">IFERROR(__xludf.DUMMYFUNCTION("""COMPUTED_VALUE"""),"平日夜間")</f>
        <v>平日夜間</v>
      </c>
      <c r="E389" s="16">
        <f ca="1">IFERROR(__xludf.DUMMYFUNCTION("""COMPUTED_VALUE"""),2.83258263474206)</f>
        <v>2.8325826347420602</v>
      </c>
      <c r="F389" s="15" t="s">
        <v>10</v>
      </c>
      <c r="G389" s="39">
        <v>2</v>
      </c>
      <c r="H389" s="27" t="s">
        <v>10</v>
      </c>
      <c r="I389" s="27"/>
      <c r="J389" s="27" t="s">
        <v>96</v>
      </c>
      <c r="K389" s="23" t="b">
        <f ca="1">IFERROR(__xludf.DUMMYFUNCTION("""COMPUTED_VALUE"""),FALSE)</f>
        <v>0</v>
      </c>
      <c r="L389" s="22">
        <f ca="1">IFERROR(__xludf.DUMMYFUNCTION("""COMPUTED_VALUE"""),0.994817475235805)</f>
        <v>0.99481747523580499</v>
      </c>
      <c r="M389" s="23">
        <f ca="1">IFERROR(__xludf.DUMMYFUNCTION("""COMPUTED_VALUE"""),0.45774490740574)</f>
        <v>0.45774490740573998</v>
      </c>
      <c r="N389" s="23">
        <f ca="1">IFERROR(__xludf.DUMMYFUNCTION("""COMPUTED_VALUE"""),0.367167423959031)</f>
        <v>0.36716742395903101</v>
      </c>
      <c r="O389" s="23">
        <f ca="1">IFERROR(__xludf.DUMMYFUNCTION("""COMPUTED_VALUE"""),-0.846132600239628)</f>
        <v>-0.846132600239628</v>
      </c>
      <c r="P389" s="23"/>
      <c r="Q389" s="24">
        <f ca="1">IFERROR(__xludf.DUMMYFUNCTION("""COMPUTED_VALUE"""),0.343262315998591)</f>
        <v>0.34326231599859103</v>
      </c>
      <c r="R389" s="23"/>
      <c r="S389" s="23"/>
      <c r="T389" s="23"/>
      <c r="U389" s="23">
        <f ca="1">IFERROR(__xludf.DUMMYFUNCTION("""COMPUTED_VALUE"""),-0.363787332722229)</f>
        <v>-0.36378733272222902</v>
      </c>
      <c r="V389" s="23">
        <f ca="1">IFERROR(__xludf.DUMMYFUNCTION("""COMPUTED_VALUE"""),0.187011350340792)</f>
        <v>0.187011350340792</v>
      </c>
      <c r="W389" s="23">
        <f ca="1">IFERROR(__xludf.DUMMYFUNCTION("""COMPUTED_VALUE"""),0.333547950374386)</f>
        <v>0.333547950374386</v>
      </c>
      <c r="X389" s="23"/>
      <c r="Y389" s="23">
        <f ca="1">IFERROR(__xludf.DUMMYFUNCTION("""COMPUTED_VALUE"""),0.635007845152295)</f>
        <v>0.63500784515229503</v>
      </c>
      <c r="Z389" s="23">
        <f ca="1">IFERROR(__xludf.DUMMYFUNCTION("""COMPUTED_VALUE"""),2.83258263474206)</f>
        <v>2.8325826347420602</v>
      </c>
      <c r="AA389" s="23">
        <f ca="1">IFERROR(__xludf.DUMMYFUNCTION("""COMPUTED_VALUE"""),0.298975900538775)</f>
        <v>0.29897590053877499</v>
      </c>
      <c r="AB389" s="23">
        <f ca="1">IFERROR(__xludf.DUMMYFUNCTION("""COMPUTED_VALUE"""),0.510020560966435)</f>
        <v>0.510020560966435</v>
      </c>
      <c r="AC389" s="22">
        <f ca="1">IFERROR(__xludf.DUMMYFUNCTION("""COMPUTED_VALUE"""),0.341973870300098)</f>
        <v>0.34197387030009802</v>
      </c>
      <c r="AD389" s="23"/>
      <c r="AE389" s="23"/>
      <c r="AF389" s="22"/>
      <c r="AG389" s="22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</row>
    <row r="390" spans="1:45" ht="27.75" customHeight="1" x14ac:dyDescent="0.4">
      <c r="A390" s="15" t="s">
        <v>207</v>
      </c>
      <c r="B390" s="15" t="s">
        <v>208</v>
      </c>
      <c r="C390" s="15" t="str">
        <f ca="1">IFERROR(__xludf.DUMMYFUNCTION("""COMPUTED_VALUE"""),"2023/01/31 (火)
平日夜間")</f>
        <v>2023/01/31 (火)
平日夜間</v>
      </c>
      <c r="D390" s="15" t="str">
        <f ca="1">IFERROR(__xludf.DUMMYFUNCTION("""COMPUTED_VALUE"""),"平日夜間")</f>
        <v>平日夜間</v>
      </c>
      <c r="E390" s="16">
        <f ca="1">IFERROR(__xludf.DUMMYFUNCTION("""COMPUTED_VALUE"""),2.88232750175676)</f>
        <v>2.8823275017567598</v>
      </c>
      <c r="F390" s="15" t="s">
        <v>218</v>
      </c>
      <c r="G390" s="39">
        <v>2</v>
      </c>
      <c r="H390" s="29" t="s">
        <v>218</v>
      </c>
      <c r="I390" s="27"/>
      <c r="J390" s="27" t="s">
        <v>224</v>
      </c>
      <c r="K390" s="23" t="b">
        <f ca="1">IFERROR(__xludf.DUMMYFUNCTION("""COMPUTED_VALUE"""),TRUE)</f>
        <v>1</v>
      </c>
      <c r="L390" s="22">
        <f ca="1">IFERROR(__xludf.DUMMYFUNCTION("""COMPUTED_VALUE"""),0.310429660082198)</f>
        <v>0.31042966008219802</v>
      </c>
      <c r="M390" s="23">
        <f ca="1">IFERROR(__xludf.DUMMYFUNCTION("""COMPUTED_VALUE"""),0.707539438284061)</f>
        <v>0.70753943828406096</v>
      </c>
      <c r="N390" s="23">
        <f ca="1">IFERROR(__xludf.DUMMYFUNCTION("""COMPUTED_VALUE"""),0.372391240511839)</f>
        <v>0.37239124051183897</v>
      </c>
      <c r="O390" s="23">
        <f ca="1">IFERROR(__xludf.DUMMYFUNCTION("""COMPUTED_VALUE"""),-0.900504350604897)</f>
        <v>-0.90050435060489697</v>
      </c>
      <c r="P390" s="23"/>
      <c r="Q390" s="24">
        <f ca="1">IFERROR(__xludf.DUMMYFUNCTION("""COMPUTED_VALUE"""),0.333563486012156)</f>
        <v>0.33356348601215602</v>
      </c>
      <c r="R390" s="23"/>
      <c r="S390" s="23"/>
      <c r="T390" s="23"/>
      <c r="U390" s="23">
        <f ca="1">IFERROR(__xludf.DUMMYFUNCTION("""COMPUTED_VALUE"""),0.160257530093196)</f>
        <v>0.16025753009319599</v>
      </c>
      <c r="V390" s="23">
        <f ca="1">IFERROR(__xludf.DUMMYFUNCTION("""COMPUTED_VALUE"""),0.0570162276107453)</f>
        <v>5.7016227610745297E-2</v>
      </c>
      <c r="W390" s="23">
        <f ca="1">IFERROR(__xludf.DUMMYFUNCTION("""COMPUTED_VALUE"""),0.404377588377661)</f>
        <v>0.40437758837766102</v>
      </c>
      <c r="X390" s="23"/>
      <c r="Y390" s="23">
        <f ca="1">IFERROR(__xludf.DUMMYFUNCTION("""COMPUTED_VALUE"""),0.704738002403575)</f>
        <v>0.70473800240357498</v>
      </c>
      <c r="Z390" s="23">
        <f ca="1">IFERROR(__xludf.DUMMYFUNCTION("""COMPUTED_VALUE"""),-0.504666622680571)</f>
        <v>-0.50466662268057105</v>
      </c>
      <c r="AA390" s="23">
        <f ca="1">IFERROR(__xludf.DUMMYFUNCTION("""COMPUTED_VALUE"""),-0.553288000270552)</f>
        <v>-0.55328800027055203</v>
      </c>
      <c r="AB390" s="23">
        <f ca="1">IFERROR(__xludf.DUMMYFUNCTION("""COMPUTED_VALUE"""),0.327974899897413)</f>
        <v>0.32797489989741302</v>
      </c>
      <c r="AC390" s="22">
        <f ca="1">IFERROR(__xludf.DUMMYFUNCTION("""COMPUTED_VALUE"""),0.611791965578517)</f>
        <v>0.61179196557851701</v>
      </c>
      <c r="AD390" s="23"/>
      <c r="AE390" s="23"/>
      <c r="AF390" s="22"/>
      <c r="AG390" s="22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</row>
    <row r="391" spans="1:45" ht="27.75" customHeight="1" x14ac:dyDescent="0.4">
      <c r="A391" s="15" t="s">
        <v>207</v>
      </c>
      <c r="B391" s="15" t="s">
        <v>225</v>
      </c>
      <c r="C391" s="15" t="str">
        <f ca="1">IFERROR(__xludf.DUMMYFUNCTION("""COMPUTED_VALUE"""),"2023/02/01 (水)
平日夜間")</f>
        <v>2023/02/01 (水)
平日夜間</v>
      </c>
      <c r="D391" s="15" t="str">
        <f ca="1">IFERROR(__xludf.DUMMYFUNCTION("""COMPUTED_VALUE"""),"平日夜間")</f>
        <v>平日夜間</v>
      </c>
      <c r="E391" s="16">
        <f ca="1">IFERROR(__xludf.DUMMYFUNCTION("""COMPUTED_VALUE"""),0.781378928803407)</f>
        <v>0.78137892880340698</v>
      </c>
      <c r="F391" s="15" t="s">
        <v>19</v>
      </c>
      <c r="G391" s="32">
        <v>0</v>
      </c>
      <c r="H391" s="29" t="s">
        <v>17</v>
      </c>
      <c r="I391" s="27"/>
      <c r="J391" s="27" t="s">
        <v>119</v>
      </c>
      <c r="K391" s="23" t="b">
        <f ca="1">IFERROR(__xludf.DUMMYFUNCTION("""COMPUTED_VALUE"""),TRUE)</f>
        <v>1</v>
      </c>
      <c r="L391" s="22">
        <f ca="1">IFERROR(__xludf.DUMMYFUNCTION("""COMPUTED_VALUE"""),-0.892512109060533)</f>
        <v>-0.89251210906053302</v>
      </c>
      <c r="M391" s="23">
        <f ca="1">IFERROR(__xludf.DUMMYFUNCTION("""COMPUTED_VALUE"""),0.724086291329663)</f>
        <v>0.72408629132966296</v>
      </c>
      <c r="N391" s="23">
        <f ca="1">IFERROR(__xludf.DUMMYFUNCTION("""COMPUTED_VALUE"""),0.0144307402859893)</f>
        <v>1.4430740285989299E-2</v>
      </c>
      <c r="O391" s="23">
        <f ca="1">IFERROR(__xludf.DUMMYFUNCTION("""COMPUTED_VALUE"""),0.781378928803407)</f>
        <v>0.78137892880340698</v>
      </c>
      <c r="P391" s="23"/>
      <c r="Q391" s="24">
        <f ca="1">IFERROR(__xludf.DUMMYFUNCTION("""COMPUTED_VALUE"""),0.734964627201665)</f>
        <v>0.734964627201665</v>
      </c>
      <c r="R391" s="23">
        <f ca="1">IFERROR(__xludf.DUMMYFUNCTION("""COMPUTED_VALUE"""),0.3054533478126)</f>
        <v>0.30545334781259997</v>
      </c>
      <c r="S391" s="23"/>
      <c r="T391" s="23">
        <f ca="1">IFERROR(__xludf.DUMMYFUNCTION("""COMPUTED_VALUE"""),0.551788750176548)</f>
        <v>0.55178875017654805</v>
      </c>
      <c r="U391" s="23">
        <f ca="1">IFERROR(__xludf.DUMMYFUNCTION("""COMPUTED_VALUE"""),0.369550222780984)</f>
        <v>0.36955022278098398</v>
      </c>
      <c r="V391" s="23">
        <f ca="1">IFERROR(__xludf.DUMMYFUNCTION("""COMPUTED_VALUE"""),-0.214741436312216)</f>
        <v>-0.21474143631221601</v>
      </c>
      <c r="W391" s="23"/>
      <c r="X391" s="23"/>
      <c r="Y391" s="23">
        <f ca="1">IFERROR(__xludf.DUMMYFUNCTION("""COMPUTED_VALUE"""),0.310075134794369)</f>
        <v>0.31007513479436899</v>
      </c>
      <c r="Z391" s="23">
        <f ca="1">IFERROR(__xludf.DUMMYFUNCTION("""COMPUTED_VALUE"""),0.52215232685686)</f>
        <v>0.52215232685685997</v>
      </c>
      <c r="AA391" s="23">
        <f ca="1">IFERROR(__xludf.DUMMYFUNCTION("""COMPUTED_VALUE"""),0.0383221654699768)</f>
        <v>3.8322165469976799E-2</v>
      </c>
      <c r="AB391" s="23"/>
      <c r="AC391" s="22">
        <f ca="1">IFERROR(__xludf.DUMMYFUNCTION("""COMPUTED_VALUE"""),-0.511246603289931)</f>
        <v>-0.51124660328993099</v>
      </c>
      <c r="AD391" s="23">
        <f ca="1">IFERROR(__xludf.DUMMYFUNCTION("""COMPUTED_VALUE"""),0.416073559698312)</f>
        <v>0.416073559698312</v>
      </c>
      <c r="AE391" s="23"/>
      <c r="AF391" s="22"/>
      <c r="AG391" s="22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</row>
    <row r="392" spans="1:45" ht="27.75" customHeight="1" x14ac:dyDescent="0.35">
      <c r="A392" s="15" t="s">
        <v>207</v>
      </c>
      <c r="B392" s="15" t="s">
        <v>225</v>
      </c>
      <c r="C392" s="15" t="str">
        <f ca="1">IFERROR(__xludf.DUMMYFUNCTION("""COMPUTED_VALUE"""),"2023/02/02 (木)
平日夜間")</f>
        <v>2023/02/02 (木)
平日夜間</v>
      </c>
      <c r="D392" s="15" t="str">
        <f ca="1">IFERROR(__xludf.DUMMYFUNCTION("""COMPUTED_VALUE"""),"平日夜間")</f>
        <v>平日夜間</v>
      </c>
      <c r="E392" s="16">
        <f ca="1">IFERROR(__xludf.DUMMYFUNCTION("""COMPUTED_VALUE"""),0.967592206954881)</f>
        <v>0.96759220695488102</v>
      </c>
      <c r="F392" s="15" t="s">
        <v>10</v>
      </c>
      <c r="G392" s="32">
        <v>0</v>
      </c>
      <c r="H392" s="27" t="s">
        <v>10</v>
      </c>
      <c r="I392" s="27"/>
      <c r="J392" s="27"/>
      <c r="K392" s="23" t="b">
        <f ca="1">IFERROR(__xludf.DUMMYFUNCTION("""COMPUTED_VALUE"""),FALSE)</f>
        <v>0</v>
      </c>
      <c r="L392" s="22">
        <f ca="1">IFERROR(__xludf.DUMMYFUNCTION("""COMPUTED_VALUE"""),-0.443002518842703)</f>
        <v>-0.44300251884270297</v>
      </c>
      <c r="M392" s="23">
        <f ca="1">IFERROR(__xludf.DUMMYFUNCTION("""COMPUTED_VALUE"""),0.0804800151603855)</f>
        <v>8.0480015160385499E-2</v>
      </c>
      <c r="N392" s="23">
        <f ca="1">IFERROR(__xludf.DUMMYFUNCTION("""COMPUTED_VALUE"""),0.0524029453202681)</f>
        <v>5.2402945320268103E-2</v>
      </c>
      <c r="O392" s="23">
        <f ca="1">IFERROR(__xludf.DUMMYFUNCTION("""COMPUTED_VALUE"""),0.538636962474776)</f>
        <v>0.53863696247477599</v>
      </c>
      <c r="P392" s="23"/>
      <c r="Q392" s="24">
        <f ca="1">IFERROR(__xludf.DUMMYFUNCTION("""COMPUTED_VALUE"""),0.956857446384975)</f>
        <v>0.95685744638497505</v>
      </c>
      <c r="R392" s="23">
        <f ca="1">IFERROR(__xludf.DUMMYFUNCTION("""COMPUTED_VALUE"""),-0.153852351392104)</f>
        <v>-0.15385235139210399</v>
      </c>
      <c r="S392" s="23"/>
      <c r="T392" s="23">
        <f ca="1">IFERROR(__xludf.DUMMYFUNCTION("""COMPUTED_VALUE"""),0.0601490813784175)</f>
        <v>6.0149081378417499E-2</v>
      </c>
      <c r="U392" s="23">
        <f ca="1">IFERROR(__xludf.DUMMYFUNCTION("""COMPUTED_VALUE"""),-0.698864310622824)</f>
        <v>-0.69886431062282395</v>
      </c>
      <c r="V392" s="23">
        <f ca="1">IFERROR(__xludf.DUMMYFUNCTION("""COMPUTED_VALUE"""),0.925646683390088)</f>
        <v>0.92564668339008804</v>
      </c>
      <c r="W392" s="23"/>
      <c r="X392" s="23"/>
      <c r="Y392" s="23">
        <f ca="1">IFERROR(__xludf.DUMMYFUNCTION("""COMPUTED_VALUE"""),0.337149179644082)</f>
        <v>0.33714917964408198</v>
      </c>
      <c r="Z392" s="23">
        <f ca="1">IFERROR(__xludf.DUMMYFUNCTION("""COMPUTED_VALUE"""),0.967592206954881)</f>
        <v>0.96759220695488102</v>
      </c>
      <c r="AA392" s="23">
        <f ca="1">IFERROR(__xludf.DUMMYFUNCTION("""COMPUTED_VALUE"""),0.11851256764026)</f>
        <v>0.11851256764026</v>
      </c>
      <c r="AB392" s="23"/>
      <c r="AC392" s="22">
        <f ca="1">IFERROR(__xludf.DUMMYFUNCTION("""COMPUTED_VALUE"""),-0.518273547130693)</f>
        <v>-0.51827354713069296</v>
      </c>
      <c r="AD392" s="23">
        <f ca="1">IFERROR(__xludf.DUMMYFUNCTION("""COMPUTED_VALUE"""),0.331571095007272)</f>
        <v>0.331571095007272</v>
      </c>
      <c r="AE392" s="23"/>
      <c r="AF392" s="22"/>
      <c r="AG392" s="22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</row>
    <row r="393" spans="1:45" ht="28.5" customHeight="1" x14ac:dyDescent="0.4">
      <c r="A393" s="15" t="s">
        <v>207</v>
      </c>
      <c r="B393" s="15" t="s">
        <v>225</v>
      </c>
      <c r="C393" s="15" t="str">
        <f ca="1">IFERROR(__xludf.DUMMYFUNCTION("""COMPUTED_VALUE"""),"2023/02/03 (金)
平日夜間")</f>
        <v>2023/02/03 (金)
平日夜間</v>
      </c>
      <c r="D393" s="15" t="str">
        <f ca="1">IFERROR(__xludf.DUMMYFUNCTION("""COMPUTED_VALUE"""),"平日夜間")</f>
        <v>平日夜間</v>
      </c>
      <c r="E393" s="16">
        <f ca="1">IFERROR(__xludf.DUMMYFUNCTION("""COMPUTED_VALUE"""),2.97743373742321)</f>
        <v>2.97743373742321</v>
      </c>
      <c r="F393" s="15" t="s">
        <v>11</v>
      </c>
      <c r="G393" s="32">
        <v>2</v>
      </c>
      <c r="H393" s="29" t="s">
        <v>11</v>
      </c>
      <c r="I393" s="27"/>
      <c r="J393" s="27" t="s">
        <v>152</v>
      </c>
      <c r="K393" s="23" t="b">
        <f ca="1">IFERROR(__xludf.DUMMYFUNCTION("""COMPUTED_VALUE"""),TRUE)</f>
        <v>1</v>
      </c>
      <c r="L393" s="22">
        <f ca="1">IFERROR(__xludf.DUMMYFUNCTION("""COMPUTED_VALUE"""),0.721716782924122)</f>
        <v>0.721716782924122</v>
      </c>
      <c r="M393" s="23">
        <f ca="1">IFERROR(__xludf.DUMMYFUNCTION("""COMPUTED_VALUE"""),0.731388579580995)</f>
        <v>0.73138857958099501</v>
      </c>
      <c r="N393" s="23">
        <f ca="1">IFERROR(__xludf.DUMMYFUNCTION("""COMPUTED_VALUE"""),-0.311803728825266)</f>
        <v>-0.31180372882526602</v>
      </c>
      <c r="O393" s="23">
        <f ca="1">IFERROR(__xludf.DUMMYFUNCTION("""COMPUTED_VALUE"""),0.463675286328246)</f>
        <v>0.46367528632824601</v>
      </c>
      <c r="P393" s="23"/>
      <c r="Q393" s="24">
        <f ca="1">IFERROR(__xludf.DUMMYFUNCTION("""COMPUTED_VALUE"""),0.353378542999224)</f>
        <v>0.353378542999224</v>
      </c>
      <c r="R393" s="23">
        <f ca="1">IFERROR(__xludf.DUMMYFUNCTION("""COMPUTED_VALUE"""),-0.770111242093384)</f>
        <v>-0.770111242093384</v>
      </c>
      <c r="S393" s="23"/>
      <c r="T393" s="23">
        <f ca="1">IFERROR(__xludf.DUMMYFUNCTION("""COMPUTED_VALUE"""),2.97743373742321)</f>
        <v>2.97743373742321</v>
      </c>
      <c r="U393" s="23">
        <f ca="1">IFERROR(__xludf.DUMMYFUNCTION("""COMPUTED_VALUE"""),-0.618841475751662)</f>
        <v>-0.61884147575166204</v>
      </c>
      <c r="V393" s="23">
        <f ca="1">IFERROR(__xludf.DUMMYFUNCTION("""COMPUTED_VALUE"""),0.355320155169088)</f>
        <v>0.35532015516908799</v>
      </c>
      <c r="W393" s="23"/>
      <c r="X393" s="23"/>
      <c r="Y393" s="23">
        <f ca="1">IFERROR(__xludf.DUMMYFUNCTION("""COMPUTED_VALUE"""),0.967007867358249)</f>
        <v>0.96700786735824895</v>
      </c>
      <c r="Z393" s="23">
        <f ca="1">IFERROR(__xludf.DUMMYFUNCTION("""COMPUTED_VALUE"""),0.713313790278985)</f>
        <v>0.713313790278985</v>
      </c>
      <c r="AA393" s="23">
        <f ca="1">IFERROR(__xludf.DUMMYFUNCTION("""COMPUTED_VALUE"""),-0.0544147614701147)</f>
        <v>-5.4414761470114703E-2</v>
      </c>
      <c r="AB393" s="23"/>
      <c r="AC393" s="22">
        <f ca="1">IFERROR(__xludf.DUMMYFUNCTION("""COMPUTED_VALUE"""),-0.182809133315536)</f>
        <v>-0.182809133315536</v>
      </c>
      <c r="AD393" s="23">
        <f ca="1">IFERROR(__xludf.DUMMYFUNCTION("""COMPUTED_VALUE"""),0.225181225584444)</f>
        <v>0.22518122558444401</v>
      </c>
      <c r="AE393" s="23"/>
      <c r="AF393" s="22"/>
      <c r="AG393" s="22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</row>
    <row r="394" spans="1:45" ht="27.75" customHeight="1" x14ac:dyDescent="0.35">
      <c r="A394" s="15" t="s">
        <v>207</v>
      </c>
      <c r="B394" s="15" t="s">
        <v>225</v>
      </c>
      <c r="C394" s="15" t="str">
        <f ca="1">IFERROR(__xludf.DUMMYFUNCTION("""COMPUTED_VALUE"""),"2023/02/04 (土)
休日午前")</f>
        <v>2023/02/04 (土)
休日午前</v>
      </c>
      <c r="D394" s="15" t="str">
        <f ca="1">IFERROR(__xludf.DUMMYFUNCTION("""COMPUTED_VALUE"""),"休日午前")</f>
        <v>休日午前</v>
      </c>
      <c r="E394" s="16">
        <f ca="1">IFERROR(__xludf.DUMMYFUNCTION("""COMPUTED_VALUE"""),0.848510917152094)</f>
        <v>0.84851091715209404</v>
      </c>
      <c r="F394" s="15" t="s">
        <v>16</v>
      </c>
      <c r="G394" s="32">
        <v>-1</v>
      </c>
      <c r="H394" s="27" t="s">
        <v>4</v>
      </c>
      <c r="I394" s="27"/>
      <c r="J394" s="27" t="s">
        <v>226</v>
      </c>
      <c r="K394" s="23" t="b">
        <f ca="1">IFERROR(__xludf.DUMMYFUNCTION("""COMPUTED_VALUE"""),TRUE)</f>
        <v>1</v>
      </c>
      <c r="L394" s="22">
        <f ca="1">IFERROR(__xludf.DUMMYFUNCTION("""COMPUTED_VALUE"""),0.602461418340674)</f>
        <v>0.60246141834067402</v>
      </c>
      <c r="M394" s="23">
        <f ca="1">IFERROR(__xludf.DUMMYFUNCTION("""COMPUTED_VALUE"""),-0.76125209651789)</f>
        <v>-0.76125209651789005</v>
      </c>
      <c r="N394" s="23">
        <f ca="1">IFERROR(__xludf.DUMMYFUNCTION("""COMPUTED_VALUE"""),-0.161359498294383)</f>
        <v>-0.16135949829438301</v>
      </c>
      <c r="O394" s="23">
        <f ca="1">IFERROR(__xludf.DUMMYFUNCTION("""COMPUTED_VALUE"""),0.815645597688054)</f>
        <v>0.815645597688054</v>
      </c>
      <c r="P394" s="23"/>
      <c r="Q394" s="24">
        <f ca="1">IFERROR(__xludf.DUMMYFUNCTION("""COMPUTED_VALUE"""),0.848510917152094)</f>
        <v>0.84851091715209404</v>
      </c>
      <c r="R394" s="23">
        <f ca="1">IFERROR(__xludf.DUMMYFUNCTION("""COMPUTED_VALUE"""),-0.188140490291204)</f>
        <v>-0.188140490291204</v>
      </c>
      <c r="S394" s="23"/>
      <c r="T394" s="23">
        <f ca="1">IFERROR(__xludf.DUMMYFUNCTION("""COMPUTED_VALUE"""),-0.684154433416914)</f>
        <v>-0.68415443341691395</v>
      </c>
      <c r="U394" s="23">
        <f ca="1">IFERROR(__xludf.DUMMYFUNCTION("""COMPUTED_VALUE"""),-0.304596827130303)</f>
        <v>-0.30459682713030301</v>
      </c>
      <c r="V394" s="23">
        <f ca="1">IFERROR(__xludf.DUMMYFUNCTION("""COMPUTED_VALUE"""),0.401435949267963)</f>
        <v>0.401435949267963</v>
      </c>
      <c r="W394" s="23"/>
      <c r="X394" s="23"/>
      <c r="Y394" s="23">
        <f ca="1">IFERROR(__xludf.DUMMYFUNCTION("""COMPUTED_VALUE"""),-0.525265473736282)</f>
        <v>-0.52526547373628196</v>
      </c>
      <c r="Z394" s="23">
        <f ca="1">IFERROR(__xludf.DUMMYFUNCTION("""COMPUTED_VALUE"""),0.559918618981724)</f>
        <v>0.55991861898172401</v>
      </c>
      <c r="AA394" s="23">
        <f ca="1">IFERROR(__xludf.DUMMYFUNCTION("""COMPUTED_VALUE"""),0.0195190798118356)</f>
        <v>1.95190798118356E-2</v>
      </c>
      <c r="AB394" s="23"/>
      <c r="AC394" s="22">
        <f ca="1">IFERROR(__xludf.DUMMYFUNCTION("""COMPUTED_VALUE"""),-0.746507893073543)</f>
        <v>-0.74650789307354304</v>
      </c>
      <c r="AD394" s="23">
        <f ca="1">IFERROR(__xludf.DUMMYFUNCTION("""COMPUTED_VALUE"""),-0.99118561343275)</f>
        <v>-0.99118561343275002</v>
      </c>
      <c r="AE394" s="23"/>
      <c r="AF394" s="22"/>
      <c r="AG394" s="22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</row>
    <row r="395" spans="1:45" ht="27.75" customHeight="1" x14ac:dyDescent="0.4">
      <c r="A395" s="15" t="s">
        <v>207</v>
      </c>
      <c r="B395" s="15" t="s">
        <v>225</v>
      </c>
      <c r="C395" s="15" t="str">
        <f ca="1">IFERROR(__xludf.DUMMYFUNCTION("""COMPUTED_VALUE"""),"2023/02/04 (土)
休日午後")</f>
        <v>2023/02/04 (土)
休日午後</v>
      </c>
      <c r="D395" s="15" t="str">
        <f ca="1">IFERROR(__xludf.DUMMYFUNCTION("""COMPUTED_VALUE"""),"休日午後")</f>
        <v>休日午後</v>
      </c>
      <c r="E395" s="16">
        <f ca="1">IFERROR(__xludf.DUMMYFUNCTION("""COMPUTED_VALUE"""),0.85320093454517)</f>
        <v>0.85320093454516999</v>
      </c>
      <c r="F395" s="15" t="s">
        <v>15</v>
      </c>
      <c r="G395" s="32"/>
      <c r="H395" s="29" t="s">
        <v>8</v>
      </c>
      <c r="I395" s="27"/>
      <c r="J395" s="27" t="s">
        <v>226</v>
      </c>
      <c r="K395" s="23" t="b">
        <f ca="1">IFERROR(__xludf.DUMMYFUNCTION("""COMPUTED_VALUE"""),TRUE)</f>
        <v>1</v>
      </c>
      <c r="L395" s="22">
        <f ca="1">IFERROR(__xludf.DUMMYFUNCTION("""COMPUTED_VALUE"""),0.123927502545712)</f>
        <v>0.123927502545712</v>
      </c>
      <c r="M395" s="23">
        <f ca="1">IFERROR(__xludf.DUMMYFUNCTION("""COMPUTED_VALUE"""),-0.876901316627516)</f>
        <v>-0.87690131662751603</v>
      </c>
      <c r="N395" s="23">
        <f ca="1">IFERROR(__xludf.DUMMYFUNCTION("""COMPUTED_VALUE"""),-0.795762977176604)</f>
        <v>-0.79576297717660405</v>
      </c>
      <c r="O395" s="23">
        <f ca="1">IFERROR(__xludf.DUMMYFUNCTION("""COMPUTED_VALUE"""),0.182298247160362)</f>
        <v>0.182298247160362</v>
      </c>
      <c r="P395" s="23"/>
      <c r="Q395" s="24">
        <f ca="1">IFERROR(__xludf.DUMMYFUNCTION("""COMPUTED_VALUE"""),0.666160841368331)</f>
        <v>0.66616084136833098</v>
      </c>
      <c r="R395" s="23">
        <f ca="1">IFERROR(__xludf.DUMMYFUNCTION("""COMPUTED_VALUE"""),0.85320093454517)</f>
        <v>0.85320093454516999</v>
      </c>
      <c r="S395" s="23"/>
      <c r="T395" s="23">
        <f ca="1">IFERROR(__xludf.DUMMYFUNCTION("""COMPUTED_VALUE"""),-0.0513659304785789)</f>
        <v>-5.1365930478578903E-2</v>
      </c>
      <c r="U395" s="23">
        <f ca="1">IFERROR(__xludf.DUMMYFUNCTION("""COMPUTED_VALUE"""),-0.35511714662237)</f>
        <v>-0.35511714662236998</v>
      </c>
      <c r="V395" s="23">
        <f ca="1">IFERROR(__xludf.DUMMYFUNCTION("""COMPUTED_VALUE"""),-0.889711007459062)</f>
        <v>-0.88971100745906195</v>
      </c>
      <c r="W395" s="23"/>
      <c r="X395" s="23"/>
      <c r="Y395" s="23">
        <f ca="1">IFERROR(__xludf.DUMMYFUNCTION("""COMPUTED_VALUE"""),-0.909698057403828)</f>
        <v>-0.90969805740382803</v>
      </c>
      <c r="Z395" s="23">
        <f ca="1">IFERROR(__xludf.DUMMYFUNCTION("""COMPUTED_VALUE"""),0.371171403109443)</f>
        <v>0.37117140310944302</v>
      </c>
      <c r="AA395" s="23">
        <f ca="1">IFERROR(__xludf.DUMMYFUNCTION("""COMPUTED_VALUE"""),-0.616140415582718)</f>
        <v>-0.61614041558271804</v>
      </c>
      <c r="AB395" s="23"/>
      <c r="AC395" s="22">
        <f ca="1">IFERROR(__xludf.DUMMYFUNCTION("""COMPUTED_VALUE"""),-0.776332895930353)</f>
        <v>-0.77633289593035304</v>
      </c>
      <c r="AD395" s="23">
        <f ca="1">IFERROR(__xludf.DUMMYFUNCTION("""COMPUTED_VALUE"""),-0.878742677657162)</f>
        <v>-0.87874267765716196</v>
      </c>
      <c r="AE395" s="23"/>
      <c r="AF395" s="22"/>
      <c r="AG395" s="22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</row>
    <row r="396" spans="1:45" ht="27.75" customHeight="1" x14ac:dyDescent="0.35">
      <c r="A396" s="15" t="s">
        <v>207</v>
      </c>
      <c r="B396" s="15" t="s">
        <v>225</v>
      </c>
      <c r="C396" s="15" t="str">
        <f ca="1">IFERROR(__xludf.DUMMYFUNCTION("""COMPUTED_VALUE"""),"2023/02/05 (日)
休日午前")</f>
        <v>2023/02/05 (日)
休日午前</v>
      </c>
      <c r="D396" s="15" t="str">
        <f ca="1">IFERROR(__xludf.DUMMYFUNCTION("""COMPUTED_VALUE"""),"休日午前")</f>
        <v>休日午前</v>
      </c>
      <c r="E396" s="16">
        <f ca="1">IFERROR(__xludf.DUMMYFUNCTION("""COMPUTED_VALUE"""),2.73741386574096)</f>
        <v>2.7374138657409599</v>
      </c>
      <c r="F396" s="15" t="s">
        <v>7</v>
      </c>
      <c r="G396" s="32">
        <v>-1</v>
      </c>
      <c r="H396" s="27" t="s">
        <v>6</v>
      </c>
      <c r="I396" s="27"/>
      <c r="J396" s="27" t="s">
        <v>227</v>
      </c>
      <c r="K396" s="23" t="b">
        <f ca="1">IFERROR(__xludf.DUMMYFUNCTION("""COMPUTED_VALUE"""),FALSE)</f>
        <v>0</v>
      </c>
      <c r="L396" s="22">
        <f ca="1">IFERROR(__xludf.DUMMYFUNCTION("""COMPUTED_VALUE"""),0.0123985440869838)</f>
        <v>1.23985440869838E-2</v>
      </c>
      <c r="M396" s="23">
        <f ca="1">IFERROR(__xludf.DUMMYFUNCTION("""COMPUTED_VALUE"""),-0.38031402405184)</f>
        <v>-0.38031402405184001</v>
      </c>
      <c r="N396" s="23">
        <f ca="1">IFERROR(__xludf.DUMMYFUNCTION("""COMPUTED_VALUE"""),0.453779410023956)</f>
        <v>0.453779410023956</v>
      </c>
      <c r="O396" s="23">
        <f ca="1">IFERROR(__xludf.DUMMYFUNCTION("""COMPUTED_VALUE"""),0.147023660956788)</f>
        <v>0.14702366095678801</v>
      </c>
      <c r="P396" s="23"/>
      <c r="Q396" s="24">
        <f ca="1">IFERROR(__xludf.DUMMYFUNCTION("""COMPUTED_VALUE"""),0.047497927955971)</f>
        <v>4.7497927955970999E-2</v>
      </c>
      <c r="R396" s="23">
        <f ca="1">IFERROR(__xludf.DUMMYFUNCTION("""COMPUTED_VALUE"""),0.822592828030091)</f>
        <v>0.82259282803009104</v>
      </c>
      <c r="S396" s="23"/>
      <c r="T396" s="23">
        <f ca="1">IFERROR(__xludf.DUMMYFUNCTION("""COMPUTED_VALUE"""),1.28912102058787)</f>
        <v>1.28912102058787</v>
      </c>
      <c r="U396" s="23">
        <f ca="1">IFERROR(__xludf.DUMMYFUNCTION("""COMPUTED_VALUE"""),-0.566737952655426)</f>
        <v>-0.56673795265542604</v>
      </c>
      <c r="V396" s="23">
        <f ca="1">IFERROR(__xludf.DUMMYFUNCTION("""COMPUTED_VALUE"""),0.945874039483154)</f>
        <v>0.94587403948315396</v>
      </c>
      <c r="W396" s="23"/>
      <c r="X396" s="23"/>
      <c r="Y396" s="23">
        <f ca="1">IFERROR(__xludf.DUMMYFUNCTION("""COMPUTED_VALUE"""),-0.749434926221428)</f>
        <v>-0.74943492622142804</v>
      </c>
      <c r="Z396" s="23">
        <f ca="1">IFERROR(__xludf.DUMMYFUNCTION("""COMPUTED_VALUE"""),0.025644402374473)</f>
        <v>2.5644402374473001E-2</v>
      </c>
      <c r="AA396" s="23">
        <f ca="1">IFERROR(__xludf.DUMMYFUNCTION("""COMPUTED_VALUE"""),2.73741386574096)</f>
        <v>2.7374138657409599</v>
      </c>
      <c r="AB396" s="23"/>
      <c r="AC396" s="22">
        <f ca="1">IFERROR(__xludf.DUMMYFUNCTION("""COMPUTED_VALUE"""),-0.293448948639026)</f>
        <v>-0.29344894863902599</v>
      </c>
      <c r="AD396" s="23">
        <f ca="1">IFERROR(__xludf.DUMMYFUNCTION("""COMPUTED_VALUE"""),-0.705715139343065)</f>
        <v>-0.70571513934306496</v>
      </c>
      <c r="AE396" s="23"/>
      <c r="AF396" s="22"/>
      <c r="AG396" s="22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</row>
    <row r="397" spans="1:45" ht="27.75" customHeight="1" x14ac:dyDescent="0.4">
      <c r="A397" s="15" t="s">
        <v>207</v>
      </c>
      <c r="B397" s="15" t="s">
        <v>225</v>
      </c>
      <c r="C397" s="15" t="str">
        <f ca="1">IFERROR(__xludf.DUMMYFUNCTION("""COMPUTED_VALUE"""),"2023/02/05 (日)
休日午後")</f>
        <v>2023/02/05 (日)
休日午後</v>
      </c>
      <c r="D397" s="15" t="str">
        <f ca="1">IFERROR(__xludf.DUMMYFUNCTION("""COMPUTED_VALUE"""),"休日午後")</f>
        <v>休日午後</v>
      </c>
      <c r="E397" s="16">
        <f ca="1">IFERROR(__xludf.DUMMYFUNCTION("""COMPUTED_VALUE"""),2.08197781932477)</f>
        <v>2.08197781932477</v>
      </c>
      <c r="F397" s="15" t="s">
        <v>7</v>
      </c>
      <c r="G397" s="32">
        <v>2</v>
      </c>
      <c r="H397" s="29" t="s">
        <v>7</v>
      </c>
      <c r="I397" s="27"/>
      <c r="J397" s="27" t="s">
        <v>227</v>
      </c>
      <c r="K397" s="23" t="b">
        <f ca="1">IFERROR(__xludf.DUMMYFUNCTION("""COMPUTED_VALUE"""),TRUE)</f>
        <v>1</v>
      </c>
      <c r="L397" s="22">
        <f ca="1">IFERROR(__xludf.DUMMYFUNCTION("""COMPUTED_VALUE"""),-0.475813197604693)</f>
        <v>-0.47581319760469298</v>
      </c>
      <c r="M397" s="23">
        <f ca="1">IFERROR(__xludf.DUMMYFUNCTION("""COMPUTED_VALUE"""),-0.80089238852054)</f>
        <v>-0.80089238852054001</v>
      </c>
      <c r="N397" s="23">
        <f ca="1">IFERROR(__xludf.DUMMYFUNCTION("""COMPUTED_VALUE"""),0.059163488111986)</f>
        <v>5.9163488111985997E-2</v>
      </c>
      <c r="O397" s="23">
        <f ca="1">IFERROR(__xludf.DUMMYFUNCTION("""COMPUTED_VALUE"""),0.488895232848276)</f>
        <v>0.48889523284827602</v>
      </c>
      <c r="P397" s="23"/>
      <c r="Q397" s="24">
        <f ca="1">IFERROR(__xludf.DUMMYFUNCTION("""COMPUTED_VALUE"""),0.800038268058949)</f>
        <v>0.80003826805894895</v>
      </c>
      <c r="R397" s="23">
        <f ca="1">IFERROR(__xludf.DUMMYFUNCTION("""COMPUTED_VALUE"""),0.992666359469612)</f>
        <v>0.99266635946961201</v>
      </c>
      <c r="S397" s="23"/>
      <c r="T397" s="23">
        <f ca="1">IFERROR(__xludf.DUMMYFUNCTION("""COMPUTED_VALUE"""),0.166127392260848)</f>
        <v>0.16612739226084799</v>
      </c>
      <c r="U397" s="23">
        <f ca="1">IFERROR(__xludf.DUMMYFUNCTION("""COMPUTED_VALUE"""),-0.707174241056144)</f>
        <v>-0.70717424105614402</v>
      </c>
      <c r="V397" s="23">
        <f ca="1">IFERROR(__xludf.DUMMYFUNCTION("""COMPUTED_VALUE"""),0.0856353025654752)</f>
        <v>8.5635302565475205E-2</v>
      </c>
      <c r="W397" s="23"/>
      <c r="X397" s="23"/>
      <c r="Y397" s="23">
        <f ca="1">IFERROR(__xludf.DUMMYFUNCTION("""COMPUTED_VALUE"""),-0.922125426665485)</f>
        <v>-0.92212542666548503</v>
      </c>
      <c r="Z397" s="23">
        <f ca="1">IFERROR(__xludf.DUMMYFUNCTION("""COMPUTED_VALUE"""),0.58955452566545)</f>
        <v>0.58955452566544997</v>
      </c>
      <c r="AA397" s="23">
        <f ca="1">IFERROR(__xludf.DUMMYFUNCTION("""COMPUTED_VALUE"""),2.08197781932477)</f>
        <v>2.08197781932477</v>
      </c>
      <c r="AB397" s="23"/>
      <c r="AC397" s="22">
        <f ca="1">IFERROR(__xludf.DUMMYFUNCTION("""COMPUTED_VALUE"""),-0.895534802641541)</f>
        <v>-0.89553480264154095</v>
      </c>
      <c r="AD397" s="23">
        <f ca="1">IFERROR(__xludf.DUMMYFUNCTION("""COMPUTED_VALUE"""),-0.121570264578453)</f>
        <v>-0.12157026457845301</v>
      </c>
      <c r="AE397" s="23"/>
      <c r="AF397" s="22"/>
      <c r="AG397" s="22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</row>
    <row r="398" spans="1:45" ht="27.75" customHeight="1" x14ac:dyDescent="0.35">
      <c r="A398" s="15" t="s">
        <v>207</v>
      </c>
      <c r="B398" s="15" t="s">
        <v>225</v>
      </c>
      <c r="C398" s="15" t="str">
        <f ca="1">IFERROR(__xludf.DUMMYFUNCTION("""COMPUTED_VALUE"""),"2023/02/06 (月)
平日夜間")</f>
        <v>2023/02/06 (月)
平日夜間</v>
      </c>
      <c r="D398" s="15" t="str">
        <f ca="1">IFERROR(__xludf.DUMMYFUNCTION("""COMPUTED_VALUE"""),"平日夜間")</f>
        <v>平日夜間</v>
      </c>
      <c r="E398" s="16">
        <f ca="1">IFERROR(__xludf.DUMMYFUNCTION("""COMPUTED_VALUE"""),2.94224460562013)</f>
        <v>2.9422446056201301</v>
      </c>
      <c r="F398" s="15" t="s">
        <v>14</v>
      </c>
      <c r="G398" s="32"/>
      <c r="H398" s="27" t="s">
        <v>13</v>
      </c>
      <c r="I398" s="27"/>
      <c r="J398" s="27" t="s">
        <v>228</v>
      </c>
      <c r="K398" s="23" t="b">
        <f ca="1">IFERROR(__xludf.DUMMYFUNCTION("""COMPUTED_VALUE"""),TRUE)</f>
        <v>1</v>
      </c>
      <c r="L398" s="22">
        <f ca="1">IFERROR(__xludf.DUMMYFUNCTION("""COMPUTED_VALUE"""),0.88691215499688)</f>
        <v>0.88691215499688003</v>
      </c>
      <c r="M398" s="23">
        <f ca="1">IFERROR(__xludf.DUMMYFUNCTION("""COMPUTED_VALUE"""),-0.246853420239099)</f>
        <v>-0.24685342023909901</v>
      </c>
      <c r="N398" s="23">
        <f ca="1">IFERROR(__xludf.DUMMYFUNCTION("""COMPUTED_VALUE"""),0.404492153093571)</f>
        <v>0.40449215309357101</v>
      </c>
      <c r="O398" s="23">
        <f ca="1">IFERROR(__xludf.DUMMYFUNCTION("""COMPUTED_VALUE"""),0.195047427619839)</f>
        <v>0.19504742761983901</v>
      </c>
      <c r="P398" s="23"/>
      <c r="Q398" s="24">
        <f ca="1">IFERROR(__xludf.DUMMYFUNCTION("""COMPUTED_VALUE"""),0.192896478588107)</f>
        <v>0.19289647858810699</v>
      </c>
      <c r="R398" s="23">
        <f ca="1">IFERROR(__xludf.DUMMYFUNCTION("""COMPUTED_VALUE"""),0.588615742580283)</f>
        <v>0.58861574258028304</v>
      </c>
      <c r="S398" s="23"/>
      <c r="T398" s="23">
        <f ca="1">IFERROR(__xludf.DUMMYFUNCTION("""COMPUTED_VALUE"""),0.0717685757478701)</f>
        <v>7.17685757478701E-2</v>
      </c>
      <c r="U398" s="23">
        <f ca="1">IFERROR(__xludf.DUMMYFUNCTION("""COMPUTED_VALUE"""),0.358556806965801)</f>
        <v>0.358556806965801</v>
      </c>
      <c r="V398" s="23">
        <f ca="1">IFERROR(__xludf.DUMMYFUNCTION("""COMPUTED_VALUE"""),0.595149218838272)</f>
        <v>0.59514921883827199</v>
      </c>
      <c r="W398" s="23"/>
      <c r="X398" s="23"/>
      <c r="Y398" s="23">
        <f ca="1">IFERROR(__xludf.DUMMYFUNCTION("""COMPUTED_VALUE"""),2.94224460562013)</f>
        <v>2.9422446056201301</v>
      </c>
      <c r="Z398" s="23">
        <f ca="1">IFERROR(__xludf.DUMMYFUNCTION("""COMPUTED_VALUE"""),0.256337501986703)</f>
        <v>0.25633750198670302</v>
      </c>
      <c r="AA398" s="23">
        <f ca="1">IFERROR(__xludf.DUMMYFUNCTION("""COMPUTED_VALUE"""),-0.571127084110104)</f>
        <v>-0.57112708411010404</v>
      </c>
      <c r="AB398" s="23"/>
      <c r="AC398" s="22">
        <f ca="1">IFERROR(__xludf.DUMMYFUNCTION("""COMPUTED_VALUE"""),0.0732546730982539)</f>
        <v>7.3254673098253897E-2</v>
      </c>
      <c r="AD398" s="23">
        <f ca="1">IFERROR(__xludf.DUMMYFUNCTION("""COMPUTED_VALUE"""),0.721672543807187)</f>
        <v>0.72167254380718704</v>
      </c>
      <c r="AE398" s="23"/>
      <c r="AF398" s="22"/>
      <c r="AG398" s="22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</row>
    <row r="399" spans="1:45" ht="27.75" customHeight="1" x14ac:dyDescent="0.4">
      <c r="A399" s="15" t="s">
        <v>207</v>
      </c>
      <c r="B399" s="15" t="s">
        <v>225</v>
      </c>
      <c r="C399" s="15" t="str">
        <f ca="1">IFERROR(__xludf.DUMMYFUNCTION("""COMPUTED_VALUE"""),"2023/02/07 (火)
平日夜間")</f>
        <v>2023/02/07 (火)
平日夜間</v>
      </c>
      <c r="D399" s="15" t="str">
        <f ca="1">IFERROR(__xludf.DUMMYFUNCTION("""COMPUTED_VALUE"""),"平日夜間")</f>
        <v>平日夜間</v>
      </c>
      <c r="E399" s="16">
        <f ca="1">IFERROR(__xludf.DUMMYFUNCTION("""COMPUTED_VALUE"""),2.33949912813807)</f>
        <v>2.3394991281380699</v>
      </c>
      <c r="F399" s="15" t="s">
        <v>19</v>
      </c>
      <c r="G399" s="32">
        <v>2</v>
      </c>
      <c r="H399" s="29" t="s">
        <v>19</v>
      </c>
      <c r="I399" s="27"/>
      <c r="J399" s="27" t="s">
        <v>229</v>
      </c>
      <c r="K399" s="23" t="b">
        <f ca="1">IFERROR(__xludf.DUMMYFUNCTION("""COMPUTED_VALUE"""),TRUE)</f>
        <v>1</v>
      </c>
      <c r="L399" s="22">
        <f ca="1">IFERROR(__xludf.DUMMYFUNCTION("""COMPUTED_VALUE"""),0.761300165135395)</f>
        <v>0.761300165135395</v>
      </c>
      <c r="M399" s="23">
        <f ca="1">IFERROR(__xludf.DUMMYFUNCTION("""COMPUTED_VALUE"""),0.818994419473531)</f>
        <v>0.81899441947353102</v>
      </c>
      <c r="N399" s="23">
        <f ca="1">IFERROR(__xludf.DUMMYFUNCTION("""COMPUTED_VALUE"""),0.0771406270047385)</f>
        <v>7.7140627004738505E-2</v>
      </c>
      <c r="O399" s="23">
        <f ca="1">IFERROR(__xludf.DUMMYFUNCTION("""COMPUTED_VALUE"""),2.33949912813807)</f>
        <v>2.3394991281380699</v>
      </c>
      <c r="P399" s="23"/>
      <c r="Q399" s="24">
        <f ca="1">IFERROR(__xludf.DUMMYFUNCTION("""COMPUTED_VALUE"""),-0.638518735234238)</f>
        <v>-0.63851873523423797</v>
      </c>
      <c r="R399" s="23">
        <f ca="1">IFERROR(__xludf.DUMMYFUNCTION("""COMPUTED_VALUE"""),-0.713711841972336)</f>
        <v>-0.71371184197233595</v>
      </c>
      <c r="S399" s="23"/>
      <c r="T399" s="23">
        <f ca="1">IFERROR(__xludf.DUMMYFUNCTION("""COMPUTED_VALUE"""),0.134644163132475)</f>
        <v>0.13464416313247499</v>
      </c>
      <c r="U399" s="23">
        <f ca="1">IFERROR(__xludf.DUMMYFUNCTION("""COMPUTED_VALUE"""),0.954834329569711)</f>
        <v>0.95483432956971104</v>
      </c>
      <c r="V399" s="23">
        <f ca="1">IFERROR(__xludf.DUMMYFUNCTION("""COMPUTED_VALUE"""),0.784650715724833)</f>
        <v>0.78465071572483303</v>
      </c>
      <c r="W399" s="23"/>
      <c r="X399" s="23"/>
      <c r="Y399" s="23">
        <f ca="1">IFERROR(__xludf.DUMMYFUNCTION("""COMPUTED_VALUE"""),0.155580254761027)</f>
        <v>0.15558025476102699</v>
      </c>
      <c r="Z399" s="23">
        <f ca="1">IFERROR(__xludf.DUMMYFUNCTION("""COMPUTED_VALUE"""),-0.931703713704507)</f>
        <v>-0.931703713704507</v>
      </c>
      <c r="AA399" s="23">
        <f ca="1">IFERROR(__xludf.DUMMYFUNCTION("""COMPUTED_VALUE"""),-0.108134077207881)</f>
        <v>-0.108134077207881</v>
      </c>
      <c r="AB399" s="23"/>
      <c r="AC399" s="22">
        <f ca="1">IFERROR(__xludf.DUMMYFUNCTION("""COMPUTED_VALUE"""),0.30893805968025)</f>
        <v>0.30893805968025001</v>
      </c>
      <c r="AD399" s="23">
        <f ca="1">IFERROR(__xludf.DUMMYFUNCTION("""COMPUTED_VALUE"""),0.484108703068933)</f>
        <v>0.484108703068933</v>
      </c>
      <c r="AE399" s="23"/>
      <c r="AF399" s="22"/>
      <c r="AG399" s="22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</row>
    <row r="400" spans="1:45" ht="27.75" customHeight="1" x14ac:dyDescent="0.35">
      <c r="A400" s="15" t="s">
        <v>207</v>
      </c>
      <c r="B400" s="15" t="s">
        <v>225</v>
      </c>
      <c r="C400" s="15" t="str">
        <f ca="1">IFERROR(__xludf.DUMMYFUNCTION("""COMPUTED_VALUE"""),"2023/02/08 (水)
平日夜間")</f>
        <v>2023/02/08 (水)
平日夜間</v>
      </c>
      <c r="D400" s="15" t="str">
        <f ca="1">IFERROR(__xludf.DUMMYFUNCTION("""COMPUTED_VALUE"""),"平日夜間")</f>
        <v>平日夜間</v>
      </c>
      <c r="E400" s="16">
        <f ca="1">IFERROR(__xludf.DUMMYFUNCTION("""COMPUTED_VALUE"""),1.19631927441439)</f>
        <v>1.19631927441439</v>
      </c>
      <c r="F400" s="15" t="s">
        <v>6</v>
      </c>
      <c r="G400" s="32">
        <v>1</v>
      </c>
      <c r="H400" s="27" t="s">
        <v>6</v>
      </c>
      <c r="I400" s="27"/>
      <c r="J400" s="27"/>
      <c r="K400" s="23" t="b">
        <f ca="1">IFERROR(__xludf.DUMMYFUNCTION("""COMPUTED_VALUE"""),FALSE)</f>
        <v>0</v>
      </c>
      <c r="L400" s="22">
        <f ca="1">IFERROR(__xludf.DUMMYFUNCTION("""COMPUTED_VALUE"""),-0.669402902345271)</f>
        <v>-0.669402902345271</v>
      </c>
      <c r="M400" s="23">
        <f ca="1">IFERROR(__xludf.DUMMYFUNCTION("""COMPUTED_VALUE"""),0.837949369052648)</f>
        <v>0.83794936905264805</v>
      </c>
      <c r="N400" s="23">
        <f ca="1">IFERROR(__xludf.DUMMYFUNCTION("""COMPUTED_VALUE"""),0.6063809315825)</f>
        <v>0.60638093158249995</v>
      </c>
      <c r="O400" s="23">
        <f ca="1">IFERROR(__xludf.DUMMYFUNCTION("""COMPUTED_VALUE"""),0.740062696137604)</f>
        <v>0.740062696137604</v>
      </c>
      <c r="P400" s="23"/>
      <c r="Q400" s="24">
        <f ca="1">IFERROR(__xludf.DUMMYFUNCTION("""COMPUTED_VALUE"""),-0.754680475615111)</f>
        <v>-0.75468047561511098</v>
      </c>
      <c r="R400" s="23">
        <f ca="1">IFERROR(__xludf.DUMMYFUNCTION("""COMPUTED_VALUE"""),-0.668219978436711)</f>
        <v>-0.66821997843671099</v>
      </c>
      <c r="S400" s="23"/>
      <c r="T400" s="23">
        <f ca="1">IFERROR(__xludf.DUMMYFUNCTION("""COMPUTED_VALUE"""),0.432971879345589)</f>
        <v>0.43297187934558901</v>
      </c>
      <c r="U400" s="23">
        <f ca="1">IFERROR(__xludf.DUMMYFUNCTION("""COMPUTED_VALUE"""),0.91083684870438)</f>
        <v>0.91083684870437998</v>
      </c>
      <c r="V400" s="23">
        <f ca="1">IFERROR(__xludf.DUMMYFUNCTION("""COMPUTED_VALUE"""),0.333762648494001)</f>
        <v>0.333762648494001</v>
      </c>
      <c r="W400" s="23"/>
      <c r="X400" s="23"/>
      <c r="Y400" s="23">
        <f ca="1">IFERROR(__xludf.DUMMYFUNCTION("""COMPUTED_VALUE"""),0.922067908072035)</f>
        <v>0.92206790807203498</v>
      </c>
      <c r="Z400" s="23">
        <f ca="1">IFERROR(__xludf.DUMMYFUNCTION("""COMPUTED_VALUE"""),0.336247566594368)</f>
        <v>0.336247566594368</v>
      </c>
      <c r="AA400" s="23">
        <f ca="1">IFERROR(__xludf.DUMMYFUNCTION("""COMPUTED_VALUE"""),-0.827492875187267)</f>
        <v>-0.827492875187267</v>
      </c>
      <c r="AB400" s="23"/>
      <c r="AC400" s="22">
        <f ca="1">IFERROR(__xludf.DUMMYFUNCTION("""COMPUTED_VALUE"""),1.19631927441439)</f>
        <v>1.19631927441439</v>
      </c>
      <c r="AD400" s="23">
        <f ca="1">IFERROR(__xludf.DUMMYFUNCTION("""COMPUTED_VALUE"""),0.560366904430916)</f>
        <v>0.56036690443091597</v>
      </c>
      <c r="AE400" s="23"/>
      <c r="AF400" s="22"/>
      <c r="AG400" s="22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</row>
    <row r="401" spans="1:45" ht="27.75" customHeight="1" x14ac:dyDescent="0.35">
      <c r="A401" s="15" t="s">
        <v>207</v>
      </c>
      <c r="B401" s="15" t="s">
        <v>225</v>
      </c>
      <c r="C401" s="15" t="str">
        <f ca="1">IFERROR(__xludf.DUMMYFUNCTION("""COMPUTED_VALUE"""),"2023/02/09 (木)
平日夜間")</f>
        <v>2023/02/09 (木)
平日夜間</v>
      </c>
      <c r="D401" s="15" t="str">
        <f ca="1">IFERROR(__xludf.DUMMYFUNCTION("""COMPUTED_VALUE"""),"平日夜間")</f>
        <v>平日夜間</v>
      </c>
      <c r="E401" s="16">
        <f ca="1">IFERROR(__xludf.DUMMYFUNCTION("""COMPUTED_VALUE"""),0.961577465535985)</f>
        <v>0.961577465535985</v>
      </c>
      <c r="F401" s="15" t="s">
        <v>9</v>
      </c>
      <c r="G401" s="32"/>
      <c r="H401" s="27" t="s">
        <v>1</v>
      </c>
      <c r="I401" s="27"/>
      <c r="J401" s="27"/>
      <c r="K401" s="23" t="b">
        <f ca="1">IFERROR(__xludf.DUMMYFUNCTION("""COMPUTED_VALUE"""),FALSE)</f>
        <v>0</v>
      </c>
      <c r="L401" s="22">
        <f ca="1">IFERROR(__xludf.DUMMYFUNCTION("""COMPUTED_VALUE"""),-0.735595245862219)</f>
        <v>-0.73559524586221903</v>
      </c>
      <c r="M401" s="23">
        <f ca="1">IFERROR(__xludf.DUMMYFUNCTION("""COMPUTED_VALUE"""),0.028163552342437)</f>
        <v>2.8163552342437E-2</v>
      </c>
      <c r="N401" s="23">
        <f ca="1">IFERROR(__xludf.DUMMYFUNCTION("""COMPUTED_VALUE"""),0.292702407769786)</f>
        <v>0.29270240776978601</v>
      </c>
      <c r="O401" s="23">
        <f ca="1">IFERROR(__xludf.DUMMYFUNCTION("""COMPUTED_VALUE"""),0.336619942305511)</f>
        <v>0.33661994230551101</v>
      </c>
      <c r="P401" s="23"/>
      <c r="Q401" s="24">
        <f ca="1">IFERROR(__xludf.DUMMYFUNCTION("""COMPUTED_VALUE"""),0.0342925090810559)</f>
        <v>3.4292509081055897E-2</v>
      </c>
      <c r="R401" s="23">
        <f ca="1">IFERROR(__xludf.DUMMYFUNCTION("""COMPUTED_VALUE"""),-0.283801118382323)</f>
        <v>-0.28380111838232303</v>
      </c>
      <c r="S401" s="23"/>
      <c r="T401" s="23">
        <f ca="1">IFERROR(__xludf.DUMMYFUNCTION("""COMPUTED_VALUE"""),-0.360131390681096)</f>
        <v>-0.36013139068109601</v>
      </c>
      <c r="U401" s="23">
        <f ca="1">IFERROR(__xludf.DUMMYFUNCTION("""COMPUTED_VALUE"""),-0.65085491340685)</f>
        <v>-0.65085491340684998</v>
      </c>
      <c r="V401" s="23">
        <f ca="1">IFERROR(__xludf.DUMMYFUNCTION("""COMPUTED_VALUE"""),0.961577465535985)</f>
        <v>0.961577465535985</v>
      </c>
      <c r="W401" s="23"/>
      <c r="X401" s="23"/>
      <c r="Y401" s="23">
        <f ca="1">IFERROR(__xludf.DUMMYFUNCTION("""COMPUTED_VALUE"""),0.90575673246251)</f>
        <v>0.90575673246250998</v>
      </c>
      <c r="Z401" s="23">
        <f ca="1">IFERROR(__xludf.DUMMYFUNCTION("""COMPUTED_VALUE"""),-0.857563687908446)</f>
        <v>-0.85756368790844595</v>
      </c>
      <c r="AA401" s="23">
        <f ca="1">IFERROR(__xludf.DUMMYFUNCTION("""COMPUTED_VALUE"""),0.732762152296506)</f>
        <v>0.73276215229650599</v>
      </c>
      <c r="AB401" s="23"/>
      <c r="AC401" s="22">
        <f ca="1">IFERROR(__xludf.DUMMYFUNCTION("""COMPUTED_VALUE"""),0.915725540012615)</f>
        <v>0.91572554001261497</v>
      </c>
      <c r="AD401" s="23">
        <f ca="1">IFERROR(__xludf.DUMMYFUNCTION("""COMPUTED_VALUE"""),0.953171968739913)</f>
        <v>0.95317196873991294</v>
      </c>
      <c r="AE401" s="23"/>
      <c r="AF401" s="22"/>
      <c r="AG401" s="22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</row>
    <row r="402" spans="1:45" ht="27.75" customHeight="1" x14ac:dyDescent="0.35">
      <c r="A402" s="15" t="s">
        <v>207</v>
      </c>
      <c r="B402" s="15" t="s">
        <v>225</v>
      </c>
      <c r="C402" s="15" t="str">
        <f ca="1">IFERROR(__xludf.DUMMYFUNCTION("""COMPUTED_VALUE"""),"2023/02/10 (金)
平日夜間")</f>
        <v>2023/02/10 (金)
平日夜間</v>
      </c>
      <c r="D402" s="15" t="str">
        <f ca="1">IFERROR(__xludf.DUMMYFUNCTION("""COMPUTED_VALUE"""),"平日夜間")</f>
        <v>平日夜間</v>
      </c>
      <c r="E402" s="16">
        <f ca="1">IFERROR(__xludf.DUMMYFUNCTION("""COMPUTED_VALUE"""),0.898205790043062)</f>
        <v>0.898205790043062</v>
      </c>
      <c r="F402" s="15" t="s">
        <v>9</v>
      </c>
      <c r="G402" s="32">
        <v>0</v>
      </c>
      <c r="H402" s="27" t="s">
        <v>9</v>
      </c>
      <c r="I402" s="27"/>
      <c r="J402" s="27"/>
      <c r="K402" s="23" t="b">
        <f ca="1">IFERROR(__xludf.DUMMYFUNCTION("""COMPUTED_VALUE"""),FALSE)</f>
        <v>0</v>
      </c>
      <c r="L402" s="22">
        <f ca="1">IFERROR(__xludf.DUMMYFUNCTION("""COMPUTED_VALUE"""),0.348236597237745)</f>
        <v>0.34823659723774503</v>
      </c>
      <c r="M402" s="23">
        <f ca="1">IFERROR(__xludf.DUMMYFUNCTION("""COMPUTED_VALUE"""),0.514735141048091)</f>
        <v>0.51473514104809104</v>
      </c>
      <c r="N402" s="23">
        <f ca="1">IFERROR(__xludf.DUMMYFUNCTION("""COMPUTED_VALUE"""),-0.470788676904248)</f>
        <v>-0.47078867690424803</v>
      </c>
      <c r="O402" s="23">
        <f ca="1">IFERROR(__xludf.DUMMYFUNCTION("""COMPUTED_VALUE"""),-0.0702949737436322)</f>
        <v>-7.0294973743632194E-2</v>
      </c>
      <c r="P402" s="23"/>
      <c r="Q402" s="24">
        <f ca="1">IFERROR(__xludf.DUMMYFUNCTION("""COMPUTED_VALUE"""),0.192383173522525)</f>
        <v>0.19238317352252499</v>
      </c>
      <c r="R402" s="23">
        <f ca="1">IFERROR(__xludf.DUMMYFUNCTION("""COMPUTED_VALUE"""),-0.0186514740078145)</f>
        <v>-1.86514740078145E-2</v>
      </c>
      <c r="S402" s="23"/>
      <c r="T402" s="23">
        <f ca="1">IFERROR(__xludf.DUMMYFUNCTION("""COMPUTED_VALUE"""),-0.328060700971015)</f>
        <v>-0.32806070097101497</v>
      </c>
      <c r="U402" s="23">
        <f ca="1">IFERROR(__xludf.DUMMYFUNCTION("""COMPUTED_VALUE"""),-0.284843202982612)</f>
        <v>-0.28484320298261201</v>
      </c>
      <c r="V402" s="23">
        <f ca="1">IFERROR(__xludf.DUMMYFUNCTION("""COMPUTED_VALUE"""),0.898205790043062)</f>
        <v>0.898205790043062</v>
      </c>
      <c r="W402" s="23"/>
      <c r="X402" s="23"/>
      <c r="Y402" s="23">
        <f ca="1">IFERROR(__xludf.DUMMYFUNCTION("""COMPUTED_VALUE"""),0.366738597952642)</f>
        <v>0.36673859795264202</v>
      </c>
      <c r="Z402" s="23">
        <f ca="1">IFERROR(__xludf.DUMMYFUNCTION("""COMPUTED_VALUE"""),-0.0812321187286162)</f>
        <v>-8.1232118728616201E-2</v>
      </c>
      <c r="AA402" s="23">
        <f ca="1">IFERROR(__xludf.DUMMYFUNCTION("""COMPUTED_VALUE"""),0.11708480598133)</f>
        <v>0.11708480598133</v>
      </c>
      <c r="AB402" s="23"/>
      <c r="AC402" s="22">
        <f ca="1">IFERROR(__xludf.DUMMYFUNCTION("""COMPUTED_VALUE"""),-0.691803027510865)</f>
        <v>-0.69180302751086498</v>
      </c>
      <c r="AD402" s="23">
        <f ca="1">IFERROR(__xludf.DUMMYFUNCTION("""COMPUTED_VALUE"""),0.709430671722902)</f>
        <v>0.70943067172290197</v>
      </c>
      <c r="AE402" s="23"/>
      <c r="AF402" s="22"/>
      <c r="AG402" s="22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</row>
    <row r="403" spans="1:45" ht="27.75" customHeight="1" x14ac:dyDescent="0.35">
      <c r="A403" s="15" t="s">
        <v>207</v>
      </c>
      <c r="B403" s="15" t="s">
        <v>225</v>
      </c>
      <c r="C403" s="15" t="str">
        <f ca="1">IFERROR(__xludf.DUMMYFUNCTION("""COMPUTED_VALUE"""),"2023/02/11 (土)
休日午前")</f>
        <v>2023/02/11 (土)
休日午前</v>
      </c>
      <c r="D403" s="15" t="str">
        <f ca="1">IFERROR(__xludf.DUMMYFUNCTION("""COMPUTED_VALUE"""),"休日午前")</f>
        <v>休日午前</v>
      </c>
      <c r="E403" s="16">
        <f ca="1">IFERROR(__xludf.DUMMYFUNCTION("""COMPUTED_VALUE"""),2.25653461889716)</f>
        <v>2.25653461889716</v>
      </c>
      <c r="F403" s="15" t="s">
        <v>18</v>
      </c>
      <c r="G403" s="32">
        <v>2</v>
      </c>
      <c r="H403" s="27" t="s">
        <v>18</v>
      </c>
      <c r="I403" s="27"/>
      <c r="J403" s="27" t="s">
        <v>230</v>
      </c>
      <c r="K403" s="23" t="b">
        <f ca="1">IFERROR(__xludf.DUMMYFUNCTION("""COMPUTED_VALUE"""),FALSE)</f>
        <v>0</v>
      </c>
      <c r="L403" s="22">
        <f ca="1">IFERROR(__xludf.DUMMYFUNCTION("""COMPUTED_VALUE"""),2.25653461889716)</f>
        <v>2.25653461889716</v>
      </c>
      <c r="M403" s="23">
        <f ca="1">IFERROR(__xludf.DUMMYFUNCTION("""COMPUTED_VALUE"""),0.359905701513648)</f>
        <v>0.35990570151364798</v>
      </c>
      <c r="N403" s="23">
        <f ca="1">IFERROR(__xludf.DUMMYFUNCTION("""COMPUTED_VALUE"""),-0.719749386345875)</f>
        <v>-0.71974938634587504</v>
      </c>
      <c r="O403" s="23">
        <f ca="1">IFERROR(__xludf.DUMMYFUNCTION("""COMPUTED_VALUE"""),-0.17344684353657)</f>
        <v>-0.17344684353657</v>
      </c>
      <c r="P403" s="23"/>
      <c r="Q403" s="24">
        <f ca="1">IFERROR(__xludf.DUMMYFUNCTION("""COMPUTED_VALUE"""),-0.563390810852292)</f>
        <v>-0.56339081085229203</v>
      </c>
      <c r="R403" s="23">
        <f ca="1">IFERROR(__xludf.DUMMYFUNCTION("""COMPUTED_VALUE"""),-0.458181884682127)</f>
        <v>-0.45818188468212701</v>
      </c>
      <c r="S403" s="23"/>
      <c r="T403" s="23">
        <f ca="1">IFERROR(__xludf.DUMMYFUNCTION("""COMPUTED_VALUE"""),-0.625391803601712)</f>
        <v>-0.62539180360171198</v>
      </c>
      <c r="U403" s="23">
        <f ca="1">IFERROR(__xludf.DUMMYFUNCTION("""COMPUTED_VALUE"""),-0.118587367321854)</f>
        <v>-0.118587367321854</v>
      </c>
      <c r="V403" s="23">
        <f ca="1">IFERROR(__xludf.DUMMYFUNCTION("""COMPUTED_VALUE"""),0.500640938035137)</f>
        <v>0.50064093803513698</v>
      </c>
      <c r="W403" s="23"/>
      <c r="X403" s="23"/>
      <c r="Y403" s="23">
        <f ca="1">IFERROR(__xludf.DUMMYFUNCTION("""COMPUTED_VALUE"""),-0.834302477381677)</f>
        <v>-0.83430247738167695</v>
      </c>
      <c r="Z403" s="23">
        <f ca="1">IFERROR(__xludf.DUMMYFUNCTION("""COMPUTED_VALUE"""),-0.0188061946882385)</f>
        <v>-1.8806194688238499E-2</v>
      </c>
      <c r="AA403" s="23">
        <f ca="1">IFERROR(__xludf.DUMMYFUNCTION("""COMPUTED_VALUE"""),0.0725743421269389)</f>
        <v>7.2574342126938904E-2</v>
      </c>
      <c r="AB403" s="23"/>
      <c r="AC403" s="22">
        <f ca="1">IFERROR(__xludf.DUMMYFUNCTION("""COMPUTED_VALUE"""),-0.535575411082675)</f>
        <v>-0.53557541108267503</v>
      </c>
      <c r="AD403" s="23">
        <f ca="1">IFERROR(__xludf.DUMMYFUNCTION("""COMPUTED_VALUE"""),-0.191894106803286)</f>
        <v>-0.191894106803286</v>
      </c>
      <c r="AE403" s="23"/>
      <c r="AF403" s="22"/>
      <c r="AG403" s="22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</row>
    <row r="404" spans="1:45" ht="27.75" customHeight="1" x14ac:dyDescent="0.4">
      <c r="A404" s="15" t="s">
        <v>207</v>
      </c>
      <c r="B404" s="15" t="s">
        <v>225</v>
      </c>
      <c r="C404" s="15" t="str">
        <f ca="1">IFERROR(__xludf.DUMMYFUNCTION("""COMPUTED_VALUE"""),"2023/02/11 (土)
休日午後")</f>
        <v>2023/02/11 (土)
休日午後</v>
      </c>
      <c r="D404" s="15" t="str">
        <f ca="1">IFERROR(__xludf.DUMMYFUNCTION("""COMPUTED_VALUE"""),"休日午後")</f>
        <v>休日午後</v>
      </c>
      <c r="E404" s="16">
        <f ca="1">IFERROR(__xludf.DUMMYFUNCTION("""COMPUTED_VALUE"""),0.811307974720583)</f>
        <v>0.81130797472058302</v>
      </c>
      <c r="F404" s="15" t="s">
        <v>16</v>
      </c>
      <c r="G404" s="32"/>
      <c r="H404" s="29" t="s">
        <v>12</v>
      </c>
      <c r="I404" s="27"/>
      <c r="J404" s="27" t="s">
        <v>230</v>
      </c>
      <c r="K404" s="23" t="b">
        <f ca="1">IFERROR(__xludf.DUMMYFUNCTION("""COMPUTED_VALUE"""),TRUE)</f>
        <v>1</v>
      </c>
      <c r="L404" s="22">
        <f ca="1">IFERROR(__xludf.DUMMYFUNCTION("""COMPUTED_VALUE"""),0.542275854547962)</f>
        <v>0.54227585454796201</v>
      </c>
      <c r="M404" s="23">
        <f ca="1">IFERROR(__xludf.DUMMYFUNCTION("""COMPUTED_VALUE"""),0.730744766517206)</f>
        <v>0.73074476651720599</v>
      </c>
      <c r="N404" s="23">
        <f ca="1">IFERROR(__xludf.DUMMYFUNCTION("""COMPUTED_VALUE"""),-0.949902558656203)</f>
        <v>-0.94990255865620299</v>
      </c>
      <c r="O404" s="23">
        <f ca="1">IFERROR(__xludf.DUMMYFUNCTION("""COMPUTED_VALUE"""),-0.866425022642516)</f>
        <v>-0.86642502264251597</v>
      </c>
      <c r="P404" s="23"/>
      <c r="Q404" s="24">
        <f ca="1">IFERROR(__xludf.DUMMYFUNCTION("""COMPUTED_VALUE"""),0.811307974720583)</f>
        <v>0.81130797472058302</v>
      </c>
      <c r="R404" s="23">
        <f ca="1">IFERROR(__xludf.DUMMYFUNCTION("""COMPUTED_VALUE"""),-0.969378773887358)</f>
        <v>-0.96937877388735805</v>
      </c>
      <c r="S404" s="23"/>
      <c r="T404" s="23">
        <f ca="1">IFERROR(__xludf.DUMMYFUNCTION("""COMPUTED_VALUE"""),-0.800842552864381)</f>
        <v>-0.800842552864381</v>
      </c>
      <c r="U404" s="23">
        <f ca="1">IFERROR(__xludf.DUMMYFUNCTION("""COMPUTED_VALUE"""),-0.794917180114426)</f>
        <v>-0.79491718011442603</v>
      </c>
      <c r="V404" s="23">
        <f ca="1">IFERROR(__xludf.DUMMYFUNCTION("""COMPUTED_VALUE"""),0.53875898393557)</f>
        <v>0.53875898393556998</v>
      </c>
      <c r="W404" s="23"/>
      <c r="X404" s="23"/>
      <c r="Y404" s="23">
        <f ca="1">IFERROR(__xludf.DUMMYFUNCTION("""COMPUTED_VALUE"""),-0.31045677929717)</f>
        <v>-0.31045677929717003</v>
      </c>
      <c r="Z404" s="23">
        <f ca="1">IFERROR(__xludf.DUMMYFUNCTION("""COMPUTED_VALUE"""),-0.328289898143551)</f>
        <v>-0.32828989814355097</v>
      </c>
      <c r="AA404" s="23">
        <f ca="1">IFERROR(__xludf.DUMMYFUNCTION("""COMPUTED_VALUE"""),0.764240479460982)</f>
        <v>0.76424047946098195</v>
      </c>
      <c r="AB404" s="23"/>
      <c r="AC404" s="22">
        <f ca="1">IFERROR(__xludf.DUMMYFUNCTION("""COMPUTED_VALUE"""),-0.99920544391086)</f>
        <v>-0.99920544391085997</v>
      </c>
      <c r="AD404" s="23">
        <f ca="1">IFERROR(__xludf.DUMMYFUNCTION("""COMPUTED_VALUE"""),-0.754182306320348)</f>
        <v>-0.75418230632034799</v>
      </c>
      <c r="AE404" s="23"/>
      <c r="AF404" s="22"/>
      <c r="AG404" s="22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</row>
    <row r="405" spans="1:45" ht="27.75" customHeight="1" x14ac:dyDescent="0.35">
      <c r="A405" s="15" t="s">
        <v>207</v>
      </c>
      <c r="B405" s="15" t="s">
        <v>225</v>
      </c>
      <c r="C405" s="15" t="str">
        <f ca="1">IFERROR(__xludf.DUMMYFUNCTION("""COMPUTED_VALUE"""),"2023/02/12 (日)
休日午前")</f>
        <v>2023/02/12 (日)
休日午前</v>
      </c>
      <c r="D405" s="15" t="str">
        <f ca="1">IFERROR(__xludf.DUMMYFUNCTION("""COMPUTED_VALUE"""),"休日午前")</f>
        <v>休日午前</v>
      </c>
      <c r="E405" s="16">
        <f ca="1">IFERROR(__xludf.DUMMYFUNCTION("""COMPUTED_VALUE"""),0.639976741574482)</f>
        <v>0.63997674157448203</v>
      </c>
      <c r="F405" s="15" t="s">
        <v>16</v>
      </c>
      <c r="G405" s="32">
        <v>0</v>
      </c>
      <c r="H405" s="27" t="s">
        <v>16</v>
      </c>
      <c r="I405" s="27"/>
      <c r="J405" s="27" t="s">
        <v>231</v>
      </c>
      <c r="K405" s="23" t="b">
        <f ca="1">IFERROR(__xludf.DUMMYFUNCTION("""COMPUTED_VALUE"""),FALSE)</f>
        <v>0</v>
      </c>
      <c r="L405" s="22">
        <f ca="1">IFERROR(__xludf.DUMMYFUNCTION("""COMPUTED_VALUE"""),0.594226041520419)</f>
        <v>0.59422604152041902</v>
      </c>
      <c r="M405" s="23">
        <f ca="1">IFERROR(__xludf.DUMMYFUNCTION("""COMPUTED_VALUE"""),-0.447794745476243)</f>
        <v>-0.44779474547624298</v>
      </c>
      <c r="N405" s="23">
        <f ca="1">IFERROR(__xludf.DUMMYFUNCTION("""COMPUTED_VALUE"""),0.363498817379487)</f>
        <v>0.36349881737948703</v>
      </c>
      <c r="O405" s="23">
        <f ca="1">IFERROR(__xludf.DUMMYFUNCTION("""COMPUTED_VALUE"""),-0.867190502426285)</f>
        <v>-0.86719050242628504</v>
      </c>
      <c r="P405" s="23"/>
      <c r="Q405" s="24">
        <f ca="1">IFERROR(__xludf.DUMMYFUNCTION("""COMPUTED_VALUE"""),0.639976741574482)</f>
        <v>0.63997674157448203</v>
      </c>
      <c r="R405" s="23">
        <f ca="1">IFERROR(__xludf.DUMMYFUNCTION("""COMPUTED_VALUE"""),-0.631585261227041)</f>
        <v>-0.63158526122704095</v>
      </c>
      <c r="S405" s="23"/>
      <c r="T405" s="23">
        <f ca="1">IFERROR(__xludf.DUMMYFUNCTION("""COMPUTED_VALUE"""),-0.763784370666606)</f>
        <v>-0.76378437066660598</v>
      </c>
      <c r="U405" s="23">
        <f ca="1">IFERROR(__xludf.DUMMYFUNCTION("""COMPUTED_VALUE"""),-0.387863244132682)</f>
        <v>-0.38786324413268197</v>
      </c>
      <c r="V405" s="23">
        <f ca="1">IFERROR(__xludf.DUMMYFUNCTION("""COMPUTED_VALUE"""),0.496841605270879)</f>
        <v>0.49684160527087901</v>
      </c>
      <c r="W405" s="23"/>
      <c r="X405" s="23"/>
      <c r="Y405" s="23">
        <f ca="1">IFERROR(__xludf.DUMMYFUNCTION("""COMPUTED_VALUE"""),-0.834524072382602)</f>
        <v>-0.83452407238260196</v>
      </c>
      <c r="Z405" s="23">
        <f ca="1">IFERROR(__xludf.DUMMYFUNCTION("""COMPUTED_VALUE"""),-0.0552897895648094)</f>
        <v>-5.52897895648094E-2</v>
      </c>
      <c r="AA405" s="23">
        <f ca="1">IFERROR(__xludf.DUMMYFUNCTION("""COMPUTED_VALUE"""),0.226836552437628)</f>
        <v>0.22683655243762799</v>
      </c>
      <c r="AB405" s="23"/>
      <c r="AC405" s="22">
        <f ca="1">IFERROR(__xludf.DUMMYFUNCTION("""COMPUTED_VALUE"""),-0.903268643618869)</f>
        <v>-0.90326864361886905</v>
      </c>
      <c r="AD405" s="23">
        <f ca="1">IFERROR(__xludf.DUMMYFUNCTION("""COMPUTED_VALUE"""),-0.180131181173267)</f>
        <v>-0.18013118117326701</v>
      </c>
      <c r="AE405" s="23"/>
      <c r="AF405" s="22"/>
      <c r="AG405" s="22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</row>
    <row r="406" spans="1:45" ht="27.75" customHeight="1" x14ac:dyDescent="0.4">
      <c r="A406" s="15" t="s">
        <v>207</v>
      </c>
      <c r="B406" s="15" t="s">
        <v>225</v>
      </c>
      <c r="C406" s="15" t="str">
        <f ca="1">IFERROR(__xludf.DUMMYFUNCTION("""COMPUTED_VALUE"""),"2023/02/12 (日)
休日午後")</f>
        <v>2023/02/12 (日)
休日午後</v>
      </c>
      <c r="D406" s="15" t="str">
        <f ca="1">IFERROR(__xludf.DUMMYFUNCTION("""COMPUTED_VALUE"""),"休日午後")</f>
        <v>休日午後</v>
      </c>
      <c r="E406" s="16">
        <f ca="1">IFERROR(__xludf.DUMMYFUNCTION("""COMPUTED_VALUE"""),0.955423939207357)</f>
        <v>0.95542393920735702</v>
      </c>
      <c r="F406" s="15" t="s">
        <v>18</v>
      </c>
      <c r="G406" s="32">
        <v>0</v>
      </c>
      <c r="H406" s="29" t="s">
        <v>2</v>
      </c>
      <c r="I406" s="27"/>
      <c r="J406" s="27" t="s">
        <v>231</v>
      </c>
      <c r="K406" s="23" t="b">
        <f ca="1">IFERROR(__xludf.DUMMYFUNCTION("""COMPUTED_VALUE"""),TRUE)</f>
        <v>1</v>
      </c>
      <c r="L406" s="22">
        <f ca="1">IFERROR(__xludf.DUMMYFUNCTION("""COMPUTED_VALUE"""),0.955423939207357)</f>
        <v>0.95542393920735702</v>
      </c>
      <c r="M406" s="23">
        <f ca="1">IFERROR(__xludf.DUMMYFUNCTION("""COMPUTED_VALUE"""),-0.250670249757064)</f>
        <v>-0.25067024975706398</v>
      </c>
      <c r="N406" s="23">
        <f ca="1">IFERROR(__xludf.DUMMYFUNCTION("""COMPUTED_VALUE"""),0.840965095245737)</f>
        <v>0.84096509524573704</v>
      </c>
      <c r="O406" s="23">
        <f ca="1">IFERROR(__xludf.DUMMYFUNCTION("""COMPUTED_VALUE"""),-0.790918563360889)</f>
        <v>-0.79091856336088895</v>
      </c>
      <c r="P406" s="23"/>
      <c r="Q406" s="24">
        <f ca="1">IFERROR(__xludf.DUMMYFUNCTION("""COMPUTED_VALUE"""),0.88098627977162)</f>
        <v>0.88098627977162003</v>
      </c>
      <c r="R406" s="23">
        <f ca="1">IFERROR(__xludf.DUMMYFUNCTION("""COMPUTED_VALUE"""),-0.572717999623237)</f>
        <v>-0.572717999623237</v>
      </c>
      <c r="S406" s="23"/>
      <c r="T406" s="23">
        <f ca="1">IFERROR(__xludf.DUMMYFUNCTION("""COMPUTED_VALUE"""),-0.529212300653238)</f>
        <v>-0.52921230065323799</v>
      </c>
      <c r="U406" s="23">
        <f ca="1">IFERROR(__xludf.DUMMYFUNCTION("""COMPUTED_VALUE"""),-0.473970749129434)</f>
        <v>-0.47397074912943399</v>
      </c>
      <c r="V406" s="23">
        <f ca="1">IFERROR(__xludf.DUMMYFUNCTION("""COMPUTED_VALUE"""),0.327899413729632)</f>
        <v>0.32789941372963199</v>
      </c>
      <c r="W406" s="23"/>
      <c r="X406" s="23"/>
      <c r="Y406" s="23">
        <f ca="1">IFERROR(__xludf.DUMMYFUNCTION("""COMPUTED_VALUE"""),-0.21224602151195)</f>
        <v>-0.21224602151194999</v>
      </c>
      <c r="Z406" s="23">
        <f ca="1">IFERROR(__xludf.DUMMYFUNCTION("""COMPUTED_VALUE"""),-0.687813510290772)</f>
        <v>-0.68781351029077198</v>
      </c>
      <c r="AA406" s="23">
        <f ca="1">IFERROR(__xludf.DUMMYFUNCTION("""COMPUTED_VALUE"""),0.386776757759489)</f>
        <v>0.386776757759489</v>
      </c>
      <c r="AB406" s="23"/>
      <c r="AC406" s="22">
        <f ca="1">IFERROR(__xludf.DUMMYFUNCTION("""COMPUTED_VALUE"""),-0.844244093094156)</f>
        <v>-0.84424409309415605</v>
      </c>
      <c r="AD406" s="23">
        <f ca="1">IFERROR(__xludf.DUMMYFUNCTION("""COMPUTED_VALUE"""),-0.139516448937079)</f>
        <v>-0.13951644893707901</v>
      </c>
      <c r="AE406" s="23"/>
      <c r="AF406" s="22"/>
      <c r="AG406" s="22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</row>
    <row r="407" spans="1:45" ht="27.75" customHeight="1" x14ac:dyDescent="0.4">
      <c r="A407" s="15" t="s">
        <v>207</v>
      </c>
      <c r="B407" s="15" t="s">
        <v>225</v>
      </c>
      <c r="C407" s="15" t="str">
        <f ca="1">IFERROR(__xludf.DUMMYFUNCTION("""COMPUTED_VALUE"""),"2023/02/13 (月)
平日夜間")</f>
        <v>2023/02/13 (月)
平日夜間</v>
      </c>
      <c r="D407" s="15" t="str">
        <f ca="1">IFERROR(__xludf.DUMMYFUNCTION("""COMPUTED_VALUE"""),"平日夜間")</f>
        <v>平日夜間</v>
      </c>
      <c r="E407" s="16">
        <f ca="1">IFERROR(__xludf.DUMMYFUNCTION("""COMPUTED_VALUE"""),0.998471456830481)</f>
        <v>0.998471456830481</v>
      </c>
      <c r="F407" s="15" t="s">
        <v>7</v>
      </c>
      <c r="G407" s="32"/>
      <c r="H407" s="29" t="s">
        <v>13</v>
      </c>
      <c r="I407" s="27"/>
      <c r="J407" s="27" t="s">
        <v>232</v>
      </c>
      <c r="K407" s="23" t="b">
        <f ca="1">IFERROR(__xludf.DUMMYFUNCTION("""COMPUTED_VALUE"""),TRUE)</f>
        <v>1</v>
      </c>
      <c r="L407" s="22">
        <f ca="1">IFERROR(__xludf.DUMMYFUNCTION("""COMPUTED_VALUE"""),0.854426945650775)</f>
        <v>0.85442694565077504</v>
      </c>
      <c r="M407" s="23">
        <f ca="1">IFERROR(__xludf.DUMMYFUNCTION("""COMPUTED_VALUE"""),-0.206633690010979)</f>
        <v>-0.206633690010979</v>
      </c>
      <c r="N407" s="23">
        <f ca="1">IFERROR(__xludf.DUMMYFUNCTION("""COMPUTED_VALUE"""),0.109243937622658)</f>
        <v>0.10924393762265799</v>
      </c>
      <c r="O407" s="23">
        <f ca="1">IFERROR(__xludf.DUMMYFUNCTION("""COMPUTED_VALUE"""),-0.648106180865984)</f>
        <v>-0.64810618086598404</v>
      </c>
      <c r="P407" s="23"/>
      <c r="Q407" s="24">
        <f ca="1">IFERROR(__xludf.DUMMYFUNCTION("""COMPUTED_VALUE"""),0.768384281038613)</f>
        <v>0.768384281038613</v>
      </c>
      <c r="R407" s="23">
        <f ca="1">IFERROR(__xludf.DUMMYFUNCTION("""COMPUTED_VALUE"""),0.809170840351723)</f>
        <v>0.80917084035172304</v>
      </c>
      <c r="S407" s="23"/>
      <c r="T407" s="23">
        <f ca="1">IFERROR(__xludf.DUMMYFUNCTION("""COMPUTED_VALUE"""),0.941682542643457)</f>
        <v>0.94168254264345697</v>
      </c>
      <c r="U407" s="23">
        <f ca="1">IFERROR(__xludf.DUMMYFUNCTION("""COMPUTED_VALUE"""),0.107651472823177)</f>
        <v>0.107651472823177</v>
      </c>
      <c r="V407" s="23">
        <f ca="1">IFERROR(__xludf.DUMMYFUNCTION("""COMPUTED_VALUE"""),0.204913627685725)</f>
        <v>0.20491362768572499</v>
      </c>
      <c r="W407" s="23"/>
      <c r="X407" s="23"/>
      <c r="Y407" s="23">
        <f ca="1">IFERROR(__xludf.DUMMYFUNCTION("""COMPUTED_VALUE"""),0.00292895887308319)</f>
        <v>2.9289588730831901E-3</v>
      </c>
      <c r="Z407" s="23">
        <f ca="1">IFERROR(__xludf.DUMMYFUNCTION("""COMPUTED_VALUE"""),0.182967134237083)</f>
        <v>0.182967134237083</v>
      </c>
      <c r="AA407" s="23">
        <f ca="1">IFERROR(__xludf.DUMMYFUNCTION("""COMPUTED_VALUE"""),0.998471456830481)</f>
        <v>0.998471456830481</v>
      </c>
      <c r="AB407" s="23"/>
      <c r="AC407" s="22">
        <f ca="1">IFERROR(__xludf.DUMMYFUNCTION("""COMPUTED_VALUE"""),0.576838931402253)</f>
        <v>0.57683893140225295</v>
      </c>
      <c r="AD407" s="23">
        <f ca="1">IFERROR(__xludf.DUMMYFUNCTION("""COMPUTED_VALUE"""),0.522274438338256)</f>
        <v>0.52227443833825604</v>
      </c>
      <c r="AE407" s="23"/>
      <c r="AF407" s="22"/>
      <c r="AG407" s="22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</row>
    <row r="408" spans="1:45" ht="27.75" customHeight="1" x14ac:dyDescent="0.4">
      <c r="A408" s="15" t="s">
        <v>207</v>
      </c>
      <c r="B408" s="15" t="s">
        <v>225</v>
      </c>
      <c r="C408" s="15" t="str">
        <f ca="1">IFERROR(__xludf.DUMMYFUNCTION("""COMPUTED_VALUE"""),"2023/02/14 (火)
平日夜間")</f>
        <v>2023/02/14 (火)
平日夜間</v>
      </c>
      <c r="D408" s="15" t="str">
        <f ca="1">IFERROR(__xludf.DUMMYFUNCTION("""COMPUTED_VALUE"""),"平日夜間")</f>
        <v>平日夜間</v>
      </c>
      <c r="E408" s="16">
        <f ca="1">IFERROR(__xludf.DUMMYFUNCTION("""COMPUTED_VALUE"""),0.873272054660946)</f>
        <v>0.87327205466094604</v>
      </c>
      <c r="F408" s="15" t="s">
        <v>18</v>
      </c>
      <c r="G408" s="32">
        <v>-1</v>
      </c>
      <c r="H408" s="29" t="s">
        <v>4</v>
      </c>
      <c r="I408" s="27"/>
      <c r="J408" s="27" t="s">
        <v>60</v>
      </c>
      <c r="K408" s="23" t="b">
        <f ca="1">IFERROR(__xludf.DUMMYFUNCTION("""COMPUTED_VALUE"""),TRUE)</f>
        <v>1</v>
      </c>
      <c r="L408" s="22">
        <f ca="1">IFERROR(__xludf.DUMMYFUNCTION("""COMPUTED_VALUE"""),0.873272054660946)</f>
        <v>0.87327205466094604</v>
      </c>
      <c r="M408" s="23">
        <f ca="1">IFERROR(__xludf.DUMMYFUNCTION("""COMPUTED_VALUE"""),-0.112460065640408)</f>
        <v>-0.112460065640408</v>
      </c>
      <c r="N408" s="23">
        <f ca="1">IFERROR(__xludf.DUMMYFUNCTION("""COMPUTED_VALUE"""),0.245001428771697)</f>
        <v>0.24500142877169701</v>
      </c>
      <c r="O408" s="23">
        <f ca="1">IFERROR(__xludf.DUMMYFUNCTION("""COMPUTED_VALUE"""),0.792986231192062)</f>
        <v>0.79298623119206202</v>
      </c>
      <c r="P408" s="23"/>
      <c r="Q408" s="24">
        <f ca="1">IFERROR(__xludf.DUMMYFUNCTION("""COMPUTED_VALUE"""),-0.417278207806078)</f>
        <v>-0.41727820780607799</v>
      </c>
      <c r="R408" s="23">
        <f ca="1">IFERROR(__xludf.DUMMYFUNCTION("""COMPUTED_VALUE"""),-0.107754793865836)</f>
        <v>-0.107754793865836</v>
      </c>
      <c r="S408" s="23"/>
      <c r="T408" s="23">
        <f ca="1">IFERROR(__xludf.DUMMYFUNCTION("""COMPUTED_VALUE"""),0.419404016243523)</f>
        <v>0.41940401624352303</v>
      </c>
      <c r="U408" s="23">
        <f ca="1">IFERROR(__xludf.DUMMYFUNCTION("""COMPUTED_VALUE"""),0.642277744269056)</f>
        <v>0.64227774426905604</v>
      </c>
      <c r="V408" s="23">
        <f ca="1">IFERROR(__xludf.DUMMYFUNCTION("""COMPUTED_VALUE"""),0.308364410631418)</f>
        <v>0.30836441063141801</v>
      </c>
      <c r="W408" s="23"/>
      <c r="X408" s="23"/>
      <c r="Y408" s="23">
        <f ca="1">IFERROR(__xludf.DUMMYFUNCTION("""COMPUTED_VALUE"""),0.133098950157405)</f>
        <v>0.133098950157405</v>
      </c>
      <c r="Z408" s="23">
        <f ca="1">IFERROR(__xludf.DUMMYFUNCTION("""COMPUTED_VALUE"""),-0.487926616255959)</f>
        <v>-0.48792661625595901</v>
      </c>
      <c r="AA408" s="23">
        <f ca="1">IFERROR(__xludf.DUMMYFUNCTION("""COMPUTED_VALUE"""),-0.425126545271779)</f>
        <v>-0.42512654527177901</v>
      </c>
      <c r="AB408" s="23"/>
      <c r="AC408" s="22">
        <f ca="1">IFERROR(__xludf.DUMMYFUNCTION("""COMPUTED_VALUE"""),0.0354231285838171)</f>
        <v>3.5423128583817097E-2</v>
      </c>
      <c r="AD408" s="23">
        <f ca="1">IFERROR(__xludf.DUMMYFUNCTION("""COMPUTED_VALUE"""),0.837459631076034)</f>
        <v>0.83745963107603405</v>
      </c>
      <c r="AE408" s="23"/>
      <c r="AF408" s="22"/>
      <c r="AG408" s="22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</row>
    <row r="409" spans="1:45" ht="27.75" customHeight="1" x14ac:dyDescent="0.35">
      <c r="A409" s="15" t="s">
        <v>207</v>
      </c>
      <c r="B409" s="15" t="s">
        <v>225</v>
      </c>
      <c r="C409" s="15" t="str">
        <f ca="1">IFERROR(__xludf.DUMMYFUNCTION("""COMPUTED_VALUE"""),"2023/02/15 (水)
平日夜間")</f>
        <v>2023/02/15 (水)
平日夜間</v>
      </c>
      <c r="D409" s="15" t="str">
        <f ca="1">IFERROR(__xludf.DUMMYFUNCTION("""COMPUTED_VALUE"""),"平日夜間")</f>
        <v>平日夜間</v>
      </c>
      <c r="E409" s="16">
        <f ca="1">IFERROR(__xludf.DUMMYFUNCTION("""COMPUTED_VALUE"""),1.47243391084324)</f>
        <v>1.47243391084324</v>
      </c>
      <c r="F409" s="15" t="s">
        <v>6</v>
      </c>
      <c r="G409" s="32">
        <v>1</v>
      </c>
      <c r="H409" s="27" t="s">
        <v>6</v>
      </c>
      <c r="I409" s="27"/>
      <c r="J409" s="27"/>
      <c r="K409" s="23" t="b">
        <f ca="1">IFERROR(__xludf.DUMMYFUNCTION("""COMPUTED_VALUE"""),FALSE)</f>
        <v>0</v>
      </c>
      <c r="L409" s="22">
        <f ca="1">IFERROR(__xludf.DUMMYFUNCTION("""COMPUTED_VALUE"""),-0.704307996422338)</f>
        <v>-0.70430799642233799</v>
      </c>
      <c r="M409" s="23">
        <f ca="1">IFERROR(__xludf.DUMMYFUNCTION("""COMPUTED_VALUE"""),-0.629059855429388)</f>
        <v>-0.62905985542938803</v>
      </c>
      <c r="N409" s="23">
        <f ca="1">IFERROR(__xludf.DUMMYFUNCTION("""COMPUTED_VALUE"""),0.15035700946986)</f>
        <v>0.15035700946986</v>
      </c>
      <c r="O409" s="23">
        <f ca="1">IFERROR(__xludf.DUMMYFUNCTION("""COMPUTED_VALUE"""),0.353571986589336)</f>
        <v>0.35357198658933597</v>
      </c>
      <c r="P409" s="23"/>
      <c r="Q409" s="24">
        <f ca="1">IFERROR(__xludf.DUMMYFUNCTION("""COMPUTED_VALUE"""),-0.0997121669915948)</f>
        <v>-9.9712166991594797E-2</v>
      </c>
      <c r="R409" s="23">
        <f ca="1">IFERROR(__xludf.DUMMYFUNCTION("""COMPUTED_VALUE"""),-0.775133243355947)</f>
        <v>-0.77513324335594702</v>
      </c>
      <c r="S409" s="23"/>
      <c r="T409" s="23">
        <f ca="1">IFERROR(__xludf.DUMMYFUNCTION("""COMPUTED_VALUE"""),0.00678188909691801)</f>
        <v>6.7818890969180102E-3</v>
      </c>
      <c r="U409" s="23">
        <f ca="1">IFERROR(__xludf.DUMMYFUNCTION("""COMPUTED_VALUE"""),0.893284720974954)</f>
        <v>0.89328472097495404</v>
      </c>
      <c r="V409" s="23">
        <f ca="1">IFERROR(__xludf.DUMMYFUNCTION("""COMPUTED_VALUE"""),0.736762139061374)</f>
        <v>0.736762139061374</v>
      </c>
      <c r="W409" s="23"/>
      <c r="X409" s="23"/>
      <c r="Y409" s="23">
        <f ca="1">IFERROR(__xludf.DUMMYFUNCTION("""COMPUTED_VALUE"""),0.951913692576872)</f>
        <v>0.95191369257687197</v>
      </c>
      <c r="Z409" s="23">
        <f ca="1">IFERROR(__xludf.DUMMYFUNCTION("""COMPUTED_VALUE"""),0.362442009633893)</f>
        <v>0.362442009633893</v>
      </c>
      <c r="AA409" s="23">
        <f ca="1">IFERROR(__xludf.DUMMYFUNCTION("""COMPUTED_VALUE"""),0.158449443117501)</f>
        <v>0.158449443117501</v>
      </c>
      <c r="AB409" s="23"/>
      <c r="AC409" s="22">
        <f ca="1">IFERROR(__xludf.DUMMYFUNCTION("""COMPUTED_VALUE"""),1.47243391084324)</f>
        <v>1.47243391084324</v>
      </c>
      <c r="AD409" s="23">
        <f ca="1">IFERROR(__xludf.DUMMYFUNCTION("""COMPUTED_VALUE"""),0.296137105730934)</f>
        <v>0.29613710573093399</v>
      </c>
      <c r="AE409" s="23"/>
      <c r="AF409" s="22"/>
      <c r="AG409" s="22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</row>
    <row r="410" spans="1:45" ht="27.75" customHeight="1" x14ac:dyDescent="0.35">
      <c r="A410" s="15" t="s">
        <v>207</v>
      </c>
      <c r="B410" s="15" t="s">
        <v>225</v>
      </c>
      <c r="C410" s="15" t="str">
        <f ca="1">IFERROR(__xludf.DUMMYFUNCTION("""COMPUTED_VALUE"""),"2023/02/16 (木)
平日夜間")</f>
        <v>2023/02/16 (木)
平日夜間</v>
      </c>
      <c r="D410" s="15" t="str">
        <f ca="1">IFERROR(__xludf.DUMMYFUNCTION("""COMPUTED_VALUE"""),"平日夜間")</f>
        <v>平日夜間</v>
      </c>
      <c r="E410" s="16">
        <f ca="1">IFERROR(__xludf.DUMMYFUNCTION("""COMPUTED_VALUE"""),0.990774318603663)</f>
        <v>0.99077431860366305</v>
      </c>
      <c r="F410" s="15" t="s">
        <v>3</v>
      </c>
      <c r="G410" s="32">
        <v>-1</v>
      </c>
      <c r="H410" s="27" t="s">
        <v>4</v>
      </c>
      <c r="I410" s="27" t="s">
        <v>3</v>
      </c>
      <c r="J410" s="27"/>
      <c r="K410" s="23" t="b">
        <f ca="1">IFERROR(__xludf.DUMMYFUNCTION("""COMPUTED_VALUE"""),FALSE)</f>
        <v>0</v>
      </c>
      <c r="L410" s="22">
        <f ca="1">IFERROR(__xludf.DUMMYFUNCTION("""COMPUTED_VALUE"""),-0.431848285111133)</f>
        <v>-0.43184828511113299</v>
      </c>
      <c r="M410" s="23">
        <f ca="1">IFERROR(__xludf.DUMMYFUNCTION("""COMPUTED_VALUE"""),-0.304515712059333)</f>
        <v>-0.30451571205933298</v>
      </c>
      <c r="N410" s="23">
        <f ca="1">IFERROR(__xludf.DUMMYFUNCTION("""COMPUTED_VALUE"""),0.770057185509118)</f>
        <v>0.77005718550911795</v>
      </c>
      <c r="O410" s="23">
        <f ca="1">IFERROR(__xludf.DUMMYFUNCTION("""COMPUTED_VALUE"""),0.978873898780242)</f>
        <v>0.978873898780242</v>
      </c>
      <c r="P410" s="23"/>
      <c r="Q410" s="24">
        <f ca="1">IFERROR(__xludf.DUMMYFUNCTION("""COMPUTED_VALUE"""),0.120427897899213)</f>
        <v>0.120427897899213</v>
      </c>
      <c r="R410" s="23">
        <f ca="1">IFERROR(__xludf.DUMMYFUNCTION("""COMPUTED_VALUE"""),-0.83478808789768)</f>
        <v>-0.83478808789768</v>
      </c>
      <c r="S410" s="23"/>
      <c r="T410" s="23">
        <f ca="1">IFERROR(__xludf.DUMMYFUNCTION("""COMPUTED_VALUE"""),0.590753077459968)</f>
        <v>0.59075307745996797</v>
      </c>
      <c r="U410" s="23">
        <f ca="1">IFERROR(__xludf.DUMMYFUNCTION("""COMPUTED_VALUE"""),-0.306543953126638)</f>
        <v>-0.30654395312663801</v>
      </c>
      <c r="V410" s="23">
        <f ca="1">IFERROR(__xludf.DUMMYFUNCTION("""COMPUTED_VALUE"""),-0.664950888761783)</f>
        <v>-0.66495088876178299</v>
      </c>
      <c r="W410" s="23"/>
      <c r="X410" s="23"/>
      <c r="Y410" s="23">
        <f ca="1">IFERROR(__xludf.DUMMYFUNCTION("""COMPUTED_VALUE"""),0.090836736786763)</f>
        <v>9.0836736786763003E-2</v>
      </c>
      <c r="Z410" s="23">
        <f ca="1">IFERROR(__xludf.DUMMYFUNCTION("""COMPUTED_VALUE"""),0.83084345396041)</f>
        <v>0.83084345396041004</v>
      </c>
      <c r="AA410" s="23">
        <f ca="1">IFERROR(__xludf.DUMMYFUNCTION("""COMPUTED_VALUE"""),0.51265456924697)</f>
        <v>0.51265456924696995</v>
      </c>
      <c r="AB410" s="23"/>
      <c r="AC410" s="22">
        <f ca="1">IFERROR(__xludf.DUMMYFUNCTION("""COMPUTED_VALUE"""),0.963588062349326)</f>
        <v>0.96358806234932604</v>
      </c>
      <c r="AD410" s="23">
        <f ca="1">IFERROR(__xludf.DUMMYFUNCTION("""COMPUTED_VALUE"""),0.990774318603663)</f>
        <v>0.99077431860366305</v>
      </c>
      <c r="AE410" s="23"/>
      <c r="AF410" s="22"/>
      <c r="AG410" s="22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</row>
    <row r="411" spans="1:45" ht="27.75" customHeight="1" x14ac:dyDescent="0.4">
      <c r="A411" s="15" t="s">
        <v>207</v>
      </c>
      <c r="B411" s="15" t="s">
        <v>225</v>
      </c>
      <c r="C411" s="15" t="str">
        <f ca="1">IFERROR(__xludf.DUMMYFUNCTION("""COMPUTED_VALUE"""),"2023/02/17 (金)
平日夜間")</f>
        <v>2023/02/17 (金)
平日夜間</v>
      </c>
      <c r="D411" s="15" t="str">
        <f ca="1">IFERROR(__xludf.DUMMYFUNCTION("""COMPUTED_VALUE"""),"平日夜間")</f>
        <v>平日夜間</v>
      </c>
      <c r="E411" s="16">
        <f ca="1">IFERROR(__xludf.DUMMYFUNCTION("""COMPUTED_VALUE"""),2.10858566188094)</f>
        <v>2.10858566188094</v>
      </c>
      <c r="F411" s="15" t="s">
        <v>11</v>
      </c>
      <c r="G411" s="32">
        <v>2</v>
      </c>
      <c r="H411" s="29" t="s">
        <v>11</v>
      </c>
      <c r="I411" s="27"/>
      <c r="J411" s="27" t="s">
        <v>48</v>
      </c>
      <c r="K411" s="23" t="b">
        <f ca="1">IFERROR(__xludf.DUMMYFUNCTION("""COMPUTED_VALUE"""),TRUE)</f>
        <v>1</v>
      </c>
      <c r="L411" s="22">
        <f ca="1">IFERROR(__xludf.DUMMYFUNCTION("""COMPUTED_VALUE"""),0.933107161953427)</f>
        <v>0.93310716195342702</v>
      </c>
      <c r="M411" s="23">
        <f ca="1">IFERROR(__xludf.DUMMYFUNCTION("""COMPUTED_VALUE"""),-0.756437322756447)</f>
        <v>-0.75643732275644704</v>
      </c>
      <c r="N411" s="23">
        <f ca="1">IFERROR(__xludf.DUMMYFUNCTION("""COMPUTED_VALUE"""),-0.232653838031137)</f>
        <v>-0.23265383803113701</v>
      </c>
      <c r="O411" s="23">
        <f ca="1">IFERROR(__xludf.DUMMYFUNCTION("""COMPUTED_VALUE"""),0.0975249674593072)</f>
        <v>9.7524967459307194E-2</v>
      </c>
      <c r="P411" s="23"/>
      <c r="Q411" s="24">
        <f ca="1">IFERROR(__xludf.DUMMYFUNCTION("""COMPUTED_VALUE"""),0.16075191718558)</f>
        <v>0.16075191718557999</v>
      </c>
      <c r="R411" s="23">
        <f ca="1">IFERROR(__xludf.DUMMYFUNCTION("""COMPUTED_VALUE"""),-0.785013420123786)</f>
        <v>-0.78501342012378605</v>
      </c>
      <c r="S411" s="23"/>
      <c r="T411" s="23">
        <f ca="1">IFERROR(__xludf.DUMMYFUNCTION("""COMPUTED_VALUE"""),2.10858566188094)</f>
        <v>2.10858566188094</v>
      </c>
      <c r="U411" s="23">
        <f ca="1">IFERROR(__xludf.DUMMYFUNCTION("""COMPUTED_VALUE"""),-0.746801008482011)</f>
        <v>-0.74680100848201103</v>
      </c>
      <c r="V411" s="23">
        <f ca="1">IFERROR(__xludf.DUMMYFUNCTION("""COMPUTED_VALUE"""),-0.602022224702314)</f>
        <v>-0.60202222470231403</v>
      </c>
      <c r="W411" s="23"/>
      <c r="X411" s="23"/>
      <c r="Y411" s="23">
        <f ca="1">IFERROR(__xludf.DUMMYFUNCTION("""COMPUTED_VALUE"""),0.325993742571307)</f>
        <v>0.32599374257130698</v>
      </c>
      <c r="Z411" s="23">
        <f ca="1">IFERROR(__xludf.DUMMYFUNCTION("""COMPUTED_VALUE"""),-0.604841717832612)</f>
        <v>-0.60484171783261198</v>
      </c>
      <c r="AA411" s="23">
        <f ca="1">IFERROR(__xludf.DUMMYFUNCTION("""COMPUTED_VALUE"""),0.760419894489628)</f>
        <v>0.76041989448962799</v>
      </c>
      <c r="AB411" s="23"/>
      <c r="AC411" s="22">
        <f ca="1">IFERROR(__xludf.DUMMYFUNCTION("""COMPUTED_VALUE"""),0.984892421630257)</f>
        <v>0.98489242163025703</v>
      </c>
      <c r="AD411" s="23">
        <f ca="1">IFERROR(__xludf.DUMMYFUNCTION("""COMPUTED_VALUE"""),0.135632345839104)</f>
        <v>0.135632345839104</v>
      </c>
      <c r="AE411" s="23"/>
      <c r="AF411" s="22"/>
      <c r="AG411" s="22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</row>
    <row r="412" spans="1:45" ht="27.75" customHeight="1" x14ac:dyDescent="0.35">
      <c r="A412" s="15" t="s">
        <v>207</v>
      </c>
      <c r="B412" s="15" t="s">
        <v>225</v>
      </c>
      <c r="C412" s="15" t="str">
        <f ca="1">IFERROR(__xludf.DUMMYFUNCTION("""COMPUTED_VALUE"""),"2023/02/18 (土)
休日午前")</f>
        <v>2023/02/18 (土)
休日午前</v>
      </c>
      <c r="D412" s="15" t="str">
        <f ca="1">IFERROR(__xludf.DUMMYFUNCTION("""COMPUTED_VALUE"""),"休日午前")</f>
        <v>休日午前</v>
      </c>
      <c r="E412" s="16">
        <f ca="1">IFERROR(__xludf.DUMMYFUNCTION("""COMPUTED_VALUE"""),2.67446128222411)</f>
        <v>2.6744612822241098</v>
      </c>
      <c r="F412" s="15" t="s">
        <v>19</v>
      </c>
      <c r="G412" s="32">
        <v>2</v>
      </c>
      <c r="H412" s="27" t="s">
        <v>19</v>
      </c>
      <c r="I412" s="27"/>
      <c r="J412" s="27" t="s">
        <v>233</v>
      </c>
      <c r="K412" s="23" t="b">
        <f ca="1">IFERROR(__xludf.DUMMYFUNCTION("""COMPUTED_VALUE"""),TRUE)</f>
        <v>1</v>
      </c>
      <c r="L412" s="22">
        <f ca="1">IFERROR(__xludf.DUMMYFUNCTION("""COMPUTED_VALUE"""),0.0938889270680458)</f>
        <v>9.3888927068045802E-2</v>
      </c>
      <c r="M412" s="23">
        <f ca="1">IFERROR(__xludf.DUMMYFUNCTION("""COMPUTED_VALUE"""),-0.909769462755756)</f>
        <v>-0.90976946275575599</v>
      </c>
      <c r="N412" s="23">
        <f ca="1">IFERROR(__xludf.DUMMYFUNCTION("""COMPUTED_VALUE"""),-0.0995501392438127)</f>
        <v>-9.9550139243812702E-2</v>
      </c>
      <c r="O412" s="23">
        <f ca="1">IFERROR(__xludf.DUMMYFUNCTION("""COMPUTED_VALUE"""),2.67446128222411)</f>
        <v>2.6744612822241098</v>
      </c>
      <c r="P412" s="23"/>
      <c r="Q412" s="24">
        <f ca="1">IFERROR(__xludf.DUMMYFUNCTION("""COMPUTED_VALUE"""),0.0926017911543708)</f>
        <v>9.2601791154370797E-2</v>
      </c>
      <c r="R412" s="23">
        <f ca="1">IFERROR(__xludf.DUMMYFUNCTION("""COMPUTED_VALUE"""),-0.0447999342468616)</f>
        <v>-4.47999342468616E-2</v>
      </c>
      <c r="S412" s="23"/>
      <c r="T412" s="23">
        <f ca="1">IFERROR(__xludf.DUMMYFUNCTION("""COMPUTED_VALUE"""),-0.543490413499317)</f>
        <v>-0.54349041349931704</v>
      </c>
      <c r="U412" s="23">
        <f ca="1">IFERROR(__xludf.DUMMYFUNCTION("""COMPUTED_VALUE"""),-0.845747013498873)</f>
        <v>-0.84574701349887305</v>
      </c>
      <c r="V412" s="23">
        <f ca="1">IFERROR(__xludf.DUMMYFUNCTION("""COMPUTED_VALUE"""),-0.804858802903664)</f>
        <v>-0.80485880290366396</v>
      </c>
      <c r="W412" s="23"/>
      <c r="X412" s="23"/>
      <c r="Y412" s="23">
        <f ca="1">IFERROR(__xludf.DUMMYFUNCTION("""COMPUTED_VALUE"""),-0.483064681115611)</f>
        <v>-0.48306468111561102</v>
      </c>
      <c r="Z412" s="23">
        <f ca="1">IFERROR(__xludf.DUMMYFUNCTION("""COMPUTED_VALUE"""),-0.343944419917269)</f>
        <v>-0.34394441991726898</v>
      </c>
      <c r="AA412" s="23">
        <f ca="1">IFERROR(__xludf.DUMMYFUNCTION("""COMPUTED_VALUE"""),0.10437576248622)</f>
        <v>0.10437576248622001</v>
      </c>
      <c r="AB412" s="23"/>
      <c r="AC412" s="22"/>
      <c r="AD412" s="23">
        <f ca="1">IFERROR(__xludf.DUMMYFUNCTION("""COMPUTED_VALUE"""),0.348989191604427)</f>
        <v>0.34898919160442698</v>
      </c>
      <c r="AE412" s="23"/>
      <c r="AF412" s="22"/>
      <c r="AG412" s="22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</row>
    <row r="413" spans="1:45" ht="27.75" customHeight="1" x14ac:dyDescent="0.4">
      <c r="A413" s="15" t="s">
        <v>207</v>
      </c>
      <c r="B413" s="15" t="s">
        <v>225</v>
      </c>
      <c r="C413" s="15" t="str">
        <f ca="1">IFERROR(__xludf.DUMMYFUNCTION("""COMPUTED_VALUE"""),"2023/02/18 (土)
休日午後")</f>
        <v>2023/02/18 (土)
休日午後</v>
      </c>
      <c r="D413" s="15" t="str">
        <f ca="1">IFERROR(__xludf.DUMMYFUNCTION("""COMPUTED_VALUE"""),"休日午後")</f>
        <v>休日午後</v>
      </c>
      <c r="E413" s="16">
        <f ca="1">IFERROR(__xludf.DUMMYFUNCTION("""COMPUTED_VALUE"""),2.84451686154641)</f>
        <v>2.8445168615464098</v>
      </c>
      <c r="F413" s="15" t="s">
        <v>16</v>
      </c>
      <c r="G413" s="32">
        <v>2</v>
      </c>
      <c r="H413" s="29" t="s">
        <v>16</v>
      </c>
      <c r="I413" s="27"/>
      <c r="J413" s="27" t="s">
        <v>233</v>
      </c>
      <c r="K413" s="23" t="b">
        <f ca="1">IFERROR(__xludf.DUMMYFUNCTION("""COMPUTED_VALUE"""),TRUE)</f>
        <v>1</v>
      </c>
      <c r="L413" s="22">
        <f ca="1">IFERROR(__xludf.DUMMYFUNCTION("""COMPUTED_VALUE"""),0.483480161601894)</f>
        <v>0.483480161601894</v>
      </c>
      <c r="M413" s="23">
        <f ca="1">IFERROR(__xludf.DUMMYFUNCTION("""COMPUTED_VALUE"""),-0.496807853890676)</f>
        <v>-0.496807853890676</v>
      </c>
      <c r="N413" s="23">
        <f ca="1">IFERROR(__xludf.DUMMYFUNCTION("""COMPUTED_VALUE"""),-0.995213730357928)</f>
        <v>-0.99521373035792804</v>
      </c>
      <c r="O413" s="23"/>
      <c r="P413" s="23"/>
      <c r="Q413" s="24">
        <f ca="1">IFERROR(__xludf.DUMMYFUNCTION("""COMPUTED_VALUE"""),2.84451686154641)</f>
        <v>2.8445168615464098</v>
      </c>
      <c r="R413" s="23">
        <f ca="1">IFERROR(__xludf.DUMMYFUNCTION("""COMPUTED_VALUE"""),-0.509238989011897)</f>
        <v>-0.50923898901189701</v>
      </c>
      <c r="S413" s="23"/>
      <c r="T413" s="23">
        <f ca="1">IFERROR(__xludf.DUMMYFUNCTION("""COMPUTED_VALUE"""),-0.856961453538006)</f>
        <v>-0.85696145353800601</v>
      </c>
      <c r="U413" s="23">
        <f ca="1">IFERROR(__xludf.DUMMYFUNCTION("""COMPUTED_VALUE"""),-0.772064403649957)</f>
        <v>-0.77206440364995699</v>
      </c>
      <c r="V413" s="23">
        <f ca="1">IFERROR(__xludf.DUMMYFUNCTION("""COMPUTED_VALUE"""),-0.366547112242607)</f>
        <v>-0.366547112242607</v>
      </c>
      <c r="W413" s="23"/>
      <c r="X413" s="23"/>
      <c r="Y413" s="23">
        <f ca="1">IFERROR(__xludf.DUMMYFUNCTION("""COMPUTED_VALUE"""),-0.57238617802433)</f>
        <v>-0.57238617802433001</v>
      </c>
      <c r="Z413" s="23">
        <f ca="1">IFERROR(__xludf.DUMMYFUNCTION("""COMPUTED_VALUE"""),-0.616064950555213)</f>
        <v>-0.61606495055521304</v>
      </c>
      <c r="AA413" s="23">
        <f ca="1">IFERROR(__xludf.DUMMYFUNCTION("""COMPUTED_VALUE"""),0.928883339208582)</f>
        <v>0.92888333920858202</v>
      </c>
      <c r="AB413" s="23"/>
      <c r="AC413" s="22"/>
      <c r="AD413" s="23">
        <f ca="1">IFERROR(__xludf.DUMMYFUNCTION("""COMPUTED_VALUE"""),0.403041495363268)</f>
        <v>0.403041495363268</v>
      </c>
      <c r="AE413" s="23"/>
      <c r="AF413" s="22"/>
      <c r="AG413" s="22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</row>
    <row r="414" spans="1:45" ht="27.75" customHeight="1" x14ac:dyDescent="0.35">
      <c r="A414" s="15" t="s">
        <v>207</v>
      </c>
      <c r="B414" s="15" t="s">
        <v>225</v>
      </c>
      <c r="C414" s="15" t="str">
        <f ca="1">IFERROR(__xludf.DUMMYFUNCTION("""COMPUTED_VALUE"""),"2023/02/19 (日)
休日午前")</f>
        <v>2023/02/19 (日)
休日午前</v>
      </c>
      <c r="D414" s="15" t="str">
        <f ca="1">IFERROR(__xludf.DUMMYFUNCTION("""COMPUTED_VALUE"""),"休日午前")</f>
        <v>休日午前</v>
      </c>
      <c r="E414" s="16">
        <f ca="1">IFERROR(__xludf.DUMMYFUNCTION("""COMPUTED_VALUE"""),1.55468509985823)</f>
        <v>1.55468509985823</v>
      </c>
      <c r="F414" s="15" t="s">
        <v>11</v>
      </c>
      <c r="G414" s="32">
        <v>1</v>
      </c>
      <c r="H414" s="27" t="s">
        <v>11</v>
      </c>
      <c r="I414" s="27"/>
      <c r="J414" s="27" t="s">
        <v>234</v>
      </c>
      <c r="K414" s="23" t="b">
        <f ca="1">IFERROR(__xludf.DUMMYFUNCTION("""COMPUTED_VALUE"""),FALSE)</f>
        <v>0</v>
      </c>
      <c r="L414" s="22">
        <f ca="1">IFERROR(__xludf.DUMMYFUNCTION("""COMPUTED_VALUE"""),0.719694836038993)</f>
        <v>0.71969483603899298</v>
      </c>
      <c r="M414" s="23">
        <f ca="1">IFERROR(__xludf.DUMMYFUNCTION("""COMPUTED_VALUE"""),-0.344573236997932)</f>
        <v>-0.34457323699793202</v>
      </c>
      <c r="N414" s="23">
        <f ca="1">IFERROR(__xludf.DUMMYFUNCTION("""COMPUTED_VALUE"""),0.717656411234961)</f>
        <v>0.71765641123496104</v>
      </c>
      <c r="O414" s="23"/>
      <c r="P414" s="23"/>
      <c r="Q414" s="24">
        <f ca="1">IFERROR(__xludf.DUMMYFUNCTION("""COMPUTED_VALUE"""),-0.821572675290442)</f>
        <v>-0.82157267529044198</v>
      </c>
      <c r="R414" s="23">
        <f ca="1">IFERROR(__xludf.DUMMYFUNCTION("""COMPUTED_VALUE"""),-0.961088358971841)</f>
        <v>-0.96108835897184097</v>
      </c>
      <c r="S414" s="23"/>
      <c r="T414" s="23">
        <f ca="1">IFERROR(__xludf.DUMMYFUNCTION("""COMPUTED_VALUE"""),1.55468509985823)</f>
        <v>1.55468509985823</v>
      </c>
      <c r="U414" s="23">
        <f ca="1">IFERROR(__xludf.DUMMYFUNCTION("""COMPUTED_VALUE"""),-0.600115599354016)</f>
        <v>-0.60011559935401604</v>
      </c>
      <c r="V414" s="23">
        <f ca="1">IFERROR(__xludf.DUMMYFUNCTION("""COMPUTED_VALUE"""),-0.423892140085242)</f>
        <v>-0.42389214008524201</v>
      </c>
      <c r="W414" s="23"/>
      <c r="X414" s="23"/>
      <c r="Y414" s="23">
        <f ca="1">IFERROR(__xludf.DUMMYFUNCTION("""COMPUTED_VALUE"""),0.87238195095027)</f>
        <v>0.87238195095027005</v>
      </c>
      <c r="Z414" s="23">
        <f ca="1">IFERROR(__xludf.DUMMYFUNCTION("""COMPUTED_VALUE"""),-0.617406291750563)</f>
        <v>-0.61740629175056305</v>
      </c>
      <c r="AA414" s="23">
        <f ca="1">IFERROR(__xludf.DUMMYFUNCTION("""COMPUTED_VALUE"""),0.0470278242017532)</f>
        <v>4.70278242017532E-2</v>
      </c>
      <c r="AB414" s="23"/>
      <c r="AC414" s="22"/>
      <c r="AD414" s="23">
        <f ca="1">IFERROR(__xludf.DUMMYFUNCTION("""COMPUTED_VALUE"""),-0.0675959806958865)</f>
        <v>-6.7595980695886501E-2</v>
      </c>
      <c r="AE414" s="23"/>
      <c r="AF414" s="22"/>
      <c r="AG414" s="22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</row>
    <row r="415" spans="1:45" ht="27.75" customHeight="1" x14ac:dyDescent="0.35">
      <c r="A415" s="15" t="s">
        <v>207</v>
      </c>
      <c r="B415" s="15" t="s">
        <v>225</v>
      </c>
      <c r="C415" s="15" t="str">
        <f ca="1">IFERROR(__xludf.DUMMYFUNCTION("""COMPUTED_VALUE"""),"2023/02/19 (日)
休日午後")</f>
        <v>2023/02/19 (日)
休日午後</v>
      </c>
      <c r="D415" s="15" t="str">
        <f ca="1">IFERROR(__xludf.DUMMYFUNCTION("""COMPUTED_VALUE"""),"休日午後")</f>
        <v>休日午後</v>
      </c>
      <c r="E415" s="16">
        <f ca="1">IFERROR(__xludf.DUMMYFUNCTION("""COMPUTED_VALUE"""),0.932198770063531)</f>
        <v>0.93219877006353102</v>
      </c>
      <c r="F415" s="15" t="s">
        <v>7</v>
      </c>
      <c r="G415" s="32">
        <v>0</v>
      </c>
      <c r="H415" s="27" t="s">
        <v>7</v>
      </c>
      <c r="I415" s="27"/>
      <c r="J415" s="27" t="s">
        <v>234</v>
      </c>
      <c r="K415" s="23" t="b">
        <f ca="1">IFERROR(__xludf.DUMMYFUNCTION("""COMPUTED_VALUE"""),FALSE)</f>
        <v>0</v>
      </c>
      <c r="L415" s="22">
        <f ca="1">IFERROR(__xludf.DUMMYFUNCTION("""COMPUTED_VALUE"""),0.586247364955168)</f>
        <v>0.58624736495516805</v>
      </c>
      <c r="M415" s="23">
        <f ca="1">IFERROR(__xludf.DUMMYFUNCTION("""COMPUTED_VALUE"""),-0.934810374085991)</f>
        <v>-0.93481037408599099</v>
      </c>
      <c r="N415" s="23">
        <f ca="1">IFERROR(__xludf.DUMMYFUNCTION("""COMPUTED_VALUE"""),0.334120856149313)</f>
        <v>0.33412085614931297</v>
      </c>
      <c r="O415" s="23"/>
      <c r="P415" s="23"/>
      <c r="Q415" s="24">
        <f ca="1">IFERROR(__xludf.DUMMYFUNCTION("""COMPUTED_VALUE"""),-0.144812323409904)</f>
        <v>-0.14481232340990399</v>
      </c>
      <c r="R415" s="23">
        <f ca="1">IFERROR(__xludf.DUMMYFUNCTION("""COMPUTED_VALUE"""),-0.830793932535564)</f>
        <v>-0.83079393253556399</v>
      </c>
      <c r="S415" s="23"/>
      <c r="T415" s="23">
        <f ca="1">IFERROR(__xludf.DUMMYFUNCTION("""COMPUTED_VALUE"""),0.47933528750599)</f>
        <v>0.47933528750599003</v>
      </c>
      <c r="U415" s="23">
        <f ca="1">IFERROR(__xludf.DUMMYFUNCTION("""COMPUTED_VALUE"""),-0.535346607232853)</f>
        <v>-0.53534660723285299</v>
      </c>
      <c r="V415" s="23">
        <f ca="1">IFERROR(__xludf.DUMMYFUNCTION("""COMPUTED_VALUE"""),-0.929310663001934)</f>
        <v>-0.92931066300193399</v>
      </c>
      <c r="W415" s="23"/>
      <c r="X415" s="23"/>
      <c r="Y415" s="23">
        <f ca="1">IFERROR(__xludf.DUMMYFUNCTION("""COMPUTED_VALUE"""),-0.720599179310939)</f>
        <v>-0.72059917931093898</v>
      </c>
      <c r="Z415" s="23">
        <f ca="1">IFERROR(__xludf.DUMMYFUNCTION("""COMPUTED_VALUE"""),-0.740573733197413)</f>
        <v>-0.74057373319741304</v>
      </c>
      <c r="AA415" s="23">
        <f ca="1">IFERROR(__xludf.DUMMYFUNCTION("""COMPUTED_VALUE"""),0.932198770063531)</f>
        <v>0.93219877006353102</v>
      </c>
      <c r="AB415" s="23"/>
      <c r="AC415" s="22"/>
      <c r="AD415" s="23">
        <f ca="1">IFERROR(__xludf.DUMMYFUNCTION("""COMPUTED_VALUE"""),-0.0796159049465099)</f>
        <v>-7.9615904946509899E-2</v>
      </c>
      <c r="AE415" s="23"/>
      <c r="AF415" s="22"/>
      <c r="AG415" s="22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</row>
    <row r="416" spans="1:45" ht="27.75" customHeight="1" x14ac:dyDescent="0.35">
      <c r="A416" s="15" t="s">
        <v>207</v>
      </c>
      <c r="B416" s="15" t="s">
        <v>225</v>
      </c>
      <c r="C416" s="15" t="str">
        <f ca="1">IFERROR(__xludf.DUMMYFUNCTION("""COMPUTED_VALUE"""),"2023/02/20 (月)
平日夜間")</f>
        <v>2023/02/20 (月)
平日夜間</v>
      </c>
      <c r="D416" s="15" t="str">
        <f ca="1">IFERROR(__xludf.DUMMYFUNCTION("""COMPUTED_VALUE"""),"平日夜間")</f>
        <v>平日夜間</v>
      </c>
      <c r="E416" s="16">
        <f ca="1">IFERROR(__xludf.DUMMYFUNCTION("""COMPUTED_VALUE"""),0.95701075662234)</f>
        <v>0.95701075662234003</v>
      </c>
      <c r="F416" s="15" t="s">
        <v>2</v>
      </c>
      <c r="G416" s="32">
        <v>0</v>
      </c>
      <c r="H416" s="27" t="s">
        <v>2</v>
      </c>
      <c r="I416" s="27"/>
      <c r="J416" s="27" t="s">
        <v>96</v>
      </c>
      <c r="K416" s="23" t="b">
        <f ca="1">IFERROR(__xludf.DUMMYFUNCTION("""COMPUTED_VALUE"""),FALSE)</f>
        <v>0</v>
      </c>
      <c r="L416" s="22">
        <f ca="1">IFERROR(__xludf.DUMMYFUNCTION("""COMPUTED_VALUE"""),-0.649319354474707)</f>
        <v>-0.64931935447470701</v>
      </c>
      <c r="M416" s="23">
        <f ca="1">IFERROR(__xludf.DUMMYFUNCTION("""COMPUTED_VALUE"""),-0.528809331404999)</f>
        <v>-0.52880933140499897</v>
      </c>
      <c r="N416" s="23">
        <f ca="1">IFERROR(__xludf.DUMMYFUNCTION("""COMPUTED_VALUE"""),0.95701075662234)</f>
        <v>0.95701075662234003</v>
      </c>
      <c r="O416" s="23"/>
      <c r="P416" s="23"/>
      <c r="Q416" s="24">
        <f ca="1">IFERROR(__xludf.DUMMYFUNCTION("""COMPUTED_VALUE"""),0.665012283946855)</f>
        <v>0.66501228394685497</v>
      </c>
      <c r="R416" s="23">
        <f ca="1">IFERROR(__xludf.DUMMYFUNCTION("""COMPUTED_VALUE"""),0.00224806470997851)</f>
        <v>2.2480647099785101E-3</v>
      </c>
      <c r="S416" s="23"/>
      <c r="T416" s="23">
        <f ca="1">IFERROR(__xludf.DUMMYFUNCTION("""COMPUTED_VALUE"""),0.776691459874852)</f>
        <v>0.776691459874852</v>
      </c>
      <c r="U416" s="23">
        <f ca="1">IFERROR(__xludf.DUMMYFUNCTION("""COMPUTED_VALUE"""),0.74874015850983)</f>
        <v>0.74874015850983</v>
      </c>
      <c r="V416" s="23">
        <f ca="1">IFERROR(__xludf.DUMMYFUNCTION("""COMPUTED_VALUE"""),0.0119621168938688)</f>
        <v>1.19621168938688E-2</v>
      </c>
      <c r="W416" s="23"/>
      <c r="X416" s="23"/>
      <c r="Y416" s="23">
        <f ca="1">IFERROR(__xludf.DUMMYFUNCTION("""COMPUTED_VALUE"""),0.609637501074501)</f>
        <v>0.60963750107450099</v>
      </c>
      <c r="Z416" s="23">
        <f ca="1">IFERROR(__xludf.DUMMYFUNCTION("""COMPUTED_VALUE"""),-0.854242083252543)</f>
        <v>-0.85424208325254303</v>
      </c>
      <c r="AA416" s="23">
        <f ca="1">IFERROR(__xludf.DUMMYFUNCTION("""COMPUTED_VALUE"""),0.600232420034803)</f>
        <v>0.60023242003480304</v>
      </c>
      <c r="AB416" s="23"/>
      <c r="AC416" s="22"/>
      <c r="AD416" s="23">
        <f ca="1">IFERROR(__xludf.DUMMYFUNCTION("""COMPUTED_VALUE"""),0.420509270643727)</f>
        <v>0.42050927064372701</v>
      </c>
      <c r="AE416" s="23"/>
      <c r="AF416" s="22"/>
      <c r="AG416" s="22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</row>
    <row r="417" spans="1:45" ht="27.75" customHeight="1" x14ac:dyDescent="0.4">
      <c r="A417" s="15" t="s">
        <v>207</v>
      </c>
      <c r="B417" s="15" t="s">
        <v>225</v>
      </c>
      <c r="C417" s="15" t="str">
        <f ca="1">IFERROR(__xludf.DUMMYFUNCTION("""COMPUTED_VALUE"""),"2023/02/21 (火)
平日夜間")</f>
        <v>2023/02/21 (火)
平日夜間</v>
      </c>
      <c r="D417" s="15" t="str">
        <f ca="1">IFERROR(__xludf.DUMMYFUNCTION("""COMPUTED_VALUE"""),"平日夜間")</f>
        <v>平日夜間</v>
      </c>
      <c r="E417" s="16">
        <f ca="1">IFERROR(__xludf.DUMMYFUNCTION("""COMPUTED_VALUE"""),0.767974766265144)</f>
        <v>0.76797476626514405</v>
      </c>
      <c r="F417" s="15" t="s">
        <v>3</v>
      </c>
      <c r="G417" s="32"/>
      <c r="H417" s="29" t="s">
        <v>8</v>
      </c>
      <c r="I417" s="27"/>
      <c r="J417" s="27" t="s">
        <v>235</v>
      </c>
      <c r="K417" s="23" t="b">
        <f ca="1">IFERROR(__xludf.DUMMYFUNCTION("""COMPUTED_VALUE"""),FALSE)</f>
        <v>0</v>
      </c>
      <c r="L417" s="22">
        <f ca="1">IFERROR(__xludf.DUMMYFUNCTION("""COMPUTED_VALUE"""),-0.277810279652035)</f>
        <v>-0.27781027965203497</v>
      </c>
      <c r="M417" s="23">
        <f ca="1">IFERROR(__xludf.DUMMYFUNCTION("""COMPUTED_VALUE"""),-0.082587538774469)</f>
        <v>-8.2587538774469005E-2</v>
      </c>
      <c r="N417" s="23">
        <f ca="1">IFERROR(__xludf.DUMMYFUNCTION("""COMPUTED_VALUE"""),0.151403967153558)</f>
        <v>0.151403967153558</v>
      </c>
      <c r="O417" s="23"/>
      <c r="P417" s="23"/>
      <c r="Q417" s="24">
        <f ca="1">IFERROR(__xludf.DUMMYFUNCTION("""COMPUTED_VALUE"""),-0.805339663742755)</f>
        <v>-0.80533966374275501</v>
      </c>
      <c r="R417" s="23">
        <f ca="1">IFERROR(__xludf.DUMMYFUNCTION("""COMPUTED_VALUE"""),0.668056905632625)</f>
        <v>0.66805690563262499</v>
      </c>
      <c r="S417" s="23"/>
      <c r="T417" s="23">
        <f ca="1">IFERROR(__xludf.DUMMYFUNCTION("""COMPUTED_VALUE"""),0.0941612294306717)</f>
        <v>9.4161229430671706E-2</v>
      </c>
      <c r="U417" s="23">
        <f ca="1">IFERROR(__xludf.DUMMYFUNCTION("""COMPUTED_VALUE"""),0.296718062213092)</f>
        <v>0.29671806221309199</v>
      </c>
      <c r="V417" s="23">
        <f ca="1">IFERROR(__xludf.DUMMYFUNCTION("""COMPUTED_VALUE"""),0.533204627032894)</f>
        <v>0.53320462703289395</v>
      </c>
      <c r="W417" s="23"/>
      <c r="X417" s="23"/>
      <c r="Y417" s="23">
        <f ca="1">IFERROR(__xludf.DUMMYFUNCTION("""COMPUTED_VALUE"""),0.303078363651573)</f>
        <v>0.30307836365157298</v>
      </c>
      <c r="Z417" s="23">
        <f ca="1">IFERROR(__xludf.DUMMYFUNCTION("""COMPUTED_VALUE"""),-0.540439954674758)</f>
        <v>-0.54043995467475803</v>
      </c>
      <c r="AA417" s="23">
        <f ca="1">IFERROR(__xludf.DUMMYFUNCTION("""COMPUTED_VALUE"""),-0.971486396969669)</f>
        <v>-0.97148639696966899</v>
      </c>
      <c r="AB417" s="23"/>
      <c r="AC417" s="22"/>
      <c r="AD417" s="23">
        <f ca="1">IFERROR(__xludf.DUMMYFUNCTION("""COMPUTED_VALUE"""),0.767974766265144)</f>
        <v>0.76797476626514405</v>
      </c>
      <c r="AE417" s="23"/>
      <c r="AF417" s="22"/>
      <c r="AG417" s="22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</row>
    <row r="418" spans="1:45" ht="27.75" customHeight="1" x14ac:dyDescent="0.4">
      <c r="A418" s="15" t="s">
        <v>207</v>
      </c>
      <c r="B418" s="15" t="s">
        <v>225</v>
      </c>
      <c r="C418" s="15" t="str">
        <f ca="1">IFERROR(__xludf.DUMMYFUNCTION("""COMPUTED_VALUE"""),"2023/02/22 (水)
平日夜間")</f>
        <v>2023/02/22 (水)
平日夜間</v>
      </c>
      <c r="D418" s="15" t="str">
        <f ca="1">IFERROR(__xludf.DUMMYFUNCTION("""COMPUTED_VALUE"""),"平日夜間")</f>
        <v>平日夜間</v>
      </c>
      <c r="E418" s="16">
        <f ca="1">IFERROR(__xludf.DUMMYFUNCTION("""COMPUTED_VALUE"""),0.908126142935289)</f>
        <v>0.90812614293528904</v>
      </c>
      <c r="F418" s="15" t="s">
        <v>2</v>
      </c>
      <c r="G418" s="32">
        <v>0</v>
      </c>
      <c r="H418" s="29" t="s">
        <v>9</v>
      </c>
      <c r="I418" s="27"/>
      <c r="J418" s="27" t="s">
        <v>177</v>
      </c>
      <c r="K418" s="23" t="b">
        <f ca="1">IFERROR(__xludf.DUMMYFUNCTION("""COMPUTED_VALUE"""),TRUE)</f>
        <v>1</v>
      </c>
      <c r="L418" s="22">
        <f ca="1">IFERROR(__xludf.DUMMYFUNCTION("""COMPUTED_VALUE"""),0.221277099806151)</f>
        <v>0.22127709980615101</v>
      </c>
      <c r="M418" s="23">
        <f ca="1">IFERROR(__xludf.DUMMYFUNCTION("""COMPUTED_VALUE"""),-0.154452766200896)</f>
        <v>-0.15445276620089601</v>
      </c>
      <c r="N418" s="23">
        <f ca="1">IFERROR(__xludf.DUMMYFUNCTION("""COMPUTED_VALUE"""),0.908126142935289)</f>
        <v>0.90812614293528904</v>
      </c>
      <c r="O418" s="23"/>
      <c r="P418" s="23"/>
      <c r="Q418" s="24">
        <f ca="1">IFERROR(__xludf.DUMMYFUNCTION("""COMPUTED_VALUE"""),0.223072127876438)</f>
        <v>0.22307212787643799</v>
      </c>
      <c r="R418" s="23"/>
      <c r="S418" s="23"/>
      <c r="T418" s="23">
        <f ca="1">IFERROR(__xludf.DUMMYFUNCTION("""COMPUTED_VALUE"""),-0.812922365418574)</f>
        <v>-0.81292236541857399</v>
      </c>
      <c r="U418" s="23">
        <f ca="1">IFERROR(__xludf.DUMMYFUNCTION("""COMPUTED_VALUE"""),0.584835336513426)</f>
        <v>0.58483533651342601</v>
      </c>
      <c r="V418" s="23">
        <f ca="1">IFERROR(__xludf.DUMMYFUNCTION("""COMPUTED_VALUE"""),0.217426745291793)</f>
        <v>0.21742674529179301</v>
      </c>
      <c r="W418" s="23"/>
      <c r="X418" s="23"/>
      <c r="Y418" s="23">
        <f ca="1">IFERROR(__xludf.DUMMYFUNCTION("""COMPUTED_VALUE"""),0.323928655785799)</f>
        <v>0.32392865578579899</v>
      </c>
      <c r="Z418" s="23">
        <f ca="1">IFERROR(__xludf.DUMMYFUNCTION("""COMPUTED_VALUE"""),0.62582229857814)</f>
        <v>0.62582229857813998</v>
      </c>
      <c r="AA418" s="23">
        <f ca="1">IFERROR(__xludf.DUMMYFUNCTION("""COMPUTED_VALUE"""),0.781183165090054)</f>
        <v>0.78118316509005403</v>
      </c>
      <c r="AB418" s="23"/>
      <c r="AC418" s="22"/>
      <c r="AD418" s="23">
        <f ca="1">IFERROR(__xludf.DUMMYFUNCTION("""COMPUTED_VALUE"""),0.159556213721735)</f>
        <v>0.15955621372173501</v>
      </c>
      <c r="AE418" s="23"/>
      <c r="AF418" s="22"/>
      <c r="AG418" s="22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</row>
    <row r="419" spans="1:45" ht="27.75" customHeight="1" x14ac:dyDescent="0.35">
      <c r="A419" s="15" t="s">
        <v>207</v>
      </c>
      <c r="B419" s="15" t="s">
        <v>225</v>
      </c>
      <c r="C419" s="15" t="str">
        <f ca="1">IFERROR(__xludf.DUMMYFUNCTION("""COMPUTED_VALUE"""),"2023/02/23 (木)
休日午前")</f>
        <v>2023/02/23 (木)
休日午前</v>
      </c>
      <c r="D419" s="15" t="str">
        <f ca="1">IFERROR(__xludf.DUMMYFUNCTION("""COMPUTED_VALUE"""),"休日午前")</f>
        <v>休日午前</v>
      </c>
      <c r="E419" s="16">
        <f ca="1">IFERROR(__xludf.DUMMYFUNCTION("""COMPUTED_VALUE"""),0.924569776725858)</f>
        <v>0.92456977672585805</v>
      </c>
      <c r="F419" s="15" t="s">
        <v>18</v>
      </c>
      <c r="G419" s="32">
        <v>0</v>
      </c>
      <c r="H419" s="27" t="s">
        <v>18</v>
      </c>
      <c r="I419" s="27"/>
      <c r="J419" s="27" t="s">
        <v>236</v>
      </c>
      <c r="K419" s="23" t="b">
        <f ca="1">IFERROR(__xludf.DUMMYFUNCTION("""COMPUTED_VALUE"""),FALSE)</f>
        <v>0</v>
      </c>
      <c r="L419" s="22">
        <f ca="1">IFERROR(__xludf.DUMMYFUNCTION("""COMPUTED_VALUE"""),0.924569776725858)</f>
        <v>0.92456977672585805</v>
      </c>
      <c r="M419" s="23">
        <f ca="1">IFERROR(__xludf.DUMMYFUNCTION("""COMPUTED_VALUE"""),-0.867337337068499)</f>
        <v>-0.86733733706849903</v>
      </c>
      <c r="N419" s="23">
        <f ca="1">IFERROR(__xludf.DUMMYFUNCTION("""COMPUTED_VALUE"""),0.150060642893818)</f>
        <v>0.15006064289381801</v>
      </c>
      <c r="O419" s="23"/>
      <c r="P419" s="23"/>
      <c r="Q419" s="24">
        <f ca="1">IFERROR(__xludf.DUMMYFUNCTION("""COMPUTED_VALUE"""),0.305113110149044)</f>
        <v>0.30511311014904402</v>
      </c>
      <c r="R419" s="23"/>
      <c r="S419" s="23"/>
      <c r="T419" s="23">
        <f ca="1">IFERROR(__xludf.DUMMYFUNCTION("""COMPUTED_VALUE"""),-0.168434871768492)</f>
        <v>-0.16843487176849201</v>
      </c>
      <c r="U419" s="23">
        <f ca="1">IFERROR(__xludf.DUMMYFUNCTION("""COMPUTED_VALUE"""),-0.271663142269374)</f>
        <v>-0.27166314226937399</v>
      </c>
      <c r="V419" s="23">
        <f ca="1">IFERROR(__xludf.DUMMYFUNCTION("""COMPUTED_VALUE"""),0.283998843102638)</f>
        <v>0.28399884310263801</v>
      </c>
      <c r="W419" s="23"/>
      <c r="X419" s="23"/>
      <c r="Y419" s="23">
        <f ca="1">IFERROR(__xludf.DUMMYFUNCTION("""COMPUTED_VALUE"""),-0.45242779546282)</f>
        <v>-0.45242779546282003</v>
      </c>
      <c r="Z419" s="23">
        <f ca="1">IFERROR(__xludf.DUMMYFUNCTION("""COMPUTED_VALUE"""),0.642001920281584)</f>
        <v>0.64200192028158398</v>
      </c>
      <c r="AA419" s="23">
        <f ca="1">IFERROR(__xludf.DUMMYFUNCTION("""COMPUTED_VALUE"""),-0.917643089949681)</f>
        <v>-0.91764308994968102</v>
      </c>
      <c r="AB419" s="23"/>
      <c r="AC419" s="22"/>
      <c r="AD419" s="23">
        <f ca="1">IFERROR(__xludf.DUMMYFUNCTION("""COMPUTED_VALUE"""),-0.631299293538072)</f>
        <v>-0.63129929353807201</v>
      </c>
      <c r="AE419" s="23"/>
      <c r="AF419" s="22"/>
      <c r="AG419" s="22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</row>
    <row r="420" spans="1:45" ht="27.75" customHeight="1" x14ac:dyDescent="0.35">
      <c r="A420" s="15" t="s">
        <v>207</v>
      </c>
      <c r="B420" s="15" t="s">
        <v>225</v>
      </c>
      <c r="C420" s="15" t="str">
        <f ca="1">IFERROR(__xludf.DUMMYFUNCTION("""COMPUTED_VALUE"""),"2023/02/23 (木)
休日午後")</f>
        <v>2023/02/23 (木)
休日午後</v>
      </c>
      <c r="D420" s="15" t="str">
        <f ca="1">IFERROR(__xludf.DUMMYFUNCTION("""COMPUTED_VALUE"""),"休日午後")</f>
        <v>休日午後</v>
      </c>
      <c r="E420" s="16">
        <f ca="1">IFERROR(__xludf.DUMMYFUNCTION("""COMPUTED_VALUE"""),0.927357186113303)</f>
        <v>0.92735718611330298</v>
      </c>
      <c r="F420" s="15" t="s">
        <v>10</v>
      </c>
      <c r="G420" s="32">
        <v>0</v>
      </c>
      <c r="H420" s="27" t="s">
        <v>10</v>
      </c>
      <c r="I420" s="27"/>
      <c r="J420" s="27" t="s">
        <v>237</v>
      </c>
      <c r="K420" s="23" t="b">
        <f ca="1">IFERROR(__xludf.DUMMYFUNCTION("""COMPUTED_VALUE"""),FALSE)</f>
        <v>0</v>
      </c>
      <c r="L420" s="22">
        <f ca="1">IFERROR(__xludf.DUMMYFUNCTION("""COMPUTED_VALUE"""),-0.0890546752364462)</f>
        <v>-8.9054675236446196E-2</v>
      </c>
      <c r="M420" s="23">
        <f ca="1">IFERROR(__xludf.DUMMYFUNCTION("""COMPUTED_VALUE"""),-0.334498604821712)</f>
        <v>-0.33449860482171201</v>
      </c>
      <c r="N420" s="23">
        <f ca="1">IFERROR(__xludf.DUMMYFUNCTION("""COMPUTED_VALUE"""),0.23867177359599)</f>
        <v>0.23867177359599001</v>
      </c>
      <c r="O420" s="23"/>
      <c r="P420" s="23"/>
      <c r="Q420" s="24">
        <f ca="1">IFERROR(__xludf.DUMMYFUNCTION("""COMPUTED_VALUE"""),0.694246742282713)</f>
        <v>0.69424674228271299</v>
      </c>
      <c r="R420" s="23"/>
      <c r="S420" s="23"/>
      <c r="T420" s="23">
        <f ca="1">IFERROR(__xludf.DUMMYFUNCTION("""COMPUTED_VALUE"""),-0.0884350452814879)</f>
        <v>-8.8435045281487906E-2</v>
      </c>
      <c r="U420" s="23">
        <f ca="1">IFERROR(__xludf.DUMMYFUNCTION("""COMPUTED_VALUE"""),-0.456190986113977)</f>
        <v>-0.45619098611397702</v>
      </c>
      <c r="V420" s="23">
        <f ca="1">IFERROR(__xludf.DUMMYFUNCTION("""COMPUTED_VALUE"""),-0.432966717423747)</f>
        <v>-0.43296671742374698</v>
      </c>
      <c r="W420" s="23"/>
      <c r="X420" s="23"/>
      <c r="Y420" s="23">
        <f ca="1">IFERROR(__xludf.DUMMYFUNCTION("""COMPUTED_VALUE"""),-0.835301404395888)</f>
        <v>-0.83530140439588796</v>
      </c>
      <c r="Z420" s="23">
        <f ca="1">IFERROR(__xludf.DUMMYFUNCTION("""COMPUTED_VALUE"""),0.927357186113303)</f>
        <v>0.92735718611330298</v>
      </c>
      <c r="AA420" s="23">
        <f ca="1">IFERROR(__xludf.DUMMYFUNCTION("""COMPUTED_VALUE"""),-0.178688287415096)</f>
        <v>-0.17868828741509599</v>
      </c>
      <c r="AB420" s="23"/>
      <c r="AC420" s="22"/>
      <c r="AD420" s="23">
        <f ca="1">IFERROR(__xludf.DUMMYFUNCTION("""COMPUTED_VALUE"""),-0.53486037177054)</f>
        <v>-0.53486037177054002</v>
      </c>
      <c r="AE420" s="23"/>
      <c r="AF420" s="22"/>
      <c r="AG420" s="22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</row>
    <row r="421" spans="1:45" ht="27.75" customHeight="1" x14ac:dyDescent="0.4">
      <c r="A421" s="15" t="s">
        <v>207</v>
      </c>
      <c r="B421" s="15" t="s">
        <v>225</v>
      </c>
      <c r="C421" s="15" t="str">
        <f ca="1">IFERROR(__xludf.DUMMYFUNCTION("""COMPUTED_VALUE"""),"2023/02/24 (金)
平日夜間")</f>
        <v>2023/02/24 (金)
平日夜間</v>
      </c>
      <c r="D421" s="15" t="str">
        <f ca="1">IFERROR(__xludf.DUMMYFUNCTION("""COMPUTED_VALUE"""),"平日夜間")</f>
        <v>平日夜間</v>
      </c>
      <c r="E421" s="16">
        <f ca="1">IFERROR(__xludf.DUMMYFUNCTION("""COMPUTED_VALUE"""),2.33922278174395)</f>
        <v>2.3392227817439499</v>
      </c>
      <c r="F421" s="15" t="s">
        <v>14</v>
      </c>
      <c r="G421" s="32">
        <v>2</v>
      </c>
      <c r="H421" s="29" t="s">
        <v>14</v>
      </c>
      <c r="I421" s="27"/>
      <c r="J421" s="27" t="s">
        <v>238</v>
      </c>
      <c r="K421" s="23" t="b">
        <f ca="1">IFERROR(__xludf.DUMMYFUNCTION("""COMPUTED_VALUE"""),TRUE)</f>
        <v>1</v>
      </c>
      <c r="L421" s="22">
        <f ca="1">IFERROR(__xludf.DUMMYFUNCTION("""COMPUTED_VALUE"""),-0.979538082727569)</f>
        <v>-0.97953808272756904</v>
      </c>
      <c r="M421" s="23">
        <f ca="1">IFERROR(__xludf.DUMMYFUNCTION("""COMPUTED_VALUE"""),-0.958731471923411)</f>
        <v>-0.95873147192341102</v>
      </c>
      <c r="N421" s="23">
        <f ca="1">IFERROR(__xludf.DUMMYFUNCTION("""COMPUTED_VALUE"""),-0.248002426725774)</f>
        <v>-0.24800242672577399</v>
      </c>
      <c r="O421" s="23"/>
      <c r="P421" s="23"/>
      <c r="Q421" s="24">
        <f ca="1">IFERROR(__xludf.DUMMYFUNCTION("""COMPUTED_VALUE"""),-0.943548328326634)</f>
        <v>-0.94354832832663404</v>
      </c>
      <c r="R421" s="23"/>
      <c r="S421" s="23"/>
      <c r="T421" s="23">
        <f ca="1">IFERROR(__xludf.DUMMYFUNCTION("""COMPUTED_VALUE"""),-0.235138655435001)</f>
        <v>-0.23513865543500101</v>
      </c>
      <c r="U421" s="23">
        <f ca="1">IFERROR(__xludf.DUMMYFUNCTION("""COMPUTED_VALUE"""),-0.271717245130303)</f>
        <v>-0.27171724513030299</v>
      </c>
      <c r="V421" s="23">
        <f ca="1">IFERROR(__xludf.DUMMYFUNCTION("""COMPUTED_VALUE"""),0.543596544631288)</f>
        <v>0.54359654463128804</v>
      </c>
      <c r="W421" s="23"/>
      <c r="X421" s="23"/>
      <c r="Y421" s="23">
        <f ca="1">IFERROR(__xludf.DUMMYFUNCTION("""COMPUTED_VALUE"""),2.33922278174395)</f>
        <v>2.3392227817439499</v>
      </c>
      <c r="Z421" s="23">
        <f ca="1">IFERROR(__xludf.DUMMYFUNCTION("""COMPUTED_VALUE"""),0.955582110961308)</f>
        <v>0.95558211096130796</v>
      </c>
      <c r="AA421" s="23">
        <f ca="1">IFERROR(__xludf.DUMMYFUNCTION("""COMPUTED_VALUE"""),-0.546280538920219)</f>
        <v>-0.54628053892021899</v>
      </c>
      <c r="AB421" s="23"/>
      <c r="AC421" s="22"/>
      <c r="AD421" s="23">
        <f ca="1">IFERROR(__xludf.DUMMYFUNCTION("""COMPUTED_VALUE"""),0.1360139900963)</f>
        <v>0.1360139900963</v>
      </c>
      <c r="AE421" s="23"/>
      <c r="AF421" s="22"/>
      <c r="AG421" s="22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</row>
    <row r="422" spans="1:45" ht="27.75" customHeight="1" x14ac:dyDescent="0.35">
      <c r="A422" s="15" t="s">
        <v>207</v>
      </c>
      <c r="B422" s="15" t="s">
        <v>225</v>
      </c>
      <c r="C422" s="15" t="str">
        <f ca="1">IFERROR(__xludf.DUMMYFUNCTION("""COMPUTED_VALUE"""),"2023/02/25 (土)
休日午前")</f>
        <v>2023/02/25 (土)
休日午前</v>
      </c>
      <c r="D422" s="15" t="str">
        <f ca="1">IFERROR(__xludf.DUMMYFUNCTION("""COMPUTED_VALUE"""),"休日午前")</f>
        <v>休日午前</v>
      </c>
      <c r="E422" s="16">
        <f ca="1">IFERROR(__xludf.DUMMYFUNCTION("""COMPUTED_VALUE"""),0.925396528626773)</f>
        <v>0.92539652862677302</v>
      </c>
      <c r="F422" s="15" t="s">
        <v>3</v>
      </c>
      <c r="G422" s="32"/>
      <c r="H422" s="27" t="s">
        <v>5</v>
      </c>
      <c r="I422" s="27"/>
      <c r="J422" s="27"/>
      <c r="K422" s="45" t="b">
        <f ca="1">IFERROR(__xludf.DUMMYFUNCTION("""COMPUTED_VALUE"""),FALSE)</f>
        <v>0</v>
      </c>
      <c r="L422" s="22">
        <f ca="1">IFERROR(__xludf.DUMMYFUNCTION("""COMPUTED_VALUE"""),-0.801895753142533)</f>
        <v>-0.80189575314253303</v>
      </c>
      <c r="M422" s="23">
        <f ca="1">IFERROR(__xludf.DUMMYFUNCTION("""COMPUTED_VALUE"""),-0.854277667821401)</f>
        <v>-0.85427766782140102</v>
      </c>
      <c r="N422" s="23">
        <f ca="1">IFERROR(__xludf.DUMMYFUNCTION("""COMPUTED_VALUE"""),-0.996734501188247)</f>
        <v>-0.99673450118824702</v>
      </c>
      <c r="O422" s="23"/>
      <c r="P422" s="23"/>
      <c r="Q422" s="24">
        <f ca="1">IFERROR(__xludf.DUMMYFUNCTION("""COMPUTED_VALUE"""),-0.0378315106039999)</f>
        <v>-3.7831510603999897E-2</v>
      </c>
      <c r="R422" s="23"/>
      <c r="S422" s="23"/>
      <c r="T422" s="23">
        <f ca="1">IFERROR(__xludf.DUMMYFUNCTION("""COMPUTED_VALUE"""),-0.0751359731323819)</f>
        <v>-7.5135973132381906E-2</v>
      </c>
      <c r="U422" s="23">
        <f ca="1">IFERROR(__xludf.DUMMYFUNCTION("""COMPUTED_VALUE"""),-0.38838759910671)</f>
        <v>-0.38838759910671</v>
      </c>
      <c r="V422" s="23">
        <f ca="1">IFERROR(__xludf.DUMMYFUNCTION("""COMPUTED_VALUE"""),-0.676796164019359)</f>
        <v>-0.67679616401935905</v>
      </c>
      <c r="W422" s="23"/>
      <c r="X422" s="23"/>
      <c r="Y422" s="23">
        <f ca="1">IFERROR(__xludf.DUMMYFUNCTION("""COMPUTED_VALUE"""),-0.437276729876446)</f>
        <v>-0.437276729876446</v>
      </c>
      <c r="Z422" s="23">
        <f ca="1">IFERROR(__xludf.DUMMYFUNCTION("""COMPUTED_VALUE"""),0.631877150395659)</f>
        <v>0.63187715039565895</v>
      </c>
      <c r="AA422" s="23">
        <f ca="1">IFERROR(__xludf.DUMMYFUNCTION("""COMPUTED_VALUE"""),0.387946578309636)</f>
        <v>0.38794657830963603</v>
      </c>
      <c r="AB422" s="23"/>
      <c r="AC422" s="22"/>
      <c r="AD422" s="23">
        <f ca="1">IFERROR(__xludf.DUMMYFUNCTION("""COMPUTED_VALUE"""),0.925396528626773)</f>
        <v>0.92539652862677302</v>
      </c>
      <c r="AE422" s="23"/>
      <c r="AF422" s="22"/>
      <c r="AG422" s="22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</row>
    <row r="423" spans="1:45" ht="27.75" customHeight="1" x14ac:dyDescent="0.35">
      <c r="A423" s="15" t="s">
        <v>207</v>
      </c>
      <c r="B423" s="15" t="s">
        <v>225</v>
      </c>
      <c r="C423" s="15" t="str">
        <f ca="1">IFERROR(__xludf.DUMMYFUNCTION("""COMPUTED_VALUE"""),"2023/02/25 (土)
休日午後")</f>
        <v>2023/02/25 (土)
休日午後</v>
      </c>
      <c r="D423" s="15" t="str">
        <f ca="1">IFERROR(__xludf.DUMMYFUNCTION("""COMPUTED_VALUE"""),"休日午後")</f>
        <v>休日午後</v>
      </c>
      <c r="E423" s="16">
        <f ca="1">IFERROR(__xludf.DUMMYFUNCTION("""COMPUTED_VALUE"""),0.904284138829695)</f>
        <v>0.90428413882969505</v>
      </c>
      <c r="F423" s="15" t="s">
        <v>3</v>
      </c>
      <c r="G423" s="32"/>
      <c r="H423" s="27" t="s">
        <v>1</v>
      </c>
      <c r="I423" s="27" t="s">
        <v>3</v>
      </c>
      <c r="J423" s="27"/>
      <c r="K423" s="45" t="b">
        <f ca="1">IFERROR(__xludf.DUMMYFUNCTION("""COMPUTED_VALUE"""),FALSE)</f>
        <v>0</v>
      </c>
      <c r="L423" s="22">
        <f ca="1">IFERROR(__xludf.DUMMYFUNCTION("""COMPUTED_VALUE"""),-0.814578521534995)</f>
        <v>-0.81457852153499499</v>
      </c>
      <c r="M423" s="23">
        <f ca="1">IFERROR(__xludf.DUMMYFUNCTION("""COMPUTED_VALUE"""),-0.377120650992661)</f>
        <v>-0.37712065099266101</v>
      </c>
      <c r="N423" s="23">
        <f ca="1">IFERROR(__xludf.DUMMYFUNCTION("""COMPUTED_VALUE"""),-0.260353268564439)</f>
        <v>-0.26035326856443902</v>
      </c>
      <c r="O423" s="23"/>
      <c r="P423" s="23"/>
      <c r="Q423" s="24">
        <f ca="1">IFERROR(__xludf.DUMMYFUNCTION("""COMPUTED_VALUE"""),-0.963208682237715)</f>
        <v>-0.96320868223771505</v>
      </c>
      <c r="R423" s="23"/>
      <c r="S423" s="23"/>
      <c r="T423" s="23">
        <f ca="1">IFERROR(__xludf.DUMMYFUNCTION("""COMPUTED_VALUE"""),-0.421767028497777)</f>
        <v>-0.42176702849777697</v>
      </c>
      <c r="U423" s="23">
        <f ca="1">IFERROR(__xludf.DUMMYFUNCTION("""COMPUTED_VALUE"""),-0.947144249734298)</f>
        <v>-0.947144249734298</v>
      </c>
      <c r="V423" s="23">
        <f ca="1">IFERROR(__xludf.DUMMYFUNCTION("""COMPUTED_VALUE"""),-0.585890209492976)</f>
        <v>-0.58589020949297599</v>
      </c>
      <c r="W423" s="23"/>
      <c r="X423" s="23"/>
      <c r="Y423" s="23">
        <f ca="1">IFERROR(__xludf.DUMMYFUNCTION("""COMPUTED_VALUE"""),-0.258671107181346)</f>
        <v>-0.258671107181346</v>
      </c>
      <c r="Z423" s="23">
        <f ca="1">IFERROR(__xludf.DUMMYFUNCTION("""COMPUTED_VALUE"""),0.557675106276897)</f>
        <v>0.55767510627689698</v>
      </c>
      <c r="AA423" s="23">
        <f ca="1">IFERROR(__xludf.DUMMYFUNCTION("""COMPUTED_VALUE"""),-0.610542004569555)</f>
        <v>-0.61054200456955499</v>
      </c>
      <c r="AB423" s="23"/>
      <c r="AC423" s="22"/>
      <c r="AD423" s="23">
        <f ca="1">IFERROR(__xludf.DUMMYFUNCTION("""COMPUTED_VALUE"""),0.904284138829695)</f>
        <v>0.90428413882969505</v>
      </c>
      <c r="AE423" s="23"/>
      <c r="AF423" s="22"/>
      <c r="AG423" s="22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</row>
    <row r="424" spans="1:45" ht="27.75" customHeight="1" x14ac:dyDescent="0.35">
      <c r="A424" s="15" t="s">
        <v>207</v>
      </c>
      <c r="B424" s="15" t="s">
        <v>225</v>
      </c>
      <c r="C424" s="15" t="str">
        <f ca="1">IFERROR(__xludf.DUMMYFUNCTION("""COMPUTED_VALUE"""),"2023/02/26 (日)
休日午前")</f>
        <v>2023/02/26 (日)
休日午前</v>
      </c>
      <c r="D424" s="15" t="str">
        <f ca="1">IFERROR(__xludf.DUMMYFUNCTION("""COMPUTED_VALUE"""),"休日午前")</f>
        <v>休日午前</v>
      </c>
      <c r="E424" s="16">
        <f ca="1">IFERROR(__xludf.DUMMYFUNCTION("""COMPUTED_VALUE"""),0.890869630115026)</f>
        <v>0.89086963011502596</v>
      </c>
      <c r="F424" s="15" t="s">
        <v>16</v>
      </c>
      <c r="G424" s="32"/>
      <c r="H424" s="27" t="s">
        <v>15</v>
      </c>
      <c r="I424" s="27"/>
      <c r="J424" s="27" t="s">
        <v>239</v>
      </c>
      <c r="K424" s="23" t="b">
        <f ca="1">IFERROR(__xludf.DUMMYFUNCTION("""COMPUTED_VALUE"""),TRUE)</f>
        <v>1</v>
      </c>
      <c r="L424" s="22">
        <f ca="1">IFERROR(__xludf.DUMMYFUNCTION("""COMPUTED_VALUE"""),-0.910804743375227)</f>
        <v>-0.91080474337522699</v>
      </c>
      <c r="M424" s="23">
        <f ca="1">IFERROR(__xludf.DUMMYFUNCTION("""COMPUTED_VALUE"""),-0.61455645012169)</f>
        <v>-0.61455645012169002</v>
      </c>
      <c r="N424" s="23">
        <f ca="1">IFERROR(__xludf.DUMMYFUNCTION("""COMPUTED_VALUE"""),0.418602208909989)</f>
        <v>0.418602208909989</v>
      </c>
      <c r="O424" s="23"/>
      <c r="P424" s="23"/>
      <c r="Q424" s="24">
        <f ca="1">IFERROR(__xludf.DUMMYFUNCTION("""COMPUTED_VALUE"""),0.890869630115026)</f>
        <v>0.89086963011502596</v>
      </c>
      <c r="R424" s="23"/>
      <c r="S424" s="23"/>
      <c r="T424" s="23">
        <f ca="1">IFERROR(__xludf.DUMMYFUNCTION("""COMPUTED_VALUE"""),-0.624210226831461)</f>
        <v>-0.62421022683146099</v>
      </c>
      <c r="U424" s="23">
        <f ca="1">IFERROR(__xludf.DUMMYFUNCTION("""COMPUTED_VALUE"""),-0.10251731200616)</f>
        <v>-0.10251731200616</v>
      </c>
      <c r="V424" s="23">
        <f ca="1">IFERROR(__xludf.DUMMYFUNCTION("""COMPUTED_VALUE"""),-0.337103299305677)</f>
        <v>-0.33710329930567701</v>
      </c>
      <c r="W424" s="23"/>
      <c r="X424" s="23"/>
      <c r="Y424" s="23">
        <f ca="1">IFERROR(__xludf.DUMMYFUNCTION("""COMPUTED_VALUE"""),-0.0811798837989499)</f>
        <v>-8.1179883798949901E-2</v>
      </c>
      <c r="Z424" s="23">
        <f ca="1">IFERROR(__xludf.DUMMYFUNCTION("""COMPUTED_VALUE"""),-0.254380873459849)</f>
        <v>-0.254380873459849</v>
      </c>
      <c r="AA424" s="23">
        <f ca="1">IFERROR(__xludf.DUMMYFUNCTION("""COMPUTED_VALUE"""),0.655626374858586)</f>
        <v>0.65562637485858599</v>
      </c>
      <c r="AB424" s="23"/>
      <c r="AC424" s="22"/>
      <c r="AD424" s="23">
        <f ca="1">IFERROR(__xludf.DUMMYFUNCTION("""COMPUTED_VALUE"""),0.71289381249849)</f>
        <v>0.71289381249849004</v>
      </c>
      <c r="AE424" s="23"/>
      <c r="AF424" s="22"/>
      <c r="AG424" s="22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</row>
    <row r="425" spans="1:45" ht="27.75" customHeight="1" x14ac:dyDescent="0.35">
      <c r="A425" s="15" t="s">
        <v>207</v>
      </c>
      <c r="B425" s="15" t="s">
        <v>225</v>
      </c>
      <c r="C425" s="15" t="str">
        <f ca="1">IFERROR(__xludf.DUMMYFUNCTION("""COMPUTED_VALUE"""),"2023/02/26 (日)
休日午後")</f>
        <v>2023/02/26 (日)
休日午後</v>
      </c>
      <c r="D425" s="15" t="str">
        <f ca="1">IFERROR(__xludf.DUMMYFUNCTION("""COMPUTED_VALUE"""),"休日午後")</f>
        <v>休日午後</v>
      </c>
      <c r="E425" s="16">
        <f ca="1">IFERROR(__xludf.DUMMYFUNCTION("""COMPUTED_VALUE"""),2.82209204246403)</f>
        <v>2.8220920424640301</v>
      </c>
      <c r="F425" s="15" t="s">
        <v>10</v>
      </c>
      <c r="G425" s="32">
        <v>2</v>
      </c>
      <c r="H425" s="27" t="s">
        <v>10</v>
      </c>
      <c r="I425" s="27"/>
      <c r="J425" s="27" t="s">
        <v>239</v>
      </c>
      <c r="K425" s="23" t="b">
        <f ca="1">IFERROR(__xludf.DUMMYFUNCTION("""COMPUTED_VALUE"""),TRUE)</f>
        <v>1</v>
      </c>
      <c r="L425" s="22">
        <f ca="1">IFERROR(__xludf.DUMMYFUNCTION("""COMPUTED_VALUE"""),-0.304619604885091)</f>
        <v>-0.30461960488509099</v>
      </c>
      <c r="M425" s="23">
        <f ca="1">IFERROR(__xludf.DUMMYFUNCTION("""COMPUTED_VALUE"""),-0.467458312607613)</f>
        <v>-0.467458312607613</v>
      </c>
      <c r="N425" s="23">
        <f ca="1">IFERROR(__xludf.DUMMYFUNCTION("""COMPUTED_VALUE"""),0.00240979666246121)</f>
        <v>2.4097966624612101E-3</v>
      </c>
      <c r="O425" s="23"/>
      <c r="P425" s="23"/>
      <c r="Q425" s="24">
        <f ca="1">IFERROR(__xludf.DUMMYFUNCTION("""COMPUTED_VALUE"""),0.972318301709517)</f>
        <v>0.97231830170951705</v>
      </c>
      <c r="R425" s="23"/>
      <c r="S425" s="23"/>
      <c r="T425" s="23">
        <f ca="1">IFERROR(__xludf.DUMMYFUNCTION("""COMPUTED_VALUE"""),-0.146582105056587)</f>
        <v>-0.146582105056587</v>
      </c>
      <c r="U425" s="23">
        <f ca="1">IFERROR(__xludf.DUMMYFUNCTION("""COMPUTED_VALUE"""),-0.215623721229243)</f>
        <v>-0.215623721229243</v>
      </c>
      <c r="V425" s="23">
        <f ca="1">IFERROR(__xludf.DUMMYFUNCTION("""COMPUTED_VALUE"""),-0.12090383342624)</f>
        <v>-0.12090383342624</v>
      </c>
      <c r="W425" s="23"/>
      <c r="X425" s="23"/>
      <c r="Y425" s="23"/>
      <c r="Z425" s="23">
        <f ca="1">IFERROR(__xludf.DUMMYFUNCTION("""COMPUTED_VALUE"""),2.82209204246403)</f>
        <v>2.8220920424640301</v>
      </c>
      <c r="AA425" s="23">
        <f ca="1">IFERROR(__xludf.DUMMYFUNCTION("""COMPUTED_VALUE"""),-0.558455263530356)</f>
        <v>-0.55845526353035602</v>
      </c>
      <c r="AB425" s="23"/>
      <c r="AC425" s="22"/>
      <c r="AD425" s="23">
        <f ca="1">IFERROR(__xludf.DUMMYFUNCTION("""COMPUTED_VALUE"""),0.454632299773945)</f>
        <v>0.45463229977394498</v>
      </c>
      <c r="AE425" s="23"/>
      <c r="AF425" s="22"/>
      <c r="AG425" s="22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</row>
    <row r="426" spans="1:45" ht="27.75" customHeight="1" x14ac:dyDescent="0.35">
      <c r="A426" s="15" t="s">
        <v>207</v>
      </c>
      <c r="B426" s="15" t="s">
        <v>225</v>
      </c>
      <c r="C426" s="15" t="str">
        <f ca="1">IFERROR(__xludf.DUMMYFUNCTION("""COMPUTED_VALUE"""),"2023/02/27 (月)
平日夜間")</f>
        <v>2023/02/27 (月)
平日夜間</v>
      </c>
      <c r="D426" s="15" t="str">
        <f ca="1">IFERROR(__xludf.DUMMYFUNCTION("""COMPUTED_VALUE"""),"平日夜間")</f>
        <v>平日夜間</v>
      </c>
      <c r="E426" s="16">
        <f ca="1">IFERROR(__xludf.DUMMYFUNCTION("""COMPUTED_VALUE"""),0.973055384944821)</f>
        <v>0.97305538494482102</v>
      </c>
      <c r="F426" s="15" t="s">
        <v>7</v>
      </c>
      <c r="G426" s="32">
        <v>0</v>
      </c>
      <c r="H426" s="27" t="s">
        <v>7</v>
      </c>
      <c r="I426" s="27"/>
      <c r="J426" s="27" t="s">
        <v>46</v>
      </c>
      <c r="K426" s="23" t="b">
        <f ca="1">IFERROR(__xludf.DUMMYFUNCTION("""COMPUTED_VALUE"""),FALSE)</f>
        <v>0</v>
      </c>
      <c r="L426" s="22">
        <f ca="1">IFERROR(__xludf.DUMMYFUNCTION("""COMPUTED_VALUE"""),0.856928527147912)</f>
        <v>0.85692852714791201</v>
      </c>
      <c r="M426" s="23">
        <f ca="1">IFERROR(__xludf.DUMMYFUNCTION("""COMPUTED_VALUE"""),0.11998187951326)</f>
        <v>0.11998187951326</v>
      </c>
      <c r="N426" s="23">
        <f ca="1">IFERROR(__xludf.DUMMYFUNCTION("""COMPUTED_VALUE"""),0.753910621024392)</f>
        <v>0.75391062102439199</v>
      </c>
      <c r="O426" s="23"/>
      <c r="P426" s="23"/>
      <c r="Q426" s="24">
        <f ca="1">IFERROR(__xludf.DUMMYFUNCTION("""COMPUTED_VALUE"""),0.706112820760744)</f>
        <v>0.706112820760744</v>
      </c>
      <c r="R426" s="23"/>
      <c r="S426" s="23"/>
      <c r="T426" s="23">
        <f ca="1">IFERROR(__xludf.DUMMYFUNCTION("""COMPUTED_VALUE"""),0.590867421140623)</f>
        <v>0.59086742114062296</v>
      </c>
      <c r="U426" s="23">
        <f ca="1">IFERROR(__xludf.DUMMYFUNCTION("""COMPUTED_VALUE"""),0.296626854167959)</f>
        <v>0.29662685416795898</v>
      </c>
      <c r="V426" s="23">
        <f ca="1">IFERROR(__xludf.DUMMYFUNCTION("""COMPUTED_VALUE"""),-0.728180759975223)</f>
        <v>-0.72818075997522302</v>
      </c>
      <c r="W426" s="23"/>
      <c r="X426" s="23"/>
      <c r="Y426" s="23"/>
      <c r="Z426" s="23">
        <f ca="1">IFERROR(__xludf.DUMMYFUNCTION("""COMPUTED_VALUE"""),-0.554415092560542)</f>
        <v>-0.554415092560542</v>
      </c>
      <c r="AA426" s="23">
        <f ca="1">IFERROR(__xludf.DUMMYFUNCTION("""COMPUTED_VALUE"""),0.973055384944821)</f>
        <v>0.97305538494482102</v>
      </c>
      <c r="AB426" s="23"/>
      <c r="AC426" s="22"/>
      <c r="AD426" s="23">
        <f ca="1">IFERROR(__xludf.DUMMYFUNCTION("""COMPUTED_VALUE"""),0.79719532232845)</f>
        <v>0.79719532232845003</v>
      </c>
      <c r="AE426" s="23"/>
      <c r="AF426" s="22"/>
      <c r="AG426" s="22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</row>
    <row r="427" spans="1:45" ht="27.75" customHeight="1" x14ac:dyDescent="0.35">
      <c r="A427" s="15" t="s">
        <v>207</v>
      </c>
      <c r="B427" s="15" t="s">
        <v>225</v>
      </c>
      <c r="C427" s="15" t="str">
        <f ca="1">IFERROR(__xludf.DUMMYFUNCTION("""COMPUTED_VALUE"""),"2023/02/28 (火)
平日夜間")</f>
        <v>2023/02/28 (火)
平日夜間</v>
      </c>
      <c r="D427" s="15" t="str">
        <f ca="1">IFERROR(__xludf.DUMMYFUNCTION("""COMPUTED_VALUE"""),"平日夜間")</f>
        <v>平日夜間</v>
      </c>
      <c r="E427" s="16">
        <f ca="1">IFERROR(__xludf.DUMMYFUNCTION("""COMPUTED_VALUE"""),1.9700529986011)</f>
        <v>1.9700529986010999</v>
      </c>
      <c r="F427" s="15" t="s">
        <v>10</v>
      </c>
      <c r="G427" s="32">
        <v>1</v>
      </c>
      <c r="H427" s="27" t="s">
        <v>10</v>
      </c>
      <c r="I427" s="27"/>
      <c r="J427" s="27" t="s">
        <v>56</v>
      </c>
      <c r="K427" s="23" t="b">
        <f ca="1">IFERROR(__xludf.DUMMYFUNCTION("""COMPUTED_VALUE"""),FALSE)</f>
        <v>0</v>
      </c>
      <c r="L427" s="22">
        <f ca="1">IFERROR(__xludf.DUMMYFUNCTION("""COMPUTED_VALUE"""),0.242788832395531)</f>
        <v>0.24278883239553101</v>
      </c>
      <c r="M427" s="23">
        <f ca="1">IFERROR(__xludf.DUMMYFUNCTION("""COMPUTED_VALUE"""),0.604146605493201)</f>
        <v>0.60414660549320098</v>
      </c>
      <c r="N427" s="23">
        <f ca="1">IFERROR(__xludf.DUMMYFUNCTION("""COMPUTED_VALUE"""),0.242788791530329)</f>
        <v>0.24278879153032901</v>
      </c>
      <c r="O427" s="23"/>
      <c r="P427" s="23"/>
      <c r="Q427" s="24">
        <f ca="1">IFERROR(__xludf.DUMMYFUNCTION("""COMPUTED_VALUE"""),-0.695998548542368)</f>
        <v>-0.69599854854236798</v>
      </c>
      <c r="R427" s="23"/>
      <c r="S427" s="23"/>
      <c r="T427" s="23">
        <f ca="1">IFERROR(__xludf.DUMMYFUNCTION("""COMPUTED_VALUE"""),0.659733283273336)</f>
        <v>0.65973328327333602</v>
      </c>
      <c r="U427" s="23">
        <f ca="1">IFERROR(__xludf.DUMMYFUNCTION("""COMPUTED_VALUE"""),0.149681168351195)</f>
        <v>0.14968116835119499</v>
      </c>
      <c r="V427" s="23">
        <f ca="1">IFERROR(__xludf.DUMMYFUNCTION("""COMPUTED_VALUE"""),0.641254544579283)</f>
        <v>0.64125454457928299</v>
      </c>
      <c r="W427" s="23"/>
      <c r="X427" s="23"/>
      <c r="Y427" s="23"/>
      <c r="Z427" s="23">
        <f ca="1">IFERROR(__xludf.DUMMYFUNCTION("""COMPUTED_VALUE"""),1.9700529986011)</f>
        <v>1.9700529986010999</v>
      </c>
      <c r="AA427" s="23">
        <f ca="1">IFERROR(__xludf.DUMMYFUNCTION("""COMPUTED_VALUE"""),-0.786928207335901)</f>
        <v>-0.78692820733590096</v>
      </c>
      <c r="AB427" s="23"/>
      <c r="AC427" s="22"/>
      <c r="AD427" s="23">
        <f ca="1">IFERROR(__xludf.DUMMYFUNCTION("""COMPUTED_VALUE"""),0.323104848504197)</f>
        <v>0.32310484850419702</v>
      </c>
      <c r="AE427" s="23"/>
      <c r="AF427" s="22"/>
      <c r="AG427" s="22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</row>
    <row r="428" spans="1:45" ht="27.75" customHeight="1" x14ac:dyDescent="0.4">
      <c r="A428" s="15" t="s">
        <v>207</v>
      </c>
      <c r="B428" s="15" t="s">
        <v>240</v>
      </c>
      <c r="C428" s="15" t="str">
        <f ca="1">IFERROR(__xludf.DUMMYFUNCTION("""COMPUTED_VALUE"""),"2023/03/01 (水)
平日夜間")</f>
        <v>2023/03/01 (水)
平日夜間</v>
      </c>
      <c r="D428" s="15" t="str">
        <f ca="1">IFERROR(__xludf.DUMMYFUNCTION("""COMPUTED_VALUE"""),"平日夜間")</f>
        <v>平日夜間</v>
      </c>
      <c r="E428" s="16">
        <f ca="1">IFERROR(__xludf.DUMMYFUNCTION("""COMPUTED_VALUE"""),2.98591872584206)</f>
        <v>2.9859187258420601</v>
      </c>
      <c r="F428" s="15" t="s">
        <v>9</v>
      </c>
      <c r="G428" s="32">
        <v>2</v>
      </c>
      <c r="H428" s="46" t="s">
        <v>9</v>
      </c>
      <c r="I428" s="27"/>
      <c r="J428" s="27" t="s">
        <v>241</v>
      </c>
      <c r="K428" s="23" t="b">
        <f ca="1">IFERROR(__xludf.DUMMYFUNCTION("""COMPUTED_VALUE"""),TRUE)</f>
        <v>1</v>
      </c>
      <c r="L428" s="22">
        <f ca="1">IFERROR(__xludf.DUMMYFUNCTION("""COMPUTED_VALUE"""),-0.386498129946647)</f>
        <v>-0.38649812994664701</v>
      </c>
      <c r="M428" s="23">
        <f ca="1">IFERROR(__xludf.DUMMYFUNCTION("""COMPUTED_VALUE"""),-0.341756282417333)</f>
        <v>-0.34175628241733302</v>
      </c>
      <c r="N428" s="23">
        <f ca="1">IFERROR(__xludf.DUMMYFUNCTION("""COMPUTED_VALUE"""),0.183010602601228)</f>
        <v>0.18301060260122801</v>
      </c>
      <c r="O428" s="23">
        <f ca="1">IFERROR(__xludf.DUMMYFUNCTION("""COMPUTED_VALUE"""),-0.433945794748076)</f>
        <v>-0.43394579474807599</v>
      </c>
      <c r="P428" s="23"/>
      <c r="Q428" s="24">
        <f ca="1">IFERROR(__xludf.DUMMYFUNCTION("""COMPUTED_VALUE"""),0.6189098902154)</f>
        <v>0.61890989021539999</v>
      </c>
      <c r="R428" s="23">
        <f ca="1">IFERROR(__xludf.DUMMYFUNCTION("""COMPUTED_VALUE"""),0.441995028351058)</f>
        <v>0.44199502835105797</v>
      </c>
      <c r="S428" s="23">
        <f ca="1">IFERROR(__xludf.DUMMYFUNCTION("""COMPUTED_VALUE"""),0.298352124354262)</f>
        <v>0.298352124354262</v>
      </c>
      <c r="T428" s="23">
        <f ca="1">IFERROR(__xludf.DUMMYFUNCTION("""COMPUTED_VALUE"""),0.708731473671814)</f>
        <v>0.70873147367181399</v>
      </c>
      <c r="U428" s="23">
        <f ca="1">IFERROR(__xludf.DUMMYFUNCTION("""COMPUTED_VALUE"""),0.200766123769364)</f>
        <v>0.20076612376936401</v>
      </c>
      <c r="V428" s="23">
        <f ca="1">IFERROR(__xludf.DUMMYFUNCTION("""COMPUTED_VALUE"""),2.98591872584206)</f>
        <v>2.9859187258420601</v>
      </c>
      <c r="W428" s="23">
        <f ca="1">IFERROR(__xludf.DUMMYFUNCTION("""COMPUTED_VALUE"""),-0.0381590280144719)</f>
        <v>-3.81590280144719E-2</v>
      </c>
      <c r="X428" s="23"/>
      <c r="Y428" s="23">
        <f ca="1">IFERROR(__xludf.DUMMYFUNCTION("""COMPUTED_VALUE"""),0.624392005682288)</f>
        <v>0.62439200568228803</v>
      </c>
      <c r="Z428" s="23">
        <f ca="1">IFERROR(__xludf.DUMMYFUNCTION("""COMPUTED_VALUE"""),0.220366627904389)</f>
        <v>0.22036662790438899</v>
      </c>
      <c r="AA428" s="23">
        <f ca="1">IFERROR(__xludf.DUMMYFUNCTION("""COMPUTED_VALUE"""),0.816060912150751)</f>
        <v>0.81606091215075105</v>
      </c>
      <c r="AB428" s="23">
        <f ca="1">IFERROR(__xludf.DUMMYFUNCTION("""COMPUTED_VALUE"""),0.844183616946698)</f>
        <v>0.84418361694669797</v>
      </c>
      <c r="AC428" s="22">
        <f ca="1">IFERROR(__xludf.DUMMYFUNCTION("""COMPUTED_VALUE"""),1.33798611496149)</f>
        <v>1.33798611496149</v>
      </c>
      <c r="AD428" s="23">
        <f ca="1">IFERROR(__xludf.DUMMYFUNCTION("""COMPUTED_VALUE"""),-0.947029708247766)</f>
        <v>-0.947029708247766</v>
      </c>
      <c r="AE428" s="23"/>
      <c r="AF428" s="22"/>
      <c r="AG428" s="22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</row>
    <row r="429" spans="1:45" ht="27.75" customHeight="1" x14ac:dyDescent="0.4">
      <c r="A429" s="15" t="s">
        <v>207</v>
      </c>
      <c r="B429" s="15" t="s">
        <v>240</v>
      </c>
      <c r="C429" s="15" t="str">
        <f ca="1">IFERROR(__xludf.DUMMYFUNCTION("""COMPUTED_VALUE"""),"2023/03/02 (木)
平日夜間")</f>
        <v>2023/03/02 (木)
平日夜間</v>
      </c>
      <c r="D429" s="15" t="str">
        <f ca="1">IFERROR(__xludf.DUMMYFUNCTION("""COMPUTED_VALUE"""),"平日夜間")</f>
        <v>平日夜間</v>
      </c>
      <c r="E429" s="16">
        <f ca="1">IFERROR(__xludf.DUMMYFUNCTION("""COMPUTED_VALUE"""),2.93442431821984)</f>
        <v>2.9344243182198402</v>
      </c>
      <c r="F429" s="15" t="s">
        <v>19</v>
      </c>
      <c r="G429" s="32">
        <v>2</v>
      </c>
      <c r="H429" s="46" t="s">
        <v>19</v>
      </c>
      <c r="I429" s="27"/>
      <c r="J429" s="27" t="s">
        <v>42</v>
      </c>
      <c r="K429" s="23" t="b">
        <f ca="1">IFERROR(__xludf.DUMMYFUNCTION("""COMPUTED_VALUE"""),TRUE)</f>
        <v>1</v>
      </c>
      <c r="L429" s="22">
        <f ca="1">IFERROR(__xludf.DUMMYFUNCTION("""COMPUTED_VALUE"""),-0.259754273293426)</f>
        <v>-0.25975427329342599</v>
      </c>
      <c r="M429" s="23">
        <f ca="1">IFERROR(__xludf.DUMMYFUNCTION("""COMPUTED_VALUE"""),0.675720156986291)</f>
        <v>0.67572015698629095</v>
      </c>
      <c r="N429" s="23">
        <f ca="1">IFERROR(__xludf.DUMMYFUNCTION("""COMPUTED_VALUE"""),0.495376506910723)</f>
        <v>0.49537650691072299</v>
      </c>
      <c r="O429" s="23">
        <f ca="1">IFERROR(__xludf.DUMMYFUNCTION("""COMPUTED_VALUE"""),2.93442431821984)</f>
        <v>2.9344243182198402</v>
      </c>
      <c r="P429" s="23"/>
      <c r="Q429" s="24">
        <f ca="1">IFERROR(__xludf.DUMMYFUNCTION("""COMPUTED_VALUE"""),-0.725065463358049)</f>
        <v>-0.725065463358049</v>
      </c>
      <c r="R429" s="23">
        <f ca="1">IFERROR(__xludf.DUMMYFUNCTION("""COMPUTED_VALUE"""),-0.280606015502071)</f>
        <v>-0.28060601550207098</v>
      </c>
      <c r="S429" s="23">
        <f ca="1">IFERROR(__xludf.DUMMYFUNCTION("""COMPUTED_VALUE"""),-0.42984848602639)</f>
        <v>-0.42984848602638998</v>
      </c>
      <c r="T429" s="23">
        <f ca="1">IFERROR(__xludf.DUMMYFUNCTION("""COMPUTED_VALUE"""),0.476124003368261)</f>
        <v>0.476124003368261</v>
      </c>
      <c r="U429" s="23">
        <f ca="1">IFERROR(__xludf.DUMMYFUNCTION("""COMPUTED_VALUE"""),-0.0997915072012063)</f>
        <v>-9.9791507201206303E-2</v>
      </c>
      <c r="V429" s="23">
        <f ca="1">IFERROR(__xludf.DUMMYFUNCTION("""COMPUTED_VALUE"""),-0.228312096747049)</f>
        <v>-0.228312096747049</v>
      </c>
      <c r="W429" s="23">
        <f ca="1">IFERROR(__xludf.DUMMYFUNCTION("""COMPUTED_VALUE"""),0.00432157578099356)</f>
        <v>4.32157578099356E-3</v>
      </c>
      <c r="X429" s="23"/>
      <c r="Y429" s="23">
        <f ca="1">IFERROR(__xludf.DUMMYFUNCTION("""COMPUTED_VALUE"""),0.682875780984611)</f>
        <v>0.68287578098461099</v>
      </c>
      <c r="Z429" s="23">
        <f ca="1">IFERROR(__xludf.DUMMYFUNCTION("""COMPUTED_VALUE"""),-0.139725758850266)</f>
        <v>-0.139725758850266</v>
      </c>
      <c r="AA429" s="23">
        <f ca="1">IFERROR(__xludf.DUMMYFUNCTION("""COMPUTED_VALUE"""),0.153046672547666)</f>
        <v>0.15304667254766599</v>
      </c>
      <c r="AB429" s="23">
        <f ca="1">IFERROR(__xludf.DUMMYFUNCTION("""COMPUTED_VALUE"""),0.861317227317018)</f>
        <v>0.86131722731701799</v>
      </c>
      <c r="AC429" s="22">
        <f ca="1">IFERROR(__xludf.DUMMYFUNCTION("""COMPUTED_VALUE"""),-0.498218121364002)</f>
        <v>-0.49821812136400201</v>
      </c>
      <c r="AD429" s="23">
        <f ca="1">IFERROR(__xludf.DUMMYFUNCTION("""COMPUTED_VALUE"""),-0.670381285924229)</f>
        <v>-0.67038128592422896</v>
      </c>
      <c r="AE429" s="23"/>
      <c r="AF429" s="22"/>
      <c r="AG429" s="22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</row>
    <row r="430" spans="1:45" ht="27.75" customHeight="1" x14ac:dyDescent="0.35">
      <c r="A430" s="15" t="s">
        <v>207</v>
      </c>
      <c r="B430" s="15" t="s">
        <v>240</v>
      </c>
      <c r="C430" s="15" t="str">
        <f ca="1">IFERROR(__xludf.DUMMYFUNCTION("""COMPUTED_VALUE"""),"2023/03/03 (金)
平日夜間")</f>
        <v>2023/03/03 (金)
平日夜間</v>
      </c>
      <c r="D430" s="15" t="str">
        <f ca="1">IFERROR(__xludf.DUMMYFUNCTION("""COMPUTED_VALUE"""),"平日夜間")</f>
        <v>平日夜間</v>
      </c>
      <c r="E430" s="16">
        <f ca="1">IFERROR(__xludf.DUMMYFUNCTION("""COMPUTED_VALUE"""),1.31738383965484)</f>
        <v>1.3173838396548401</v>
      </c>
      <c r="F430" s="15" t="s">
        <v>11</v>
      </c>
      <c r="G430" s="32">
        <v>0</v>
      </c>
      <c r="H430" s="27" t="s">
        <v>4</v>
      </c>
      <c r="I430" s="27"/>
      <c r="K430" s="23" t="b">
        <f ca="1">IFERROR(__xludf.DUMMYFUNCTION("""COMPUTED_VALUE"""),FALSE)</f>
        <v>0</v>
      </c>
      <c r="L430" s="22">
        <f ca="1">IFERROR(__xludf.DUMMYFUNCTION("""COMPUTED_VALUE"""),0.316215567518807)</f>
        <v>0.31621556751880697</v>
      </c>
      <c r="M430" s="23">
        <f ca="1">IFERROR(__xludf.DUMMYFUNCTION("""COMPUTED_VALUE"""),0.423274684760931)</f>
        <v>0.423274684760931</v>
      </c>
      <c r="N430" s="23">
        <f ca="1">IFERROR(__xludf.DUMMYFUNCTION("""COMPUTED_VALUE"""),-0.826588110078706)</f>
        <v>-0.82658811007870603</v>
      </c>
      <c r="O430" s="23">
        <f ca="1">IFERROR(__xludf.DUMMYFUNCTION("""COMPUTED_VALUE"""),-0.0555415683943751)</f>
        <v>-5.5541568394375102E-2</v>
      </c>
      <c r="P430" s="23"/>
      <c r="Q430" s="24">
        <f ca="1">IFERROR(__xludf.DUMMYFUNCTION("""COMPUTED_VALUE"""),-0.477598265892891)</f>
        <v>-0.47759826589289101</v>
      </c>
      <c r="R430" s="23">
        <f ca="1">IFERROR(__xludf.DUMMYFUNCTION("""COMPUTED_VALUE"""),0.611574451258791)</f>
        <v>0.61157445125879095</v>
      </c>
      <c r="S430" s="23">
        <f ca="1">IFERROR(__xludf.DUMMYFUNCTION("""COMPUTED_VALUE"""),-0.746522962930541)</f>
        <v>-0.74652296293054099</v>
      </c>
      <c r="T430" s="23">
        <f ca="1">IFERROR(__xludf.DUMMYFUNCTION("""COMPUTED_VALUE"""),1.31738383965484)</f>
        <v>1.3173838396548401</v>
      </c>
      <c r="U430" s="23">
        <f ca="1">IFERROR(__xludf.DUMMYFUNCTION("""COMPUTED_VALUE"""),-0.0762364596979094)</f>
        <v>-7.6236459697909403E-2</v>
      </c>
      <c r="V430" s="23">
        <f ca="1">IFERROR(__xludf.DUMMYFUNCTION("""COMPUTED_VALUE"""),-0.350057050798965)</f>
        <v>-0.35005705079896499</v>
      </c>
      <c r="W430" s="23">
        <f ca="1">IFERROR(__xludf.DUMMYFUNCTION("""COMPUTED_VALUE"""),-0.375924896035791)</f>
        <v>-0.37592489603579099</v>
      </c>
      <c r="X430" s="23"/>
      <c r="Y430" s="23">
        <f ca="1">IFERROR(__xludf.DUMMYFUNCTION("""COMPUTED_VALUE"""),0.258546525250208)</f>
        <v>0.25854652525020799</v>
      </c>
      <c r="Z430" s="23">
        <f ca="1">IFERROR(__xludf.DUMMYFUNCTION("""COMPUTED_VALUE"""),-0.985170852580768)</f>
        <v>-0.98517085258076798</v>
      </c>
      <c r="AA430" s="23">
        <f ca="1">IFERROR(__xludf.DUMMYFUNCTION("""COMPUTED_VALUE"""),-0.626776616880948)</f>
        <v>-0.62677661688094799</v>
      </c>
      <c r="AB430" s="23">
        <f ca="1">IFERROR(__xludf.DUMMYFUNCTION("""COMPUTED_VALUE"""),0.832044937363693)</f>
        <v>0.832044937363693</v>
      </c>
      <c r="AC430" s="22">
        <f ca="1">IFERROR(__xludf.DUMMYFUNCTION("""COMPUTED_VALUE"""),-0.709688709751897)</f>
        <v>-0.70968870975189702</v>
      </c>
      <c r="AD430" s="23">
        <f ca="1">IFERROR(__xludf.DUMMYFUNCTION("""COMPUTED_VALUE"""),0.155010162969121)</f>
        <v>0.15501016296912101</v>
      </c>
      <c r="AE430" s="23"/>
      <c r="AF430" s="22"/>
      <c r="AG430" s="22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</row>
    <row r="431" spans="1:45" ht="27.75" customHeight="1" x14ac:dyDescent="0.35">
      <c r="A431" s="15" t="s">
        <v>207</v>
      </c>
      <c r="B431" s="15" t="s">
        <v>240</v>
      </c>
      <c r="C431" s="15" t="str">
        <f ca="1">IFERROR(__xludf.DUMMYFUNCTION("""COMPUTED_VALUE"""),"2023/03/04 (土)
休日午前")</f>
        <v>2023/03/04 (土)
休日午前</v>
      </c>
      <c r="D431" s="15" t="str">
        <f ca="1">IFERROR(__xludf.DUMMYFUNCTION("""COMPUTED_VALUE"""),"休日午前")</f>
        <v>休日午前</v>
      </c>
      <c r="E431" s="16">
        <f ca="1">IFERROR(__xludf.DUMMYFUNCTION("""COMPUTED_VALUE"""),1.95744477106268)</f>
        <v>1.9574447710626799</v>
      </c>
      <c r="F431" s="15" t="s">
        <v>11</v>
      </c>
      <c r="G431" s="32">
        <v>1</v>
      </c>
      <c r="H431" s="27" t="s">
        <v>10</v>
      </c>
      <c r="I431" s="27"/>
      <c r="J431" s="27" t="s">
        <v>242</v>
      </c>
      <c r="K431" s="23" t="b">
        <f ca="1">IFERROR(__xludf.DUMMYFUNCTION("""COMPUTED_VALUE"""),FALSE)</f>
        <v>0</v>
      </c>
      <c r="L431" s="22">
        <f ca="1">IFERROR(__xludf.DUMMYFUNCTION("""COMPUTED_VALUE"""),0.0946314285002629)</f>
        <v>9.4631428500262904E-2</v>
      </c>
      <c r="M431" s="23">
        <f ca="1">IFERROR(__xludf.DUMMYFUNCTION("""COMPUTED_VALUE"""),0.0928782035607027)</f>
        <v>9.2878203560702699E-2</v>
      </c>
      <c r="N431" s="23">
        <f ca="1">IFERROR(__xludf.DUMMYFUNCTION("""COMPUTED_VALUE"""),-0.359928487007453)</f>
        <v>-0.359928487007453</v>
      </c>
      <c r="O431" s="23">
        <f ca="1">IFERROR(__xludf.DUMMYFUNCTION("""COMPUTED_VALUE"""),0.473520088837134)</f>
        <v>0.47352008883713398</v>
      </c>
      <c r="P431" s="23"/>
      <c r="Q431" s="24">
        <f ca="1">IFERROR(__xludf.DUMMYFUNCTION("""COMPUTED_VALUE"""),-0.52943125569196)</f>
        <v>-0.52943125569196003</v>
      </c>
      <c r="R431" s="23">
        <f ca="1">IFERROR(__xludf.DUMMYFUNCTION("""COMPUTED_VALUE"""),-0.301547338036856)</f>
        <v>-0.30154733803685602</v>
      </c>
      <c r="S431" s="23">
        <f ca="1">IFERROR(__xludf.DUMMYFUNCTION("""COMPUTED_VALUE"""),-0.955882628396475)</f>
        <v>-0.95588262839647498</v>
      </c>
      <c r="T431" s="23">
        <f ca="1">IFERROR(__xludf.DUMMYFUNCTION("""COMPUTED_VALUE"""),1.95744477106268)</f>
        <v>1.9574447710626799</v>
      </c>
      <c r="U431" s="23">
        <f ca="1">IFERROR(__xludf.DUMMYFUNCTION("""COMPUTED_VALUE"""),-0.705726354684276)</f>
        <v>-0.70572635468427602</v>
      </c>
      <c r="V431" s="23">
        <f ca="1">IFERROR(__xludf.DUMMYFUNCTION("""COMPUTED_VALUE"""),-0.70451579601817)</f>
        <v>-0.70451579601817005</v>
      </c>
      <c r="W431" s="23">
        <f ca="1">IFERROR(__xludf.DUMMYFUNCTION("""COMPUTED_VALUE"""),-0.798308768553193)</f>
        <v>-0.79830876855319299</v>
      </c>
      <c r="X431" s="23"/>
      <c r="Y431" s="23">
        <f ca="1">IFERROR(__xludf.DUMMYFUNCTION("""COMPUTED_VALUE"""),-0.244549968502364)</f>
        <v>-0.24454996850236399</v>
      </c>
      <c r="Z431" s="23">
        <f ca="1">IFERROR(__xludf.DUMMYFUNCTION("""COMPUTED_VALUE"""),1.04190156855356)</f>
        <v>1.04190156855356</v>
      </c>
      <c r="AA431" s="23">
        <f ca="1">IFERROR(__xludf.DUMMYFUNCTION("""COMPUTED_VALUE"""),0.777551740248082)</f>
        <v>0.77755174024808205</v>
      </c>
      <c r="AB431" s="23">
        <f ca="1">IFERROR(__xludf.DUMMYFUNCTION("""COMPUTED_VALUE"""),-0.903703919681986)</f>
        <v>-0.90370391968198605</v>
      </c>
      <c r="AC431" s="22">
        <f ca="1">IFERROR(__xludf.DUMMYFUNCTION("""COMPUTED_VALUE"""),-0.653033426512181)</f>
        <v>-0.65303342651218099</v>
      </c>
      <c r="AD431" s="23">
        <f ca="1">IFERROR(__xludf.DUMMYFUNCTION("""COMPUTED_VALUE"""),-0.376093396700152)</f>
        <v>-0.37609339670015202</v>
      </c>
      <c r="AE431" s="23"/>
      <c r="AF431" s="22"/>
      <c r="AG431" s="22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</row>
    <row r="432" spans="1:45" ht="27.75" customHeight="1" x14ac:dyDescent="0.4">
      <c r="A432" s="15" t="s">
        <v>207</v>
      </c>
      <c r="B432" s="15" t="s">
        <v>240</v>
      </c>
      <c r="C432" s="15" t="str">
        <f ca="1">IFERROR(__xludf.DUMMYFUNCTION("""COMPUTED_VALUE"""),"2023/03/04 (土)
休日午後")</f>
        <v>2023/03/04 (土)
休日午後</v>
      </c>
      <c r="D432" s="15" t="str">
        <f ca="1">IFERROR(__xludf.DUMMYFUNCTION("""COMPUTED_VALUE"""),"休日午後")</f>
        <v>休日午後</v>
      </c>
      <c r="E432" s="16">
        <f ca="1">IFERROR(__xludf.DUMMYFUNCTION("""COMPUTED_VALUE"""),1.02747405249345)</f>
        <v>1.02747405249345</v>
      </c>
      <c r="F432" s="15" t="s">
        <v>10</v>
      </c>
      <c r="G432" s="32">
        <v>0</v>
      </c>
      <c r="H432" s="46" t="s">
        <v>11</v>
      </c>
      <c r="I432" s="27"/>
      <c r="J432" s="27" t="s">
        <v>242</v>
      </c>
      <c r="K432" s="23" t="b">
        <f ca="1">IFERROR(__xludf.DUMMYFUNCTION("""COMPUTED_VALUE"""),TRUE)</f>
        <v>1</v>
      </c>
      <c r="L432" s="22">
        <f ca="1">IFERROR(__xludf.DUMMYFUNCTION("""COMPUTED_VALUE"""),0.80838519624412)</f>
        <v>0.80838519624411997</v>
      </c>
      <c r="M432" s="23">
        <f ca="1">IFERROR(__xludf.DUMMYFUNCTION("""COMPUTED_VALUE"""),-0.766521781522213)</f>
        <v>-0.76652178152221295</v>
      </c>
      <c r="N432" s="23">
        <f ca="1">IFERROR(__xludf.DUMMYFUNCTION("""COMPUTED_VALUE"""),-0.704468701608008)</f>
        <v>-0.70446870160800801</v>
      </c>
      <c r="O432" s="23">
        <f ca="1">IFERROR(__xludf.DUMMYFUNCTION("""COMPUTED_VALUE"""),0.841310545600201)</f>
        <v>0.84131054560020102</v>
      </c>
      <c r="P432" s="23"/>
      <c r="Q432" s="24">
        <f ca="1">IFERROR(__xludf.DUMMYFUNCTION("""COMPUTED_VALUE"""),-0.367154672841085)</f>
        <v>-0.36715467284108499</v>
      </c>
      <c r="R432" s="23">
        <f ca="1">IFERROR(__xludf.DUMMYFUNCTION("""COMPUTED_VALUE"""),0.58501121197824)</f>
        <v>0.58501121197824002</v>
      </c>
      <c r="S432" s="23">
        <f ca="1">IFERROR(__xludf.DUMMYFUNCTION("""COMPUTED_VALUE"""),-0.00965515236111214)</f>
        <v>-9.6551523611121404E-3</v>
      </c>
      <c r="T432" s="23">
        <f ca="1">IFERROR(__xludf.DUMMYFUNCTION("""COMPUTED_VALUE"""),0.150300682582849)</f>
        <v>0.15030068258284901</v>
      </c>
      <c r="U432" s="23">
        <f ca="1">IFERROR(__xludf.DUMMYFUNCTION("""COMPUTED_VALUE"""),-0.835590535206063)</f>
        <v>-0.83559053520606297</v>
      </c>
      <c r="V432" s="23">
        <f ca="1">IFERROR(__xludf.DUMMYFUNCTION("""COMPUTED_VALUE"""),-0.65162817160148)</f>
        <v>-0.65162817160148001</v>
      </c>
      <c r="W432" s="23">
        <f ca="1">IFERROR(__xludf.DUMMYFUNCTION("""COMPUTED_VALUE"""),-0.917784127673906)</f>
        <v>-0.91778412767390605</v>
      </c>
      <c r="X432" s="23"/>
      <c r="Y432" s="23">
        <f ca="1">IFERROR(__xludf.DUMMYFUNCTION("""COMPUTED_VALUE"""),-0.335876564803517)</f>
        <v>-0.33587656480351702</v>
      </c>
      <c r="Z432" s="23">
        <f ca="1">IFERROR(__xludf.DUMMYFUNCTION("""COMPUTED_VALUE"""),1.02747405249345)</f>
        <v>1.02747405249345</v>
      </c>
      <c r="AA432" s="23">
        <f ca="1">IFERROR(__xludf.DUMMYFUNCTION("""COMPUTED_VALUE"""),0.468454830077202)</f>
        <v>0.46845483007720201</v>
      </c>
      <c r="AB432" s="23">
        <f ca="1">IFERROR(__xludf.DUMMYFUNCTION("""COMPUTED_VALUE"""),-0.947954088004288)</f>
        <v>-0.94795408800428804</v>
      </c>
      <c r="AC432" s="22">
        <f ca="1">IFERROR(__xludf.DUMMYFUNCTION("""COMPUTED_VALUE"""),-0.255354324293804)</f>
        <v>-0.255354324293804</v>
      </c>
      <c r="AD432" s="23">
        <f ca="1">IFERROR(__xludf.DUMMYFUNCTION("""COMPUTED_VALUE"""),-0.798621589501208)</f>
        <v>-0.79862158950120798</v>
      </c>
      <c r="AE432" s="23"/>
      <c r="AF432" s="22"/>
      <c r="AG432" s="22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</row>
    <row r="433" spans="1:45" ht="27.75" customHeight="1" x14ac:dyDescent="0.35">
      <c r="A433" s="15" t="s">
        <v>207</v>
      </c>
      <c r="B433" s="15" t="s">
        <v>240</v>
      </c>
      <c r="C433" s="15" t="str">
        <f ca="1">IFERROR(__xludf.DUMMYFUNCTION("""COMPUTED_VALUE"""),"2023/03/05 (日)
休日午前")</f>
        <v>2023/03/05 (日)
休日午前</v>
      </c>
      <c r="D433" s="15" t="str">
        <f ca="1">IFERROR(__xludf.DUMMYFUNCTION("""COMPUTED_VALUE"""),"休日午前")</f>
        <v>休日午前</v>
      </c>
      <c r="E433" s="16">
        <f ca="1">IFERROR(__xludf.DUMMYFUNCTION("""COMPUTED_VALUE"""),1.07819697605348)</f>
        <v>1.07819697605348</v>
      </c>
      <c r="F433" s="15" t="s">
        <v>11</v>
      </c>
      <c r="G433" s="32">
        <v>0</v>
      </c>
      <c r="H433" s="27" t="s">
        <v>2</v>
      </c>
      <c r="I433" s="27"/>
      <c r="J433" s="27" t="s">
        <v>139</v>
      </c>
      <c r="K433" s="23" t="b">
        <f ca="1">IFERROR(__xludf.DUMMYFUNCTION("""COMPUTED_VALUE"""),FALSE)</f>
        <v>0</v>
      </c>
      <c r="L433" s="22">
        <f ca="1">IFERROR(__xludf.DUMMYFUNCTION("""COMPUTED_VALUE"""),0.571420820668885)</f>
        <v>0.571420820668885</v>
      </c>
      <c r="M433" s="23">
        <f ca="1">IFERROR(__xludf.DUMMYFUNCTION("""COMPUTED_VALUE"""),0.225033174080117)</f>
        <v>0.225033174080117</v>
      </c>
      <c r="N433" s="23">
        <f ca="1">IFERROR(__xludf.DUMMYFUNCTION("""COMPUTED_VALUE"""),0.129775141025332)</f>
        <v>0.129775141025332</v>
      </c>
      <c r="O433" s="23">
        <f ca="1">IFERROR(__xludf.DUMMYFUNCTION("""COMPUTED_VALUE"""),0.701537146144085)</f>
        <v>0.70153714614408502</v>
      </c>
      <c r="P433" s="23"/>
      <c r="Q433" s="24">
        <f ca="1">IFERROR(__xludf.DUMMYFUNCTION("""COMPUTED_VALUE"""),-0.703881434290281)</f>
        <v>-0.70388143429028105</v>
      </c>
      <c r="R433" s="23">
        <f ca="1">IFERROR(__xludf.DUMMYFUNCTION("""COMPUTED_VALUE"""),0.454921642076764)</f>
        <v>0.454921642076764</v>
      </c>
      <c r="S433" s="23">
        <f ca="1">IFERROR(__xludf.DUMMYFUNCTION("""COMPUTED_VALUE"""),-0.0751408856658744)</f>
        <v>-7.5140885665874402E-2</v>
      </c>
      <c r="T433" s="23">
        <f ca="1">IFERROR(__xludf.DUMMYFUNCTION("""COMPUTED_VALUE"""),1.07819697605348)</f>
        <v>1.07819697605348</v>
      </c>
      <c r="U433" s="23">
        <f ca="1">IFERROR(__xludf.DUMMYFUNCTION("""COMPUTED_VALUE"""),-0.335435295761494)</f>
        <v>-0.335435295761494</v>
      </c>
      <c r="V433" s="23">
        <f ca="1">IFERROR(__xludf.DUMMYFUNCTION("""COMPUTED_VALUE"""),-0.744956692795861)</f>
        <v>-0.74495669279586096</v>
      </c>
      <c r="W433" s="23">
        <f ca="1">IFERROR(__xludf.DUMMYFUNCTION("""COMPUTED_VALUE"""),0.261068748534666)</f>
        <v>0.261068748534666</v>
      </c>
      <c r="X433" s="23"/>
      <c r="Y433" s="23">
        <f ca="1">IFERROR(__xludf.DUMMYFUNCTION("""COMPUTED_VALUE"""),-0.352305912104156)</f>
        <v>-0.35230591210415602</v>
      </c>
      <c r="Z433" s="23">
        <f ca="1">IFERROR(__xludf.DUMMYFUNCTION("""COMPUTED_VALUE"""),1.03565633509837)</f>
        <v>1.0356563350983701</v>
      </c>
      <c r="AA433" s="23">
        <f ca="1">IFERROR(__xludf.DUMMYFUNCTION("""COMPUTED_VALUE"""),0.310485839659358)</f>
        <v>0.310485839659358</v>
      </c>
      <c r="AB433" s="23">
        <f ca="1">IFERROR(__xludf.DUMMYFUNCTION("""COMPUTED_VALUE"""),-0.278652706478169)</f>
        <v>-0.27865270647816898</v>
      </c>
      <c r="AC433" s="22">
        <f ca="1">IFERROR(__xludf.DUMMYFUNCTION("""COMPUTED_VALUE"""),-0.746621292697837)</f>
        <v>-0.74662129269783695</v>
      </c>
      <c r="AD433" s="23">
        <f ca="1">IFERROR(__xludf.DUMMYFUNCTION("""COMPUTED_VALUE"""),-0.835029181998721)</f>
        <v>-0.835029181998721</v>
      </c>
      <c r="AE433" s="23"/>
      <c r="AF433" s="22"/>
      <c r="AG433" s="22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</row>
    <row r="434" spans="1:45" ht="27.75" customHeight="1" x14ac:dyDescent="0.35">
      <c r="A434" s="15" t="s">
        <v>207</v>
      </c>
      <c r="B434" s="15" t="s">
        <v>240</v>
      </c>
      <c r="C434" s="15" t="str">
        <f ca="1">IFERROR(__xludf.DUMMYFUNCTION("""COMPUTED_VALUE"""),"2023/03/05 (日)
休日午後")</f>
        <v>2023/03/05 (日)
休日午後</v>
      </c>
      <c r="D434" s="15" t="str">
        <f ca="1">IFERROR(__xludf.DUMMYFUNCTION("""COMPUTED_VALUE"""),"休日午後")</f>
        <v>休日午後</v>
      </c>
      <c r="E434" s="16">
        <f ca="1">IFERROR(__xludf.DUMMYFUNCTION("""COMPUTED_VALUE"""),2.14191302931235)</f>
        <v>2.1419130293123501</v>
      </c>
      <c r="F434" s="15" t="s">
        <v>15</v>
      </c>
      <c r="G434" s="32">
        <v>-1</v>
      </c>
      <c r="H434" s="27" t="s">
        <v>4</v>
      </c>
      <c r="I434" s="27" t="s">
        <v>243</v>
      </c>
      <c r="J434" s="27" t="s">
        <v>139</v>
      </c>
      <c r="K434" s="23" t="b">
        <f ca="1">IFERROR(__xludf.DUMMYFUNCTION("""COMPUTED_VALUE"""),FALSE)</f>
        <v>0</v>
      </c>
      <c r="L434" s="22">
        <f ca="1">IFERROR(__xludf.DUMMYFUNCTION("""COMPUTED_VALUE"""),0.707746495296349)</f>
        <v>0.70774649529634903</v>
      </c>
      <c r="M434" s="23">
        <f ca="1">IFERROR(__xludf.DUMMYFUNCTION("""COMPUTED_VALUE"""),-0.589314410702532)</f>
        <v>-0.58931441070253199</v>
      </c>
      <c r="N434" s="23">
        <f ca="1">IFERROR(__xludf.DUMMYFUNCTION("""COMPUTED_VALUE"""),0.157884032909594)</f>
        <v>0.15788403290959399</v>
      </c>
      <c r="O434" s="23">
        <f ca="1">IFERROR(__xludf.DUMMYFUNCTION("""COMPUTED_VALUE"""),0.343498969029373)</f>
        <v>0.34349896902937299</v>
      </c>
      <c r="P434" s="23"/>
      <c r="Q434" s="24">
        <f ca="1">IFERROR(__xludf.DUMMYFUNCTION("""COMPUTED_VALUE"""),-0.288283780218593)</f>
        <v>-0.28828378021859302</v>
      </c>
      <c r="R434" s="23">
        <f ca="1">IFERROR(__xludf.DUMMYFUNCTION("""COMPUTED_VALUE"""),2.14191302931235)</f>
        <v>2.1419130293123501</v>
      </c>
      <c r="S434" s="23">
        <f ca="1">IFERROR(__xludf.DUMMYFUNCTION("""COMPUTED_VALUE"""),-0.308892651035018)</f>
        <v>-0.30889265103501801</v>
      </c>
      <c r="T434" s="23">
        <f ca="1">IFERROR(__xludf.DUMMYFUNCTION("""COMPUTED_VALUE"""),0.0270282274976227)</f>
        <v>2.7028227497622698E-2</v>
      </c>
      <c r="U434" s="23">
        <f ca="1">IFERROR(__xludf.DUMMYFUNCTION("""COMPUTED_VALUE"""),-0.483506677645005)</f>
        <v>-0.48350667764500499</v>
      </c>
      <c r="V434" s="23">
        <f ca="1">IFERROR(__xludf.DUMMYFUNCTION("""COMPUTED_VALUE"""),-0.751715403086609)</f>
        <v>-0.751715403086609</v>
      </c>
      <c r="W434" s="23">
        <f ca="1">IFERROR(__xludf.DUMMYFUNCTION("""COMPUTED_VALUE"""),0.397261166209745)</f>
        <v>0.397261166209745</v>
      </c>
      <c r="X434" s="23"/>
      <c r="Y434" s="23">
        <f ca="1">IFERROR(__xludf.DUMMYFUNCTION("""COMPUTED_VALUE"""),-0.18662644924642)</f>
        <v>-0.18662644924642</v>
      </c>
      <c r="Z434" s="23">
        <f ca="1">IFERROR(__xludf.DUMMYFUNCTION("""COMPUTED_VALUE"""),1.29098895394062)</f>
        <v>1.2909889539406201</v>
      </c>
      <c r="AA434" s="23">
        <f ca="1">IFERROR(__xludf.DUMMYFUNCTION("""COMPUTED_VALUE"""),-0.436792414298713)</f>
        <v>-0.43679241429871302</v>
      </c>
      <c r="AB434" s="23">
        <f ca="1">IFERROR(__xludf.DUMMYFUNCTION("""COMPUTED_VALUE"""),0.538703350381144)</f>
        <v>0.53870335038114403</v>
      </c>
      <c r="AC434" s="22">
        <f ca="1">IFERROR(__xludf.DUMMYFUNCTION("""COMPUTED_VALUE"""),-0.215909455542463)</f>
        <v>-0.21590945554246299</v>
      </c>
      <c r="AD434" s="23">
        <f ca="1">IFERROR(__xludf.DUMMYFUNCTION("""COMPUTED_VALUE"""),-0.259297175258883)</f>
        <v>-0.25929717525888302</v>
      </c>
      <c r="AE434" s="23"/>
      <c r="AF434" s="22"/>
      <c r="AG434" s="22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</row>
    <row r="435" spans="1:45" ht="27.75" customHeight="1" x14ac:dyDescent="0.4">
      <c r="A435" s="15" t="s">
        <v>207</v>
      </c>
      <c r="B435" s="15" t="s">
        <v>240</v>
      </c>
      <c r="C435" s="15" t="str">
        <f ca="1">IFERROR(__xludf.DUMMYFUNCTION("""COMPUTED_VALUE"""),"2023/03/06 (月)
平日夜間")</f>
        <v>2023/03/06 (月)
平日夜間</v>
      </c>
      <c r="D435" s="15" t="str">
        <f ca="1">IFERROR(__xludf.DUMMYFUNCTION("""COMPUTED_VALUE"""),"平日夜間")</f>
        <v>平日夜間</v>
      </c>
      <c r="E435" s="16">
        <f ca="1">IFERROR(__xludf.DUMMYFUNCTION("""COMPUTED_VALUE"""),2.21820506925236)</f>
        <v>2.2182050692523601</v>
      </c>
      <c r="F435" s="15" t="s">
        <v>16</v>
      </c>
      <c r="G435" s="32">
        <v>2</v>
      </c>
      <c r="H435" s="46" t="s">
        <v>16</v>
      </c>
      <c r="I435" s="27"/>
      <c r="J435" s="27" t="s">
        <v>203</v>
      </c>
      <c r="K435" s="23" t="b">
        <f ca="1">IFERROR(__xludf.DUMMYFUNCTION("""COMPUTED_VALUE"""),TRUE)</f>
        <v>1</v>
      </c>
      <c r="L435" s="22">
        <f ca="1">IFERROR(__xludf.DUMMYFUNCTION("""COMPUTED_VALUE"""),-0.276582882580072)</f>
        <v>-0.27658288258007202</v>
      </c>
      <c r="M435" s="23">
        <f ca="1">IFERROR(__xludf.DUMMYFUNCTION("""COMPUTED_VALUE"""),0.307428135556183)</f>
        <v>0.30742813555618298</v>
      </c>
      <c r="N435" s="23">
        <f ca="1">IFERROR(__xludf.DUMMYFUNCTION("""COMPUTED_VALUE"""),0.110671310781267)</f>
        <v>0.110671310781267</v>
      </c>
      <c r="O435" s="23">
        <f ca="1">IFERROR(__xludf.DUMMYFUNCTION("""COMPUTED_VALUE"""),-0.61733489969929)</f>
        <v>-0.61733489969929001</v>
      </c>
      <c r="P435" s="23"/>
      <c r="Q435" s="24">
        <f ca="1">IFERROR(__xludf.DUMMYFUNCTION("""COMPUTED_VALUE"""),2.21820506925236)</f>
        <v>2.2182050692523601</v>
      </c>
      <c r="R435" s="23">
        <f ca="1">IFERROR(__xludf.DUMMYFUNCTION("""COMPUTED_VALUE"""),-0.841930452576422)</f>
        <v>-0.84193045257642196</v>
      </c>
      <c r="S435" s="23">
        <f ca="1">IFERROR(__xludf.DUMMYFUNCTION("""COMPUTED_VALUE"""),0.011457178299848)</f>
        <v>1.1457178299848001E-2</v>
      </c>
      <c r="T435" s="23">
        <f ca="1">IFERROR(__xludf.DUMMYFUNCTION("""COMPUTED_VALUE"""),0.881402605817963)</f>
        <v>0.88140260581796304</v>
      </c>
      <c r="U435" s="23">
        <f ca="1">IFERROR(__xludf.DUMMYFUNCTION("""COMPUTED_VALUE"""),0.517703731806576)</f>
        <v>0.51770373180657603</v>
      </c>
      <c r="V435" s="23">
        <f ca="1">IFERROR(__xludf.DUMMYFUNCTION("""COMPUTED_VALUE"""),0.920985648875278)</f>
        <v>0.92098564887527801</v>
      </c>
      <c r="W435" s="23">
        <f ca="1">IFERROR(__xludf.DUMMYFUNCTION("""COMPUTED_VALUE"""),-0.772871480668035)</f>
        <v>-0.77287148066803502</v>
      </c>
      <c r="X435" s="23"/>
      <c r="Y435" s="23">
        <f ca="1">IFERROR(__xludf.DUMMYFUNCTION("""COMPUTED_VALUE"""),0.575012195283741)</f>
        <v>0.57501219528374103</v>
      </c>
      <c r="Z435" s="23">
        <f ca="1">IFERROR(__xludf.DUMMYFUNCTION("""COMPUTED_VALUE"""),-0.831814836564192)</f>
        <v>-0.83181483656419197</v>
      </c>
      <c r="AA435" s="23">
        <f ca="1">IFERROR(__xludf.DUMMYFUNCTION("""COMPUTED_VALUE"""),0.636664806708224)</f>
        <v>0.63666480670822401</v>
      </c>
      <c r="AB435" s="23">
        <f ca="1">IFERROR(__xludf.DUMMYFUNCTION("""COMPUTED_VALUE"""),0.527748431240729)</f>
        <v>0.52774843124072901</v>
      </c>
      <c r="AC435" s="22">
        <f ca="1">IFERROR(__xludf.DUMMYFUNCTION("""COMPUTED_VALUE"""),0.0387595303093641)</f>
        <v>3.8759530309364097E-2</v>
      </c>
      <c r="AD435" s="23">
        <f ca="1">IFERROR(__xludf.DUMMYFUNCTION("""COMPUTED_VALUE"""),0.401378267164136)</f>
        <v>0.40137826716413599</v>
      </c>
      <c r="AE435" s="23"/>
      <c r="AF435" s="22"/>
      <c r="AG435" s="22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</row>
    <row r="436" spans="1:45" ht="27.75" customHeight="1" x14ac:dyDescent="0.35">
      <c r="A436" s="15" t="s">
        <v>207</v>
      </c>
      <c r="B436" s="15" t="s">
        <v>240</v>
      </c>
      <c r="C436" s="15" t="str">
        <f ca="1">IFERROR(__xludf.DUMMYFUNCTION("""COMPUTED_VALUE"""),"2023/03/07 (火)
平日夜間")</f>
        <v>2023/03/07 (火)
平日夜間</v>
      </c>
      <c r="D436" s="15" t="str">
        <f ca="1">IFERROR(__xludf.DUMMYFUNCTION("""COMPUTED_VALUE"""),"平日夜間")</f>
        <v>平日夜間</v>
      </c>
      <c r="E436" s="16">
        <f ca="1">IFERROR(__xludf.DUMMYFUNCTION("""COMPUTED_VALUE"""),0.969907957995451)</f>
        <v>0.96990795799545104</v>
      </c>
      <c r="F436" s="15" t="s">
        <v>13</v>
      </c>
      <c r="G436" s="32">
        <v>0</v>
      </c>
      <c r="H436" s="27" t="s">
        <v>19</v>
      </c>
      <c r="I436" s="27"/>
      <c r="J436" s="27"/>
      <c r="K436" s="23" t="b">
        <f ca="1">IFERROR(__xludf.DUMMYFUNCTION("""COMPUTED_VALUE"""),FALSE)</f>
        <v>0</v>
      </c>
      <c r="L436" s="22">
        <f ca="1">IFERROR(__xludf.DUMMYFUNCTION("""COMPUTED_VALUE"""),0.603282521682088)</f>
        <v>0.60328252168208796</v>
      </c>
      <c r="M436" s="23">
        <f ca="1">IFERROR(__xludf.DUMMYFUNCTION("""COMPUTED_VALUE"""),-0.332549148560814)</f>
        <v>-0.33254914856081402</v>
      </c>
      <c r="N436" s="23">
        <f ca="1">IFERROR(__xludf.DUMMYFUNCTION("""COMPUTED_VALUE"""),0.650233664012567)</f>
        <v>0.65023366401256699</v>
      </c>
      <c r="O436" s="23">
        <f ca="1">IFERROR(__xludf.DUMMYFUNCTION("""COMPUTED_VALUE"""),0.660684778928748)</f>
        <v>0.660684778928748</v>
      </c>
      <c r="P436" s="23"/>
      <c r="Q436" s="24">
        <f ca="1">IFERROR(__xludf.DUMMYFUNCTION("""COMPUTED_VALUE"""),-0.690580748558032)</f>
        <v>-0.69058074855803198</v>
      </c>
      <c r="R436" s="23">
        <f ca="1">IFERROR(__xludf.DUMMYFUNCTION("""COMPUTED_VALUE"""),0.894306410486156)</f>
        <v>0.894306410486156</v>
      </c>
      <c r="S436" s="23">
        <f ca="1">IFERROR(__xludf.DUMMYFUNCTION("""COMPUTED_VALUE"""),0.743855676344497)</f>
        <v>0.74385567634449701</v>
      </c>
      <c r="T436" s="23">
        <f ca="1">IFERROR(__xludf.DUMMYFUNCTION("""COMPUTED_VALUE"""),0.341752849616834)</f>
        <v>0.341752849616834</v>
      </c>
      <c r="U436" s="23">
        <f ca="1">IFERROR(__xludf.DUMMYFUNCTION("""COMPUTED_VALUE"""),0.00373911870314547)</f>
        <v>3.7391187031454698E-3</v>
      </c>
      <c r="V436" s="23">
        <f ca="1">IFERROR(__xludf.DUMMYFUNCTION("""COMPUTED_VALUE"""),0.866847996431782)</f>
        <v>0.86684799643178201</v>
      </c>
      <c r="W436" s="23">
        <f ca="1">IFERROR(__xludf.DUMMYFUNCTION("""COMPUTED_VALUE"""),0.969907957995451)</f>
        <v>0.96990795799545104</v>
      </c>
      <c r="X436" s="23"/>
      <c r="Y436" s="23">
        <f ca="1">IFERROR(__xludf.DUMMYFUNCTION("""COMPUTED_VALUE"""),0.383351699059343)</f>
        <v>0.38335169905934302</v>
      </c>
      <c r="Z436" s="23">
        <f ca="1">IFERROR(__xludf.DUMMYFUNCTION("""COMPUTED_VALUE"""),0.58906387898012)</f>
        <v>0.58906387898012003</v>
      </c>
      <c r="AA436" s="23">
        <f ca="1">IFERROR(__xludf.DUMMYFUNCTION("""COMPUTED_VALUE"""),-0.867513290037843)</f>
        <v>-0.86751329003784305</v>
      </c>
      <c r="AB436" s="23">
        <f ca="1">IFERROR(__xludf.DUMMYFUNCTION("""COMPUTED_VALUE"""),0.646599849433905)</f>
        <v>0.64659984943390503</v>
      </c>
      <c r="AC436" s="22">
        <f ca="1">IFERROR(__xludf.DUMMYFUNCTION("""COMPUTED_VALUE"""),0.195665353562518)</f>
        <v>0.19566535356251799</v>
      </c>
      <c r="AD436" s="23">
        <f ca="1">IFERROR(__xludf.DUMMYFUNCTION("""COMPUTED_VALUE"""),-0.357383668486535)</f>
        <v>-0.35738366848653502</v>
      </c>
      <c r="AE436" s="23"/>
      <c r="AF436" s="22"/>
      <c r="AG436" s="22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</row>
    <row r="437" spans="1:45" ht="27.75" customHeight="1" x14ac:dyDescent="0.4">
      <c r="A437" s="15" t="s">
        <v>207</v>
      </c>
      <c r="B437" s="15" t="s">
        <v>240</v>
      </c>
      <c r="C437" s="15" t="str">
        <f ca="1">IFERROR(__xludf.DUMMYFUNCTION("""COMPUTED_VALUE"""),"2023/03/08 (水)
平日夜間")</f>
        <v>2023/03/08 (水)
平日夜間</v>
      </c>
      <c r="D437" s="15" t="str">
        <f ca="1">IFERROR(__xludf.DUMMYFUNCTION("""COMPUTED_VALUE"""),"平日夜間")</f>
        <v>平日夜間</v>
      </c>
      <c r="E437" s="16">
        <f ca="1">IFERROR(__xludf.DUMMYFUNCTION("""COMPUTED_VALUE"""),2.86743305899142)</f>
        <v>2.8674330589914199</v>
      </c>
      <c r="F437" s="15" t="s">
        <v>6</v>
      </c>
      <c r="G437" s="32">
        <v>0</v>
      </c>
      <c r="H437" s="46" t="s">
        <v>1</v>
      </c>
      <c r="I437" s="27"/>
      <c r="J437" s="27"/>
      <c r="K437" s="23" t="b">
        <f ca="1">IFERROR(__xludf.DUMMYFUNCTION("""COMPUTED_VALUE"""),FALSE)</f>
        <v>0</v>
      </c>
      <c r="L437" s="22">
        <f ca="1">IFERROR(__xludf.DUMMYFUNCTION("""COMPUTED_VALUE"""),-0.260539458111021)</f>
        <v>-0.26053945811102103</v>
      </c>
      <c r="M437" s="23">
        <f ca="1">IFERROR(__xludf.DUMMYFUNCTION("""COMPUTED_VALUE"""),0.527349279927406)</f>
        <v>0.52734927992740599</v>
      </c>
      <c r="N437" s="23">
        <f ca="1">IFERROR(__xludf.DUMMYFUNCTION("""COMPUTED_VALUE"""),0.0369850926873709)</f>
        <v>3.69850926873709E-2</v>
      </c>
      <c r="O437" s="23">
        <f ca="1">IFERROR(__xludf.DUMMYFUNCTION("""COMPUTED_VALUE"""),0.439920630440973)</f>
        <v>0.43992063044097302</v>
      </c>
      <c r="P437" s="23"/>
      <c r="Q437" s="24">
        <f ca="1">IFERROR(__xludf.DUMMYFUNCTION("""COMPUTED_VALUE"""),0.484516026865679)</f>
        <v>0.48451602686567902</v>
      </c>
      <c r="R437" s="23">
        <f ca="1">IFERROR(__xludf.DUMMYFUNCTION("""COMPUTED_VALUE"""),0.506072437878044)</f>
        <v>0.50607243787804401</v>
      </c>
      <c r="S437" s="23">
        <f ca="1">IFERROR(__xludf.DUMMYFUNCTION("""COMPUTED_VALUE"""),0.548452176146084)</f>
        <v>0.54845217614608399</v>
      </c>
      <c r="T437" s="23">
        <f ca="1">IFERROR(__xludf.DUMMYFUNCTION("""COMPUTED_VALUE"""),-0.918112560102054)</f>
        <v>-0.918112560102054</v>
      </c>
      <c r="U437" s="23">
        <f ca="1">IFERROR(__xludf.DUMMYFUNCTION("""COMPUTED_VALUE"""),0.958511166793936)</f>
        <v>0.958511166793936</v>
      </c>
      <c r="V437" s="23">
        <f ca="1">IFERROR(__xludf.DUMMYFUNCTION("""COMPUTED_VALUE"""),0.84919761833123)</f>
        <v>0.84919761833122998</v>
      </c>
      <c r="W437" s="23">
        <f ca="1">IFERROR(__xludf.DUMMYFUNCTION("""COMPUTED_VALUE"""),-0.309696144029014)</f>
        <v>-0.30969614402901402</v>
      </c>
      <c r="X437" s="23"/>
      <c r="Y437" s="23">
        <f ca="1">IFERROR(__xludf.DUMMYFUNCTION("""COMPUTED_VALUE"""),0.646144310233294)</f>
        <v>0.64614431023329399</v>
      </c>
      <c r="Z437" s="23">
        <f ca="1">IFERROR(__xludf.DUMMYFUNCTION("""COMPUTED_VALUE"""),0.430897095964314)</f>
        <v>0.43089709596431403</v>
      </c>
      <c r="AA437" s="23">
        <f ca="1">IFERROR(__xludf.DUMMYFUNCTION("""COMPUTED_VALUE"""),0.0291326662475932)</f>
        <v>2.9132666247593201E-2</v>
      </c>
      <c r="AB437" s="23">
        <f ca="1">IFERROR(__xludf.DUMMYFUNCTION("""COMPUTED_VALUE"""),0.773297894476602)</f>
        <v>0.77329789447660202</v>
      </c>
      <c r="AC437" s="22">
        <f ca="1">IFERROR(__xludf.DUMMYFUNCTION("""COMPUTED_VALUE"""),2.86743305899142)</f>
        <v>2.8674330589914199</v>
      </c>
      <c r="AD437" s="23">
        <f ca="1">IFERROR(__xludf.DUMMYFUNCTION("""COMPUTED_VALUE"""),-0.294362251226708)</f>
        <v>-0.294362251226708</v>
      </c>
      <c r="AE437" s="23"/>
      <c r="AF437" s="22"/>
      <c r="AG437" s="22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</row>
    <row r="438" spans="1:45" ht="27.75" customHeight="1" x14ac:dyDescent="0.35">
      <c r="A438" s="15" t="s">
        <v>207</v>
      </c>
      <c r="B438" s="15" t="s">
        <v>240</v>
      </c>
      <c r="C438" s="15" t="str">
        <f ca="1">IFERROR(__xludf.DUMMYFUNCTION("""COMPUTED_VALUE"""),"2023/03/09 (木)
平日夜間")</f>
        <v>2023/03/09 (木)
平日夜間</v>
      </c>
      <c r="D438" s="15" t="str">
        <f ca="1">IFERROR(__xludf.DUMMYFUNCTION("""COMPUTED_VALUE"""),"平日夜間")</f>
        <v>平日夜間</v>
      </c>
      <c r="E438" s="16">
        <f ca="1">IFERROR(__xludf.DUMMYFUNCTION("""COMPUTED_VALUE"""),1.30919256030443)</f>
        <v>1.3091925603044301</v>
      </c>
      <c r="F438" s="15" t="s">
        <v>1</v>
      </c>
      <c r="G438" s="32"/>
      <c r="H438" s="27" t="s">
        <v>5</v>
      </c>
      <c r="I438" s="27"/>
      <c r="J438" s="27"/>
      <c r="K438" s="23" t="b">
        <f ca="1">IFERROR(__xludf.DUMMYFUNCTION("""COMPUTED_VALUE"""),FALSE)</f>
        <v>0</v>
      </c>
      <c r="L438" s="22">
        <f ca="1">IFERROR(__xludf.DUMMYFUNCTION("""COMPUTED_VALUE"""),-0.0758836512995899)</f>
        <v>-7.5883651299589905E-2</v>
      </c>
      <c r="M438" s="23">
        <f ca="1">IFERROR(__xludf.DUMMYFUNCTION("""COMPUTED_VALUE"""),0.842701432478882)</f>
        <v>0.84270143247888196</v>
      </c>
      <c r="N438" s="23">
        <f ca="1">IFERROR(__xludf.DUMMYFUNCTION("""COMPUTED_VALUE"""),0.457912189062884)</f>
        <v>0.457912189062884</v>
      </c>
      <c r="O438" s="23">
        <f ca="1">IFERROR(__xludf.DUMMYFUNCTION("""COMPUTED_VALUE"""),0.0926749473545034)</f>
        <v>9.2674947354503406E-2</v>
      </c>
      <c r="P438" s="23"/>
      <c r="Q438" s="24">
        <f ca="1">IFERROR(__xludf.DUMMYFUNCTION("""COMPUTED_VALUE"""),0.319211409676262)</f>
        <v>0.31921140967626199</v>
      </c>
      <c r="R438" s="23">
        <f ca="1">IFERROR(__xludf.DUMMYFUNCTION("""COMPUTED_VALUE"""),-0.076870735184082)</f>
        <v>-7.6870735184081995E-2</v>
      </c>
      <c r="S438" s="23">
        <f ca="1">IFERROR(__xludf.DUMMYFUNCTION("""COMPUTED_VALUE"""),0.0997716582495205)</f>
        <v>9.9771658249520501E-2</v>
      </c>
      <c r="T438" s="23">
        <f ca="1">IFERROR(__xludf.DUMMYFUNCTION("""COMPUTED_VALUE"""),-0.0218288032869895)</f>
        <v>-2.1828803286989499E-2</v>
      </c>
      <c r="U438" s="23">
        <f ca="1">IFERROR(__xludf.DUMMYFUNCTION("""COMPUTED_VALUE"""),-0.240623090439751)</f>
        <v>-0.240623090439751</v>
      </c>
      <c r="V438" s="23">
        <f ca="1">IFERROR(__xludf.DUMMYFUNCTION("""COMPUTED_VALUE"""),0.0545640035910086)</f>
        <v>5.4564003591008603E-2</v>
      </c>
      <c r="W438" s="23">
        <f ca="1">IFERROR(__xludf.DUMMYFUNCTION("""COMPUTED_VALUE"""),0.595751263432478)</f>
        <v>0.59575126343247797</v>
      </c>
      <c r="X438" s="23"/>
      <c r="Y438" s="23">
        <f ca="1">IFERROR(__xludf.DUMMYFUNCTION("""COMPUTED_VALUE"""),0.855312122845584)</f>
        <v>0.855312122845584</v>
      </c>
      <c r="Z438" s="23">
        <f ca="1">IFERROR(__xludf.DUMMYFUNCTION("""COMPUTED_VALUE"""),0.268270341764089)</f>
        <v>0.26827034176408898</v>
      </c>
      <c r="AA438" s="23">
        <f ca="1">IFERROR(__xludf.DUMMYFUNCTION("""COMPUTED_VALUE"""),0.6179970170679)</f>
        <v>0.6179970170679</v>
      </c>
      <c r="AB438" s="23">
        <f ca="1">IFERROR(__xludf.DUMMYFUNCTION("""COMPUTED_VALUE"""),1.30919256030443)</f>
        <v>1.3091925603044301</v>
      </c>
      <c r="AC438" s="22">
        <f ca="1">IFERROR(__xludf.DUMMYFUNCTION("""COMPUTED_VALUE"""),0.808543698388848)</f>
        <v>0.80854369838884799</v>
      </c>
      <c r="AD438" s="23">
        <f ca="1">IFERROR(__xludf.DUMMYFUNCTION("""COMPUTED_VALUE"""),0.799681289386722)</f>
        <v>0.79968128938672201</v>
      </c>
      <c r="AE438" s="23"/>
      <c r="AF438" s="22"/>
      <c r="AG438" s="22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</row>
    <row r="439" spans="1:45" ht="27.75" customHeight="1" x14ac:dyDescent="0.4">
      <c r="A439" s="15" t="s">
        <v>207</v>
      </c>
      <c r="B439" s="15" t="s">
        <v>240</v>
      </c>
      <c r="C439" s="15" t="str">
        <f ca="1">IFERROR(__xludf.DUMMYFUNCTION("""COMPUTED_VALUE"""),"2023/03/10 (金)
平日夜間")</f>
        <v>2023/03/10 (金)
平日夜間</v>
      </c>
      <c r="D439" s="15" t="str">
        <f ca="1">IFERROR(__xludf.DUMMYFUNCTION("""COMPUTED_VALUE"""),"平日夜間")</f>
        <v>平日夜間</v>
      </c>
      <c r="E439" s="16">
        <f ca="1">IFERROR(__xludf.DUMMYFUNCTION("""COMPUTED_VALUE"""),2.10089497560777)</f>
        <v>2.1008949756077699</v>
      </c>
      <c r="F439" s="15" t="s">
        <v>14</v>
      </c>
      <c r="G439" s="32">
        <v>2</v>
      </c>
      <c r="H439" s="46" t="s">
        <v>14</v>
      </c>
      <c r="I439" s="27"/>
      <c r="J439" s="27" t="s">
        <v>244</v>
      </c>
      <c r="K439" s="23" t="b">
        <f ca="1">IFERROR(__xludf.DUMMYFUNCTION("""COMPUTED_VALUE"""),TRUE)</f>
        <v>1</v>
      </c>
      <c r="L439" s="22">
        <f ca="1">IFERROR(__xludf.DUMMYFUNCTION("""COMPUTED_VALUE"""),0.926742403246855)</f>
        <v>0.92674240324685497</v>
      </c>
      <c r="M439" s="23">
        <f ca="1">IFERROR(__xludf.DUMMYFUNCTION("""COMPUTED_VALUE"""),0.262602934386005)</f>
        <v>0.26260293438600502</v>
      </c>
      <c r="N439" s="23">
        <f ca="1">IFERROR(__xludf.DUMMYFUNCTION("""COMPUTED_VALUE"""),-0.788400496172031)</f>
        <v>-0.78840049617203101</v>
      </c>
      <c r="O439" s="23">
        <f ca="1">IFERROR(__xludf.DUMMYFUNCTION("""COMPUTED_VALUE"""),-0.786798439127808)</f>
        <v>-0.786798439127808</v>
      </c>
      <c r="P439" s="23"/>
      <c r="Q439" s="24">
        <f ca="1">IFERROR(__xludf.DUMMYFUNCTION("""COMPUTED_VALUE"""),0.879512762929618)</f>
        <v>0.879512762929618</v>
      </c>
      <c r="R439" s="23">
        <f ca="1">IFERROR(__xludf.DUMMYFUNCTION("""COMPUTED_VALUE"""),-0.104809101225723)</f>
        <v>-0.104809101225723</v>
      </c>
      <c r="S439" s="23">
        <f ca="1">IFERROR(__xludf.DUMMYFUNCTION("""COMPUTED_VALUE"""),0.164317101234898)</f>
        <v>0.16431710123489801</v>
      </c>
      <c r="T439" s="23">
        <f ca="1">IFERROR(__xludf.DUMMYFUNCTION("""COMPUTED_VALUE"""),-0.670997890340102)</f>
        <v>-0.67099789034010204</v>
      </c>
      <c r="U439" s="23">
        <f ca="1">IFERROR(__xludf.DUMMYFUNCTION("""COMPUTED_VALUE"""),-0.0247347584579911)</f>
        <v>-2.4734758457991099E-2</v>
      </c>
      <c r="V439" s="23">
        <f ca="1">IFERROR(__xludf.DUMMYFUNCTION("""COMPUTED_VALUE"""),0.411725728751399)</f>
        <v>0.41172572875139901</v>
      </c>
      <c r="W439" s="23">
        <f ca="1">IFERROR(__xludf.DUMMYFUNCTION("""COMPUTED_VALUE"""),-0.32610016842909)</f>
        <v>-0.32610016842909001</v>
      </c>
      <c r="X439" s="23"/>
      <c r="Y439" s="23">
        <f ca="1">IFERROR(__xludf.DUMMYFUNCTION("""COMPUTED_VALUE"""),2.10089497560777)</f>
        <v>2.1008949756077699</v>
      </c>
      <c r="Z439" s="23">
        <f ca="1">IFERROR(__xludf.DUMMYFUNCTION("""COMPUTED_VALUE"""),-0.66975253894437)</f>
        <v>-0.66975253894437003</v>
      </c>
      <c r="AA439" s="23">
        <f ca="1">IFERROR(__xludf.DUMMYFUNCTION("""COMPUTED_VALUE"""),0.339825369298917)</f>
        <v>0.33982536929891699</v>
      </c>
      <c r="AB439" s="23">
        <f ca="1">IFERROR(__xludf.DUMMYFUNCTION("""COMPUTED_VALUE"""),0.347238876953321)</f>
        <v>0.34723887695332101</v>
      </c>
      <c r="AC439" s="22">
        <f ca="1">IFERROR(__xludf.DUMMYFUNCTION("""COMPUTED_VALUE"""),-0.714478212417223)</f>
        <v>-0.71447821241722298</v>
      </c>
      <c r="AD439" s="23">
        <f ca="1">IFERROR(__xludf.DUMMYFUNCTION("""COMPUTED_VALUE"""),-0.821427901439848)</f>
        <v>-0.82142790143984801</v>
      </c>
      <c r="AE439" s="23"/>
      <c r="AF439" s="22"/>
      <c r="AG439" s="22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</row>
    <row r="440" spans="1:45" ht="27.75" customHeight="1" x14ac:dyDescent="0.35">
      <c r="A440" s="15" t="s">
        <v>207</v>
      </c>
      <c r="B440" s="15" t="s">
        <v>240</v>
      </c>
      <c r="C440" s="15" t="str">
        <f ca="1">IFERROR(__xludf.DUMMYFUNCTION("""COMPUTED_VALUE"""),"2023/03/11 (土)
休日午前")</f>
        <v>2023/03/11 (土)
休日午前</v>
      </c>
      <c r="D440" s="15" t="str">
        <f ca="1">IFERROR(__xludf.DUMMYFUNCTION("""COMPUTED_VALUE"""),"休日午前")</f>
        <v>休日午前</v>
      </c>
      <c r="E440" s="16">
        <f ca="1">IFERROR(__xludf.DUMMYFUNCTION("""COMPUTED_VALUE"""),2.11397290898274)</f>
        <v>2.1139729089827402</v>
      </c>
      <c r="F440" s="15" t="s">
        <v>8</v>
      </c>
      <c r="G440" s="32">
        <v>0</v>
      </c>
      <c r="H440" s="27" t="s">
        <v>6</v>
      </c>
      <c r="I440" s="27"/>
      <c r="J440" s="27" t="s">
        <v>245</v>
      </c>
      <c r="K440" s="23" t="b">
        <f ca="1">IFERROR(__xludf.DUMMYFUNCTION("""COMPUTED_VALUE"""),FALSE)</f>
        <v>0</v>
      </c>
      <c r="L440" s="22">
        <f ca="1">IFERROR(__xludf.DUMMYFUNCTION("""COMPUTED_VALUE"""),0.205009366311745)</f>
        <v>0.20500936631174499</v>
      </c>
      <c r="M440" s="23">
        <f ca="1">IFERROR(__xludf.DUMMYFUNCTION("""COMPUTED_VALUE"""),0.959196255104169)</f>
        <v>0.95919625510416895</v>
      </c>
      <c r="N440" s="23">
        <f ca="1">IFERROR(__xludf.DUMMYFUNCTION("""COMPUTED_VALUE"""),-0.534534430025411)</f>
        <v>-0.53453443002541101</v>
      </c>
      <c r="O440" s="23">
        <f ca="1">IFERROR(__xludf.DUMMYFUNCTION("""COMPUTED_VALUE"""),-0.894317480670041)</f>
        <v>-0.89431748067004102</v>
      </c>
      <c r="P440" s="23"/>
      <c r="Q440" s="24">
        <f ca="1">IFERROR(__xludf.DUMMYFUNCTION("""COMPUTED_VALUE"""),-0.0352646976665083)</f>
        <v>-3.5264697666508298E-2</v>
      </c>
      <c r="R440" s="23">
        <f ca="1">IFERROR(__xludf.DUMMYFUNCTION("""COMPUTED_VALUE"""),0.44172995929735)</f>
        <v>0.44172995929734998</v>
      </c>
      <c r="S440" s="23">
        <f ca="1">IFERROR(__xludf.DUMMYFUNCTION("""COMPUTED_VALUE"""),0.928222044381766)</f>
        <v>0.92822204438176603</v>
      </c>
      <c r="T440" s="23">
        <f ca="1">IFERROR(__xludf.DUMMYFUNCTION("""COMPUTED_VALUE"""),-0.366049760903812)</f>
        <v>-0.36604976090381203</v>
      </c>
      <c r="U440" s="23">
        <f ca="1">IFERROR(__xludf.DUMMYFUNCTION("""COMPUTED_VALUE"""),-0.34703616942577)</f>
        <v>-0.34703616942576998</v>
      </c>
      <c r="V440" s="23">
        <f ca="1">IFERROR(__xludf.DUMMYFUNCTION("""COMPUTED_VALUE"""),0.622564790743857)</f>
        <v>0.62256479074385696</v>
      </c>
      <c r="W440" s="23">
        <f ca="1">IFERROR(__xludf.DUMMYFUNCTION("""COMPUTED_VALUE"""),-0.502203429394128)</f>
        <v>-0.50220342939412799</v>
      </c>
      <c r="X440" s="23"/>
      <c r="Y440" s="23">
        <f ca="1">IFERROR(__xludf.DUMMYFUNCTION("""COMPUTED_VALUE"""),-0.840404042983474)</f>
        <v>-0.84040404298347404</v>
      </c>
      <c r="Z440" s="23">
        <f ca="1">IFERROR(__xludf.DUMMYFUNCTION("""COMPUTED_VALUE"""),-0.893697971913173)</f>
        <v>-0.89369797191317302</v>
      </c>
      <c r="AA440" s="23">
        <f ca="1">IFERROR(__xludf.DUMMYFUNCTION("""COMPUTED_VALUE"""),0.807116392222358)</f>
        <v>0.80711639222235798</v>
      </c>
      <c r="AB440" s="23">
        <f ca="1">IFERROR(__xludf.DUMMYFUNCTION("""COMPUTED_VALUE"""),0.178825763061627)</f>
        <v>0.17882576306162701</v>
      </c>
      <c r="AC440" s="22">
        <f ca="1">IFERROR(__xludf.DUMMYFUNCTION("""COMPUTED_VALUE"""),0.929929782587235)</f>
        <v>0.92992978258723502</v>
      </c>
      <c r="AD440" s="23">
        <f ca="1">IFERROR(__xludf.DUMMYFUNCTION("""COMPUTED_VALUE"""),-0.655779394729216)</f>
        <v>-0.65577939472921598</v>
      </c>
      <c r="AE440" s="23"/>
      <c r="AF440" s="22"/>
      <c r="AG440" s="22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</row>
    <row r="441" spans="1:45" ht="27.75" customHeight="1" x14ac:dyDescent="0.4">
      <c r="A441" s="15" t="s">
        <v>207</v>
      </c>
      <c r="B441" s="15" t="s">
        <v>240</v>
      </c>
      <c r="C441" s="15" t="str">
        <f ca="1">IFERROR(__xludf.DUMMYFUNCTION("""COMPUTED_VALUE"""),"2023/03/11 (土)
休日午後")</f>
        <v>2023/03/11 (土)
休日午後</v>
      </c>
      <c r="D441" s="15" t="str">
        <f ca="1">IFERROR(__xludf.DUMMYFUNCTION("""COMPUTED_VALUE"""),"休日午後")</f>
        <v>休日午後</v>
      </c>
      <c r="E441" s="16">
        <f ca="1">IFERROR(__xludf.DUMMYFUNCTION("""COMPUTED_VALUE"""),2.87953414127965)</f>
        <v>2.8795341412796498</v>
      </c>
      <c r="F441" s="15" t="s">
        <v>8</v>
      </c>
      <c r="G441" s="32">
        <v>0</v>
      </c>
      <c r="H441" s="46" t="s">
        <v>8</v>
      </c>
      <c r="I441" s="27"/>
      <c r="J441" s="27" t="s">
        <v>245</v>
      </c>
      <c r="K441" s="23" t="b">
        <f ca="1">IFERROR(__xludf.DUMMYFUNCTION("""COMPUTED_VALUE"""),TRUE)</f>
        <v>1</v>
      </c>
      <c r="L441" s="22">
        <f ca="1">IFERROR(__xludf.DUMMYFUNCTION("""COMPUTED_VALUE"""),0.900691062136273)</f>
        <v>0.90069106213627304</v>
      </c>
      <c r="M441" s="23">
        <f ca="1">IFERROR(__xludf.DUMMYFUNCTION("""COMPUTED_VALUE"""),0.0570494794201361)</f>
        <v>5.70494794201361E-2</v>
      </c>
      <c r="N441" s="23">
        <f ca="1">IFERROR(__xludf.DUMMYFUNCTION("""COMPUTED_VALUE"""),-0.391182173981117)</f>
        <v>-0.39118217398111699</v>
      </c>
      <c r="O441" s="23">
        <f ca="1">IFERROR(__xludf.DUMMYFUNCTION("""COMPUTED_VALUE"""),-0.393196974508061)</f>
        <v>-0.39319697450806101</v>
      </c>
      <c r="P441" s="23"/>
      <c r="Q441" s="24">
        <f ca="1">IFERROR(__xludf.DUMMYFUNCTION("""COMPUTED_VALUE"""),-0.135056878113166)</f>
        <v>-0.135056878113166</v>
      </c>
      <c r="R441" s="23">
        <f ca="1">IFERROR(__xludf.DUMMYFUNCTION("""COMPUTED_VALUE"""),-0.636651303047667)</f>
        <v>-0.63665130304766704</v>
      </c>
      <c r="S441" s="23">
        <f ca="1">IFERROR(__xludf.DUMMYFUNCTION("""COMPUTED_VALUE"""),0.910117290656297)</f>
        <v>0.91011729065629698</v>
      </c>
      <c r="T441" s="23">
        <f ca="1">IFERROR(__xludf.DUMMYFUNCTION("""COMPUTED_VALUE"""),-0.227771854138736)</f>
        <v>-0.22777185413873599</v>
      </c>
      <c r="U441" s="23">
        <f ca="1">IFERROR(__xludf.DUMMYFUNCTION("""COMPUTED_VALUE"""),-0.128886639367473)</f>
        <v>-0.12888663936747299</v>
      </c>
      <c r="V441" s="23">
        <f ca="1">IFERROR(__xludf.DUMMYFUNCTION("""COMPUTED_VALUE"""),0.327585059149632)</f>
        <v>0.32758505914963199</v>
      </c>
      <c r="W441" s="23">
        <f ca="1">IFERROR(__xludf.DUMMYFUNCTION("""COMPUTED_VALUE"""),-0.0829509230516691)</f>
        <v>-8.2950923051669095E-2</v>
      </c>
      <c r="X441" s="23"/>
      <c r="Y441" s="23">
        <f ca="1">IFERROR(__xludf.DUMMYFUNCTION("""COMPUTED_VALUE"""),-0.171455515045847)</f>
        <v>-0.171455515045847</v>
      </c>
      <c r="Z441" s="23">
        <f ca="1">IFERROR(__xludf.DUMMYFUNCTION("""COMPUTED_VALUE"""),-0.867805906377072)</f>
        <v>-0.867805906377072</v>
      </c>
      <c r="AA441" s="23">
        <f ca="1">IFERROR(__xludf.DUMMYFUNCTION("""COMPUTED_VALUE"""),0.366452428363985)</f>
        <v>0.36645242836398501</v>
      </c>
      <c r="AB441" s="23">
        <f ca="1">IFERROR(__xludf.DUMMYFUNCTION("""COMPUTED_VALUE"""),0.499449377401016)</f>
        <v>0.49944937740101603</v>
      </c>
      <c r="AC441" s="22">
        <f ca="1">IFERROR(__xludf.DUMMYFUNCTION("""COMPUTED_VALUE"""),0.934062156838914)</f>
        <v>0.93406215683891403</v>
      </c>
      <c r="AD441" s="23">
        <f ca="1">IFERROR(__xludf.DUMMYFUNCTION("""COMPUTED_VALUE"""),-0.536577223314601)</f>
        <v>-0.536577223314601</v>
      </c>
      <c r="AE441" s="23"/>
      <c r="AF441" s="22"/>
      <c r="AG441" s="22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</row>
    <row r="442" spans="1:45" ht="27.75" customHeight="1" x14ac:dyDescent="0.35">
      <c r="A442" s="15" t="s">
        <v>207</v>
      </c>
      <c r="B442" s="15" t="s">
        <v>240</v>
      </c>
      <c r="C442" s="15" t="str">
        <f ca="1">IFERROR(__xludf.DUMMYFUNCTION("""COMPUTED_VALUE"""),"2023/03/12 (日)
休日午前")</f>
        <v>2023/03/12 (日)
休日午前</v>
      </c>
      <c r="D442" s="15" t="str">
        <f ca="1">IFERROR(__xludf.DUMMYFUNCTION("""COMPUTED_VALUE"""),"休日午前")</f>
        <v>休日午前</v>
      </c>
      <c r="E442" s="16">
        <f ca="1">IFERROR(__xludf.DUMMYFUNCTION("""COMPUTED_VALUE"""),1.11316205845248)</f>
        <v>1.11316205845248</v>
      </c>
      <c r="F442" s="15" t="s">
        <v>10</v>
      </c>
      <c r="G442" s="32">
        <v>0</v>
      </c>
      <c r="H442" s="27" t="s">
        <v>9</v>
      </c>
      <c r="I442" s="27"/>
      <c r="J442" s="27" t="s">
        <v>246</v>
      </c>
      <c r="K442" s="23" t="b">
        <f ca="1">IFERROR(__xludf.DUMMYFUNCTION("""COMPUTED_VALUE"""),FALSE)</f>
        <v>0</v>
      </c>
      <c r="L442" s="22">
        <f ca="1">IFERROR(__xludf.DUMMYFUNCTION("""COMPUTED_VALUE"""),0.571818858636332)</f>
        <v>0.57181885863633197</v>
      </c>
      <c r="M442" s="23">
        <f ca="1">IFERROR(__xludf.DUMMYFUNCTION("""COMPUTED_VALUE"""),0.757688430546368)</f>
        <v>0.75768843054636803</v>
      </c>
      <c r="N442" s="23">
        <f ca="1">IFERROR(__xludf.DUMMYFUNCTION("""COMPUTED_VALUE"""),-0.0128902865958928)</f>
        <v>-1.2890286595892799E-2</v>
      </c>
      <c r="O442" s="23">
        <f ca="1">IFERROR(__xludf.DUMMYFUNCTION("""COMPUTED_VALUE"""),-0.758214623789922)</f>
        <v>-0.75821462378992199</v>
      </c>
      <c r="P442" s="23"/>
      <c r="Q442" s="24">
        <f ca="1">IFERROR(__xludf.DUMMYFUNCTION("""COMPUTED_VALUE"""),0.146855360850686)</f>
        <v>0.14685536085068601</v>
      </c>
      <c r="R442" s="23">
        <f ca="1">IFERROR(__xludf.DUMMYFUNCTION("""COMPUTED_VALUE"""),-0.493121185420903)</f>
        <v>-0.493121185420903</v>
      </c>
      <c r="S442" s="23">
        <f ca="1">IFERROR(__xludf.DUMMYFUNCTION("""COMPUTED_VALUE"""),-0.561482006555284)</f>
        <v>-0.56148200655528402</v>
      </c>
      <c r="T442" s="23">
        <f ca="1">IFERROR(__xludf.DUMMYFUNCTION("""COMPUTED_VALUE"""),-0.256590265005769)</f>
        <v>-0.25659026500576898</v>
      </c>
      <c r="U442" s="23">
        <f ca="1">IFERROR(__xludf.DUMMYFUNCTION("""COMPUTED_VALUE"""),-0.787677489943103)</f>
        <v>-0.78767748994310305</v>
      </c>
      <c r="V442" s="23">
        <f ca="1">IFERROR(__xludf.DUMMYFUNCTION("""COMPUTED_VALUE"""),0.660229611080142)</f>
        <v>0.660229611080142</v>
      </c>
      <c r="W442" s="23">
        <f ca="1">IFERROR(__xludf.DUMMYFUNCTION("""COMPUTED_VALUE"""),0.242991646564145)</f>
        <v>0.24299164656414499</v>
      </c>
      <c r="X442" s="23"/>
      <c r="Y442" s="23">
        <f ca="1">IFERROR(__xludf.DUMMYFUNCTION("""COMPUTED_VALUE"""),-0.570232323012494)</f>
        <v>-0.57023232301249405</v>
      </c>
      <c r="Z442" s="23">
        <f ca="1">IFERROR(__xludf.DUMMYFUNCTION("""COMPUTED_VALUE"""),1.11316205845248)</f>
        <v>1.11316205845248</v>
      </c>
      <c r="AA442" s="23">
        <f ca="1">IFERROR(__xludf.DUMMYFUNCTION("""COMPUTED_VALUE"""),0.908233104188658)</f>
        <v>0.90823310418865799</v>
      </c>
      <c r="AB442" s="23">
        <f ca="1">IFERROR(__xludf.DUMMYFUNCTION("""COMPUTED_VALUE"""),0.866394109937149)</f>
        <v>0.86639410993714905</v>
      </c>
      <c r="AC442" s="22">
        <f ca="1">IFERROR(__xludf.DUMMYFUNCTION("""COMPUTED_VALUE"""),0.0305920870845353)</f>
        <v>3.0592087084535299E-2</v>
      </c>
      <c r="AD442" s="23">
        <f ca="1">IFERROR(__xludf.DUMMYFUNCTION("""COMPUTED_VALUE"""),-0.765076509386161)</f>
        <v>-0.76507650938616101</v>
      </c>
      <c r="AE442" s="23"/>
      <c r="AF442" s="22"/>
      <c r="AG442" s="22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</row>
    <row r="443" spans="1:45" ht="27.75" customHeight="1" x14ac:dyDescent="0.4">
      <c r="A443" s="15" t="s">
        <v>207</v>
      </c>
      <c r="B443" s="15" t="s">
        <v>240</v>
      </c>
      <c r="C443" s="15" t="str">
        <f ca="1">IFERROR(__xludf.DUMMYFUNCTION("""COMPUTED_VALUE"""),"2023/03/12 (日)
休日午後")</f>
        <v>2023/03/12 (日)
休日午後</v>
      </c>
      <c r="D443" s="15" t="str">
        <f ca="1">IFERROR(__xludf.DUMMYFUNCTION("""COMPUTED_VALUE"""),"休日午後")</f>
        <v>休日午後</v>
      </c>
      <c r="E443" s="16">
        <f ca="1">IFERROR(__xludf.DUMMYFUNCTION("""COMPUTED_VALUE"""),2.93379596486007)</f>
        <v>2.93379596486007</v>
      </c>
      <c r="F443" s="15" t="s">
        <v>1</v>
      </c>
      <c r="G443" s="32">
        <v>2</v>
      </c>
      <c r="H443" s="46" t="s">
        <v>1</v>
      </c>
      <c r="I443" s="27"/>
      <c r="J443" s="27" t="s">
        <v>246</v>
      </c>
      <c r="K443" s="23" t="b">
        <f ca="1">IFERROR(__xludf.DUMMYFUNCTION("""COMPUTED_VALUE"""),TRUE)</f>
        <v>1</v>
      </c>
      <c r="L443" s="22">
        <f ca="1">IFERROR(__xludf.DUMMYFUNCTION("""COMPUTED_VALUE"""),0.968617261864889)</f>
        <v>0.96861726186488895</v>
      </c>
      <c r="M443" s="23">
        <f ca="1">IFERROR(__xludf.DUMMYFUNCTION("""COMPUTED_VALUE"""),-0.639432719378748)</f>
        <v>-0.63943271937874802</v>
      </c>
      <c r="N443" s="23">
        <f ca="1">IFERROR(__xludf.DUMMYFUNCTION("""COMPUTED_VALUE"""),-0.962678783128708)</f>
        <v>-0.96267878312870803</v>
      </c>
      <c r="O443" s="23">
        <f ca="1">IFERROR(__xludf.DUMMYFUNCTION("""COMPUTED_VALUE"""),-0.224591210390432)</f>
        <v>-0.22459121039043201</v>
      </c>
      <c r="P443" s="23"/>
      <c r="Q443" s="24">
        <f ca="1">IFERROR(__xludf.DUMMYFUNCTION("""COMPUTED_VALUE"""),0.618591356398192)</f>
        <v>0.61859135639819196</v>
      </c>
      <c r="R443" s="23">
        <f ca="1">IFERROR(__xludf.DUMMYFUNCTION("""COMPUTED_VALUE"""),-0.876261143283819)</f>
        <v>-0.87626114328381899</v>
      </c>
      <c r="S443" s="23">
        <f ca="1">IFERROR(__xludf.DUMMYFUNCTION("""COMPUTED_VALUE"""),-0.847309862035369)</f>
        <v>-0.84730986203536895</v>
      </c>
      <c r="T443" s="23">
        <f ca="1">IFERROR(__xludf.DUMMYFUNCTION("""COMPUTED_VALUE"""),-0.462242967312847)</f>
        <v>-0.46224296731284698</v>
      </c>
      <c r="U443" s="23">
        <f ca="1">IFERROR(__xludf.DUMMYFUNCTION("""COMPUTED_VALUE"""),-0.0813521135287713)</f>
        <v>-8.1352113528771294E-2</v>
      </c>
      <c r="V443" s="23">
        <f ca="1">IFERROR(__xludf.DUMMYFUNCTION("""COMPUTED_VALUE"""),0.781788730519797)</f>
        <v>0.78178873051979703</v>
      </c>
      <c r="W443" s="23">
        <f ca="1">IFERROR(__xludf.DUMMYFUNCTION("""COMPUTED_VALUE"""),0.80819333813748)</f>
        <v>0.80819333813747996</v>
      </c>
      <c r="X443" s="23"/>
      <c r="Y443" s="23">
        <f ca="1">IFERROR(__xludf.DUMMYFUNCTION("""COMPUTED_VALUE"""),-0.314932813171354)</f>
        <v>-0.31493281317135402</v>
      </c>
      <c r="Z443" s="23">
        <f ca="1">IFERROR(__xludf.DUMMYFUNCTION("""COMPUTED_VALUE"""),-0.751792787272592)</f>
        <v>-0.75179278727259202</v>
      </c>
      <c r="AA443" s="23">
        <f ca="1">IFERROR(__xludf.DUMMYFUNCTION("""COMPUTED_VALUE"""),-0.512794400579889)</f>
        <v>-0.51279440057988901</v>
      </c>
      <c r="AB443" s="23">
        <f ca="1">IFERROR(__xludf.DUMMYFUNCTION("""COMPUTED_VALUE"""),2.93379596486007)</f>
        <v>2.93379596486007</v>
      </c>
      <c r="AC443" s="22">
        <f ca="1">IFERROR(__xludf.DUMMYFUNCTION("""COMPUTED_VALUE"""),0.27249165486165)</f>
        <v>0.27249165486165</v>
      </c>
      <c r="AD443" s="23">
        <f ca="1">IFERROR(__xludf.DUMMYFUNCTION("""COMPUTED_VALUE"""),-0.194115934516301)</f>
        <v>-0.19411593451630099</v>
      </c>
      <c r="AE443" s="23"/>
      <c r="AF443" s="22"/>
      <c r="AG443" s="22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</row>
    <row r="444" spans="1:45" ht="27.75" customHeight="1" x14ac:dyDescent="0.4">
      <c r="A444" s="15" t="s">
        <v>207</v>
      </c>
      <c r="B444" s="15" t="s">
        <v>240</v>
      </c>
      <c r="C444" s="15" t="str">
        <f ca="1">IFERROR(__xludf.DUMMYFUNCTION("""COMPUTED_VALUE"""),"2023/03/13 (月)
平日夜間")</f>
        <v>2023/03/13 (月)
平日夜間</v>
      </c>
      <c r="D444" s="15" t="str">
        <f ca="1">IFERROR(__xludf.DUMMYFUNCTION("""COMPUTED_VALUE"""),"平日夜間")</f>
        <v>平日夜間</v>
      </c>
      <c r="E444" s="16">
        <f ca="1">IFERROR(__xludf.DUMMYFUNCTION("""COMPUTED_VALUE"""),0.969056231622192)</f>
        <v>0.96905623162219201</v>
      </c>
      <c r="F444" s="15" t="s">
        <v>10</v>
      </c>
      <c r="G444" s="32">
        <v>0</v>
      </c>
      <c r="H444" s="46" t="s">
        <v>13</v>
      </c>
      <c r="I444" s="27"/>
      <c r="J444" s="27" t="s">
        <v>247</v>
      </c>
      <c r="K444" s="23" t="b">
        <f ca="1">IFERROR(__xludf.DUMMYFUNCTION("""COMPUTED_VALUE"""),TRUE)</f>
        <v>1</v>
      </c>
      <c r="L444" s="22">
        <f ca="1">IFERROR(__xludf.DUMMYFUNCTION("""COMPUTED_VALUE"""),0.199361007014131)</f>
        <v>0.19936100701413101</v>
      </c>
      <c r="M444" s="23">
        <f ca="1">IFERROR(__xludf.DUMMYFUNCTION("""COMPUTED_VALUE"""),-0.37870728843568)</f>
        <v>-0.37870728843568002</v>
      </c>
      <c r="N444" s="23">
        <f ca="1">IFERROR(__xludf.DUMMYFUNCTION("""COMPUTED_VALUE"""),0.215364665776205)</f>
        <v>0.215364665776205</v>
      </c>
      <c r="O444" s="23">
        <f ca="1">IFERROR(__xludf.DUMMYFUNCTION("""COMPUTED_VALUE"""),0.0251294360678695)</f>
        <v>2.51294360678695E-2</v>
      </c>
      <c r="P444" s="23"/>
      <c r="Q444" s="24">
        <f ca="1">IFERROR(__xludf.DUMMYFUNCTION("""COMPUTED_VALUE"""),0.255958912083833)</f>
        <v>0.25595891208383298</v>
      </c>
      <c r="R444" s="23">
        <f ca="1">IFERROR(__xludf.DUMMYFUNCTION("""COMPUTED_VALUE"""),-0.206182559325901)</f>
        <v>-0.20618255932590099</v>
      </c>
      <c r="S444" s="23">
        <f ca="1">IFERROR(__xludf.DUMMYFUNCTION("""COMPUTED_VALUE"""),0.55875192227258)</f>
        <v>0.55875192227257997</v>
      </c>
      <c r="T444" s="23">
        <f ca="1">IFERROR(__xludf.DUMMYFUNCTION("""COMPUTED_VALUE"""),0.031851798232338)</f>
        <v>3.1851798232337997E-2</v>
      </c>
      <c r="U444" s="23">
        <f ca="1">IFERROR(__xludf.DUMMYFUNCTION("""COMPUTED_VALUE"""),0.0786108716456477)</f>
        <v>7.8610871645647701E-2</v>
      </c>
      <c r="V444" s="23">
        <f ca="1">IFERROR(__xludf.DUMMYFUNCTION("""COMPUTED_VALUE"""),0.146364720712146)</f>
        <v>0.14636472071214601</v>
      </c>
      <c r="W444" s="23">
        <f ca="1">IFERROR(__xludf.DUMMYFUNCTION("""COMPUTED_VALUE"""),0.341831523610923)</f>
        <v>0.341831523610923</v>
      </c>
      <c r="X444" s="23"/>
      <c r="Y444" s="23">
        <f ca="1">IFERROR(__xludf.DUMMYFUNCTION("""COMPUTED_VALUE"""),0.595210236137085)</f>
        <v>0.59521023613708501</v>
      </c>
      <c r="Z444" s="23">
        <f ca="1">IFERROR(__xludf.DUMMYFUNCTION("""COMPUTED_VALUE"""),0.969056231622192)</f>
        <v>0.96905623162219201</v>
      </c>
      <c r="AA444" s="23">
        <f ca="1">IFERROR(__xludf.DUMMYFUNCTION("""COMPUTED_VALUE"""),0.561357987835587)</f>
        <v>0.56135798783558699</v>
      </c>
      <c r="AB444" s="23">
        <f ca="1">IFERROR(__xludf.DUMMYFUNCTION("""COMPUTED_VALUE"""),-0.0822032875332652)</f>
        <v>-8.2203287533265196E-2</v>
      </c>
      <c r="AC444" s="22">
        <f ca="1">IFERROR(__xludf.DUMMYFUNCTION("""COMPUTED_VALUE"""),0.309250122514216)</f>
        <v>0.30925012251421602</v>
      </c>
      <c r="AD444" s="23">
        <f ca="1">IFERROR(__xludf.DUMMYFUNCTION("""COMPUTED_VALUE"""),0.33401735496552)</f>
        <v>0.33401735496551999</v>
      </c>
      <c r="AE444" s="23"/>
      <c r="AF444" s="22"/>
      <c r="AG444" s="22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</row>
    <row r="445" spans="1:45" ht="27.75" customHeight="1" x14ac:dyDescent="0.35">
      <c r="A445" s="15" t="s">
        <v>207</v>
      </c>
      <c r="B445" s="15" t="s">
        <v>240</v>
      </c>
      <c r="C445" s="15" t="str">
        <f ca="1">IFERROR(__xludf.DUMMYFUNCTION("""COMPUTED_VALUE"""),"2023/03/14 (火)
平日夜間")</f>
        <v>2023/03/14 (火)
平日夜間</v>
      </c>
      <c r="D445" s="15" t="str">
        <f ca="1">IFERROR(__xludf.DUMMYFUNCTION("""COMPUTED_VALUE"""),"平日夜間")</f>
        <v>平日夜間</v>
      </c>
      <c r="E445" s="16">
        <f ca="1">IFERROR(__xludf.DUMMYFUNCTION("""COMPUTED_VALUE"""),0.941176583635733)</f>
        <v>0.94117658363573298</v>
      </c>
      <c r="F445" s="15" t="s">
        <v>3</v>
      </c>
      <c r="G445" s="32">
        <v>0</v>
      </c>
      <c r="H445" s="27" t="s">
        <v>3</v>
      </c>
      <c r="I445" s="27"/>
      <c r="J445" s="27"/>
      <c r="K445" s="23" t="b">
        <f ca="1">IFERROR(__xludf.DUMMYFUNCTION("""COMPUTED_VALUE"""),FALSE)</f>
        <v>0</v>
      </c>
      <c r="L445" s="22">
        <f ca="1">IFERROR(__xludf.DUMMYFUNCTION("""COMPUTED_VALUE"""),-0.845187438943482)</f>
        <v>-0.84518743894348203</v>
      </c>
      <c r="M445" s="23">
        <f ca="1">IFERROR(__xludf.DUMMYFUNCTION("""COMPUTED_VALUE"""),-0.481614556178782)</f>
        <v>-0.48161455617878202</v>
      </c>
      <c r="N445" s="23">
        <f ca="1">IFERROR(__xludf.DUMMYFUNCTION("""COMPUTED_VALUE"""),0.889042779239891)</f>
        <v>0.88904277923989095</v>
      </c>
      <c r="O445" s="23">
        <f ca="1">IFERROR(__xludf.DUMMYFUNCTION("""COMPUTED_VALUE"""),-0.131183610055007)</f>
        <v>-0.13118361005500701</v>
      </c>
      <c r="P445" s="23"/>
      <c r="Q445" s="24">
        <f ca="1">IFERROR(__xludf.DUMMYFUNCTION("""COMPUTED_VALUE"""),-0.43258627569426)</f>
        <v>-0.43258627569426</v>
      </c>
      <c r="R445" s="23">
        <f ca="1">IFERROR(__xludf.DUMMYFUNCTION("""COMPUTED_VALUE"""),0.803594481729216)</f>
        <v>0.80359448172921599</v>
      </c>
      <c r="S445" s="23">
        <f ca="1">IFERROR(__xludf.DUMMYFUNCTION("""COMPUTED_VALUE"""),0.121888063534305)</f>
        <v>0.12188806353430499</v>
      </c>
      <c r="T445" s="23">
        <f ca="1">IFERROR(__xludf.DUMMYFUNCTION("""COMPUTED_VALUE"""),-0.167071303018801)</f>
        <v>-0.16707130301880099</v>
      </c>
      <c r="U445" s="23">
        <f ca="1">IFERROR(__xludf.DUMMYFUNCTION("""COMPUTED_VALUE"""),0.556741171381396)</f>
        <v>0.55674117138139601</v>
      </c>
      <c r="V445" s="23">
        <f ca="1">IFERROR(__xludf.DUMMYFUNCTION("""COMPUTED_VALUE"""),0.377479500125327)</f>
        <v>0.37747950012532699</v>
      </c>
      <c r="W445" s="23">
        <f ca="1">IFERROR(__xludf.DUMMYFUNCTION("""COMPUTED_VALUE"""),-0.769998951104621)</f>
        <v>-0.76999895110462102</v>
      </c>
      <c r="X445" s="23"/>
      <c r="Y445" s="23">
        <f ca="1">IFERROR(__xludf.DUMMYFUNCTION("""COMPUTED_VALUE"""),0.836867675657777)</f>
        <v>0.83686767565777698</v>
      </c>
      <c r="Z445" s="23">
        <f ca="1">IFERROR(__xludf.DUMMYFUNCTION("""COMPUTED_VALUE"""),-0.480750767769757)</f>
        <v>-0.480750767769757</v>
      </c>
      <c r="AA445" s="23">
        <f ca="1">IFERROR(__xludf.DUMMYFUNCTION("""COMPUTED_VALUE"""),-0.187952132461657)</f>
        <v>-0.18795213246165701</v>
      </c>
      <c r="AB445" s="23">
        <f ca="1">IFERROR(__xludf.DUMMYFUNCTION("""COMPUTED_VALUE"""),0.0390670373921575)</f>
        <v>3.90670373921575E-2</v>
      </c>
      <c r="AC445" s="22">
        <f ca="1">IFERROR(__xludf.DUMMYFUNCTION("""COMPUTED_VALUE"""),0.275829827627225)</f>
        <v>0.27582982762722502</v>
      </c>
      <c r="AD445" s="23">
        <f ca="1">IFERROR(__xludf.DUMMYFUNCTION("""COMPUTED_VALUE"""),0.941176583635733)</f>
        <v>0.94117658363573298</v>
      </c>
      <c r="AE445" s="23"/>
      <c r="AF445" s="22"/>
      <c r="AG445" s="22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</row>
    <row r="446" spans="1:45" ht="27.75" customHeight="1" x14ac:dyDescent="0.4">
      <c r="A446" s="15" t="s">
        <v>207</v>
      </c>
      <c r="B446" s="15" t="s">
        <v>240</v>
      </c>
      <c r="C446" s="15" t="str">
        <f ca="1">IFERROR(__xludf.DUMMYFUNCTION("""COMPUTED_VALUE"""),"2023/03/15 (水)
平日夜間")</f>
        <v>2023/03/15 (水)
平日夜間</v>
      </c>
      <c r="D446" s="15" t="str">
        <f ca="1">IFERROR(__xludf.DUMMYFUNCTION("""COMPUTED_VALUE"""),"平日夜間")</f>
        <v>平日夜間</v>
      </c>
      <c r="E446" s="16">
        <f ca="1">IFERROR(__xludf.DUMMYFUNCTION("""COMPUTED_VALUE"""),0.858714224127728)</f>
        <v>0.85871422412772802</v>
      </c>
      <c r="F446" s="15" t="s">
        <v>2</v>
      </c>
      <c r="G446" s="32">
        <v>0</v>
      </c>
      <c r="H446" s="46" t="s">
        <v>4</v>
      </c>
      <c r="I446" s="27"/>
      <c r="J446" s="27" t="s">
        <v>132</v>
      </c>
      <c r="K446" s="23" t="b">
        <f ca="1">IFERROR(__xludf.DUMMYFUNCTION("""COMPUTED_VALUE"""),TRUE)</f>
        <v>1</v>
      </c>
      <c r="L446" s="22">
        <f ca="1">IFERROR(__xludf.DUMMYFUNCTION("""COMPUTED_VALUE"""),-0.912086247391761)</f>
        <v>-0.91208624739176103</v>
      </c>
      <c r="M446" s="23">
        <f ca="1">IFERROR(__xludf.DUMMYFUNCTION("""COMPUTED_VALUE"""),0.0966600193775764)</f>
        <v>9.6660019377576401E-2</v>
      </c>
      <c r="N446" s="23">
        <f ca="1">IFERROR(__xludf.DUMMYFUNCTION("""COMPUTED_VALUE"""),0.229023815279792)</f>
        <v>0.22902381527979199</v>
      </c>
      <c r="O446" s="23">
        <f ca="1">IFERROR(__xludf.DUMMYFUNCTION("""COMPUTED_VALUE"""),0.184094544101043)</f>
        <v>0.18409454410104301</v>
      </c>
      <c r="P446" s="23"/>
      <c r="Q446" s="24">
        <f ca="1">IFERROR(__xludf.DUMMYFUNCTION("""COMPUTED_VALUE"""),-0.499225340335786)</f>
        <v>-0.49922534033578603</v>
      </c>
      <c r="R446" s="23">
        <f ca="1">IFERROR(__xludf.DUMMYFUNCTION("""COMPUTED_VALUE"""),0.562389795419256)</f>
        <v>0.56238979541925604</v>
      </c>
      <c r="S446" s="23">
        <f ca="1">IFERROR(__xludf.DUMMYFUNCTION("""COMPUTED_VALUE"""),0.54689005611468)</f>
        <v>0.54689005611468</v>
      </c>
      <c r="T446" s="23">
        <f ca="1">IFERROR(__xludf.DUMMYFUNCTION("""COMPUTED_VALUE"""),-0.694318941159826)</f>
        <v>-0.69431894115982595</v>
      </c>
      <c r="U446" s="23">
        <f ca="1">IFERROR(__xludf.DUMMYFUNCTION("""COMPUTED_VALUE"""),0.599210383364764)</f>
        <v>0.59921038336476395</v>
      </c>
      <c r="V446" s="23">
        <f ca="1">IFERROR(__xludf.DUMMYFUNCTION("""COMPUTED_VALUE"""),0.150155352273725)</f>
        <v>0.15015535227372501</v>
      </c>
      <c r="W446" s="23">
        <f ca="1">IFERROR(__xludf.DUMMYFUNCTION("""COMPUTED_VALUE"""),-0.984303306134106)</f>
        <v>-0.98430330613410599</v>
      </c>
      <c r="X446" s="23"/>
      <c r="Y446" s="23">
        <f ca="1">IFERROR(__xludf.DUMMYFUNCTION("""COMPUTED_VALUE"""),0.259604221249989)</f>
        <v>0.259604221249989</v>
      </c>
      <c r="Z446" s="23">
        <f ca="1">IFERROR(__xludf.DUMMYFUNCTION("""COMPUTED_VALUE"""),0.485649466824138)</f>
        <v>0.48564946682413801</v>
      </c>
      <c r="AA446" s="23">
        <f ca="1">IFERROR(__xludf.DUMMYFUNCTION("""COMPUTED_VALUE"""),0.790841286135711)</f>
        <v>0.79084128613571103</v>
      </c>
      <c r="AB446" s="23">
        <f ca="1">IFERROR(__xludf.DUMMYFUNCTION("""COMPUTED_VALUE"""),-0.565152220590485)</f>
        <v>-0.56515222059048498</v>
      </c>
      <c r="AC446" s="22">
        <f ca="1">IFERROR(__xludf.DUMMYFUNCTION("""COMPUTED_VALUE"""),0.789738507758597)</f>
        <v>0.789738507758597</v>
      </c>
      <c r="AD446" s="23">
        <f ca="1">IFERROR(__xludf.DUMMYFUNCTION("""COMPUTED_VALUE"""),0.621099737681883)</f>
        <v>0.62109973768188298</v>
      </c>
      <c r="AE446" s="23"/>
      <c r="AF446" s="22"/>
      <c r="AG446" s="22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</row>
    <row r="447" spans="1:45" ht="27.75" customHeight="1" x14ac:dyDescent="0.35">
      <c r="A447" s="15" t="s">
        <v>207</v>
      </c>
      <c r="B447" s="15" t="s">
        <v>240</v>
      </c>
      <c r="C447" s="15" t="str">
        <f ca="1">IFERROR(__xludf.DUMMYFUNCTION("""COMPUTED_VALUE"""),"2023/03/16 (木)
平日夜間")</f>
        <v>2023/03/16 (木)
平日夜間</v>
      </c>
      <c r="D447" s="15" t="str">
        <f ca="1">IFERROR(__xludf.DUMMYFUNCTION("""COMPUTED_VALUE"""),"平日夜間")</f>
        <v>平日夜間</v>
      </c>
      <c r="E447" s="16">
        <f ca="1">IFERROR(__xludf.DUMMYFUNCTION("""COMPUTED_VALUE"""),0.9395995718539)</f>
        <v>0.93959957185389997</v>
      </c>
      <c r="F447" s="15" t="s">
        <v>6</v>
      </c>
      <c r="G447" s="32">
        <v>0</v>
      </c>
      <c r="H447" s="27" t="s">
        <v>9</v>
      </c>
      <c r="I447" s="27"/>
      <c r="J447" s="27"/>
      <c r="K447" s="23" t="b">
        <f ca="1">IFERROR(__xludf.DUMMYFUNCTION("""COMPUTED_VALUE"""),FALSE)</f>
        <v>0</v>
      </c>
      <c r="L447" s="22">
        <f ca="1">IFERROR(__xludf.DUMMYFUNCTION("""COMPUTED_VALUE"""),-0.374895862699272)</f>
        <v>-0.374895862699272</v>
      </c>
      <c r="M447" s="23">
        <f ca="1">IFERROR(__xludf.DUMMYFUNCTION("""COMPUTED_VALUE"""),-0.702386997534083)</f>
        <v>-0.70238699753408296</v>
      </c>
      <c r="N447" s="23">
        <f ca="1">IFERROR(__xludf.DUMMYFUNCTION("""COMPUTED_VALUE"""),0.331293649023373)</f>
        <v>0.33129364902337299</v>
      </c>
      <c r="O447" s="23">
        <f ca="1">IFERROR(__xludf.DUMMYFUNCTION("""COMPUTED_VALUE"""),0.314266279910329)</f>
        <v>0.31426627991032902</v>
      </c>
      <c r="P447" s="23"/>
      <c r="Q447" s="24">
        <f ca="1">IFERROR(__xludf.DUMMYFUNCTION("""COMPUTED_VALUE"""),0.455058621734582)</f>
        <v>0.455058621734582</v>
      </c>
      <c r="R447" s="23">
        <f ca="1">IFERROR(__xludf.DUMMYFUNCTION("""COMPUTED_VALUE"""),-0.45206263008521)</f>
        <v>-0.45206263008521003</v>
      </c>
      <c r="S447" s="23">
        <f ca="1">IFERROR(__xludf.DUMMYFUNCTION("""COMPUTED_VALUE"""),0.0938957574897254)</f>
        <v>9.3895757489725395E-2</v>
      </c>
      <c r="T447" s="23">
        <f ca="1">IFERROR(__xludf.DUMMYFUNCTION("""COMPUTED_VALUE"""),0.217276176854124)</f>
        <v>0.21727617685412401</v>
      </c>
      <c r="U447" s="23">
        <f ca="1">IFERROR(__xludf.DUMMYFUNCTION("""COMPUTED_VALUE"""),-0.767599442686578)</f>
        <v>-0.76759944268657798</v>
      </c>
      <c r="V447" s="23">
        <f ca="1">IFERROR(__xludf.DUMMYFUNCTION("""COMPUTED_VALUE"""),0.651725515733598)</f>
        <v>0.65172551573359805</v>
      </c>
      <c r="W447" s="23">
        <f ca="1">IFERROR(__xludf.DUMMYFUNCTION("""COMPUTED_VALUE"""),-0.155794989797604)</f>
        <v>-0.15579498979760401</v>
      </c>
      <c r="X447" s="23"/>
      <c r="Y447" s="23">
        <f ca="1">IFERROR(__xludf.DUMMYFUNCTION("""COMPUTED_VALUE"""),-0.817569407179529)</f>
        <v>-0.81756940717952897</v>
      </c>
      <c r="Z447" s="23">
        <f ca="1">IFERROR(__xludf.DUMMYFUNCTION("""COMPUTED_VALUE"""),0.859491722996328)</f>
        <v>0.85949172299632803</v>
      </c>
      <c r="AA447" s="23">
        <f ca="1">IFERROR(__xludf.DUMMYFUNCTION("""COMPUTED_VALUE"""),0.936812629116021)</f>
        <v>0.93681262911602103</v>
      </c>
      <c r="AB447" s="23">
        <f ca="1">IFERROR(__xludf.DUMMYFUNCTION("""COMPUTED_VALUE"""),-0.405397058745249)</f>
        <v>-0.40539705874524901</v>
      </c>
      <c r="AC447" s="22">
        <f ca="1">IFERROR(__xludf.DUMMYFUNCTION("""COMPUTED_VALUE"""),0.9395995718539)</f>
        <v>0.93959957185389997</v>
      </c>
      <c r="AD447" s="23">
        <f ca="1">IFERROR(__xludf.DUMMYFUNCTION("""COMPUTED_VALUE"""),0.195711298806626)</f>
        <v>0.19571129880662599</v>
      </c>
      <c r="AE447" s="23"/>
      <c r="AF447" s="22"/>
      <c r="AG447" s="22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</row>
    <row r="448" spans="1:45" ht="27.75" customHeight="1" x14ac:dyDescent="0.4">
      <c r="A448" s="15" t="s">
        <v>207</v>
      </c>
      <c r="B448" s="15" t="s">
        <v>240</v>
      </c>
      <c r="C448" s="15" t="str">
        <f ca="1">IFERROR(__xludf.DUMMYFUNCTION("""COMPUTED_VALUE"""),"2023/03/17 (金)
平日夜間")</f>
        <v>2023/03/17 (金)
平日夜間</v>
      </c>
      <c r="D448" s="15" t="str">
        <f ca="1">IFERROR(__xludf.DUMMYFUNCTION("""COMPUTED_VALUE"""),"平日夜間")</f>
        <v>平日夜間</v>
      </c>
      <c r="E448" s="16">
        <f ca="1">IFERROR(__xludf.DUMMYFUNCTION("""COMPUTED_VALUE"""),2.740094695813)</f>
        <v>2.7400946958130001</v>
      </c>
      <c r="F448" s="15" t="s">
        <v>16</v>
      </c>
      <c r="G448" s="32">
        <v>2</v>
      </c>
      <c r="H448" s="46" t="s">
        <v>16</v>
      </c>
      <c r="I448" s="27"/>
      <c r="J448" s="27" t="s">
        <v>203</v>
      </c>
      <c r="K448" s="23" t="b">
        <f ca="1">IFERROR(__xludf.DUMMYFUNCTION("""COMPUTED_VALUE"""),TRUE)</f>
        <v>1</v>
      </c>
      <c r="L448" s="22">
        <f ca="1">IFERROR(__xludf.DUMMYFUNCTION("""COMPUTED_VALUE"""),0.698579194171729)</f>
        <v>0.69857919417172898</v>
      </c>
      <c r="M448" s="23">
        <f ca="1">IFERROR(__xludf.DUMMYFUNCTION("""COMPUTED_VALUE"""),0.0963498708527155)</f>
        <v>9.63498708527155E-2</v>
      </c>
      <c r="N448" s="23">
        <f ca="1">IFERROR(__xludf.DUMMYFUNCTION("""COMPUTED_VALUE"""),-0.742444841708839)</f>
        <v>-0.74244484170883895</v>
      </c>
      <c r="O448" s="23">
        <f ca="1">IFERROR(__xludf.DUMMYFUNCTION("""COMPUTED_VALUE"""),0.766073671777635)</f>
        <v>0.76607367177763497</v>
      </c>
      <c r="P448" s="23"/>
      <c r="Q448" s="24">
        <f ca="1">IFERROR(__xludf.DUMMYFUNCTION("""COMPUTED_VALUE"""),2.740094695813)</f>
        <v>2.7400946958130001</v>
      </c>
      <c r="R448" s="23">
        <f ca="1">IFERROR(__xludf.DUMMYFUNCTION("""COMPUTED_VALUE"""),-0.468115503163429)</f>
        <v>-0.46811550316342898</v>
      </c>
      <c r="S448" s="23">
        <f ca="1">IFERROR(__xludf.DUMMYFUNCTION("""COMPUTED_VALUE"""),0.173612892901559)</f>
        <v>0.17361289290155901</v>
      </c>
      <c r="T448" s="23">
        <f ca="1">IFERROR(__xludf.DUMMYFUNCTION("""COMPUTED_VALUE"""),0.0513034411641259)</f>
        <v>5.1303441164125899E-2</v>
      </c>
      <c r="U448" s="23">
        <f ca="1">IFERROR(__xludf.DUMMYFUNCTION("""COMPUTED_VALUE"""),-0.365305065933516)</f>
        <v>-0.36530506593351603</v>
      </c>
      <c r="V448" s="23">
        <f ca="1">IFERROR(__xludf.DUMMYFUNCTION("""COMPUTED_VALUE"""),-0.706805372768237)</f>
        <v>-0.70680537276823696</v>
      </c>
      <c r="W448" s="23">
        <f ca="1">IFERROR(__xludf.DUMMYFUNCTION("""COMPUTED_VALUE"""),-0.7420270898955)</f>
        <v>-0.74202708989550004</v>
      </c>
      <c r="X448" s="23"/>
      <c r="Y448" s="23">
        <f ca="1">IFERROR(__xludf.DUMMYFUNCTION("""COMPUTED_VALUE"""),0.396629099413779)</f>
        <v>0.396629099413779</v>
      </c>
      <c r="Z448" s="23">
        <f ca="1">IFERROR(__xludf.DUMMYFUNCTION("""COMPUTED_VALUE"""),-0.262868629359527)</f>
        <v>-0.26286862935952698</v>
      </c>
      <c r="AA448" s="23">
        <f ca="1">IFERROR(__xludf.DUMMYFUNCTION("""COMPUTED_VALUE"""),0.553605992404168)</f>
        <v>0.55360599240416797</v>
      </c>
      <c r="AB448" s="23">
        <f ca="1">IFERROR(__xludf.DUMMYFUNCTION("""COMPUTED_VALUE"""),-0.522460037308076)</f>
        <v>-0.522460037308076</v>
      </c>
      <c r="AC448" s="22">
        <f ca="1">IFERROR(__xludf.DUMMYFUNCTION("""COMPUTED_VALUE"""),0.674943993997496)</f>
        <v>0.67494399399749605</v>
      </c>
      <c r="AD448" s="23">
        <f ca="1">IFERROR(__xludf.DUMMYFUNCTION("""COMPUTED_VALUE"""),0.129995888269102)</f>
        <v>0.12999588826910199</v>
      </c>
      <c r="AE448" s="23"/>
      <c r="AF448" s="22"/>
      <c r="AG448" s="22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</row>
    <row r="449" spans="1:45" ht="27.75" customHeight="1" x14ac:dyDescent="0.35">
      <c r="A449" s="15" t="s">
        <v>207</v>
      </c>
      <c r="B449" s="15" t="s">
        <v>240</v>
      </c>
      <c r="C449" s="15" t="str">
        <f ca="1">IFERROR(__xludf.DUMMYFUNCTION("""COMPUTED_VALUE"""),"2023/03/18 (土)
休日午前")</f>
        <v>2023/03/18 (土)
休日午前</v>
      </c>
      <c r="D449" s="15" t="str">
        <f ca="1">IFERROR(__xludf.DUMMYFUNCTION("""COMPUTED_VALUE"""),"休日午前")</f>
        <v>休日午前</v>
      </c>
      <c r="E449" s="16">
        <f ca="1">IFERROR(__xludf.DUMMYFUNCTION("""COMPUTED_VALUE"""),0.99692401548081)</f>
        <v>0.99692401548081</v>
      </c>
      <c r="F449" s="15" t="s">
        <v>11</v>
      </c>
      <c r="G449" s="32">
        <v>0</v>
      </c>
      <c r="H449" s="27" t="s">
        <v>7</v>
      </c>
      <c r="I449" s="27"/>
      <c r="J449" s="27" t="s">
        <v>248</v>
      </c>
      <c r="K449" s="23" t="b">
        <f ca="1">IFERROR(__xludf.DUMMYFUNCTION("""COMPUTED_VALUE"""),FALSE)</f>
        <v>0</v>
      </c>
      <c r="L449" s="22">
        <f ca="1">IFERROR(__xludf.DUMMYFUNCTION("""COMPUTED_VALUE"""),-0.395053204125307)</f>
        <v>-0.39505320412530698</v>
      </c>
      <c r="M449" s="23">
        <f ca="1">IFERROR(__xludf.DUMMYFUNCTION("""COMPUTED_VALUE"""),0.528708198929044)</f>
        <v>0.52870819892904397</v>
      </c>
      <c r="N449" s="23">
        <f ca="1">IFERROR(__xludf.DUMMYFUNCTION("""COMPUTED_VALUE"""),-0.281012715858112)</f>
        <v>-0.28101271585811199</v>
      </c>
      <c r="O449" s="23">
        <f ca="1">IFERROR(__xludf.DUMMYFUNCTION("""COMPUTED_VALUE"""),0.523081549221843)</f>
        <v>0.52308154922184302</v>
      </c>
      <c r="P449" s="23"/>
      <c r="Q449" s="24">
        <f ca="1">IFERROR(__xludf.DUMMYFUNCTION("""COMPUTED_VALUE"""),-0.962916403793688)</f>
        <v>-0.96291640379368804</v>
      </c>
      <c r="R449" s="23">
        <f ca="1">IFERROR(__xludf.DUMMYFUNCTION("""COMPUTED_VALUE"""),-0.927517522646221)</f>
        <v>-0.927517522646221</v>
      </c>
      <c r="S449" s="23">
        <f ca="1">IFERROR(__xludf.DUMMYFUNCTION("""COMPUTED_VALUE"""),-0.829407189804077)</f>
        <v>-0.82940718980407702</v>
      </c>
      <c r="T449" s="23">
        <f ca="1">IFERROR(__xludf.DUMMYFUNCTION("""COMPUTED_VALUE"""),0.99692401548081)</f>
        <v>0.99692401548081</v>
      </c>
      <c r="U449" s="23">
        <f ca="1">IFERROR(__xludf.DUMMYFUNCTION("""COMPUTED_VALUE"""),-0.564772729560864)</f>
        <v>-0.564772729560864</v>
      </c>
      <c r="V449" s="23">
        <f ca="1">IFERROR(__xludf.DUMMYFUNCTION("""COMPUTED_VALUE"""),-0.483331511907391)</f>
        <v>-0.48333151190739099</v>
      </c>
      <c r="W449" s="23">
        <f ca="1">IFERROR(__xludf.DUMMYFUNCTION("""COMPUTED_VALUE"""),-0.379633066813299)</f>
        <v>-0.379633066813299</v>
      </c>
      <c r="X449" s="23"/>
      <c r="Y449" s="23">
        <f ca="1">IFERROR(__xludf.DUMMYFUNCTION("""COMPUTED_VALUE"""),0.333251848099073)</f>
        <v>0.33325184809907299</v>
      </c>
      <c r="Z449" s="23">
        <f ca="1">IFERROR(__xludf.DUMMYFUNCTION("""COMPUTED_VALUE"""),-0.429917580790331)</f>
        <v>-0.42991758079033099</v>
      </c>
      <c r="AA449" s="23">
        <f ca="1">IFERROR(__xludf.DUMMYFUNCTION("""COMPUTED_VALUE"""),0.518994081167124)</f>
        <v>0.51899408116712398</v>
      </c>
      <c r="AB449" s="23">
        <f ca="1">IFERROR(__xludf.DUMMYFUNCTION("""COMPUTED_VALUE"""),-0.643373403122533)</f>
        <v>-0.64337340312253299</v>
      </c>
      <c r="AC449" s="22">
        <f ca="1">IFERROR(__xludf.DUMMYFUNCTION("""COMPUTED_VALUE"""),0.0125040260388784)</f>
        <v>1.25040260388784E-2</v>
      </c>
      <c r="AD449" s="23">
        <f ca="1">IFERROR(__xludf.DUMMYFUNCTION("""COMPUTED_VALUE"""),-0.517298411201247)</f>
        <v>-0.51729841120124698</v>
      </c>
      <c r="AE449" s="23"/>
      <c r="AF449" s="22"/>
      <c r="AG449" s="22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</row>
    <row r="450" spans="1:45" ht="27.75" customHeight="1" x14ac:dyDescent="0.4">
      <c r="A450" s="15" t="s">
        <v>207</v>
      </c>
      <c r="B450" s="15" t="s">
        <v>240</v>
      </c>
      <c r="C450" s="15" t="str">
        <f ca="1">IFERROR(__xludf.DUMMYFUNCTION("""COMPUTED_VALUE"""),"2023/03/18 (土)
休日午後")</f>
        <v>2023/03/18 (土)
休日午後</v>
      </c>
      <c r="D450" s="15" t="str">
        <f ca="1">IFERROR(__xludf.DUMMYFUNCTION("""COMPUTED_VALUE"""),"休日午後")</f>
        <v>休日午後</v>
      </c>
      <c r="E450" s="16">
        <f ca="1">IFERROR(__xludf.DUMMYFUNCTION("""COMPUTED_VALUE"""),2.18208156364708)</f>
        <v>2.1820815636470798</v>
      </c>
      <c r="F450" s="15" t="s">
        <v>11</v>
      </c>
      <c r="G450" s="32">
        <v>-1</v>
      </c>
      <c r="H450" s="46" t="s">
        <v>15</v>
      </c>
      <c r="I450" s="27" t="s">
        <v>249</v>
      </c>
      <c r="J450" s="27" t="s">
        <v>248</v>
      </c>
      <c r="K450" s="23" t="b">
        <f ca="1">IFERROR(__xludf.DUMMYFUNCTION("""COMPUTED_VALUE"""),TRUE)</f>
        <v>1</v>
      </c>
      <c r="L450" s="22">
        <f ca="1">IFERROR(__xludf.DUMMYFUNCTION("""COMPUTED_VALUE"""),-0.10920503176582)</f>
        <v>-0.10920503176582</v>
      </c>
      <c r="M450" s="23">
        <f ca="1">IFERROR(__xludf.DUMMYFUNCTION("""COMPUTED_VALUE"""),0.493748650691551)</f>
        <v>0.49374865069155099</v>
      </c>
      <c r="N450" s="23">
        <f ca="1">IFERROR(__xludf.DUMMYFUNCTION("""COMPUTED_VALUE"""),-0.871057980641035)</f>
        <v>-0.87105798064103501</v>
      </c>
      <c r="O450" s="23">
        <f ca="1">IFERROR(__xludf.DUMMYFUNCTION("""COMPUTED_VALUE"""),-0.263998628769524)</f>
        <v>-0.26399862876952401</v>
      </c>
      <c r="P450" s="23"/>
      <c r="Q450" s="24">
        <f ca="1">IFERROR(__xludf.DUMMYFUNCTION("""COMPUTED_VALUE"""),-0.457251281023947)</f>
        <v>-0.45725128102394702</v>
      </c>
      <c r="R450" s="23">
        <f ca="1">IFERROR(__xludf.DUMMYFUNCTION("""COMPUTED_VALUE"""),-0.926757748981007)</f>
        <v>-0.92675774898100705</v>
      </c>
      <c r="S450" s="23">
        <f ca="1">IFERROR(__xludf.DUMMYFUNCTION("""COMPUTED_VALUE"""),-0.766573345559831)</f>
        <v>-0.76657334555983103</v>
      </c>
      <c r="T450" s="23">
        <f ca="1">IFERROR(__xludf.DUMMYFUNCTION("""COMPUTED_VALUE"""),2.18208156364708)</f>
        <v>2.1820815636470798</v>
      </c>
      <c r="U450" s="23">
        <f ca="1">IFERROR(__xludf.DUMMYFUNCTION("""COMPUTED_VALUE"""),-0.536704929758883)</f>
        <v>-0.53670492975888295</v>
      </c>
      <c r="V450" s="23">
        <f ca="1">IFERROR(__xludf.DUMMYFUNCTION("""COMPUTED_VALUE"""),-0.210942026828911)</f>
        <v>-0.210942026828911</v>
      </c>
      <c r="W450" s="23">
        <f ca="1">IFERROR(__xludf.DUMMYFUNCTION("""COMPUTED_VALUE"""),-0.414060080957626)</f>
        <v>-0.41406008095762598</v>
      </c>
      <c r="X450" s="23"/>
      <c r="Y450" s="23">
        <f ca="1">IFERROR(__xludf.DUMMYFUNCTION("""COMPUTED_VALUE"""),-0.913037162962325)</f>
        <v>-0.91303716296232496</v>
      </c>
      <c r="Z450" s="23">
        <f ca="1">IFERROR(__xludf.DUMMYFUNCTION("""COMPUTED_VALUE"""),-0.644140307620946)</f>
        <v>-0.64414030762094598</v>
      </c>
      <c r="AA450" s="23"/>
      <c r="AB450" s="23">
        <f ca="1">IFERROR(__xludf.DUMMYFUNCTION("""COMPUTED_VALUE"""),-0.725639772034766)</f>
        <v>-0.72563977203476604</v>
      </c>
      <c r="AC450" s="22">
        <f ca="1">IFERROR(__xludf.DUMMYFUNCTION("""COMPUTED_VALUE"""),0.138763254741188)</f>
        <v>0.138763254741188</v>
      </c>
      <c r="AD450" s="23">
        <f ca="1">IFERROR(__xludf.DUMMYFUNCTION("""COMPUTED_VALUE"""),0.130502400798905)</f>
        <v>0.13050240079890499</v>
      </c>
      <c r="AE450" s="23"/>
      <c r="AF450" s="22"/>
      <c r="AG450" s="22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</row>
    <row r="451" spans="1:45" ht="27.75" customHeight="1" x14ac:dyDescent="0.35">
      <c r="A451" s="15" t="s">
        <v>207</v>
      </c>
      <c r="B451" s="15" t="s">
        <v>240</v>
      </c>
      <c r="C451" s="15" t="str">
        <f ca="1">IFERROR(__xludf.DUMMYFUNCTION("""COMPUTED_VALUE"""),"2023/03/19 (日)
休日午前")</f>
        <v>2023/03/19 (日)
休日午前</v>
      </c>
      <c r="D451" s="15" t="str">
        <f ca="1">IFERROR(__xludf.DUMMYFUNCTION("""COMPUTED_VALUE"""),"休日午前")</f>
        <v>休日午前</v>
      </c>
      <c r="E451" s="16">
        <f ca="1">IFERROR(__xludf.DUMMYFUNCTION("""COMPUTED_VALUE"""),2.41659500467195)</f>
        <v>2.41659500467195</v>
      </c>
      <c r="F451" s="15" t="s">
        <v>3</v>
      </c>
      <c r="G451" s="32">
        <v>2</v>
      </c>
      <c r="H451" s="27" t="s">
        <v>19</v>
      </c>
      <c r="I451" s="27"/>
      <c r="J451" s="27" t="s">
        <v>250</v>
      </c>
      <c r="K451" s="23" t="b">
        <f ca="1">IFERROR(__xludf.DUMMYFUNCTION("""COMPUTED_VALUE"""),TRUE)</f>
        <v>1</v>
      </c>
      <c r="L451" s="22">
        <f ca="1">IFERROR(__xludf.DUMMYFUNCTION("""COMPUTED_VALUE"""),-0.957669680936311)</f>
        <v>-0.957669680936311</v>
      </c>
      <c r="M451" s="23">
        <f ca="1">IFERROR(__xludf.DUMMYFUNCTION("""COMPUTED_VALUE"""),-0.889078152667883)</f>
        <v>-0.88907815266788304</v>
      </c>
      <c r="N451" s="23">
        <f ca="1">IFERROR(__xludf.DUMMYFUNCTION("""COMPUTED_VALUE"""),0.244816619731559)</f>
        <v>0.24481661973155899</v>
      </c>
      <c r="O451" s="23">
        <f ca="1">IFERROR(__xludf.DUMMYFUNCTION("""COMPUTED_VALUE"""),2.03218104771645)</f>
        <v>2.0321810477164499</v>
      </c>
      <c r="P451" s="23"/>
      <c r="Q451" s="24">
        <f ca="1">IFERROR(__xludf.DUMMYFUNCTION("""COMPUTED_VALUE"""),0.784347330811943)</f>
        <v>0.78434733081194297</v>
      </c>
      <c r="R451" s="23">
        <f ca="1">IFERROR(__xludf.DUMMYFUNCTION("""COMPUTED_VALUE"""),-0.320909419288296)</f>
        <v>-0.32090941928829603</v>
      </c>
      <c r="S451" s="23">
        <f ca="1">IFERROR(__xludf.DUMMYFUNCTION("""COMPUTED_VALUE"""),-0.345363292849609)</f>
        <v>-0.34536329284960898</v>
      </c>
      <c r="T451" s="23">
        <f ca="1">IFERROR(__xludf.DUMMYFUNCTION("""COMPUTED_VALUE"""),-0.86537290184777)</f>
        <v>-0.86537290184777005</v>
      </c>
      <c r="U451" s="23">
        <f ca="1">IFERROR(__xludf.DUMMYFUNCTION("""COMPUTED_VALUE"""),-0.563198153795848)</f>
        <v>-0.56319815379584803</v>
      </c>
      <c r="V451" s="23">
        <f ca="1">IFERROR(__xludf.DUMMYFUNCTION("""COMPUTED_VALUE"""),-0.543627473789198)</f>
        <v>-0.54362747378919796</v>
      </c>
      <c r="W451" s="23">
        <f ca="1">IFERROR(__xludf.DUMMYFUNCTION("""COMPUTED_VALUE"""),0.86624679950577)</f>
        <v>0.86624679950576999</v>
      </c>
      <c r="X451" s="23"/>
      <c r="Y451" s="23">
        <f ca="1">IFERROR(__xludf.DUMMYFUNCTION("""COMPUTED_VALUE"""),0.731651183337021)</f>
        <v>0.73165118333702095</v>
      </c>
      <c r="Z451" s="23">
        <f ca="1">IFERROR(__xludf.DUMMYFUNCTION("""COMPUTED_VALUE"""),-0.286126675008812)</f>
        <v>-0.286126675008812</v>
      </c>
      <c r="AA451" s="23"/>
      <c r="AB451" s="23">
        <f ca="1">IFERROR(__xludf.DUMMYFUNCTION("""COMPUTED_VALUE"""),-0.430673533685037)</f>
        <v>-0.43067353368503702</v>
      </c>
      <c r="AC451" s="22">
        <f ca="1">IFERROR(__xludf.DUMMYFUNCTION("""COMPUTED_VALUE"""),0.712532352128838)</f>
        <v>0.71253235212883803</v>
      </c>
      <c r="AD451" s="23">
        <f ca="1">IFERROR(__xludf.DUMMYFUNCTION("""COMPUTED_VALUE"""),2.41659500467195)</f>
        <v>2.41659500467195</v>
      </c>
      <c r="AE451" s="23"/>
      <c r="AF451" s="22"/>
      <c r="AG451" s="22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</row>
    <row r="452" spans="1:45" ht="27.75" customHeight="1" x14ac:dyDescent="0.35">
      <c r="A452" s="15" t="s">
        <v>207</v>
      </c>
      <c r="B452" s="15" t="s">
        <v>240</v>
      </c>
      <c r="C452" s="15" t="str">
        <f ca="1">IFERROR(__xludf.DUMMYFUNCTION("""COMPUTED_VALUE"""),"2023/03/19 (日)
休日午後")</f>
        <v>2023/03/19 (日)
休日午後</v>
      </c>
      <c r="D452" s="15" t="str">
        <f ca="1">IFERROR(__xludf.DUMMYFUNCTION("""COMPUTED_VALUE"""),"休日午後")</f>
        <v>休日午後</v>
      </c>
      <c r="E452" s="16">
        <f ca="1">IFERROR(__xludf.DUMMYFUNCTION("""COMPUTED_VALUE"""),2.74019932313413)</f>
        <v>2.7401993231341302</v>
      </c>
      <c r="F452" s="15" t="s">
        <v>3</v>
      </c>
      <c r="G452" s="32"/>
      <c r="H452" s="27" t="s">
        <v>12</v>
      </c>
      <c r="I452" s="27"/>
      <c r="J452" s="27" t="s">
        <v>250</v>
      </c>
      <c r="K452" s="23" t="b">
        <f ca="1">IFERROR(__xludf.DUMMYFUNCTION("""COMPUTED_VALUE"""),TRUE)</f>
        <v>1</v>
      </c>
      <c r="L452" s="22">
        <f ca="1">IFERROR(__xludf.DUMMYFUNCTION("""COMPUTED_VALUE"""),-0.844208981265925)</f>
        <v>-0.84420898126592503</v>
      </c>
      <c r="M452" s="23">
        <f ca="1">IFERROR(__xludf.DUMMYFUNCTION("""COMPUTED_VALUE"""),-0.0057864652337245)</f>
        <v>-5.7864652337245E-3</v>
      </c>
      <c r="N452" s="23">
        <f ca="1">IFERROR(__xludf.DUMMYFUNCTION("""COMPUTED_VALUE"""),0.234438435949775)</f>
        <v>0.23443843594977501</v>
      </c>
      <c r="O452" s="23">
        <f ca="1">IFERROR(__xludf.DUMMYFUNCTION("""COMPUTED_VALUE"""),-0.438425513179796)</f>
        <v>-0.438425513179796</v>
      </c>
      <c r="P452" s="23"/>
      <c r="Q452" s="24">
        <f ca="1">IFERROR(__xludf.DUMMYFUNCTION("""COMPUTED_VALUE"""),0.0282454811973684)</f>
        <v>2.8245481197368399E-2</v>
      </c>
      <c r="R452" s="23">
        <f ca="1">IFERROR(__xludf.DUMMYFUNCTION("""COMPUTED_VALUE"""),-0.649328124307216)</f>
        <v>-0.64932812430721598</v>
      </c>
      <c r="S452" s="23">
        <f ca="1">IFERROR(__xludf.DUMMYFUNCTION("""COMPUTED_VALUE"""),-0.252752526146094)</f>
        <v>-0.252752526146094</v>
      </c>
      <c r="T452" s="23">
        <f ca="1">IFERROR(__xludf.DUMMYFUNCTION("""COMPUTED_VALUE"""),-0.282556565827069)</f>
        <v>-0.28255656582706901</v>
      </c>
      <c r="U452" s="23">
        <f ca="1">IFERROR(__xludf.DUMMYFUNCTION("""COMPUTED_VALUE"""),-0.285110988519104)</f>
        <v>-0.28511098851910399</v>
      </c>
      <c r="V452" s="23">
        <f ca="1">IFERROR(__xludf.DUMMYFUNCTION("""COMPUTED_VALUE"""),-0.853862691549695)</f>
        <v>-0.85386269154969496</v>
      </c>
      <c r="W452" s="23">
        <f ca="1">IFERROR(__xludf.DUMMYFUNCTION("""COMPUTED_VALUE"""),0.829564407285956)</f>
        <v>0.82956440728595604</v>
      </c>
      <c r="X452" s="23"/>
      <c r="Y452" s="23">
        <f ca="1">IFERROR(__xludf.DUMMYFUNCTION("""COMPUTED_VALUE"""),-0.526683112538515)</f>
        <v>-0.52668311253851496</v>
      </c>
      <c r="Z452" s="23">
        <f ca="1">IFERROR(__xludf.DUMMYFUNCTION("""COMPUTED_VALUE"""),-0.212535483619315)</f>
        <v>-0.21253548361931501</v>
      </c>
      <c r="AA452" s="23"/>
      <c r="AB452" s="23"/>
      <c r="AC452" s="22">
        <f ca="1">IFERROR(__xludf.DUMMYFUNCTION("""COMPUTED_VALUE"""),0.685645726704539)</f>
        <v>0.68564572670453905</v>
      </c>
      <c r="AD452" s="23">
        <f ca="1">IFERROR(__xludf.DUMMYFUNCTION("""COMPUTED_VALUE"""),2.74019932313413)</f>
        <v>2.7401993231341302</v>
      </c>
      <c r="AE452" s="23"/>
      <c r="AF452" s="22"/>
      <c r="AG452" s="22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</row>
    <row r="453" spans="1:45" ht="27.75" customHeight="1" x14ac:dyDescent="0.4">
      <c r="A453" s="15" t="s">
        <v>207</v>
      </c>
      <c r="B453" s="15" t="s">
        <v>240</v>
      </c>
      <c r="C453" s="15" t="str">
        <f ca="1">IFERROR(__xludf.DUMMYFUNCTION("""COMPUTED_VALUE"""),"2023/03/20 (月)
平日夜間")</f>
        <v>2023/03/20 (月)
平日夜間</v>
      </c>
      <c r="D453" s="15" t="str">
        <f ca="1">IFERROR(__xludf.DUMMYFUNCTION("""COMPUTED_VALUE"""),"平日夜間")</f>
        <v>平日夜間</v>
      </c>
      <c r="E453" s="16">
        <f ca="1">IFERROR(__xludf.DUMMYFUNCTION("""COMPUTED_VALUE"""),2.37050244036225)</f>
        <v>2.3705024403622499</v>
      </c>
      <c r="F453" s="15" t="s">
        <v>4</v>
      </c>
      <c r="G453" s="32">
        <v>2</v>
      </c>
      <c r="H453" s="46" t="s">
        <v>4</v>
      </c>
      <c r="I453" s="27"/>
      <c r="J453" s="27" t="s">
        <v>132</v>
      </c>
      <c r="K453" s="23" t="b">
        <f ca="1">IFERROR(__xludf.DUMMYFUNCTION("""COMPUTED_VALUE"""),TRUE)</f>
        <v>1</v>
      </c>
      <c r="L453" s="22">
        <f ca="1">IFERROR(__xludf.DUMMYFUNCTION("""COMPUTED_VALUE"""),0.200904502696515)</f>
        <v>0.200904502696515</v>
      </c>
      <c r="M453" s="23">
        <f ca="1">IFERROR(__xludf.DUMMYFUNCTION("""COMPUTED_VALUE"""),2.37050244036225)</f>
        <v>2.3705024403622499</v>
      </c>
      <c r="N453" s="23">
        <f ca="1">IFERROR(__xludf.DUMMYFUNCTION("""COMPUTED_VALUE"""),0.221635011063811)</f>
        <v>0.221635011063811</v>
      </c>
      <c r="O453" s="23">
        <f ca="1">IFERROR(__xludf.DUMMYFUNCTION("""COMPUTED_VALUE"""),-0.280487746087745)</f>
        <v>-0.28048774608774502</v>
      </c>
      <c r="P453" s="23"/>
      <c r="Q453" s="24">
        <f ca="1">IFERROR(__xludf.DUMMYFUNCTION("""COMPUTED_VALUE"""),0.895476241967896)</f>
        <v>0.89547624196789599</v>
      </c>
      <c r="R453" s="23">
        <f ca="1">IFERROR(__xludf.DUMMYFUNCTION("""COMPUTED_VALUE"""),-0.675985020149484)</f>
        <v>-0.67598502014948403</v>
      </c>
      <c r="S453" s="23">
        <f ca="1">IFERROR(__xludf.DUMMYFUNCTION("""COMPUTED_VALUE"""),0.493963170173711)</f>
        <v>0.493963170173711</v>
      </c>
      <c r="T453" s="23">
        <f ca="1">IFERROR(__xludf.DUMMYFUNCTION("""COMPUTED_VALUE"""),0.192119198360665)</f>
        <v>0.19211919836066499</v>
      </c>
      <c r="U453" s="23">
        <f ca="1">IFERROR(__xludf.DUMMYFUNCTION("""COMPUTED_VALUE"""),-0.457786760236833)</f>
        <v>-0.45778676023683301</v>
      </c>
      <c r="V453" s="23">
        <f ca="1">IFERROR(__xludf.DUMMYFUNCTION("""COMPUTED_VALUE"""),-0.0553219763463146)</f>
        <v>-5.5321976346314597E-2</v>
      </c>
      <c r="W453" s="23">
        <f ca="1">IFERROR(__xludf.DUMMYFUNCTION("""COMPUTED_VALUE"""),0.977481121023142)</f>
        <v>0.977481121023142</v>
      </c>
      <c r="X453" s="23"/>
      <c r="Y453" s="23">
        <f ca="1">IFERROR(__xludf.DUMMYFUNCTION("""COMPUTED_VALUE"""),-0.842164884318275)</f>
        <v>-0.84216488431827496</v>
      </c>
      <c r="Z453" s="23">
        <f ca="1">IFERROR(__xludf.DUMMYFUNCTION("""COMPUTED_VALUE"""),0.68546698250768)</f>
        <v>0.68546698250768001</v>
      </c>
      <c r="AA453" s="23"/>
      <c r="AB453" s="23"/>
      <c r="AC453" s="22">
        <f ca="1">IFERROR(__xludf.DUMMYFUNCTION("""COMPUTED_VALUE"""),-0.112128498663022)</f>
        <v>-0.11212849866302201</v>
      </c>
      <c r="AD453" s="23">
        <f ca="1">IFERROR(__xludf.DUMMYFUNCTION("""COMPUTED_VALUE"""),0.776301034441604)</f>
        <v>0.77630103444160403</v>
      </c>
      <c r="AE453" s="23"/>
      <c r="AF453" s="22"/>
      <c r="AG453" s="22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</row>
    <row r="454" spans="1:45" ht="27.75" customHeight="1" x14ac:dyDescent="0.35">
      <c r="A454" s="15" t="s">
        <v>207</v>
      </c>
      <c r="B454" s="15" t="s">
        <v>240</v>
      </c>
      <c r="C454" s="15" t="str">
        <f ca="1">IFERROR(__xludf.DUMMYFUNCTION("""COMPUTED_VALUE"""),"2023/03/21 (火)
休日午前")</f>
        <v>2023/03/21 (火)
休日午前</v>
      </c>
      <c r="D454" s="15" t="str">
        <f ca="1">IFERROR(__xludf.DUMMYFUNCTION("""COMPUTED_VALUE"""),"休日午前")</f>
        <v>休日午前</v>
      </c>
      <c r="E454" s="16">
        <f ca="1">IFERROR(__xludf.DUMMYFUNCTION("""COMPUTED_VALUE"""),1.6347388201295)</f>
        <v>1.6347388201294999</v>
      </c>
      <c r="F454" s="15" t="s">
        <v>11</v>
      </c>
      <c r="G454" s="32">
        <v>0</v>
      </c>
      <c r="H454" s="27" t="s">
        <v>18</v>
      </c>
      <c r="I454" s="27"/>
      <c r="J454" s="27" t="s">
        <v>251</v>
      </c>
      <c r="K454" s="23" t="b">
        <f ca="1">IFERROR(__xludf.DUMMYFUNCTION("""COMPUTED_VALUE"""),FALSE)</f>
        <v>0</v>
      </c>
      <c r="L454" s="22">
        <f ca="1">IFERROR(__xludf.DUMMYFUNCTION("""COMPUTED_VALUE"""),0.82612356913761)</f>
        <v>0.82612356913760998</v>
      </c>
      <c r="M454" s="23">
        <f ca="1">IFERROR(__xludf.DUMMYFUNCTION("""COMPUTED_VALUE"""),-0.933271325527065)</f>
        <v>-0.93327132552706504</v>
      </c>
      <c r="N454" s="23">
        <f ca="1">IFERROR(__xludf.DUMMYFUNCTION("""COMPUTED_VALUE"""),0.0416814577552502)</f>
        <v>4.1681457755250201E-2</v>
      </c>
      <c r="O454" s="23">
        <f ca="1">IFERROR(__xludf.DUMMYFUNCTION("""COMPUTED_VALUE"""),-0.644321033266457)</f>
        <v>-0.64432103326645696</v>
      </c>
      <c r="P454" s="23"/>
      <c r="Q454" s="24">
        <f ca="1">IFERROR(__xludf.DUMMYFUNCTION("""COMPUTED_VALUE"""),-0.779495256741083)</f>
        <v>-0.779495256741083</v>
      </c>
      <c r="R454" s="23">
        <f ca="1">IFERROR(__xludf.DUMMYFUNCTION("""COMPUTED_VALUE"""),0.757955048812324)</f>
        <v>0.75795504881232401</v>
      </c>
      <c r="S454" s="23">
        <f ca="1">IFERROR(__xludf.DUMMYFUNCTION("""COMPUTED_VALUE"""),-0.278023782221133)</f>
        <v>-0.278023782221133</v>
      </c>
      <c r="T454" s="23">
        <f ca="1">IFERROR(__xludf.DUMMYFUNCTION("""COMPUTED_VALUE"""),1.6347388201295)</f>
        <v>1.6347388201294999</v>
      </c>
      <c r="U454" s="23">
        <f ca="1">IFERROR(__xludf.DUMMYFUNCTION("""COMPUTED_VALUE"""),-0.53448816626157)</f>
        <v>-0.53448816626157003</v>
      </c>
      <c r="V454" s="23">
        <f ca="1">IFERROR(__xludf.DUMMYFUNCTION("""COMPUTED_VALUE"""),-0.434072462667468)</f>
        <v>-0.43407246266746802</v>
      </c>
      <c r="W454" s="23">
        <f ca="1">IFERROR(__xludf.DUMMYFUNCTION("""COMPUTED_VALUE"""),0.179168226080106)</f>
        <v>0.17916822608010599</v>
      </c>
      <c r="X454" s="23"/>
      <c r="Y454" s="23">
        <f ca="1">IFERROR(__xludf.DUMMYFUNCTION("""COMPUTED_VALUE"""),0.159979757723562)</f>
        <v>0.15997975772356199</v>
      </c>
      <c r="Z454" s="23">
        <f ca="1">IFERROR(__xludf.DUMMYFUNCTION("""COMPUTED_VALUE"""),0.704331853722813)</f>
        <v>0.70433185372281304</v>
      </c>
      <c r="AA454" s="23"/>
      <c r="AB454" s="23"/>
      <c r="AC454" s="22">
        <f ca="1">IFERROR(__xludf.DUMMYFUNCTION("""COMPUTED_VALUE"""),0.616964437643605)</f>
        <v>0.61696443764360498</v>
      </c>
      <c r="AD454" s="23">
        <f ca="1">IFERROR(__xludf.DUMMYFUNCTION("""COMPUTED_VALUE"""),-0.994740905883099)</f>
        <v>-0.99474090588309905</v>
      </c>
      <c r="AE454" s="23"/>
      <c r="AF454" s="22"/>
      <c r="AG454" s="22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</row>
    <row r="455" spans="1:45" ht="27.75" customHeight="1" x14ac:dyDescent="0.35">
      <c r="A455" s="15" t="s">
        <v>207</v>
      </c>
      <c r="B455" s="15" t="s">
        <v>240</v>
      </c>
      <c r="C455" s="15" t="str">
        <f ca="1">IFERROR(__xludf.DUMMYFUNCTION("""COMPUTED_VALUE"""),"2023/03/21 (火)
休日午後")</f>
        <v>2023/03/21 (火)
休日午後</v>
      </c>
      <c r="D455" s="15" t="str">
        <f ca="1">IFERROR(__xludf.DUMMYFUNCTION("""COMPUTED_VALUE"""),"休日午後")</f>
        <v>休日午後</v>
      </c>
      <c r="E455" s="16">
        <f ca="1">IFERROR(__xludf.DUMMYFUNCTION("""COMPUTED_VALUE"""),2.30345243575244)</f>
        <v>2.30345243575244</v>
      </c>
      <c r="F455" s="15" t="s">
        <v>8</v>
      </c>
      <c r="G455" s="32"/>
      <c r="H455" s="27" t="s">
        <v>5</v>
      </c>
      <c r="I455" s="27"/>
      <c r="J455" s="27" t="s">
        <v>251</v>
      </c>
      <c r="K455" s="23" t="b">
        <f ca="1">IFERROR(__xludf.DUMMYFUNCTION("""COMPUTED_VALUE"""),TRUE)</f>
        <v>1</v>
      </c>
      <c r="L455" s="22">
        <f ca="1">IFERROR(__xludf.DUMMYFUNCTION("""COMPUTED_VALUE"""),0.485500766130092)</f>
        <v>0.48550076613009202</v>
      </c>
      <c r="M455" s="23">
        <f ca="1">IFERROR(__xludf.DUMMYFUNCTION("""COMPUTED_VALUE"""),-0.634495011360699)</f>
        <v>-0.63449501136069897</v>
      </c>
      <c r="N455" s="23">
        <f ca="1">IFERROR(__xludf.DUMMYFUNCTION("""COMPUTED_VALUE"""),0.699567893890663)</f>
        <v>0.69956789389066298</v>
      </c>
      <c r="O455" s="23">
        <f ca="1">IFERROR(__xludf.DUMMYFUNCTION("""COMPUTED_VALUE"""),-0.433408087962719)</f>
        <v>-0.43340808796271901</v>
      </c>
      <c r="P455" s="23"/>
      <c r="Q455" s="24">
        <f ca="1">IFERROR(__xludf.DUMMYFUNCTION("""COMPUTED_VALUE"""),-0.590840850982487)</f>
        <v>-0.59084085098248695</v>
      </c>
      <c r="R455" s="23">
        <f ca="1">IFERROR(__xludf.DUMMYFUNCTION("""COMPUTED_VALUE"""),0.314262241373903)</f>
        <v>0.31426224137390302</v>
      </c>
      <c r="S455" s="23">
        <f ca="1">IFERROR(__xludf.DUMMYFUNCTION("""COMPUTED_VALUE"""),-0.733319698420968)</f>
        <v>-0.733319698420968</v>
      </c>
      <c r="T455" s="23">
        <f ca="1">IFERROR(__xludf.DUMMYFUNCTION("""COMPUTED_VALUE"""),0.232257206062028)</f>
        <v>0.23225720606202799</v>
      </c>
      <c r="U455" s="23">
        <f ca="1">IFERROR(__xludf.DUMMYFUNCTION("""COMPUTED_VALUE"""),-0.264823882925538)</f>
        <v>-0.26482388292553799</v>
      </c>
      <c r="V455" s="23">
        <f ca="1">IFERROR(__xludf.DUMMYFUNCTION("""COMPUTED_VALUE"""),-0.935359663455986)</f>
        <v>-0.93535966345598598</v>
      </c>
      <c r="W455" s="23">
        <f ca="1">IFERROR(__xludf.DUMMYFUNCTION("""COMPUTED_VALUE"""),0.0220820690857104)</f>
        <v>2.20820690857104E-2</v>
      </c>
      <c r="X455" s="23"/>
      <c r="Y455" s="23">
        <f ca="1">IFERROR(__xludf.DUMMYFUNCTION("""COMPUTED_VALUE"""),-0.44716637717455)</f>
        <v>-0.44716637717454999</v>
      </c>
      <c r="Z455" s="23">
        <f ca="1">IFERROR(__xludf.DUMMYFUNCTION("""COMPUTED_VALUE"""),-0.840550756132047)</f>
        <v>-0.84055075613204699</v>
      </c>
      <c r="AA455" s="23"/>
      <c r="AB455" s="23"/>
      <c r="AC455" s="22">
        <f ca="1">IFERROR(__xludf.DUMMYFUNCTION("""COMPUTED_VALUE"""),0.312862179557508)</f>
        <v>0.312862179557508</v>
      </c>
      <c r="AD455" s="23">
        <f ca="1">IFERROR(__xludf.DUMMYFUNCTION("""COMPUTED_VALUE"""),-0.648189828754126)</f>
        <v>-0.64818982875412601</v>
      </c>
      <c r="AE455" s="23"/>
      <c r="AF455" s="22"/>
      <c r="AG455" s="22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</row>
    <row r="456" spans="1:45" ht="27.75" customHeight="1" x14ac:dyDescent="0.35">
      <c r="A456" s="15" t="s">
        <v>207</v>
      </c>
      <c r="B456" s="15" t="s">
        <v>240</v>
      </c>
      <c r="C456" s="15" t="str">
        <f ca="1">IFERROR(__xludf.DUMMYFUNCTION("""COMPUTED_VALUE"""),"2023/03/22 (水)
平日夜間")</f>
        <v>2023/03/22 (水)
平日夜間</v>
      </c>
      <c r="D456" s="15" t="str">
        <f ca="1">IFERROR(__xludf.DUMMYFUNCTION("""COMPUTED_VALUE"""),"平日夜間")</f>
        <v>平日夜間</v>
      </c>
      <c r="E456" s="16">
        <f ca="1">IFERROR(__xludf.DUMMYFUNCTION("""COMPUTED_VALUE"""),2.86691743338217)</f>
        <v>2.8669174333821701</v>
      </c>
      <c r="F456" s="15" t="s">
        <v>8</v>
      </c>
      <c r="G456" s="32">
        <v>0</v>
      </c>
      <c r="H456" s="27" t="s">
        <v>17</v>
      </c>
      <c r="I456" s="27"/>
      <c r="J456" s="27"/>
      <c r="K456" s="23" t="b">
        <f ca="1">IFERROR(__xludf.DUMMYFUNCTION("""COMPUTED_VALUE"""),FALSE)</f>
        <v>0</v>
      </c>
      <c r="L456" s="22">
        <f ca="1">IFERROR(__xludf.DUMMYFUNCTION("""COMPUTED_VALUE"""),-0.531457442428045)</f>
        <v>-0.53145744242804505</v>
      </c>
      <c r="M456" s="23">
        <f ca="1">IFERROR(__xludf.DUMMYFUNCTION("""COMPUTED_VALUE"""),0.0253680101491191)</f>
        <v>2.5368010149119099E-2</v>
      </c>
      <c r="N456" s="23">
        <f ca="1">IFERROR(__xludf.DUMMYFUNCTION("""COMPUTED_VALUE"""),0.39745659091777)</f>
        <v>0.39745659091777003</v>
      </c>
      <c r="O456" s="23">
        <f ca="1">IFERROR(__xludf.DUMMYFUNCTION("""COMPUTED_VALUE"""),-0.322207283457176)</f>
        <v>-0.32220728345717597</v>
      </c>
      <c r="P456" s="23"/>
      <c r="Q456" s="24">
        <f ca="1">IFERROR(__xludf.DUMMYFUNCTION("""COMPUTED_VALUE"""),0.17696267250196)</f>
        <v>0.17696267250195999</v>
      </c>
      <c r="R456" s="23">
        <f ca="1">IFERROR(__xludf.DUMMYFUNCTION("""COMPUTED_VALUE"""),0.344285224727064)</f>
        <v>0.34428522472706402</v>
      </c>
      <c r="S456" s="23">
        <f ca="1">IFERROR(__xludf.DUMMYFUNCTION("""COMPUTED_VALUE"""),-0.594566272868685)</f>
        <v>-0.59456627286868502</v>
      </c>
      <c r="T456" s="23">
        <f ca="1">IFERROR(__xludf.DUMMYFUNCTION("""COMPUTED_VALUE"""),0.161897979897524)</f>
        <v>0.161897979897524</v>
      </c>
      <c r="U456" s="23">
        <f ca="1">IFERROR(__xludf.DUMMYFUNCTION("""COMPUTED_VALUE"""),0.237610336297012)</f>
        <v>0.237610336297012</v>
      </c>
      <c r="V456" s="23">
        <f ca="1">IFERROR(__xludf.DUMMYFUNCTION("""COMPUTED_VALUE"""),-0.6786095117386)</f>
        <v>-0.67860951173859996</v>
      </c>
      <c r="W456" s="23">
        <f ca="1">IFERROR(__xludf.DUMMYFUNCTION("""COMPUTED_VALUE"""),-0.417529613991058)</f>
        <v>-0.41752961399105798</v>
      </c>
      <c r="X456" s="23"/>
      <c r="Y456" s="23">
        <f ca="1">IFERROR(__xludf.DUMMYFUNCTION("""COMPUTED_VALUE"""),0.308968772373522)</f>
        <v>0.30896877237352199</v>
      </c>
      <c r="Z456" s="23">
        <f ca="1">IFERROR(__xludf.DUMMYFUNCTION("""COMPUTED_VALUE"""),0.389956831602422)</f>
        <v>0.389956831602422</v>
      </c>
      <c r="AA456" s="23"/>
      <c r="AB456" s="23"/>
      <c r="AC456" s="22">
        <f ca="1">IFERROR(__xludf.DUMMYFUNCTION("""COMPUTED_VALUE"""),0.0532926024210282)</f>
        <v>5.32926024210282E-2</v>
      </c>
      <c r="AD456" s="23">
        <f ca="1">IFERROR(__xludf.DUMMYFUNCTION("""COMPUTED_VALUE"""),0.172053392632836)</f>
        <v>0.17205339263283601</v>
      </c>
      <c r="AE456" s="23"/>
      <c r="AF456" s="22"/>
      <c r="AG456" s="22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</row>
    <row r="457" spans="1:45" ht="27.75" customHeight="1" x14ac:dyDescent="0.4">
      <c r="A457" s="15" t="s">
        <v>207</v>
      </c>
      <c r="B457" s="15" t="s">
        <v>240</v>
      </c>
      <c r="C457" s="15" t="str">
        <f ca="1">IFERROR(__xludf.DUMMYFUNCTION("""COMPUTED_VALUE"""),"2023/03/23 (木)
平日夜間")</f>
        <v>2023/03/23 (木)
平日夜間</v>
      </c>
      <c r="D457" s="15" t="str">
        <f ca="1">IFERROR(__xludf.DUMMYFUNCTION("""COMPUTED_VALUE"""),"平日夜間")</f>
        <v>平日夜間</v>
      </c>
      <c r="E457" s="16">
        <f ca="1">IFERROR(__xludf.DUMMYFUNCTION("""COMPUTED_VALUE"""),2.67878400103918)</f>
        <v>2.6787840010391801</v>
      </c>
      <c r="F457" s="15" t="s">
        <v>10</v>
      </c>
      <c r="G457" s="32">
        <v>2</v>
      </c>
      <c r="H457" s="46" t="s">
        <v>10</v>
      </c>
      <c r="I457" s="27"/>
      <c r="J457" s="27" t="s">
        <v>137</v>
      </c>
      <c r="K457" s="23" t="b">
        <f ca="1">IFERROR(__xludf.DUMMYFUNCTION("""COMPUTED_VALUE"""),TRUE)</f>
        <v>1</v>
      </c>
      <c r="L457" s="22">
        <f ca="1">IFERROR(__xludf.DUMMYFUNCTION("""COMPUTED_VALUE"""),-0.0761755817722722)</f>
        <v>-7.6175581772272197E-2</v>
      </c>
      <c r="M457" s="23">
        <f ca="1">IFERROR(__xludf.DUMMYFUNCTION("""COMPUTED_VALUE"""),0.46535386741467)</f>
        <v>0.46535386741467</v>
      </c>
      <c r="N457" s="23">
        <f ca="1">IFERROR(__xludf.DUMMYFUNCTION("""COMPUTED_VALUE"""),0.312541975062904)</f>
        <v>0.31254197506290399</v>
      </c>
      <c r="O457" s="23">
        <f ca="1">IFERROR(__xludf.DUMMYFUNCTION("""COMPUTED_VALUE"""),-0.238079071272567)</f>
        <v>-0.238079071272567</v>
      </c>
      <c r="P457" s="23"/>
      <c r="Q457" s="24">
        <f ca="1">IFERROR(__xludf.DUMMYFUNCTION("""COMPUTED_VALUE"""),0.305596833947571)</f>
        <v>0.30559683394757098</v>
      </c>
      <c r="R457" s="23">
        <f ca="1">IFERROR(__xludf.DUMMYFUNCTION("""COMPUTED_VALUE"""),-0.462704359618561)</f>
        <v>-0.46270435961856099</v>
      </c>
      <c r="S457" s="23">
        <f ca="1">IFERROR(__xludf.DUMMYFUNCTION("""COMPUTED_VALUE"""),0.00797750126623708)</f>
        <v>7.9775012662370807E-3</v>
      </c>
      <c r="T457" s="23">
        <f ca="1">IFERROR(__xludf.DUMMYFUNCTION("""COMPUTED_VALUE"""),0.393803294208423)</f>
        <v>0.39380329420842303</v>
      </c>
      <c r="U457" s="23">
        <f ca="1">IFERROR(__xludf.DUMMYFUNCTION("""COMPUTED_VALUE"""),-0.898706245675128)</f>
        <v>-0.89870624567512802</v>
      </c>
      <c r="V457" s="23">
        <f ca="1">IFERROR(__xludf.DUMMYFUNCTION("""COMPUTED_VALUE"""),-0.0736441985074563)</f>
        <v>-7.3644198507456293E-2</v>
      </c>
      <c r="W457" s="23">
        <f ca="1">IFERROR(__xludf.DUMMYFUNCTION("""COMPUTED_VALUE"""),-0.234811863234469)</f>
        <v>-0.23481186323446901</v>
      </c>
      <c r="X457" s="23"/>
      <c r="Y457" s="23">
        <f ca="1">IFERROR(__xludf.DUMMYFUNCTION("""COMPUTED_VALUE"""),0.103258472374975)</f>
        <v>0.103258472374975</v>
      </c>
      <c r="Z457" s="23">
        <f ca="1">IFERROR(__xludf.DUMMYFUNCTION("""COMPUTED_VALUE"""),2.67878400103918)</f>
        <v>2.6787840010391801</v>
      </c>
      <c r="AA457" s="23"/>
      <c r="AB457" s="23"/>
      <c r="AC457" s="22">
        <f ca="1">IFERROR(__xludf.DUMMYFUNCTION("""COMPUTED_VALUE"""),0.581608985243893)</f>
        <v>0.58160898524389304</v>
      </c>
      <c r="AD457" s="23">
        <f ca="1">IFERROR(__xludf.DUMMYFUNCTION("""COMPUTED_VALUE"""),0.132158677935126)</f>
        <v>0.13215867793512601</v>
      </c>
      <c r="AE457" s="23"/>
      <c r="AF457" s="22"/>
      <c r="AG457" s="22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</row>
    <row r="458" spans="1:45" ht="27.75" customHeight="1" x14ac:dyDescent="0.35">
      <c r="A458" s="15" t="s">
        <v>207</v>
      </c>
      <c r="B458" s="15" t="s">
        <v>240</v>
      </c>
      <c r="C458" s="15" t="str">
        <f ca="1">IFERROR(__xludf.DUMMYFUNCTION("""COMPUTED_VALUE"""),"2023/03/24 (金)
平日夜間")</f>
        <v>2023/03/24 (金)
平日夜間</v>
      </c>
      <c r="D458" s="15" t="str">
        <f ca="1">IFERROR(__xludf.DUMMYFUNCTION("""COMPUTED_VALUE"""),"平日夜間")</f>
        <v>平日夜間</v>
      </c>
      <c r="E458" s="16">
        <f ca="1">IFERROR(__xludf.DUMMYFUNCTION("""COMPUTED_VALUE"""),0.922348467110551)</f>
        <v>0.92234846711055096</v>
      </c>
      <c r="F458" s="15" t="s">
        <v>13</v>
      </c>
      <c r="G458" s="32">
        <v>0</v>
      </c>
      <c r="H458" s="27" t="s">
        <v>4</v>
      </c>
      <c r="I458" s="27"/>
      <c r="J458" s="27"/>
      <c r="K458" s="23" t="b">
        <f ca="1">IFERROR(__xludf.DUMMYFUNCTION("""COMPUTED_VALUE"""),FALSE)</f>
        <v>0</v>
      </c>
      <c r="L458" s="22">
        <f ca="1">IFERROR(__xludf.DUMMYFUNCTION("""COMPUTED_VALUE"""),0.226271943365864)</f>
        <v>0.22627194336586401</v>
      </c>
      <c r="M458" s="23">
        <f ca="1">IFERROR(__xludf.DUMMYFUNCTION("""COMPUTED_VALUE"""),0.182859703695092)</f>
        <v>0.182859703695092</v>
      </c>
      <c r="N458" s="23">
        <f ca="1">IFERROR(__xludf.DUMMYFUNCTION("""COMPUTED_VALUE"""),-0.978398141233215)</f>
        <v>-0.978398141233215</v>
      </c>
      <c r="O458" s="23">
        <f ca="1">IFERROR(__xludf.DUMMYFUNCTION("""COMPUTED_VALUE"""),-0.561711416235166)</f>
        <v>-0.56171141623516596</v>
      </c>
      <c r="P458" s="23"/>
      <c r="Q458" s="24">
        <f ca="1">IFERROR(__xludf.DUMMYFUNCTION("""COMPUTED_VALUE"""),0.347767499482068)</f>
        <v>0.34776749948206798</v>
      </c>
      <c r="R458" s="23">
        <f ca="1">IFERROR(__xludf.DUMMYFUNCTION("""COMPUTED_VALUE"""),-0.834625246012922)</f>
        <v>-0.83462524601292198</v>
      </c>
      <c r="S458" s="23">
        <f ca="1">IFERROR(__xludf.DUMMYFUNCTION("""COMPUTED_VALUE"""),0.324647296093768)</f>
        <v>0.32464729609376802</v>
      </c>
      <c r="T458" s="23">
        <f ca="1">IFERROR(__xludf.DUMMYFUNCTION("""COMPUTED_VALUE"""),0.481416727700726)</f>
        <v>0.48141672770072602</v>
      </c>
      <c r="U458" s="23">
        <f ca="1">IFERROR(__xludf.DUMMYFUNCTION("""COMPUTED_VALUE"""),-0.187410001993017)</f>
        <v>-0.18741000199301699</v>
      </c>
      <c r="V458" s="23">
        <f ca="1">IFERROR(__xludf.DUMMYFUNCTION("""COMPUTED_VALUE"""),-0.914133826925435)</f>
        <v>-0.91413382692543499</v>
      </c>
      <c r="W458" s="23">
        <f ca="1">IFERROR(__xludf.DUMMYFUNCTION("""COMPUTED_VALUE"""),0.922348467110551)</f>
        <v>0.92234846711055096</v>
      </c>
      <c r="X458" s="23"/>
      <c r="Y458" s="23">
        <f ca="1">IFERROR(__xludf.DUMMYFUNCTION("""COMPUTED_VALUE"""),0.172294077195901)</f>
        <v>0.17229407719590101</v>
      </c>
      <c r="Z458" s="23">
        <f ca="1">IFERROR(__xludf.DUMMYFUNCTION("""COMPUTED_VALUE"""),0.0174324262896483)</f>
        <v>1.7432426289648299E-2</v>
      </c>
      <c r="AA458" s="23"/>
      <c r="AB458" s="23"/>
      <c r="AC458" s="22">
        <f ca="1">IFERROR(__xludf.DUMMYFUNCTION("""COMPUTED_VALUE"""),-0.970109984791025)</f>
        <v>-0.97010998479102495</v>
      </c>
      <c r="AD458" s="23">
        <f ca="1">IFERROR(__xludf.DUMMYFUNCTION("""COMPUTED_VALUE"""),0.529812162042316)</f>
        <v>0.52981216204231596</v>
      </c>
      <c r="AE458" s="23"/>
      <c r="AF458" s="22"/>
      <c r="AG458" s="22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</row>
    <row r="459" spans="1:45" ht="27.75" customHeight="1" x14ac:dyDescent="0.35">
      <c r="A459" s="15" t="s">
        <v>207</v>
      </c>
      <c r="B459" s="15" t="s">
        <v>240</v>
      </c>
      <c r="C459" s="15" t="str">
        <f ca="1">IFERROR(__xludf.DUMMYFUNCTION("""COMPUTED_VALUE"""),"2023/03/25 (土)
休日午前")</f>
        <v>2023/03/25 (土)
休日午前</v>
      </c>
      <c r="D459" s="15" t="str">
        <f ca="1">IFERROR(__xludf.DUMMYFUNCTION("""COMPUTED_VALUE"""),"休日午前")</f>
        <v>休日午前</v>
      </c>
      <c r="E459" s="16">
        <f ca="1">IFERROR(__xludf.DUMMYFUNCTION("""COMPUTED_VALUE"""),0.995002851513878)</f>
        <v>0.99500285151387802</v>
      </c>
      <c r="F459" s="15" t="s">
        <v>11</v>
      </c>
      <c r="G459" s="32">
        <v>-1</v>
      </c>
      <c r="H459" s="27" t="s">
        <v>8</v>
      </c>
      <c r="I459" s="27"/>
      <c r="J459" s="27" t="s">
        <v>252</v>
      </c>
      <c r="K459" s="23" t="b">
        <f ca="1">IFERROR(__xludf.DUMMYFUNCTION("""COMPUTED_VALUE"""),FALSE)</f>
        <v>0</v>
      </c>
      <c r="L459" s="22">
        <f ca="1">IFERROR(__xludf.DUMMYFUNCTION("""COMPUTED_VALUE"""),-0.919587522267251)</f>
        <v>-0.91958752226725105</v>
      </c>
      <c r="M459" s="23">
        <f ca="1">IFERROR(__xludf.DUMMYFUNCTION("""COMPUTED_VALUE"""),-0.267931832687339)</f>
        <v>-0.267931832687339</v>
      </c>
      <c r="N459" s="23">
        <f ca="1">IFERROR(__xludf.DUMMYFUNCTION("""COMPUTED_VALUE"""),-0.44316906609279)</f>
        <v>-0.44316906609279</v>
      </c>
      <c r="O459" s="23">
        <f ca="1">IFERROR(__xludf.DUMMYFUNCTION("""COMPUTED_VALUE"""),-0.298778533590789)</f>
        <v>-0.29877853359078899</v>
      </c>
      <c r="P459" s="23"/>
      <c r="Q459" s="24">
        <f ca="1">IFERROR(__xludf.DUMMYFUNCTION("""COMPUTED_VALUE"""),-0.950630890380709)</f>
        <v>-0.95063089038070903</v>
      </c>
      <c r="R459" s="23">
        <f ca="1">IFERROR(__xludf.DUMMYFUNCTION("""COMPUTED_VALUE"""),-0.212775300085768)</f>
        <v>-0.212775300085768</v>
      </c>
      <c r="S459" s="23">
        <f ca="1">IFERROR(__xludf.DUMMYFUNCTION("""COMPUTED_VALUE"""),-0.165228731975653)</f>
        <v>-0.16522873197565299</v>
      </c>
      <c r="T459" s="23">
        <f ca="1">IFERROR(__xludf.DUMMYFUNCTION("""COMPUTED_VALUE"""),0.995002851513878)</f>
        <v>0.99500285151387802</v>
      </c>
      <c r="U459" s="23">
        <f ca="1">IFERROR(__xludf.DUMMYFUNCTION("""COMPUTED_VALUE"""),-0.5658617435105)</f>
        <v>-0.5658617435105</v>
      </c>
      <c r="V459" s="23">
        <f ca="1">IFERROR(__xludf.DUMMYFUNCTION("""COMPUTED_VALUE"""),-0.743029389024094)</f>
        <v>-0.74302938902409399</v>
      </c>
      <c r="W459" s="23">
        <f ca="1">IFERROR(__xludf.DUMMYFUNCTION("""COMPUTED_VALUE"""),0.417948039719551)</f>
        <v>0.41794803971955102</v>
      </c>
      <c r="X459" s="23"/>
      <c r="Y459" s="23">
        <f ca="1">IFERROR(__xludf.DUMMYFUNCTION("""COMPUTED_VALUE"""),-0.844569794022289)</f>
        <v>-0.84456979402228904</v>
      </c>
      <c r="Z459" s="23">
        <f ca="1">IFERROR(__xludf.DUMMYFUNCTION("""COMPUTED_VALUE"""),-0.680277112675487)</f>
        <v>-0.68027711267548696</v>
      </c>
      <c r="AA459" s="23"/>
      <c r="AB459" s="23"/>
      <c r="AC459" s="22">
        <f ca="1">IFERROR(__xludf.DUMMYFUNCTION("""COMPUTED_VALUE"""),-0.477346648203186)</f>
        <v>-0.47734664820318601</v>
      </c>
      <c r="AD459" s="23">
        <f ca="1">IFERROR(__xludf.DUMMYFUNCTION("""COMPUTED_VALUE"""),-0.647069694392347)</f>
        <v>-0.64706969439234696</v>
      </c>
      <c r="AE459" s="23"/>
      <c r="AF459" s="22"/>
      <c r="AG459" s="22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</row>
    <row r="460" spans="1:45" ht="27.75" customHeight="1" x14ac:dyDescent="0.4">
      <c r="A460" s="15" t="s">
        <v>207</v>
      </c>
      <c r="B460" s="15" t="s">
        <v>240</v>
      </c>
      <c r="C460" s="15" t="str">
        <f ca="1">IFERROR(__xludf.DUMMYFUNCTION("""COMPUTED_VALUE"""),"2023/03/25 (土)
休日午後")</f>
        <v>2023/03/25 (土)
休日午後</v>
      </c>
      <c r="D460" s="15" t="str">
        <f ca="1">IFERROR(__xludf.DUMMYFUNCTION("""COMPUTED_VALUE"""),"休日午後")</f>
        <v>休日午後</v>
      </c>
      <c r="E460" s="16">
        <f ca="1">IFERROR(__xludf.DUMMYFUNCTION("""COMPUTED_VALUE"""),2.88992319194048)</f>
        <v>2.88992319194048</v>
      </c>
      <c r="F460" s="15" t="s">
        <v>18</v>
      </c>
      <c r="G460" s="32">
        <v>2</v>
      </c>
      <c r="H460" s="46" t="s">
        <v>18</v>
      </c>
      <c r="I460" s="27"/>
      <c r="J460" s="27" t="s">
        <v>252</v>
      </c>
      <c r="K460" s="23" t="b">
        <f ca="1">IFERROR(__xludf.DUMMYFUNCTION("""COMPUTED_VALUE"""),TRUE)</f>
        <v>1</v>
      </c>
      <c r="L460" s="22">
        <f ca="1">IFERROR(__xludf.DUMMYFUNCTION("""COMPUTED_VALUE"""),2.88992319194048)</f>
        <v>2.88992319194048</v>
      </c>
      <c r="M460" s="23">
        <f ca="1">IFERROR(__xludf.DUMMYFUNCTION("""COMPUTED_VALUE"""),-0.826644572533986)</f>
        <v>-0.82664457253398604</v>
      </c>
      <c r="N460" s="23">
        <f ca="1">IFERROR(__xludf.DUMMYFUNCTION("""COMPUTED_VALUE"""),-0.287090708515501)</f>
        <v>-0.287090708515501</v>
      </c>
      <c r="O460" s="23">
        <f ca="1">IFERROR(__xludf.DUMMYFUNCTION("""COMPUTED_VALUE"""),-0.818581947238456)</f>
        <v>-0.81858194723845601</v>
      </c>
      <c r="P460" s="23"/>
      <c r="Q460" s="24">
        <f ca="1">IFERROR(__xludf.DUMMYFUNCTION("""COMPUTED_VALUE"""),0.461131827746902)</f>
        <v>0.46113182774690198</v>
      </c>
      <c r="R460" s="23">
        <f ca="1">IFERROR(__xludf.DUMMYFUNCTION("""COMPUTED_VALUE"""),-0.631371767470373)</f>
        <v>-0.63137176747037305</v>
      </c>
      <c r="S460" s="23">
        <f ca="1">IFERROR(__xludf.DUMMYFUNCTION("""COMPUTED_VALUE"""),-0.294117785008971)</f>
        <v>-0.29411778500897101</v>
      </c>
      <c r="T460" s="23">
        <f ca="1">IFERROR(__xludf.DUMMYFUNCTION("""COMPUTED_VALUE"""),-0.404260025817099)</f>
        <v>-0.40426002581709902</v>
      </c>
      <c r="U460" s="23">
        <f ca="1">IFERROR(__xludf.DUMMYFUNCTION("""COMPUTED_VALUE"""),-0.728348376846264)</f>
        <v>-0.72834837684626397</v>
      </c>
      <c r="V460" s="23"/>
      <c r="W460" s="23">
        <f ca="1">IFERROR(__xludf.DUMMYFUNCTION("""COMPUTED_VALUE"""),0.533383256948912)</f>
        <v>0.53338325694891198</v>
      </c>
      <c r="X460" s="23"/>
      <c r="Y460" s="23">
        <f ca="1">IFERROR(__xludf.DUMMYFUNCTION("""COMPUTED_VALUE"""),-0.164679185475275)</f>
        <v>-0.16467918547527499</v>
      </c>
      <c r="Z460" s="23">
        <f ca="1">IFERROR(__xludf.DUMMYFUNCTION("""COMPUTED_VALUE"""),-0.256208548427598)</f>
        <v>-0.25620854842759799</v>
      </c>
      <c r="AA460" s="23"/>
      <c r="AB460" s="23"/>
      <c r="AC460" s="22">
        <f ca="1">IFERROR(__xludf.DUMMYFUNCTION("""COMPUTED_VALUE"""),-0.427328340271528)</f>
        <v>-0.427328340271528</v>
      </c>
      <c r="AD460" s="23">
        <f ca="1">IFERROR(__xludf.DUMMYFUNCTION("""COMPUTED_VALUE"""),-0.677448563549297)</f>
        <v>-0.67744856354929694</v>
      </c>
      <c r="AE460" s="23"/>
      <c r="AF460" s="22"/>
      <c r="AG460" s="22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</row>
    <row r="461" spans="1:45" ht="27.75" customHeight="1" x14ac:dyDescent="0.35">
      <c r="A461" s="15" t="s">
        <v>207</v>
      </c>
      <c r="B461" s="15" t="s">
        <v>240</v>
      </c>
      <c r="C461" s="15" t="str">
        <f ca="1">IFERROR(__xludf.DUMMYFUNCTION("""COMPUTED_VALUE"""),"2023/03/26 (日)
休日午前")</f>
        <v>2023/03/26 (日)
休日午前</v>
      </c>
      <c r="D461" s="15" t="str">
        <f ca="1">IFERROR(__xludf.DUMMYFUNCTION("""COMPUTED_VALUE"""),"休日午前")</f>
        <v>休日午前</v>
      </c>
      <c r="E461" s="16">
        <f ca="1">IFERROR(__xludf.DUMMYFUNCTION("""COMPUTED_VALUE"""),0.693640466428084)</f>
        <v>0.69364046642808397</v>
      </c>
      <c r="F461" s="15" t="s">
        <v>2</v>
      </c>
      <c r="G461" s="32">
        <v>0</v>
      </c>
      <c r="H461" s="27" t="s">
        <v>2</v>
      </c>
      <c r="I461" s="27"/>
      <c r="J461" s="27" t="s">
        <v>253</v>
      </c>
      <c r="K461" s="23" t="b">
        <f ca="1">IFERROR(__xludf.DUMMYFUNCTION("""COMPUTED_VALUE"""),FALSE)</f>
        <v>0</v>
      </c>
      <c r="L461" s="22">
        <f ca="1">IFERROR(__xludf.DUMMYFUNCTION("""COMPUTED_VALUE"""),-0.288271992721341)</f>
        <v>-0.28827199272134102</v>
      </c>
      <c r="M461" s="23">
        <f ca="1">IFERROR(__xludf.DUMMYFUNCTION("""COMPUTED_VALUE"""),-0.11070269875674)</f>
        <v>-0.11070269875674001</v>
      </c>
      <c r="N461" s="23">
        <f ca="1">IFERROR(__xludf.DUMMYFUNCTION("""COMPUTED_VALUE"""),0.360345969753801)</f>
        <v>0.36034596975380101</v>
      </c>
      <c r="O461" s="23">
        <f ca="1">IFERROR(__xludf.DUMMYFUNCTION("""COMPUTED_VALUE"""),-0.284554580770351)</f>
        <v>-0.28455458077035101</v>
      </c>
      <c r="P461" s="23"/>
      <c r="Q461" s="24"/>
      <c r="R461" s="23">
        <f ca="1">IFERROR(__xludf.DUMMYFUNCTION("""COMPUTED_VALUE"""),-0.295424921658834)</f>
        <v>-0.29542492165883399</v>
      </c>
      <c r="S461" s="23">
        <f ca="1">IFERROR(__xludf.DUMMYFUNCTION("""COMPUTED_VALUE"""),-0.278973987605585)</f>
        <v>-0.27897398760558501</v>
      </c>
      <c r="T461" s="23">
        <f ca="1">IFERROR(__xludf.DUMMYFUNCTION("""COMPUTED_VALUE"""),-0.780627683703525)</f>
        <v>-0.78062768370352498</v>
      </c>
      <c r="U461" s="23">
        <f ca="1">IFERROR(__xludf.DUMMYFUNCTION("""COMPUTED_VALUE"""),-0.0712507034553735)</f>
        <v>-7.1250703455373501E-2</v>
      </c>
      <c r="V461" s="23"/>
      <c r="W461" s="23">
        <f ca="1">IFERROR(__xludf.DUMMYFUNCTION("""COMPUTED_VALUE"""),0.0071681605784184)</f>
        <v>7.1681605784183998E-3</v>
      </c>
      <c r="X461" s="23"/>
      <c r="Y461" s="23">
        <f ca="1">IFERROR(__xludf.DUMMYFUNCTION("""COMPUTED_VALUE"""),-0.940027238204568)</f>
        <v>-0.94002723820456802</v>
      </c>
      <c r="Z461" s="23"/>
      <c r="AA461" s="23"/>
      <c r="AB461" s="23"/>
      <c r="AC461" s="22">
        <f ca="1">IFERROR(__xludf.DUMMYFUNCTION("""COMPUTED_VALUE"""),-0.0121879672093121)</f>
        <v>-1.21879672093121E-2</v>
      </c>
      <c r="AD461" s="23">
        <f ca="1">IFERROR(__xludf.DUMMYFUNCTION("""COMPUTED_VALUE"""),0.1502236345515)</f>
        <v>0.15022363455150001</v>
      </c>
      <c r="AE461" s="23"/>
      <c r="AF461" s="22"/>
      <c r="AG461" s="22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</row>
    <row r="462" spans="1:45" ht="27.75" customHeight="1" x14ac:dyDescent="0.35">
      <c r="A462" s="15" t="s">
        <v>207</v>
      </c>
      <c r="B462" s="15" t="s">
        <v>240</v>
      </c>
      <c r="C462" s="15" t="str">
        <f ca="1">IFERROR(__xludf.DUMMYFUNCTION("""COMPUTED_VALUE"""),"2023/03/26 (日)
休日午後")</f>
        <v>2023/03/26 (日)
休日午後</v>
      </c>
      <c r="D462" s="15" t="str">
        <f ca="1">IFERROR(__xludf.DUMMYFUNCTION("""COMPUTED_VALUE"""),"休日午後")</f>
        <v>休日午後</v>
      </c>
      <c r="E462" s="16">
        <f ca="1">IFERROR(__xludf.DUMMYFUNCTION("""COMPUTED_VALUE"""),2.85411079891592)</f>
        <v>2.85411079891592</v>
      </c>
      <c r="F462" s="15" t="s">
        <v>3</v>
      </c>
      <c r="G462" s="32">
        <v>2</v>
      </c>
      <c r="H462" s="27" t="s">
        <v>3</v>
      </c>
      <c r="I462" s="27"/>
      <c r="J462" s="27" t="s">
        <v>253</v>
      </c>
      <c r="K462" s="23" t="b">
        <f ca="1">IFERROR(__xludf.DUMMYFUNCTION("""COMPUTED_VALUE"""),TRUE)</f>
        <v>1</v>
      </c>
      <c r="L462" s="22">
        <f ca="1">IFERROR(__xludf.DUMMYFUNCTION("""COMPUTED_VALUE"""),-0.535595281510044)</f>
        <v>-0.53559528151004399</v>
      </c>
      <c r="M462" s="23">
        <f ca="1">IFERROR(__xludf.DUMMYFUNCTION("""COMPUTED_VALUE"""),-0.573645992706424)</f>
        <v>-0.57364599270642402</v>
      </c>
      <c r="N462" s="23">
        <f ca="1">IFERROR(__xludf.DUMMYFUNCTION("""COMPUTED_VALUE"""),0.183165284042884)</f>
        <v>0.18316528404288401</v>
      </c>
      <c r="O462" s="23">
        <f ca="1">IFERROR(__xludf.DUMMYFUNCTION("""COMPUTED_VALUE"""),-0.657439493159013)</f>
        <v>-0.65743949315901296</v>
      </c>
      <c r="P462" s="23"/>
      <c r="Q462" s="24"/>
      <c r="R462" s="23"/>
      <c r="S462" s="23">
        <f ca="1">IFERROR(__xludf.DUMMYFUNCTION("""COMPUTED_VALUE"""),-0.539223669493516)</f>
        <v>-0.53922366949351597</v>
      </c>
      <c r="T462" s="23">
        <f ca="1">IFERROR(__xludf.DUMMYFUNCTION("""COMPUTED_VALUE"""),-0.604285863272769)</f>
        <v>-0.60428586327276901</v>
      </c>
      <c r="U462" s="23">
        <f ca="1">IFERROR(__xludf.DUMMYFUNCTION("""COMPUTED_VALUE"""),-0.578185586396743)</f>
        <v>-0.578185586396743</v>
      </c>
      <c r="V462" s="23"/>
      <c r="W462" s="23">
        <f ca="1">IFERROR(__xludf.DUMMYFUNCTION("""COMPUTED_VALUE"""),0.592233314533283)</f>
        <v>0.59223331453328298</v>
      </c>
      <c r="X462" s="23"/>
      <c r="Y462" s="23">
        <f ca="1">IFERROR(__xludf.DUMMYFUNCTION("""COMPUTED_VALUE"""),-0.760277163317604)</f>
        <v>-0.76027716331760398</v>
      </c>
      <c r="Z462" s="23"/>
      <c r="AA462" s="23"/>
      <c r="AB462" s="23"/>
      <c r="AC462" s="22">
        <f ca="1">IFERROR(__xludf.DUMMYFUNCTION("""COMPUTED_VALUE"""),-0.63223049772625)</f>
        <v>-0.63223049772624995</v>
      </c>
      <c r="AD462" s="23">
        <f ca="1">IFERROR(__xludf.DUMMYFUNCTION("""COMPUTED_VALUE"""),2.85411079891592)</f>
        <v>2.85411079891592</v>
      </c>
      <c r="AE462" s="23"/>
      <c r="AF462" s="22"/>
      <c r="AG462" s="22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</row>
    <row r="463" spans="1:45" ht="27.75" customHeight="1" x14ac:dyDescent="0.4">
      <c r="A463" s="15" t="s">
        <v>207</v>
      </c>
      <c r="B463" s="15" t="s">
        <v>240</v>
      </c>
      <c r="C463" s="15" t="str">
        <f ca="1">IFERROR(__xludf.DUMMYFUNCTION("""COMPUTED_VALUE"""),"2023/03/27 (月)
平日夜間")</f>
        <v>2023/03/27 (月)
平日夜間</v>
      </c>
      <c r="D463" s="15" t="str">
        <f ca="1">IFERROR(__xludf.DUMMYFUNCTION("""COMPUTED_VALUE"""),"平日夜間")</f>
        <v>平日夜間</v>
      </c>
      <c r="E463" s="16">
        <f ca="1">IFERROR(__xludf.DUMMYFUNCTION("""COMPUTED_VALUE"""),2.13562842281994)</f>
        <v>2.13562842281994</v>
      </c>
      <c r="F463" s="15" t="s">
        <v>4</v>
      </c>
      <c r="G463" s="32">
        <v>-1</v>
      </c>
      <c r="H463" s="46" t="s">
        <v>6</v>
      </c>
      <c r="I463" s="27"/>
      <c r="J463" s="27" t="s">
        <v>254</v>
      </c>
      <c r="K463" s="23" t="b">
        <f ca="1">IFERROR(__xludf.DUMMYFUNCTION("""COMPUTED_VALUE"""),TRUE)</f>
        <v>1</v>
      </c>
      <c r="L463" s="22">
        <f ca="1">IFERROR(__xludf.DUMMYFUNCTION("""COMPUTED_VALUE"""),0.370736911063499)</f>
        <v>0.37073691106349899</v>
      </c>
      <c r="M463" s="23">
        <f ca="1">IFERROR(__xludf.DUMMYFUNCTION("""COMPUTED_VALUE"""),2.13562842281994)</f>
        <v>2.13562842281994</v>
      </c>
      <c r="N463" s="23">
        <f ca="1">IFERROR(__xludf.DUMMYFUNCTION("""COMPUTED_VALUE"""),0.0158955412003518)</f>
        <v>1.58955412003518E-2</v>
      </c>
      <c r="O463" s="23">
        <f ca="1">IFERROR(__xludf.DUMMYFUNCTION("""COMPUTED_VALUE"""),-0.475941133340389)</f>
        <v>-0.47594113334038901</v>
      </c>
      <c r="P463" s="23"/>
      <c r="Q463" s="24"/>
      <c r="R463" s="23"/>
      <c r="S463" s="23">
        <f ca="1">IFERROR(__xludf.DUMMYFUNCTION("""COMPUTED_VALUE"""),0.519097720046666)</f>
        <v>0.51909772004666599</v>
      </c>
      <c r="T463" s="23">
        <f ca="1">IFERROR(__xludf.DUMMYFUNCTION("""COMPUTED_VALUE"""),0.869137944236517)</f>
        <v>0.86913794423651702</v>
      </c>
      <c r="U463" s="23">
        <f ca="1">IFERROR(__xludf.DUMMYFUNCTION("""COMPUTED_VALUE"""),0.203574025137032)</f>
        <v>0.20357402513703199</v>
      </c>
      <c r="V463" s="23"/>
      <c r="W463" s="23">
        <f ca="1">IFERROR(__xludf.DUMMYFUNCTION("""COMPUTED_VALUE"""),0.739543100403627)</f>
        <v>0.73954310040362703</v>
      </c>
      <c r="X463" s="23"/>
      <c r="Y463" s="23">
        <f ca="1">IFERROR(__xludf.DUMMYFUNCTION("""COMPUTED_VALUE"""),0.968686434440163)</f>
        <v>0.968686434440163</v>
      </c>
      <c r="Z463" s="23"/>
      <c r="AA463" s="23"/>
      <c r="AB463" s="23"/>
      <c r="AC463" s="22">
        <f ca="1">IFERROR(__xludf.DUMMYFUNCTION("""COMPUTED_VALUE"""),-0.396614405937379)</f>
        <v>-0.39661440593737901</v>
      </c>
      <c r="AD463" s="23"/>
      <c r="AE463" s="23"/>
      <c r="AF463" s="22"/>
      <c r="AG463" s="22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</row>
    <row r="464" spans="1:45" ht="27.75" customHeight="1" x14ac:dyDescent="0.4">
      <c r="A464" s="15" t="s">
        <v>207</v>
      </c>
      <c r="B464" s="15" t="s">
        <v>240</v>
      </c>
      <c r="C464" s="15" t="str">
        <f ca="1">IFERROR(__xludf.DUMMYFUNCTION("""COMPUTED_VALUE"""),"2023/03/28 (火)
平日夜間")</f>
        <v>2023/03/28 (火)
平日夜間</v>
      </c>
      <c r="D464" s="15" t="str">
        <f ca="1">IFERROR(__xludf.DUMMYFUNCTION("""COMPUTED_VALUE"""),"平日夜間")</f>
        <v>平日夜間</v>
      </c>
      <c r="E464" s="16">
        <f ca="1">IFERROR(__xludf.DUMMYFUNCTION("""COMPUTED_VALUE"""),2.31307680648754)</f>
        <v>2.31307680648754</v>
      </c>
      <c r="F464" s="15" t="s">
        <v>14</v>
      </c>
      <c r="G464" s="32">
        <v>2</v>
      </c>
      <c r="H464" s="46" t="s">
        <v>14</v>
      </c>
      <c r="I464" s="27"/>
      <c r="J464" s="27" t="s">
        <v>255</v>
      </c>
      <c r="K464" s="23" t="b">
        <f ca="1">IFERROR(__xludf.DUMMYFUNCTION("""COMPUTED_VALUE"""),TRUE)</f>
        <v>1</v>
      </c>
      <c r="L464" s="22">
        <f ca="1">IFERROR(__xludf.DUMMYFUNCTION("""COMPUTED_VALUE"""),2.28840904024877)</f>
        <v>2.2884090402487698</v>
      </c>
      <c r="M464" s="23">
        <f ca="1">IFERROR(__xludf.DUMMYFUNCTION("""COMPUTED_VALUE"""),-0.800179661844075)</f>
        <v>-0.80017966184407496</v>
      </c>
      <c r="N464" s="23">
        <f ca="1">IFERROR(__xludf.DUMMYFUNCTION("""COMPUTED_VALUE"""),0.696775062058268)</f>
        <v>0.696775062058268</v>
      </c>
      <c r="O464" s="23">
        <f ca="1">IFERROR(__xludf.DUMMYFUNCTION("""COMPUTED_VALUE"""),-0.0689192713442299)</f>
        <v>-6.8919271344229899E-2</v>
      </c>
      <c r="P464" s="23"/>
      <c r="Q464" s="24"/>
      <c r="R464" s="23"/>
      <c r="S464" s="23">
        <f ca="1">IFERROR(__xludf.DUMMYFUNCTION("""COMPUTED_VALUE"""),0.399202417183453)</f>
        <v>0.39920241718345301</v>
      </c>
      <c r="T464" s="23">
        <f ca="1">IFERROR(__xludf.DUMMYFUNCTION("""COMPUTED_VALUE"""),0.56460942873711)</f>
        <v>0.56460942873710995</v>
      </c>
      <c r="U464" s="23">
        <f ca="1">IFERROR(__xludf.DUMMYFUNCTION("""COMPUTED_VALUE"""),0.0714245204174339)</f>
        <v>7.1424520417433898E-2</v>
      </c>
      <c r="V464" s="23"/>
      <c r="W464" s="23"/>
      <c r="X464" s="23"/>
      <c r="Y464" s="23">
        <f ca="1">IFERROR(__xludf.DUMMYFUNCTION("""COMPUTED_VALUE"""),2.31307680648754)</f>
        <v>2.31307680648754</v>
      </c>
      <c r="Z464" s="23"/>
      <c r="AA464" s="23"/>
      <c r="AB464" s="23"/>
      <c r="AC464" s="22">
        <f ca="1">IFERROR(__xludf.DUMMYFUNCTION("""COMPUTED_VALUE"""),-0.481955259660647)</f>
        <v>-0.48195525966064701</v>
      </c>
      <c r="AD464" s="23"/>
      <c r="AE464" s="23"/>
      <c r="AF464" s="22"/>
      <c r="AG464" s="22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</row>
    <row r="465" spans="1:45" ht="27.75" customHeight="1" x14ac:dyDescent="0.35">
      <c r="A465" s="15" t="s">
        <v>207</v>
      </c>
      <c r="B465" s="15" t="s">
        <v>240</v>
      </c>
      <c r="C465" s="15" t="str">
        <f ca="1">IFERROR(__xludf.DUMMYFUNCTION("""COMPUTED_VALUE"""),"2023/03/29 (水)
平日夜間")</f>
        <v>2023/03/29 (水)
平日夜間</v>
      </c>
      <c r="D465" s="15" t="str">
        <f ca="1">IFERROR(__xludf.DUMMYFUNCTION("""COMPUTED_VALUE"""),"平日夜間")</f>
        <v>平日夜間</v>
      </c>
      <c r="E465" s="16">
        <f ca="1">IFERROR(__xludf.DUMMYFUNCTION("""COMPUTED_VALUE"""),0.66805337645975)</f>
        <v>0.66805337645975005</v>
      </c>
      <c r="F465" s="15" t="s">
        <v>11</v>
      </c>
      <c r="G465" s="32">
        <v>0</v>
      </c>
      <c r="H465" s="27" t="s">
        <v>8</v>
      </c>
      <c r="I465" s="27"/>
      <c r="J465" s="27" t="s">
        <v>256</v>
      </c>
      <c r="K465" s="23" t="b">
        <f ca="1">IFERROR(__xludf.DUMMYFUNCTION("""COMPUTED_VALUE"""),FALSE)</f>
        <v>0</v>
      </c>
      <c r="L465" s="22">
        <f ca="1">IFERROR(__xludf.DUMMYFUNCTION("""COMPUTED_VALUE"""),-0.384806330197652)</f>
        <v>-0.38480633019765198</v>
      </c>
      <c r="M465" s="23">
        <f ca="1">IFERROR(__xludf.DUMMYFUNCTION("""COMPUTED_VALUE"""),-0.567315399945943)</f>
        <v>-0.56731539994594304</v>
      </c>
      <c r="N465" s="23">
        <f ca="1">IFERROR(__xludf.DUMMYFUNCTION("""COMPUTED_VALUE"""),0.120344849887768)</f>
        <v>0.120344849887768</v>
      </c>
      <c r="O465" s="23">
        <f ca="1">IFERROR(__xludf.DUMMYFUNCTION("""COMPUTED_VALUE"""),-0.457408918728124)</f>
        <v>-0.457408918728124</v>
      </c>
      <c r="P465" s="23"/>
      <c r="Q465" s="24"/>
      <c r="R465" s="23"/>
      <c r="S465" s="23">
        <f ca="1">IFERROR(__xludf.DUMMYFUNCTION("""COMPUTED_VALUE"""),0.0852913814676492)</f>
        <v>8.5291381467649197E-2</v>
      </c>
      <c r="T465" s="23">
        <f ca="1">IFERROR(__xludf.DUMMYFUNCTION("""COMPUTED_VALUE"""),0.66805337645975)</f>
        <v>0.66805337645975005</v>
      </c>
      <c r="U465" s="23">
        <f ca="1">IFERROR(__xludf.DUMMYFUNCTION("""COMPUTED_VALUE"""),0.596484749997498)</f>
        <v>0.59648474999749801</v>
      </c>
      <c r="V465" s="23"/>
      <c r="W465" s="23"/>
      <c r="X465" s="23"/>
      <c r="Y465" s="23">
        <f ca="1">IFERROR(__xludf.DUMMYFUNCTION("""COMPUTED_VALUE"""),0.230110956921226)</f>
        <v>0.23011095692122599</v>
      </c>
      <c r="Z465" s="23"/>
      <c r="AA465" s="23"/>
      <c r="AB465" s="23"/>
      <c r="AC465" s="22">
        <f ca="1">IFERROR(__xludf.DUMMYFUNCTION("""COMPUTED_VALUE"""),-0.785098890813714)</f>
        <v>-0.78509889081371398</v>
      </c>
      <c r="AD465" s="23"/>
      <c r="AE465" s="23"/>
      <c r="AF465" s="22"/>
      <c r="AG465" s="22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</row>
    <row r="466" spans="1:45" ht="27.75" customHeight="1" x14ac:dyDescent="0.35">
      <c r="A466" s="15" t="s">
        <v>207</v>
      </c>
      <c r="B466" s="15" t="s">
        <v>240</v>
      </c>
      <c r="C466" s="15" t="str">
        <f ca="1">IFERROR(__xludf.DUMMYFUNCTION("""COMPUTED_VALUE"""),"2023/03/30 (木)
平日夜間")</f>
        <v>2023/03/30 (木)
平日夜間</v>
      </c>
      <c r="D466" s="15" t="str">
        <f ca="1">IFERROR(__xludf.DUMMYFUNCTION("""COMPUTED_VALUE"""),"平日夜間")</f>
        <v>平日夜間</v>
      </c>
      <c r="E466" s="16">
        <f ca="1">IFERROR(__xludf.DUMMYFUNCTION("""COMPUTED_VALUE"""),0.841827361518043)</f>
        <v>0.84182736151804305</v>
      </c>
      <c r="F466" s="15" t="s">
        <v>14</v>
      </c>
      <c r="G466" s="32"/>
      <c r="H466" s="27" t="s">
        <v>5</v>
      </c>
      <c r="I466" s="27"/>
      <c r="J466" s="27"/>
      <c r="K466" s="23" t="b">
        <f ca="1">IFERROR(__xludf.DUMMYFUNCTION("""COMPUTED_VALUE"""),FALSE)</f>
        <v>0</v>
      </c>
      <c r="L466" s="22">
        <f ca="1">IFERROR(__xludf.DUMMYFUNCTION("""COMPUTED_VALUE"""),-0.262723874260335)</f>
        <v>-0.262723874260335</v>
      </c>
      <c r="M466" s="23">
        <f ca="1">IFERROR(__xludf.DUMMYFUNCTION("""COMPUTED_VALUE"""),-0.597361417981157)</f>
        <v>-0.59736141798115705</v>
      </c>
      <c r="N466" s="23">
        <f ca="1">IFERROR(__xludf.DUMMYFUNCTION("""COMPUTED_VALUE"""),0.0290609566125767)</f>
        <v>2.90609566125767E-2</v>
      </c>
      <c r="O466" s="23">
        <f ca="1">IFERROR(__xludf.DUMMYFUNCTION("""COMPUTED_VALUE"""),-0.0993539680839692)</f>
        <v>-9.9353968083969194E-2</v>
      </c>
      <c r="P466" s="23"/>
      <c r="Q466" s="24"/>
      <c r="R466" s="23"/>
      <c r="S466" s="23">
        <f ca="1">IFERROR(__xludf.DUMMYFUNCTION("""COMPUTED_VALUE"""),0.323102489727542)</f>
        <v>0.32310248972754202</v>
      </c>
      <c r="T466" s="23">
        <f ca="1">IFERROR(__xludf.DUMMYFUNCTION("""COMPUTED_VALUE"""),0.841750255297211)</f>
        <v>0.84175025529721104</v>
      </c>
      <c r="U466" s="23">
        <f ca="1">IFERROR(__xludf.DUMMYFUNCTION("""COMPUTED_VALUE"""),-0.0287271205474273)</f>
        <v>-2.87271205474273E-2</v>
      </c>
      <c r="V466" s="23"/>
      <c r="W466" s="23"/>
      <c r="X466" s="23"/>
      <c r="Y466" s="23">
        <f ca="1">IFERROR(__xludf.DUMMYFUNCTION("""COMPUTED_VALUE"""),0.841827361518043)</f>
        <v>0.84182736151804305</v>
      </c>
      <c r="Z466" s="23"/>
      <c r="AA466" s="23"/>
      <c r="AB466" s="23"/>
      <c r="AC466" s="22">
        <f ca="1">IFERROR(__xludf.DUMMYFUNCTION("""COMPUTED_VALUE"""),-0.453270409060739)</f>
        <v>-0.45327040906073901</v>
      </c>
      <c r="AD466" s="23"/>
      <c r="AE466" s="23"/>
      <c r="AF466" s="22"/>
      <c r="AG466" s="22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</row>
    <row r="467" spans="1:45" ht="27.75" customHeight="1" x14ac:dyDescent="0.35">
      <c r="A467" s="15" t="s">
        <v>207</v>
      </c>
      <c r="B467" s="15" t="s">
        <v>240</v>
      </c>
      <c r="C467" s="15" t="str">
        <f ca="1">IFERROR(__xludf.DUMMYFUNCTION("""COMPUTED_VALUE"""),"2023/03/31 (金)
平日夜間")</f>
        <v>2023/03/31 (金)
平日夜間</v>
      </c>
      <c r="D467" s="15" t="str">
        <f ca="1">IFERROR(__xludf.DUMMYFUNCTION("""COMPUTED_VALUE"""),"平日夜間")</f>
        <v>平日夜間</v>
      </c>
      <c r="E467" s="16">
        <f ca="1">IFERROR(__xludf.DUMMYFUNCTION("""COMPUTED_VALUE"""),1.2079165322998)</f>
        <v>1.2079165322998</v>
      </c>
      <c r="F467" s="15" t="s">
        <v>11</v>
      </c>
      <c r="G467" s="32">
        <v>1</v>
      </c>
      <c r="H467" s="27" t="s">
        <v>11</v>
      </c>
      <c r="I467" s="27"/>
      <c r="J467" s="27"/>
      <c r="K467" s="23" t="b">
        <f ca="1">IFERROR(__xludf.DUMMYFUNCTION("""COMPUTED_VALUE"""),FALSE)</f>
        <v>0</v>
      </c>
      <c r="L467" s="22">
        <f ca="1">IFERROR(__xludf.DUMMYFUNCTION("""COMPUTED_VALUE"""),0.898899052229087)</f>
        <v>0.89889905222908695</v>
      </c>
      <c r="M467" s="23">
        <f ca="1">IFERROR(__xludf.DUMMYFUNCTION("""COMPUTED_VALUE"""),-0.305096182881164)</f>
        <v>-0.30509618288116402</v>
      </c>
      <c r="N467" s="23">
        <f ca="1">IFERROR(__xludf.DUMMYFUNCTION("""COMPUTED_VALUE"""),-0.926822382035093)</f>
        <v>-0.92682238203509304</v>
      </c>
      <c r="O467" s="23">
        <f ca="1">IFERROR(__xludf.DUMMYFUNCTION("""COMPUTED_VALUE"""),-0.595297807861891)</f>
        <v>-0.59529780786189102</v>
      </c>
      <c r="P467" s="23"/>
      <c r="Q467" s="24"/>
      <c r="R467" s="23"/>
      <c r="S467" s="23">
        <f ca="1">IFERROR(__xludf.DUMMYFUNCTION("""COMPUTED_VALUE"""),-0.149993703246997)</f>
        <v>-0.14999370324699701</v>
      </c>
      <c r="T467" s="23">
        <f ca="1">IFERROR(__xludf.DUMMYFUNCTION("""COMPUTED_VALUE"""),1.2079165322998)</f>
        <v>1.2079165322998</v>
      </c>
      <c r="U467" s="23">
        <f ca="1">IFERROR(__xludf.DUMMYFUNCTION("""COMPUTED_VALUE"""),-0.327893042890677)</f>
        <v>-0.327893042890677</v>
      </c>
      <c r="V467" s="23"/>
      <c r="W467" s="23"/>
      <c r="X467" s="23"/>
      <c r="Y467" s="23">
        <f ca="1">IFERROR(__xludf.DUMMYFUNCTION("""COMPUTED_VALUE"""),0.476536223940029)</f>
        <v>0.47653622394002898</v>
      </c>
      <c r="Z467" s="23"/>
      <c r="AA467" s="23"/>
      <c r="AB467" s="23"/>
      <c r="AC467" s="22">
        <f ca="1">IFERROR(__xludf.DUMMYFUNCTION("""COMPUTED_VALUE"""),-0.826963357289476)</f>
        <v>-0.82696335728947601</v>
      </c>
      <c r="AD467" s="23"/>
      <c r="AE467" s="23"/>
      <c r="AF467" s="22"/>
      <c r="AG467" s="22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</row>
    <row r="468" spans="1:45" ht="27.75" customHeight="1" x14ac:dyDescent="0.35">
      <c r="A468" s="15" t="s">
        <v>257</v>
      </c>
      <c r="B468" s="15" t="s">
        <v>257</v>
      </c>
      <c r="C468" s="15"/>
      <c r="D468" s="15"/>
      <c r="E468" s="16"/>
      <c r="F468" s="15" t="s">
        <v>257</v>
      </c>
      <c r="G468" s="32"/>
      <c r="H468" s="27"/>
      <c r="I468" s="27"/>
      <c r="J468" s="27"/>
      <c r="K468" s="23" t="str">
        <f ca="1">IFERROR(__xludf.DUMMYFUNCTION("""COMPUTED_VALUE"""),"")</f>
        <v/>
      </c>
      <c r="L468" s="22"/>
      <c r="M468" s="23"/>
      <c r="N468" s="23"/>
      <c r="O468" s="23"/>
      <c r="P468" s="23"/>
      <c r="Q468" s="24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2"/>
      <c r="AD468" s="23"/>
      <c r="AE468" s="23"/>
      <c r="AF468" s="22"/>
      <c r="AG468" s="22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</row>
    <row r="469" spans="1:45" ht="27.75" customHeight="1" x14ac:dyDescent="0.35">
      <c r="A469" s="15" t="s">
        <v>257</v>
      </c>
      <c r="B469" s="15" t="s">
        <v>257</v>
      </c>
      <c r="C469" s="15"/>
      <c r="D469" s="15"/>
      <c r="E469" s="16"/>
      <c r="F469" s="15" t="s">
        <v>257</v>
      </c>
      <c r="G469" s="32"/>
      <c r="H469" s="27"/>
      <c r="I469" s="27"/>
      <c r="J469" s="27"/>
      <c r="K469" s="23" t="str">
        <f ca="1">IFERROR(__xludf.DUMMYFUNCTION("""COMPUTED_VALUE"""),"")</f>
        <v/>
      </c>
      <c r="L469" s="22"/>
      <c r="M469" s="23"/>
      <c r="N469" s="23"/>
      <c r="O469" s="23"/>
      <c r="P469" s="23"/>
      <c r="Q469" s="24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2"/>
      <c r="AD469" s="23"/>
      <c r="AE469" s="23"/>
      <c r="AF469" s="22"/>
      <c r="AG469" s="22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</row>
    <row r="470" spans="1:45" ht="27.75" customHeight="1" x14ac:dyDescent="0.35">
      <c r="A470" s="15" t="s">
        <v>257</v>
      </c>
      <c r="B470" s="15" t="s">
        <v>257</v>
      </c>
      <c r="C470" s="15"/>
      <c r="D470" s="15"/>
      <c r="E470" s="16"/>
      <c r="F470" s="15" t="s">
        <v>257</v>
      </c>
      <c r="G470" s="32"/>
      <c r="H470" s="27"/>
      <c r="I470" s="27"/>
      <c r="J470" s="27"/>
      <c r="K470" s="23" t="str">
        <f ca="1">IFERROR(__xludf.DUMMYFUNCTION("""COMPUTED_VALUE"""),"")</f>
        <v/>
      </c>
      <c r="L470" s="22"/>
      <c r="M470" s="23"/>
      <c r="N470" s="23"/>
      <c r="O470" s="23"/>
      <c r="P470" s="23"/>
      <c r="Q470" s="24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2"/>
      <c r="AD470" s="23"/>
      <c r="AE470" s="23"/>
      <c r="AF470" s="22"/>
      <c r="AG470" s="22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</row>
    <row r="471" spans="1:45" ht="27.75" customHeight="1" x14ac:dyDescent="0.35">
      <c r="A471" s="15" t="s">
        <v>257</v>
      </c>
      <c r="B471" s="15" t="s">
        <v>257</v>
      </c>
      <c r="C471" s="15"/>
      <c r="D471" s="15"/>
      <c r="E471" s="16"/>
      <c r="F471" s="15" t="s">
        <v>257</v>
      </c>
      <c r="G471" s="32"/>
      <c r="H471" s="27"/>
      <c r="I471" s="27"/>
      <c r="J471" s="27"/>
      <c r="K471" s="23" t="str">
        <f ca="1">IFERROR(__xludf.DUMMYFUNCTION("""COMPUTED_VALUE"""),"")</f>
        <v/>
      </c>
      <c r="L471" s="22"/>
      <c r="M471" s="23"/>
      <c r="N471" s="23"/>
      <c r="O471" s="23"/>
      <c r="P471" s="23"/>
      <c r="Q471" s="24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2"/>
      <c r="AD471" s="23"/>
      <c r="AE471" s="23"/>
      <c r="AF471" s="22"/>
      <c r="AG471" s="22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</row>
    <row r="472" spans="1:45" ht="27.75" customHeight="1" x14ac:dyDescent="0.35">
      <c r="A472" s="15" t="s">
        <v>257</v>
      </c>
      <c r="B472" s="15" t="s">
        <v>257</v>
      </c>
      <c r="C472" s="15"/>
      <c r="D472" s="15"/>
      <c r="E472" s="16"/>
      <c r="F472" s="15" t="s">
        <v>257</v>
      </c>
      <c r="G472" s="32"/>
      <c r="H472" s="27"/>
      <c r="I472" s="27"/>
      <c r="J472" s="27"/>
      <c r="K472" s="23" t="str">
        <f ca="1">IFERROR(__xludf.DUMMYFUNCTION("""COMPUTED_VALUE"""),"")</f>
        <v/>
      </c>
      <c r="L472" s="22"/>
      <c r="M472" s="23"/>
      <c r="N472" s="23"/>
      <c r="O472" s="23"/>
      <c r="P472" s="23"/>
      <c r="Q472" s="24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2"/>
      <c r="AD472" s="23"/>
      <c r="AE472" s="23"/>
      <c r="AF472" s="22"/>
      <c r="AG472" s="22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</row>
    <row r="473" spans="1:45" ht="27.75" customHeight="1" x14ac:dyDescent="0.35">
      <c r="A473" s="15" t="s">
        <v>257</v>
      </c>
      <c r="B473" s="15" t="s">
        <v>257</v>
      </c>
      <c r="C473" s="15"/>
      <c r="D473" s="15"/>
      <c r="E473" s="16"/>
      <c r="F473" s="15" t="s">
        <v>257</v>
      </c>
      <c r="G473" s="32"/>
      <c r="H473" s="27"/>
      <c r="I473" s="27"/>
      <c r="J473" s="27"/>
      <c r="K473" s="23" t="str">
        <f ca="1">IFERROR(__xludf.DUMMYFUNCTION("""COMPUTED_VALUE"""),"")</f>
        <v/>
      </c>
      <c r="L473" s="22"/>
      <c r="M473" s="23"/>
      <c r="N473" s="23"/>
      <c r="O473" s="23"/>
      <c r="P473" s="23"/>
      <c r="Q473" s="24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2"/>
      <c r="AD473" s="23"/>
      <c r="AE473" s="23"/>
      <c r="AF473" s="22"/>
      <c r="AG473" s="22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</row>
    <row r="474" spans="1:45" ht="27.75" customHeight="1" x14ac:dyDescent="0.35">
      <c r="A474" s="15" t="s">
        <v>257</v>
      </c>
      <c r="B474" s="15" t="s">
        <v>257</v>
      </c>
      <c r="C474" s="15"/>
      <c r="D474" s="15"/>
      <c r="E474" s="16"/>
      <c r="F474" s="15" t="s">
        <v>257</v>
      </c>
      <c r="G474" s="32"/>
      <c r="H474" s="27"/>
      <c r="I474" s="27"/>
      <c r="J474" s="27"/>
      <c r="K474" s="23" t="str">
        <f ca="1">IFERROR(__xludf.DUMMYFUNCTION("""COMPUTED_VALUE"""),"")</f>
        <v/>
      </c>
      <c r="L474" s="22"/>
      <c r="M474" s="23"/>
      <c r="N474" s="23"/>
      <c r="O474" s="23"/>
      <c r="P474" s="23"/>
      <c r="Q474" s="24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2"/>
      <c r="AD474" s="23"/>
      <c r="AE474" s="23"/>
      <c r="AF474" s="22"/>
      <c r="AG474" s="22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</row>
    <row r="475" spans="1:45" ht="27.75" customHeight="1" x14ac:dyDescent="0.35">
      <c r="A475" s="15" t="s">
        <v>257</v>
      </c>
      <c r="B475" s="15" t="s">
        <v>257</v>
      </c>
      <c r="C475" s="15"/>
      <c r="D475" s="15"/>
      <c r="E475" s="16"/>
      <c r="F475" s="15" t="s">
        <v>257</v>
      </c>
      <c r="G475" s="32"/>
      <c r="H475" s="27"/>
      <c r="I475" s="27"/>
      <c r="J475" s="27"/>
      <c r="K475" s="23" t="str">
        <f ca="1">IFERROR(__xludf.DUMMYFUNCTION("""COMPUTED_VALUE"""),"")</f>
        <v/>
      </c>
      <c r="L475" s="22"/>
      <c r="M475" s="23"/>
      <c r="N475" s="23"/>
      <c r="O475" s="23"/>
      <c r="P475" s="23"/>
      <c r="Q475" s="24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2"/>
      <c r="AD475" s="23"/>
      <c r="AE475" s="23"/>
      <c r="AF475" s="22"/>
      <c r="AG475" s="22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</row>
    <row r="476" spans="1:45" ht="27.75" customHeight="1" x14ac:dyDescent="0.35">
      <c r="A476" s="15" t="s">
        <v>257</v>
      </c>
      <c r="B476" s="15" t="s">
        <v>257</v>
      </c>
      <c r="C476" s="15"/>
      <c r="D476" s="15"/>
      <c r="E476" s="16"/>
      <c r="F476" s="15" t="s">
        <v>257</v>
      </c>
      <c r="G476" s="32"/>
      <c r="H476" s="27"/>
      <c r="I476" s="27"/>
      <c r="J476" s="27"/>
      <c r="K476" s="23" t="str">
        <f ca="1">IFERROR(__xludf.DUMMYFUNCTION("""COMPUTED_VALUE"""),"")</f>
        <v/>
      </c>
      <c r="L476" s="22"/>
      <c r="M476" s="23"/>
      <c r="N476" s="23"/>
      <c r="O476" s="23"/>
      <c r="P476" s="23"/>
      <c r="Q476" s="24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2"/>
      <c r="AD476" s="23"/>
      <c r="AE476" s="23"/>
      <c r="AF476" s="22"/>
      <c r="AG476" s="22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</row>
    <row r="477" spans="1:45" ht="27.75" customHeight="1" x14ac:dyDescent="0.35">
      <c r="A477" s="15" t="s">
        <v>257</v>
      </c>
      <c r="B477" s="15" t="s">
        <v>257</v>
      </c>
      <c r="C477" s="15"/>
      <c r="D477" s="15"/>
      <c r="E477" s="16"/>
      <c r="F477" s="15" t="s">
        <v>257</v>
      </c>
      <c r="G477" s="32"/>
      <c r="H477" s="27"/>
      <c r="I477" s="27"/>
      <c r="J477" s="27"/>
      <c r="K477" s="23" t="str">
        <f ca="1">IFERROR(__xludf.DUMMYFUNCTION("""COMPUTED_VALUE"""),"")</f>
        <v/>
      </c>
      <c r="L477" s="22"/>
      <c r="M477" s="23"/>
      <c r="N477" s="23"/>
      <c r="O477" s="23"/>
      <c r="P477" s="23"/>
      <c r="Q477" s="24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2"/>
      <c r="AD477" s="23"/>
      <c r="AE477" s="23"/>
      <c r="AF477" s="22"/>
      <c r="AG477" s="22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</row>
    <row r="478" spans="1:45" ht="27.75" customHeight="1" x14ac:dyDescent="0.35">
      <c r="A478" s="15" t="s">
        <v>257</v>
      </c>
      <c r="B478" s="15" t="s">
        <v>257</v>
      </c>
      <c r="C478" s="15"/>
      <c r="D478" s="15"/>
      <c r="E478" s="16"/>
      <c r="F478" s="15" t="s">
        <v>257</v>
      </c>
      <c r="G478" s="32"/>
      <c r="H478" s="27"/>
      <c r="I478" s="27"/>
      <c r="J478" s="27"/>
      <c r="K478" s="23" t="str">
        <f ca="1">IFERROR(__xludf.DUMMYFUNCTION("""COMPUTED_VALUE"""),"")</f>
        <v/>
      </c>
      <c r="L478" s="22"/>
      <c r="M478" s="23"/>
      <c r="N478" s="23"/>
      <c r="O478" s="23"/>
      <c r="P478" s="23"/>
      <c r="Q478" s="24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2"/>
      <c r="AD478" s="23"/>
      <c r="AE478" s="23"/>
      <c r="AF478" s="22"/>
      <c r="AG478" s="22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</row>
    <row r="479" spans="1:45" ht="27.75" customHeight="1" x14ac:dyDescent="0.35">
      <c r="A479" s="15" t="s">
        <v>257</v>
      </c>
      <c r="B479" s="15" t="s">
        <v>257</v>
      </c>
      <c r="C479" s="15"/>
      <c r="D479" s="15"/>
      <c r="E479" s="16"/>
      <c r="F479" s="15" t="s">
        <v>257</v>
      </c>
      <c r="G479" s="32"/>
      <c r="H479" s="27"/>
      <c r="I479" s="27"/>
      <c r="J479" s="27"/>
      <c r="K479" s="23" t="str">
        <f ca="1">IFERROR(__xludf.DUMMYFUNCTION("""COMPUTED_VALUE"""),"")</f>
        <v/>
      </c>
      <c r="L479" s="22"/>
      <c r="M479" s="23"/>
      <c r="N479" s="23"/>
      <c r="O479" s="23"/>
      <c r="P479" s="23"/>
      <c r="Q479" s="24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2"/>
      <c r="AD479" s="23"/>
      <c r="AE479" s="23"/>
      <c r="AF479" s="22"/>
      <c r="AG479" s="22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</row>
    <row r="480" spans="1:45" ht="27.75" customHeight="1" x14ac:dyDescent="0.35">
      <c r="A480" s="15" t="s">
        <v>257</v>
      </c>
      <c r="B480" s="15" t="s">
        <v>257</v>
      </c>
      <c r="C480" s="15"/>
      <c r="D480" s="15"/>
      <c r="E480" s="16"/>
      <c r="F480" s="15" t="s">
        <v>257</v>
      </c>
      <c r="G480" s="32"/>
      <c r="H480" s="27"/>
      <c r="I480" s="27"/>
      <c r="J480" s="27"/>
      <c r="K480" s="23" t="str">
        <f ca="1">IFERROR(__xludf.DUMMYFUNCTION("""COMPUTED_VALUE"""),"")</f>
        <v/>
      </c>
      <c r="L480" s="22"/>
      <c r="M480" s="23"/>
      <c r="N480" s="23"/>
      <c r="O480" s="23"/>
      <c r="P480" s="23"/>
      <c r="Q480" s="24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2"/>
      <c r="AD480" s="23"/>
      <c r="AE480" s="23"/>
      <c r="AF480" s="22"/>
      <c r="AG480" s="22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</row>
    <row r="481" spans="1:45" ht="27.75" customHeight="1" x14ac:dyDescent="0.35">
      <c r="A481" s="15" t="s">
        <v>257</v>
      </c>
      <c r="B481" s="15" t="s">
        <v>257</v>
      </c>
      <c r="C481" s="15"/>
      <c r="D481" s="15"/>
      <c r="E481" s="16"/>
      <c r="F481" s="15" t="s">
        <v>257</v>
      </c>
      <c r="G481" s="32"/>
      <c r="H481" s="27"/>
      <c r="I481" s="27"/>
      <c r="J481" s="27"/>
      <c r="K481" s="23" t="str">
        <f ca="1">IFERROR(__xludf.DUMMYFUNCTION("""COMPUTED_VALUE"""),"")</f>
        <v/>
      </c>
      <c r="L481" s="22"/>
      <c r="M481" s="23"/>
      <c r="N481" s="23"/>
      <c r="O481" s="23"/>
      <c r="P481" s="23"/>
      <c r="Q481" s="24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2"/>
      <c r="AD481" s="23"/>
      <c r="AE481" s="23"/>
      <c r="AF481" s="22"/>
      <c r="AG481" s="22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</row>
    <row r="482" spans="1:45" ht="27.75" customHeight="1" x14ac:dyDescent="0.35">
      <c r="A482" s="15" t="s">
        <v>257</v>
      </c>
      <c r="B482" s="15" t="s">
        <v>257</v>
      </c>
      <c r="C482" s="15"/>
      <c r="D482" s="15"/>
      <c r="E482" s="16"/>
      <c r="F482" s="15" t="s">
        <v>257</v>
      </c>
      <c r="G482" s="32"/>
      <c r="H482" s="27"/>
      <c r="I482" s="27"/>
      <c r="J482" s="27"/>
      <c r="K482" s="23" t="str">
        <f ca="1">IFERROR(__xludf.DUMMYFUNCTION("""COMPUTED_VALUE"""),"")</f>
        <v/>
      </c>
      <c r="L482" s="22"/>
      <c r="M482" s="23"/>
      <c r="N482" s="23"/>
      <c r="O482" s="23"/>
      <c r="P482" s="23"/>
      <c r="Q482" s="24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2"/>
      <c r="AD482" s="23"/>
      <c r="AE482" s="23"/>
      <c r="AF482" s="22"/>
      <c r="AG482" s="22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</row>
    <row r="483" spans="1:45" ht="27.75" customHeight="1" x14ac:dyDescent="0.35">
      <c r="A483" s="15" t="s">
        <v>257</v>
      </c>
      <c r="B483" s="15" t="s">
        <v>257</v>
      </c>
      <c r="C483" s="15"/>
      <c r="D483" s="15"/>
      <c r="E483" s="16"/>
      <c r="F483" s="15" t="s">
        <v>257</v>
      </c>
      <c r="G483" s="32"/>
      <c r="H483" s="27"/>
      <c r="I483" s="27"/>
      <c r="J483" s="27"/>
      <c r="K483" s="23" t="str">
        <f ca="1">IFERROR(__xludf.DUMMYFUNCTION("""COMPUTED_VALUE"""),"")</f>
        <v/>
      </c>
      <c r="L483" s="22"/>
      <c r="M483" s="23"/>
      <c r="N483" s="23"/>
      <c r="O483" s="23"/>
      <c r="P483" s="23"/>
      <c r="Q483" s="24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2"/>
      <c r="AD483" s="23"/>
      <c r="AE483" s="23"/>
      <c r="AF483" s="22"/>
      <c r="AG483" s="22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</row>
    <row r="484" spans="1:45" ht="27.75" customHeight="1" x14ac:dyDescent="0.35">
      <c r="A484" s="15" t="s">
        <v>257</v>
      </c>
      <c r="B484" s="15" t="s">
        <v>257</v>
      </c>
      <c r="C484" s="15"/>
      <c r="D484" s="15"/>
      <c r="E484" s="16"/>
      <c r="F484" s="15" t="s">
        <v>257</v>
      </c>
      <c r="G484" s="32"/>
      <c r="H484" s="27"/>
      <c r="I484" s="27"/>
      <c r="J484" s="27"/>
      <c r="K484" s="23" t="str">
        <f ca="1">IFERROR(__xludf.DUMMYFUNCTION("""COMPUTED_VALUE"""),"")</f>
        <v/>
      </c>
      <c r="L484" s="22"/>
      <c r="M484" s="23"/>
      <c r="N484" s="23"/>
      <c r="O484" s="23"/>
      <c r="P484" s="23"/>
      <c r="Q484" s="24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2"/>
      <c r="AD484" s="23"/>
      <c r="AE484" s="23"/>
      <c r="AF484" s="22"/>
      <c r="AG484" s="22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</row>
    <row r="485" spans="1:45" ht="27.75" customHeight="1" x14ac:dyDescent="0.35">
      <c r="A485" s="15" t="s">
        <v>257</v>
      </c>
      <c r="B485" s="15" t="s">
        <v>257</v>
      </c>
      <c r="C485" s="15"/>
      <c r="D485" s="15"/>
      <c r="E485" s="16"/>
      <c r="F485" s="15" t="s">
        <v>257</v>
      </c>
      <c r="G485" s="32"/>
      <c r="H485" s="27"/>
      <c r="I485" s="27"/>
      <c r="J485" s="27"/>
      <c r="K485" s="23" t="str">
        <f ca="1">IFERROR(__xludf.DUMMYFUNCTION("""COMPUTED_VALUE"""),"")</f>
        <v/>
      </c>
      <c r="L485" s="22"/>
      <c r="M485" s="23"/>
      <c r="N485" s="23"/>
      <c r="O485" s="23"/>
      <c r="P485" s="23"/>
      <c r="Q485" s="24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2"/>
      <c r="AD485" s="23"/>
      <c r="AE485" s="23"/>
      <c r="AF485" s="22"/>
      <c r="AG485" s="22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</row>
    <row r="486" spans="1:45" ht="27.75" customHeight="1" x14ac:dyDescent="0.35">
      <c r="A486" s="15" t="s">
        <v>257</v>
      </c>
      <c r="B486" s="15" t="s">
        <v>257</v>
      </c>
      <c r="C486" s="15"/>
      <c r="D486" s="15"/>
      <c r="E486" s="16"/>
      <c r="F486" s="15" t="s">
        <v>257</v>
      </c>
      <c r="G486" s="32"/>
      <c r="H486" s="27"/>
      <c r="I486" s="27"/>
      <c r="J486" s="27"/>
      <c r="K486" s="23" t="str">
        <f ca="1">IFERROR(__xludf.DUMMYFUNCTION("""COMPUTED_VALUE"""),"")</f>
        <v/>
      </c>
      <c r="L486" s="22"/>
      <c r="M486" s="23"/>
      <c r="N486" s="23"/>
      <c r="O486" s="23"/>
      <c r="P486" s="23"/>
      <c r="Q486" s="24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2"/>
      <c r="AD486" s="23"/>
      <c r="AE486" s="23"/>
      <c r="AF486" s="22"/>
      <c r="AG486" s="22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</row>
    <row r="487" spans="1:45" ht="27.75" customHeight="1" x14ac:dyDescent="0.35">
      <c r="A487" s="15" t="s">
        <v>257</v>
      </c>
      <c r="B487" s="15" t="s">
        <v>257</v>
      </c>
      <c r="C487" s="15"/>
      <c r="D487" s="15"/>
      <c r="E487" s="16"/>
      <c r="F487" s="15" t="s">
        <v>257</v>
      </c>
      <c r="G487" s="32"/>
      <c r="H487" s="27"/>
      <c r="I487" s="27"/>
      <c r="J487" s="27"/>
      <c r="K487" s="23" t="str">
        <f ca="1">IFERROR(__xludf.DUMMYFUNCTION("""COMPUTED_VALUE"""),"")</f>
        <v/>
      </c>
      <c r="L487" s="22"/>
      <c r="M487" s="23"/>
      <c r="N487" s="23"/>
      <c r="O487" s="23"/>
      <c r="P487" s="23"/>
      <c r="Q487" s="24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2"/>
      <c r="AD487" s="23"/>
      <c r="AE487" s="23"/>
      <c r="AF487" s="22"/>
      <c r="AG487" s="22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</row>
    <row r="488" spans="1:45" ht="27.75" customHeight="1" x14ac:dyDescent="0.35">
      <c r="A488" s="15" t="s">
        <v>257</v>
      </c>
      <c r="B488" s="15" t="s">
        <v>257</v>
      </c>
      <c r="C488" s="15"/>
      <c r="D488" s="15"/>
      <c r="E488" s="16"/>
      <c r="F488" s="15" t="s">
        <v>257</v>
      </c>
      <c r="G488" s="32"/>
      <c r="H488" s="27"/>
      <c r="I488" s="27"/>
      <c r="J488" s="27"/>
      <c r="K488" s="23" t="str">
        <f ca="1">IFERROR(__xludf.DUMMYFUNCTION("""COMPUTED_VALUE"""),"")</f>
        <v/>
      </c>
      <c r="L488" s="22"/>
      <c r="M488" s="23"/>
      <c r="N488" s="23"/>
      <c r="O488" s="23"/>
      <c r="P488" s="23"/>
      <c r="Q488" s="24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2"/>
      <c r="AD488" s="23"/>
      <c r="AE488" s="23"/>
      <c r="AF488" s="22"/>
      <c r="AG488" s="22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</row>
    <row r="489" spans="1:45" ht="27.75" customHeight="1" x14ac:dyDescent="0.35">
      <c r="A489" s="15" t="s">
        <v>257</v>
      </c>
      <c r="B489" s="15" t="s">
        <v>257</v>
      </c>
      <c r="C489" s="15"/>
      <c r="D489" s="15"/>
      <c r="E489" s="16"/>
      <c r="F489" s="15" t="s">
        <v>257</v>
      </c>
      <c r="G489" s="32"/>
      <c r="H489" s="27"/>
      <c r="I489" s="27"/>
      <c r="J489" s="27"/>
      <c r="K489" s="23" t="str">
        <f ca="1">IFERROR(__xludf.DUMMYFUNCTION("""COMPUTED_VALUE"""),"")</f>
        <v/>
      </c>
      <c r="L489" s="22"/>
      <c r="M489" s="23"/>
      <c r="N489" s="23"/>
      <c r="O489" s="23"/>
      <c r="P489" s="23"/>
      <c r="Q489" s="24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2"/>
      <c r="AD489" s="23"/>
      <c r="AE489" s="23"/>
      <c r="AF489" s="22"/>
      <c r="AG489" s="22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</row>
    <row r="490" spans="1:45" ht="27.75" customHeight="1" x14ac:dyDescent="0.35">
      <c r="A490" s="15" t="s">
        <v>257</v>
      </c>
      <c r="B490" s="15" t="s">
        <v>257</v>
      </c>
      <c r="C490" s="15"/>
      <c r="D490" s="15"/>
      <c r="E490" s="16"/>
      <c r="F490" s="15" t="s">
        <v>257</v>
      </c>
      <c r="G490" s="32"/>
      <c r="H490" s="27"/>
      <c r="I490" s="27"/>
      <c r="J490" s="27"/>
      <c r="K490" s="23" t="str">
        <f ca="1">IFERROR(__xludf.DUMMYFUNCTION("""COMPUTED_VALUE"""),"")</f>
        <v/>
      </c>
      <c r="L490" s="22"/>
      <c r="M490" s="23"/>
      <c r="N490" s="23"/>
      <c r="O490" s="23"/>
      <c r="P490" s="23"/>
      <c r="Q490" s="24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2"/>
      <c r="AD490" s="23"/>
      <c r="AE490" s="23"/>
      <c r="AF490" s="22"/>
      <c r="AG490" s="22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</row>
    <row r="491" spans="1:45" ht="27.75" customHeight="1" x14ac:dyDescent="0.35">
      <c r="A491" s="15" t="s">
        <v>257</v>
      </c>
      <c r="B491" s="15" t="s">
        <v>257</v>
      </c>
      <c r="C491" s="15"/>
      <c r="D491" s="15"/>
      <c r="E491" s="16"/>
      <c r="F491" s="15" t="s">
        <v>257</v>
      </c>
      <c r="G491" s="32"/>
      <c r="H491" s="27"/>
      <c r="I491" s="27"/>
      <c r="J491" s="27"/>
      <c r="K491" s="23" t="str">
        <f ca="1">IFERROR(__xludf.DUMMYFUNCTION("""COMPUTED_VALUE"""),"")</f>
        <v/>
      </c>
      <c r="L491" s="22"/>
      <c r="M491" s="23"/>
      <c r="N491" s="23"/>
      <c r="O491" s="23"/>
      <c r="P491" s="23"/>
      <c r="Q491" s="24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2"/>
      <c r="AD491" s="23"/>
      <c r="AE491" s="23"/>
      <c r="AF491" s="22"/>
      <c r="AG491" s="22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</row>
    <row r="492" spans="1:45" ht="27.75" customHeight="1" x14ac:dyDescent="0.35">
      <c r="A492" s="15" t="s">
        <v>257</v>
      </c>
      <c r="B492" s="15" t="s">
        <v>257</v>
      </c>
      <c r="C492" s="15"/>
      <c r="D492" s="15"/>
      <c r="E492" s="16"/>
      <c r="F492" s="15" t="s">
        <v>257</v>
      </c>
      <c r="G492" s="32"/>
      <c r="H492" s="27"/>
      <c r="I492" s="27"/>
      <c r="J492" s="27"/>
      <c r="K492" s="23" t="str">
        <f ca="1">IFERROR(__xludf.DUMMYFUNCTION("""COMPUTED_VALUE"""),"")</f>
        <v/>
      </c>
      <c r="L492" s="22"/>
      <c r="M492" s="23"/>
      <c r="N492" s="23"/>
      <c r="O492" s="23"/>
      <c r="P492" s="23"/>
      <c r="Q492" s="24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2"/>
      <c r="AD492" s="23"/>
      <c r="AE492" s="23"/>
      <c r="AF492" s="22"/>
      <c r="AG492" s="22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</row>
    <row r="493" spans="1:45" ht="27.75" customHeight="1" x14ac:dyDescent="0.35">
      <c r="A493" s="15" t="s">
        <v>257</v>
      </c>
      <c r="B493" s="15" t="s">
        <v>257</v>
      </c>
      <c r="C493" s="15"/>
      <c r="D493" s="15"/>
      <c r="E493" s="16"/>
      <c r="F493" s="15" t="s">
        <v>257</v>
      </c>
      <c r="G493" s="32"/>
      <c r="H493" s="27"/>
      <c r="I493" s="27"/>
      <c r="J493" s="27"/>
      <c r="K493" s="23" t="str">
        <f ca="1">IFERROR(__xludf.DUMMYFUNCTION("""COMPUTED_VALUE"""),"")</f>
        <v/>
      </c>
      <c r="L493" s="22"/>
      <c r="M493" s="23"/>
      <c r="N493" s="23"/>
      <c r="O493" s="23"/>
      <c r="P493" s="23"/>
      <c r="Q493" s="24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2"/>
      <c r="AD493" s="23"/>
      <c r="AE493" s="23"/>
      <c r="AF493" s="22"/>
      <c r="AG493" s="22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</row>
    <row r="494" spans="1:45" ht="27.75" customHeight="1" x14ac:dyDescent="0.35">
      <c r="A494" s="15" t="s">
        <v>257</v>
      </c>
      <c r="B494" s="15" t="s">
        <v>257</v>
      </c>
      <c r="C494" s="15"/>
      <c r="D494" s="15"/>
      <c r="E494" s="16"/>
      <c r="F494" s="15" t="s">
        <v>257</v>
      </c>
      <c r="G494" s="32"/>
      <c r="H494" s="27"/>
      <c r="I494" s="27"/>
      <c r="J494" s="27"/>
      <c r="K494" s="23" t="str">
        <f ca="1">IFERROR(__xludf.DUMMYFUNCTION("""COMPUTED_VALUE"""),"")</f>
        <v/>
      </c>
      <c r="L494" s="22"/>
      <c r="M494" s="23"/>
      <c r="N494" s="23"/>
      <c r="O494" s="23"/>
      <c r="P494" s="23"/>
      <c r="Q494" s="24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2"/>
      <c r="AD494" s="23"/>
      <c r="AE494" s="23"/>
      <c r="AF494" s="22"/>
      <c r="AG494" s="22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</row>
    <row r="495" spans="1:45" ht="27.75" customHeight="1" x14ac:dyDescent="0.35">
      <c r="A495" s="15" t="s">
        <v>257</v>
      </c>
      <c r="B495" s="15" t="s">
        <v>257</v>
      </c>
      <c r="C495" s="15"/>
      <c r="D495" s="15"/>
      <c r="E495" s="16"/>
      <c r="F495" s="15" t="s">
        <v>257</v>
      </c>
      <c r="G495" s="32"/>
      <c r="H495" s="27"/>
      <c r="I495" s="27"/>
      <c r="J495" s="27"/>
      <c r="K495" s="23" t="str">
        <f ca="1">IFERROR(__xludf.DUMMYFUNCTION("""COMPUTED_VALUE"""),"")</f>
        <v/>
      </c>
      <c r="L495" s="22"/>
      <c r="M495" s="23"/>
      <c r="N495" s="23"/>
      <c r="O495" s="23"/>
      <c r="P495" s="23"/>
      <c r="Q495" s="24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2"/>
      <c r="AD495" s="23"/>
      <c r="AE495" s="23"/>
      <c r="AF495" s="22"/>
      <c r="AG495" s="22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</row>
    <row r="496" spans="1:45" ht="27.75" customHeight="1" x14ac:dyDescent="0.35">
      <c r="A496" s="15" t="s">
        <v>257</v>
      </c>
      <c r="B496" s="15" t="s">
        <v>257</v>
      </c>
      <c r="C496" s="15"/>
      <c r="D496" s="15"/>
      <c r="E496" s="16"/>
      <c r="F496" s="15" t="s">
        <v>257</v>
      </c>
      <c r="G496" s="32"/>
      <c r="H496" s="27"/>
      <c r="I496" s="27"/>
      <c r="J496" s="27"/>
      <c r="K496" s="23" t="str">
        <f ca="1">IFERROR(__xludf.DUMMYFUNCTION("""COMPUTED_VALUE"""),"")</f>
        <v/>
      </c>
      <c r="L496" s="22"/>
      <c r="M496" s="23"/>
      <c r="N496" s="23"/>
      <c r="O496" s="23"/>
      <c r="P496" s="23"/>
      <c r="Q496" s="24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2"/>
      <c r="AD496" s="23"/>
      <c r="AE496" s="23"/>
      <c r="AF496" s="22"/>
      <c r="AG496" s="22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</row>
    <row r="497" spans="1:45" ht="27.75" customHeight="1" x14ac:dyDescent="0.35">
      <c r="A497" s="15" t="s">
        <v>257</v>
      </c>
      <c r="B497" s="15" t="s">
        <v>257</v>
      </c>
      <c r="C497" s="15"/>
      <c r="D497" s="15"/>
      <c r="E497" s="16"/>
      <c r="F497" s="15" t="s">
        <v>257</v>
      </c>
      <c r="G497" s="32"/>
      <c r="H497" s="27"/>
      <c r="I497" s="27"/>
      <c r="J497" s="27"/>
      <c r="K497" s="23" t="str">
        <f ca="1">IFERROR(__xludf.DUMMYFUNCTION("""COMPUTED_VALUE"""),"")</f>
        <v/>
      </c>
      <c r="L497" s="22"/>
      <c r="M497" s="23"/>
      <c r="N497" s="23"/>
      <c r="O497" s="23"/>
      <c r="P497" s="23"/>
      <c r="Q497" s="24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2"/>
      <c r="AD497" s="23"/>
      <c r="AE497" s="23"/>
      <c r="AF497" s="22"/>
      <c r="AG497" s="22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</row>
    <row r="498" spans="1:45" ht="27.75" customHeight="1" x14ac:dyDescent="0.35">
      <c r="A498" s="15" t="s">
        <v>257</v>
      </c>
      <c r="B498" s="15" t="s">
        <v>257</v>
      </c>
      <c r="C498" s="15"/>
      <c r="D498" s="15"/>
      <c r="E498" s="16"/>
      <c r="F498" s="15" t="s">
        <v>257</v>
      </c>
      <c r="G498" s="32"/>
      <c r="H498" s="27"/>
      <c r="I498" s="27"/>
      <c r="J498" s="27"/>
      <c r="K498" s="23" t="str">
        <f ca="1">IFERROR(__xludf.DUMMYFUNCTION("""COMPUTED_VALUE"""),"")</f>
        <v/>
      </c>
      <c r="L498" s="22"/>
      <c r="M498" s="23"/>
      <c r="N498" s="23"/>
      <c r="O498" s="23"/>
      <c r="P498" s="23"/>
      <c r="Q498" s="24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2"/>
      <c r="AD498" s="23"/>
      <c r="AE498" s="23"/>
      <c r="AF498" s="22"/>
      <c r="AG498" s="22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</row>
    <row r="499" spans="1:45" ht="27.75" customHeight="1" x14ac:dyDescent="0.35">
      <c r="A499" s="15" t="s">
        <v>257</v>
      </c>
      <c r="B499" s="15" t="s">
        <v>257</v>
      </c>
      <c r="C499" s="15"/>
      <c r="D499" s="15"/>
      <c r="E499" s="16"/>
      <c r="F499" s="15" t="s">
        <v>257</v>
      </c>
      <c r="G499" s="32"/>
      <c r="H499" s="27"/>
      <c r="I499" s="27"/>
      <c r="J499" s="27"/>
      <c r="K499" s="23" t="str">
        <f ca="1">IFERROR(__xludf.DUMMYFUNCTION("""COMPUTED_VALUE"""),"")</f>
        <v/>
      </c>
      <c r="L499" s="22"/>
      <c r="M499" s="23"/>
      <c r="N499" s="23"/>
      <c r="O499" s="23"/>
      <c r="P499" s="23"/>
      <c r="Q499" s="24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2"/>
      <c r="AD499" s="23"/>
      <c r="AE499" s="23"/>
      <c r="AF499" s="22"/>
      <c r="AG499" s="22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</row>
    <row r="500" spans="1:45" ht="27.75" customHeight="1" x14ac:dyDescent="0.35">
      <c r="A500" s="15" t="s">
        <v>257</v>
      </c>
      <c r="B500" s="15" t="s">
        <v>257</v>
      </c>
      <c r="C500" s="15"/>
      <c r="D500" s="15"/>
      <c r="E500" s="16"/>
      <c r="F500" s="15" t="s">
        <v>257</v>
      </c>
      <c r="G500" s="32"/>
      <c r="H500" s="27"/>
      <c r="I500" s="27"/>
      <c r="J500" s="27"/>
      <c r="K500" s="23" t="str">
        <f ca="1">IFERROR(__xludf.DUMMYFUNCTION("""COMPUTED_VALUE"""),"")</f>
        <v/>
      </c>
      <c r="L500" s="22"/>
      <c r="M500" s="23"/>
      <c r="N500" s="23"/>
      <c r="O500" s="23"/>
      <c r="P500" s="23"/>
      <c r="Q500" s="24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2"/>
      <c r="AD500" s="23"/>
      <c r="AE500" s="23"/>
      <c r="AF500" s="22"/>
      <c r="AG500" s="22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</row>
    <row r="501" spans="1:45" ht="27.75" customHeight="1" x14ac:dyDescent="0.35">
      <c r="A501" s="15" t="s">
        <v>257</v>
      </c>
      <c r="B501" s="15" t="s">
        <v>257</v>
      </c>
      <c r="C501" s="15"/>
      <c r="D501" s="15"/>
      <c r="E501" s="16"/>
      <c r="F501" s="15" t="s">
        <v>257</v>
      </c>
      <c r="G501" s="32"/>
      <c r="H501" s="27"/>
      <c r="I501" s="27"/>
      <c r="J501" s="27"/>
      <c r="K501" s="23" t="str">
        <f ca="1">IFERROR(__xludf.DUMMYFUNCTION("""COMPUTED_VALUE"""),"")</f>
        <v/>
      </c>
      <c r="L501" s="22"/>
      <c r="M501" s="23"/>
      <c r="N501" s="23"/>
      <c r="O501" s="23"/>
      <c r="P501" s="23"/>
      <c r="Q501" s="24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2"/>
      <c r="AD501" s="23"/>
      <c r="AE501" s="23"/>
      <c r="AF501" s="22"/>
      <c r="AG501" s="22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</row>
    <row r="502" spans="1:45" ht="27.75" customHeight="1" x14ac:dyDescent="0.35">
      <c r="A502" s="15" t="s">
        <v>257</v>
      </c>
      <c r="B502" s="15" t="s">
        <v>257</v>
      </c>
      <c r="C502" s="15"/>
      <c r="D502" s="15"/>
      <c r="E502" s="16"/>
      <c r="F502" s="15" t="s">
        <v>257</v>
      </c>
      <c r="G502" s="32"/>
      <c r="H502" s="27"/>
      <c r="I502" s="27"/>
      <c r="J502" s="27"/>
      <c r="K502" s="23" t="str">
        <f ca="1">IFERROR(__xludf.DUMMYFUNCTION("""COMPUTED_VALUE"""),"")</f>
        <v/>
      </c>
      <c r="L502" s="22"/>
      <c r="M502" s="23"/>
      <c r="N502" s="23"/>
      <c r="O502" s="23"/>
      <c r="P502" s="23"/>
      <c r="Q502" s="24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2"/>
      <c r="AD502" s="23"/>
      <c r="AE502" s="23"/>
      <c r="AF502" s="22"/>
      <c r="AG502" s="22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</row>
    <row r="503" spans="1:45" ht="27.75" customHeight="1" x14ac:dyDescent="0.35">
      <c r="A503" s="15" t="s">
        <v>257</v>
      </c>
      <c r="B503" s="15" t="s">
        <v>257</v>
      </c>
      <c r="C503" s="15"/>
      <c r="D503" s="15"/>
      <c r="E503" s="16"/>
      <c r="F503" s="15" t="s">
        <v>257</v>
      </c>
      <c r="G503" s="32"/>
      <c r="H503" s="27"/>
      <c r="I503" s="27"/>
      <c r="J503" s="27"/>
      <c r="K503" s="23" t="str">
        <f ca="1">IFERROR(__xludf.DUMMYFUNCTION("""COMPUTED_VALUE"""),"")</f>
        <v/>
      </c>
      <c r="L503" s="22"/>
      <c r="M503" s="23"/>
      <c r="N503" s="23"/>
      <c r="O503" s="23"/>
      <c r="P503" s="23"/>
      <c r="Q503" s="24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2"/>
      <c r="AD503" s="23"/>
      <c r="AE503" s="23"/>
      <c r="AF503" s="22"/>
      <c r="AG503" s="22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</row>
    <row r="504" spans="1:45" ht="27.75" customHeight="1" x14ac:dyDescent="0.35">
      <c r="A504" s="15" t="s">
        <v>257</v>
      </c>
      <c r="B504" s="15" t="s">
        <v>257</v>
      </c>
      <c r="C504" s="15"/>
      <c r="D504" s="15"/>
      <c r="E504" s="16"/>
      <c r="F504" s="15" t="s">
        <v>257</v>
      </c>
      <c r="G504" s="32"/>
      <c r="H504" s="27"/>
      <c r="I504" s="27"/>
      <c r="J504" s="27"/>
      <c r="K504" s="23" t="str">
        <f ca="1">IFERROR(__xludf.DUMMYFUNCTION("""COMPUTED_VALUE"""),"")</f>
        <v/>
      </c>
      <c r="L504" s="22"/>
      <c r="M504" s="23"/>
      <c r="N504" s="23"/>
      <c r="O504" s="23"/>
      <c r="P504" s="23"/>
      <c r="Q504" s="24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2"/>
      <c r="AD504" s="23"/>
      <c r="AE504" s="23"/>
      <c r="AF504" s="22"/>
      <c r="AG504" s="22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</row>
    <row r="505" spans="1:45" ht="27.75" customHeight="1" x14ac:dyDescent="0.35">
      <c r="A505" s="15" t="s">
        <v>257</v>
      </c>
      <c r="B505" s="15" t="s">
        <v>257</v>
      </c>
      <c r="C505" s="15"/>
      <c r="D505" s="15"/>
      <c r="E505" s="16"/>
      <c r="F505" s="15" t="s">
        <v>257</v>
      </c>
      <c r="G505" s="32"/>
      <c r="H505" s="27"/>
      <c r="I505" s="27"/>
      <c r="J505" s="27"/>
      <c r="K505" s="23" t="str">
        <f ca="1">IFERROR(__xludf.DUMMYFUNCTION("""COMPUTED_VALUE"""),"")</f>
        <v/>
      </c>
      <c r="L505" s="22"/>
      <c r="M505" s="23"/>
      <c r="N505" s="23"/>
      <c r="O505" s="23"/>
      <c r="P505" s="23"/>
      <c r="Q505" s="24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2"/>
      <c r="AD505" s="23"/>
      <c r="AE505" s="23"/>
      <c r="AF505" s="22"/>
      <c r="AG505" s="22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</row>
    <row r="506" spans="1:45" ht="27.75" customHeight="1" x14ac:dyDescent="0.35">
      <c r="A506" s="15" t="s">
        <v>257</v>
      </c>
      <c r="B506" s="15" t="s">
        <v>257</v>
      </c>
      <c r="C506" s="15"/>
      <c r="D506" s="15"/>
      <c r="E506" s="16"/>
      <c r="F506" s="15" t="s">
        <v>257</v>
      </c>
      <c r="G506" s="32"/>
      <c r="H506" s="27"/>
      <c r="I506" s="27"/>
      <c r="J506" s="27"/>
      <c r="K506" s="23" t="str">
        <f ca="1">IFERROR(__xludf.DUMMYFUNCTION("""COMPUTED_VALUE"""),"")</f>
        <v/>
      </c>
      <c r="L506" s="22"/>
      <c r="M506" s="23"/>
      <c r="N506" s="23"/>
      <c r="O506" s="23"/>
      <c r="P506" s="23"/>
      <c r="Q506" s="24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2"/>
      <c r="AD506" s="23"/>
      <c r="AE506" s="23"/>
      <c r="AF506" s="22"/>
      <c r="AG506" s="22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</row>
    <row r="507" spans="1:45" ht="27.75" customHeight="1" x14ac:dyDescent="0.35">
      <c r="A507" s="15" t="s">
        <v>257</v>
      </c>
      <c r="B507" s="15" t="s">
        <v>257</v>
      </c>
      <c r="C507" s="15"/>
      <c r="D507" s="15"/>
      <c r="E507" s="16"/>
      <c r="F507" s="15" t="s">
        <v>257</v>
      </c>
      <c r="G507" s="32"/>
      <c r="H507" s="27"/>
      <c r="I507" s="27"/>
      <c r="J507" s="27"/>
      <c r="K507" s="23" t="str">
        <f ca="1">IFERROR(__xludf.DUMMYFUNCTION("""COMPUTED_VALUE"""),"")</f>
        <v/>
      </c>
      <c r="L507" s="22"/>
      <c r="M507" s="23"/>
      <c r="N507" s="23"/>
      <c r="O507" s="23"/>
      <c r="P507" s="23"/>
      <c r="Q507" s="24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2"/>
      <c r="AD507" s="23"/>
      <c r="AE507" s="23"/>
      <c r="AF507" s="22"/>
      <c r="AG507" s="22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</row>
    <row r="508" spans="1:45" ht="27.75" customHeight="1" x14ac:dyDescent="0.35">
      <c r="A508" s="15" t="s">
        <v>257</v>
      </c>
      <c r="B508" s="15" t="s">
        <v>257</v>
      </c>
      <c r="C508" s="15"/>
      <c r="D508" s="15"/>
      <c r="E508" s="16"/>
      <c r="F508" s="15" t="s">
        <v>257</v>
      </c>
      <c r="G508" s="32"/>
      <c r="H508" s="27"/>
      <c r="I508" s="27"/>
      <c r="J508" s="27"/>
      <c r="K508" s="23" t="str">
        <f ca="1">IFERROR(__xludf.DUMMYFUNCTION("""COMPUTED_VALUE"""),"")</f>
        <v/>
      </c>
      <c r="L508" s="22"/>
      <c r="M508" s="23"/>
      <c r="N508" s="23"/>
      <c r="O508" s="23"/>
      <c r="P508" s="23"/>
      <c r="Q508" s="24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2"/>
      <c r="AD508" s="23"/>
      <c r="AE508" s="23"/>
      <c r="AF508" s="22"/>
      <c r="AG508" s="22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</row>
    <row r="509" spans="1:45" ht="27.75" customHeight="1" x14ac:dyDescent="0.35">
      <c r="A509" s="15" t="s">
        <v>257</v>
      </c>
      <c r="B509" s="15" t="s">
        <v>257</v>
      </c>
      <c r="C509" s="15"/>
      <c r="D509" s="15"/>
      <c r="E509" s="16"/>
      <c r="F509" s="15" t="s">
        <v>257</v>
      </c>
      <c r="G509" s="32"/>
      <c r="H509" s="27"/>
      <c r="I509" s="27"/>
      <c r="J509" s="27"/>
      <c r="K509" s="23" t="str">
        <f ca="1">IFERROR(__xludf.DUMMYFUNCTION("""COMPUTED_VALUE"""),"")</f>
        <v/>
      </c>
      <c r="L509" s="22"/>
      <c r="M509" s="23"/>
      <c r="N509" s="23"/>
      <c r="O509" s="23"/>
      <c r="P509" s="23"/>
      <c r="Q509" s="24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2"/>
      <c r="AD509" s="23"/>
      <c r="AE509" s="23"/>
      <c r="AF509" s="22"/>
      <c r="AG509" s="22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</row>
    <row r="510" spans="1:45" ht="27.75" customHeight="1" x14ac:dyDescent="0.35">
      <c r="A510" s="15" t="s">
        <v>257</v>
      </c>
      <c r="B510" s="15" t="s">
        <v>257</v>
      </c>
      <c r="C510" s="15"/>
      <c r="D510" s="15"/>
      <c r="E510" s="16"/>
      <c r="F510" s="15" t="s">
        <v>257</v>
      </c>
      <c r="G510" s="32"/>
      <c r="H510" s="27"/>
      <c r="I510" s="27"/>
      <c r="J510" s="27"/>
      <c r="K510" s="23" t="str">
        <f ca="1">IFERROR(__xludf.DUMMYFUNCTION("""COMPUTED_VALUE"""),"")</f>
        <v/>
      </c>
      <c r="L510" s="22"/>
      <c r="M510" s="23"/>
      <c r="N510" s="23"/>
      <c r="O510" s="23"/>
      <c r="P510" s="23"/>
      <c r="Q510" s="24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2"/>
      <c r="AD510" s="23"/>
      <c r="AE510" s="23"/>
      <c r="AF510" s="22"/>
      <c r="AG510" s="22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</row>
    <row r="511" spans="1:45" ht="27.75" customHeight="1" x14ac:dyDescent="0.35">
      <c r="A511" s="15" t="s">
        <v>257</v>
      </c>
      <c r="B511" s="15" t="s">
        <v>257</v>
      </c>
      <c r="C511" s="15"/>
      <c r="D511" s="15"/>
      <c r="E511" s="16"/>
      <c r="F511" s="15" t="s">
        <v>257</v>
      </c>
      <c r="G511" s="32"/>
      <c r="H511" s="27"/>
      <c r="I511" s="27"/>
      <c r="J511" s="27"/>
      <c r="K511" s="23" t="str">
        <f ca="1">IFERROR(__xludf.DUMMYFUNCTION("""COMPUTED_VALUE"""),"")</f>
        <v/>
      </c>
      <c r="L511" s="22"/>
      <c r="M511" s="23"/>
      <c r="N511" s="23"/>
      <c r="O511" s="23"/>
      <c r="P511" s="23"/>
      <c r="Q511" s="24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2"/>
      <c r="AD511" s="23"/>
      <c r="AE511" s="23"/>
      <c r="AF511" s="22"/>
      <c r="AG511" s="22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</row>
    <row r="512" spans="1:45" ht="27.75" customHeight="1" x14ac:dyDescent="0.35">
      <c r="A512" s="15" t="s">
        <v>257</v>
      </c>
      <c r="B512" s="15" t="s">
        <v>257</v>
      </c>
      <c r="C512" s="15"/>
      <c r="D512" s="15"/>
      <c r="E512" s="16"/>
      <c r="F512" s="15" t="s">
        <v>257</v>
      </c>
      <c r="G512" s="32"/>
      <c r="H512" s="27"/>
      <c r="I512" s="27"/>
      <c r="J512" s="27"/>
      <c r="K512" s="23" t="str">
        <f ca="1">IFERROR(__xludf.DUMMYFUNCTION("""COMPUTED_VALUE"""),"")</f>
        <v/>
      </c>
      <c r="L512" s="22"/>
      <c r="M512" s="23"/>
      <c r="N512" s="23"/>
      <c r="O512" s="23"/>
      <c r="P512" s="23"/>
      <c r="Q512" s="24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2"/>
      <c r="AD512" s="23"/>
      <c r="AE512" s="23"/>
      <c r="AF512" s="22"/>
      <c r="AG512" s="22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</row>
    <row r="513" spans="1:45" ht="27.75" customHeight="1" x14ac:dyDescent="0.35">
      <c r="A513" s="15" t="s">
        <v>257</v>
      </c>
      <c r="B513" s="15" t="s">
        <v>257</v>
      </c>
      <c r="C513" s="15"/>
      <c r="D513" s="15"/>
      <c r="E513" s="16"/>
      <c r="F513" s="15" t="s">
        <v>257</v>
      </c>
      <c r="G513" s="32"/>
      <c r="H513" s="27"/>
      <c r="I513" s="27"/>
      <c r="J513" s="27"/>
      <c r="K513" s="23" t="str">
        <f ca="1">IFERROR(__xludf.DUMMYFUNCTION("""COMPUTED_VALUE"""),"")</f>
        <v/>
      </c>
      <c r="L513" s="22"/>
      <c r="M513" s="23"/>
      <c r="N513" s="23"/>
      <c r="O513" s="23"/>
      <c r="P513" s="23"/>
      <c r="Q513" s="24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2"/>
      <c r="AD513" s="23"/>
      <c r="AE513" s="23"/>
      <c r="AF513" s="22"/>
      <c r="AG513" s="22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</row>
    <row r="514" spans="1:45" ht="27.75" customHeight="1" x14ac:dyDescent="0.35">
      <c r="A514" s="15" t="s">
        <v>257</v>
      </c>
      <c r="B514" s="15" t="s">
        <v>257</v>
      </c>
      <c r="C514" s="15"/>
      <c r="D514" s="15"/>
      <c r="E514" s="16"/>
      <c r="F514" s="15" t="s">
        <v>257</v>
      </c>
      <c r="G514" s="32"/>
      <c r="H514" s="27"/>
      <c r="I514" s="27"/>
      <c r="J514" s="27"/>
      <c r="K514" s="23" t="str">
        <f ca="1">IFERROR(__xludf.DUMMYFUNCTION("""COMPUTED_VALUE"""),"")</f>
        <v/>
      </c>
      <c r="L514" s="22"/>
      <c r="M514" s="23"/>
      <c r="N514" s="23"/>
      <c r="O514" s="23"/>
      <c r="P514" s="23"/>
      <c r="Q514" s="24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2"/>
      <c r="AD514" s="23"/>
      <c r="AE514" s="23"/>
      <c r="AF514" s="22"/>
      <c r="AG514" s="22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</row>
    <row r="515" spans="1:45" ht="27.75" customHeight="1" x14ac:dyDescent="0.35">
      <c r="A515" s="15" t="s">
        <v>257</v>
      </c>
      <c r="B515" s="15" t="s">
        <v>257</v>
      </c>
      <c r="C515" s="15"/>
      <c r="D515" s="15"/>
      <c r="E515" s="16"/>
      <c r="F515" s="15" t="s">
        <v>257</v>
      </c>
      <c r="G515" s="32"/>
      <c r="H515" s="27"/>
      <c r="I515" s="27"/>
      <c r="J515" s="27"/>
      <c r="K515" s="23" t="str">
        <f ca="1">IFERROR(__xludf.DUMMYFUNCTION("""COMPUTED_VALUE"""),"")</f>
        <v/>
      </c>
      <c r="L515" s="22"/>
      <c r="M515" s="23"/>
      <c r="N515" s="23"/>
      <c r="O515" s="23"/>
      <c r="P515" s="23"/>
      <c r="Q515" s="24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2"/>
      <c r="AD515" s="23"/>
      <c r="AE515" s="23"/>
      <c r="AF515" s="22"/>
      <c r="AG515" s="22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</row>
    <row r="516" spans="1:45" ht="27.75" customHeight="1" x14ac:dyDescent="0.35">
      <c r="A516" s="15" t="s">
        <v>257</v>
      </c>
      <c r="B516" s="15" t="s">
        <v>257</v>
      </c>
      <c r="C516" s="15"/>
      <c r="D516" s="15"/>
      <c r="E516" s="16"/>
      <c r="F516" s="15" t="s">
        <v>257</v>
      </c>
      <c r="G516" s="32"/>
      <c r="H516" s="27"/>
      <c r="I516" s="27"/>
      <c r="J516" s="27"/>
      <c r="K516" s="23" t="str">
        <f ca="1">IFERROR(__xludf.DUMMYFUNCTION("""COMPUTED_VALUE"""),"")</f>
        <v/>
      </c>
      <c r="L516" s="22"/>
      <c r="M516" s="23"/>
      <c r="N516" s="23"/>
      <c r="O516" s="23"/>
      <c r="P516" s="23"/>
      <c r="Q516" s="24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2"/>
      <c r="AD516" s="23"/>
      <c r="AE516" s="23"/>
      <c r="AF516" s="22"/>
      <c r="AG516" s="22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</row>
    <row r="517" spans="1:45" ht="27.75" customHeight="1" x14ac:dyDescent="0.35">
      <c r="A517" s="15" t="s">
        <v>257</v>
      </c>
      <c r="B517" s="15" t="s">
        <v>257</v>
      </c>
      <c r="C517" s="15"/>
      <c r="D517" s="15"/>
      <c r="E517" s="16"/>
      <c r="F517" s="15" t="s">
        <v>257</v>
      </c>
      <c r="G517" s="32"/>
      <c r="H517" s="27"/>
      <c r="I517" s="27"/>
      <c r="J517" s="27"/>
      <c r="K517" s="23" t="str">
        <f ca="1">IFERROR(__xludf.DUMMYFUNCTION("""COMPUTED_VALUE"""),"")</f>
        <v/>
      </c>
      <c r="L517" s="22"/>
      <c r="M517" s="23"/>
      <c r="N517" s="23"/>
      <c r="O517" s="23"/>
      <c r="P517" s="23"/>
      <c r="Q517" s="24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2"/>
      <c r="AD517" s="23"/>
      <c r="AE517" s="23"/>
      <c r="AF517" s="22"/>
      <c r="AG517" s="22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</row>
    <row r="518" spans="1:45" ht="27.75" customHeight="1" x14ac:dyDescent="0.35">
      <c r="A518" s="15" t="s">
        <v>257</v>
      </c>
      <c r="B518" s="15" t="s">
        <v>257</v>
      </c>
      <c r="C518" s="15"/>
      <c r="D518" s="15"/>
      <c r="E518" s="16"/>
      <c r="F518" s="15" t="s">
        <v>257</v>
      </c>
      <c r="G518" s="32"/>
      <c r="H518" s="27"/>
      <c r="I518" s="27"/>
      <c r="J518" s="27"/>
      <c r="K518" s="23" t="str">
        <f ca="1">IFERROR(__xludf.DUMMYFUNCTION("""COMPUTED_VALUE"""),"")</f>
        <v/>
      </c>
      <c r="L518" s="22"/>
      <c r="M518" s="23"/>
      <c r="N518" s="23"/>
      <c r="O518" s="23"/>
      <c r="P518" s="23"/>
      <c r="Q518" s="24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2"/>
      <c r="AD518" s="23"/>
      <c r="AE518" s="23"/>
      <c r="AF518" s="22"/>
      <c r="AG518" s="22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</row>
    <row r="519" spans="1:45" ht="27.75" customHeight="1" x14ac:dyDescent="0.35">
      <c r="A519" s="15" t="s">
        <v>257</v>
      </c>
      <c r="B519" s="15" t="s">
        <v>257</v>
      </c>
      <c r="C519" s="15"/>
      <c r="D519" s="15"/>
      <c r="E519" s="16"/>
      <c r="F519" s="15" t="s">
        <v>257</v>
      </c>
      <c r="G519" s="32"/>
      <c r="H519" s="27"/>
      <c r="I519" s="27"/>
      <c r="J519" s="27"/>
      <c r="K519" s="23" t="str">
        <f ca="1">IFERROR(__xludf.DUMMYFUNCTION("""COMPUTED_VALUE"""),"")</f>
        <v/>
      </c>
      <c r="L519" s="22"/>
      <c r="M519" s="23"/>
      <c r="N519" s="23"/>
      <c r="O519" s="23"/>
      <c r="P519" s="23"/>
      <c r="Q519" s="24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2"/>
      <c r="AD519" s="23"/>
      <c r="AE519" s="23"/>
      <c r="AF519" s="22"/>
      <c r="AG519" s="22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</row>
    <row r="520" spans="1:45" ht="27.75" customHeight="1" x14ac:dyDescent="0.35">
      <c r="A520" s="15" t="s">
        <v>257</v>
      </c>
      <c r="B520" s="15" t="s">
        <v>257</v>
      </c>
      <c r="C520" s="15"/>
      <c r="D520" s="15"/>
      <c r="E520" s="16"/>
      <c r="F520" s="15" t="s">
        <v>257</v>
      </c>
      <c r="G520" s="32"/>
      <c r="H520" s="27"/>
      <c r="I520" s="27"/>
      <c r="J520" s="27"/>
      <c r="K520" s="23" t="str">
        <f ca="1">IFERROR(__xludf.DUMMYFUNCTION("""COMPUTED_VALUE"""),"")</f>
        <v/>
      </c>
      <c r="L520" s="22"/>
      <c r="M520" s="23"/>
      <c r="N520" s="23"/>
      <c r="O520" s="23"/>
      <c r="P520" s="23"/>
      <c r="Q520" s="24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2"/>
      <c r="AD520" s="23"/>
      <c r="AE520" s="23"/>
      <c r="AF520" s="22"/>
      <c r="AG520" s="22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</row>
    <row r="521" spans="1:45" ht="27.75" customHeight="1" x14ac:dyDescent="0.35">
      <c r="A521" s="15" t="s">
        <v>257</v>
      </c>
      <c r="B521" s="15" t="s">
        <v>257</v>
      </c>
      <c r="C521" s="15"/>
      <c r="D521" s="15"/>
      <c r="E521" s="16"/>
      <c r="F521" s="15" t="s">
        <v>257</v>
      </c>
      <c r="G521" s="32"/>
      <c r="H521" s="27"/>
      <c r="I521" s="27"/>
      <c r="J521" s="27"/>
      <c r="K521" s="23" t="str">
        <f ca="1">IFERROR(__xludf.DUMMYFUNCTION("""COMPUTED_VALUE"""),"")</f>
        <v/>
      </c>
      <c r="L521" s="22"/>
      <c r="M521" s="23"/>
      <c r="N521" s="23"/>
      <c r="O521" s="23"/>
      <c r="P521" s="23"/>
      <c r="Q521" s="24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2"/>
      <c r="AD521" s="23"/>
      <c r="AE521" s="23"/>
      <c r="AF521" s="22"/>
      <c r="AG521" s="22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</row>
    <row r="522" spans="1:45" ht="27.75" customHeight="1" x14ac:dyDescent="0.35">
      <c r="A522" s="15" t="s">
        <v>257</v>
      </c>
      <c r="B522" s="15" t="s">
        <v>257</v>
      </c>
      <c r="C522" s="15"/>
      <c r="D522" s="15"/>
      <c r="E522" s="16"/>
      <c r="F522" s="15" t="s">
        <v>257</v>
      </c>
      <c r="G522" s="32"/>
      <c r="H522" s="27"/>
      <c r="I522" s="27"/>
      <c r="J522" s="27"/>
      <c r="K522" s="23" t="str">
        <f ca="1">IFERROR(__xludf.DUMMYFUNCTION("""COMPUTED_VALUE"""),"")</f>
        <v/>
      </c>
      <c r="L522" s="22"/>
      <c r="M522" s="23"/>
      <c r="N522" s="23"/>
      <c r="O522" s="23"/>
      <c r="P522" s="23"/>
      <c r="Q522" s="24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2"/>
      <c r="AD522" s="23"/>
      <c r="AE522" s="23"/>
      <c r="AF522" s="22"/>
      <c r="AG522" s="22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</row>
    <row r="523" spans="1:45" ht="27.75" customHeight="1" x14ac:dyDescent="0.35">
      <c r="A523" s="15" t="s">
        <v>257</v>
      </c>
      <c r="B523" s="15" t="s">
        <v>257</v>
      </c>
      <c r="C523" s="15"/>
      <c r="D523" s="15"/>
      <c r="E523" s="16"/>
      <c r="F523" s="15" t="s">
        <v>257</v>
      </c>
      <c r="G523" s="32"/>
      <c r="H523" s="27"/>
      <c r="I523" s="27"/>
      <c r="J523" s="27"/>
      <c r="K523" s="23" t="str">
        <f ca="1">IFERROR(__xludf.DUMMYFUNCTION("""COMPUTED_VALUE"""),"")</f>
        <v/>
      </c>
      <c r="L523" s="22"/>
      <c r="M523" s="23"/>
      <c r="N523" s="23"/>
      <c r="O523" s="23"/>
      <c r="P523" s="23"/>
      <c r="Q523" s="24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2"/>
      <c r="AD523" s="23"/>
      <c r="AE523" s="23"/>
      <c r="AF523" s="22"/>
      <c r="AG523" s="22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</row>
    <row r="524" spans="1:45" ht="27.75" customHeight="1" x14ac:dyDescent="0.35">
      <c r="A524" s="15" t="s">
        <v>257</v>
      </c>
      <c r="B524" s="15" t="s">
        <v>257</v>
      </c>
      <c r="C524" s="15"/>
      <c r="D524" s="15"/>
      <c r="E524" s="16"/>
      <c r="F524" s="15" t="s">
        <v>257</v>
      </c>
      <c r="G524" s="32"/>
      <c r="H524" s="27"/>
      <c r="I524" s="27"/>
      <c r="J524" s="27"/>
      <c r="K524" s="23" t="str">
        <f ca="1">IFERROR(__xludf.DUMMYFUNCTION("""COMPUTED_VALUE"""),"")</f>
        <v/>
      </c>
      <c r="L524" s="22"/>
      <c r="M524" s="23"/>
      <c r="N524" s="23"/>
      <c r="O524" s="23"/>
      <c r="P524" s="23"/>
      <c r="Q524" s="24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2"/>
      <c r="AD524" s="23"/>
      <c r="AE524" s="23"/>
      <c r="AF524" s="22"/>
      <c r="AG524" s="22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</row>
    <row r="525" spans="1:45" ht="27.75" customHeight="1" x14ac:dyDescent="0.35">
      <c r="A525" s="15" t="s">
        <v>257</v>
      </c>
      <c r="B525" s="15" t="s">
        <v>257</v>
      </c>
      <c r="C525" s="15"/>
      <c r="D525" s="15"/>
      <c r="E525" s="16"/>
      <c r="F525" s="15" t="s">
        <v>257</v>
      </c>
      <c r="G525" s="32"/>
      <c r="H525" s="27"/>
      <c r="I525" s="27"/>
      <c r="J525" s="27"/>
      <c r="K525" s="23" t="str">
        <f ca="1">IFERROR(__xludf.DUMMYFUNCTION("""COMPUTED_VALUE"""),"")</f>
        <v/>
      </c>
      <c r="L525" s="22"/>
      <c r="M525" s="23"/>
      <c r="N525" s="23"/>
      <c r="O525" s="23"/>
      <c r="P525" s="23"/>
      <c r="Q525" s="24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2"/>
      <c r="AD525" s="23"/>
      <c r="AE525" s="23"/>
      <c r="AF525" s="22"/>
      <c r="AG525" s="22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</row>
    <row r="526" spans="1:45" ht="27.75" customHeight="1" x14ac:dyDescent="0.35">
      <c r="A526" s="15" t="s">
        <v>257</v>
      </c>
      <c r="B526" s="15" t="s">
        <v>257</v>
      </c>
      <c r="C526" s="15"/>
      <c r="D526" s="15"/>
      <c r="E526" s="16"/>
      <c r="F526" s="15" t="s">
        <v>257</v>
      </c>
      <c r="G526" s="32"/>
      <c r="H526" s="27"/>
      <c r="I526" s="27"/>
      <c r="J526" s="27"/>
      <c r="K526" s="23" t="str">
        <f ca="1">IFERROR(__xludf.DUMMYFUNCTION("""COMPUTED_VALUE"""),"")</f>
        <v/>
      </c>
      <c r="L526" s="22"/>
      <c r="M526" s="23"/>
      <c r="N526" s="23"/>
      <c r="O526" s="23"/>
      <c r="P526" s="23"/>
      <c r="Q526" s="24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2"/>
      <c r="AD526" s="23"/>
      <c r="AE526" s="23"/>
      <c r="AF526" s="22"/>
      <c r="AG526" s="22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</row>
    <row r="527" spans="1:45" ht="27.75" customHeight="1" x14ac:dyDescent="0.35">
      <c r="A527" s="15" t="s">
        <v>257</v>
      </c>
      <c r="B527" s="15" t="s">
        <v>257</v>
      </c>
      <c r="C527" s="15"/>
      <c r="D527" s="15"/>
      <c r="E527" s="16"/>
      <c r="F527" s="15" t="s">
        <v>257</v>
      </c>
      <c r="G527" s="32"/>
      <c r="H527" s="27"/>
      <c r="I527" s="27"/>
      <c r="J527" s="27"/>
      <c r="K527" s="23" t="str">
        <f ca="1">IFERROR(__xludf.DUMMYFUNCTION("""COMPUTED_VALUE"""),"")</f>
        <v/>
      </c>
      <c r="L527" s="22"/>
      <c r="M527" s="23"/>
      <c r="N527" s="23"/>
      <c r="O527" s="23"/>
      <c r="P527" s="23"/>
      <c r="Q527" s="24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2"/>
      <c r="AD527" s="23"/>
      <c r="AE527" s="23"/>
      <c r="AF527" s="22"/>
      <c r="AG527" s="22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</row>
    <row r="528" spans="1:45" ht="27.75" customHeight="1" x14ac:dyDescent="0.35">
      <c r="A528" s="15" t="s">
        <v>257</v>
      </c>
      <c r="B528" s="15" t="s">
        <v>257</v>
      </c>
      <c r="C528" s="15"/>
      <c r="D528" s="15"/>
      <c r="E528" s="16"/>
      <c r="F528" s="15" t="s">
        <v>257</v>
      </c>
      <c r="G528" s="32"/>
      <c r="H528" s="27"/>
      <c r="I528" s="27"/>
      <c r="J528" s="27"/>
      <c r="K528" s="23" t="str">
        <f ca="1">IFERROR(__xludf.DUMMYFUNCTION("""COMPUTED_VALUE"""),"")</f>
        <v/>
      </c>
      <c r="L528" s="22"/>
      <c r="M528" s="23"/>
      <c r="N528" s="23"/>
      <c r="O528" s="23"/>
      <c r="P528" s="23"/>
      <c r="Q528" s="24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2"/>
      <c r="AD528" s="23"/>
      <c r="AE528" s="23"/>
      <c r="AF528" s="22"/>
      <c r="AG528" s="22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</row>
    <row r="529" spans="1:45" ht="27.75" customHeight="1" x14ac:dyDescent="0.35">
      <c r="A529" s="15" t="s">
        <v>257</v>
      </c>
      <c r="B529" s="15" t="s">
        <v>257</v>
      </c>
      <c r="C529" s="15"/>
      <c r="D529" s="15"/>
      <c r="E529" s="16"/>
      <c r="F529" s="15" t="s">
        <v>257</v>
      </c>
      <c r="G529" s="32"/>
      <c r="H529" s="27"/>
      <c r="I529" s="27"/>
      <c r="J529" s="27"/>
      <c r="K529" s="23" t="str">
        <f ca="1">IFERROR(__xludf.DUMMYFUNCTION("""COMPUTED_VALUE"""),"")</f>
        <v/>
      </c>
      <c r="L529" s="22"/>
      <c r="M529" s="23"/>
      <c r="N529" s="23"/>
      <c r="O529" s="23"/>
      <c r="P529" s="23"/>
      <c r="Q529" s="24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2"/>
      <c r="AD529" s="23"/>
      <c r="AE529" s="23"/>
      <c r="AF529" s="22"/>
      <c r="AG529" s="22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</row>
    <row r="530" spans="1:45" ht="27.75" customHeight="1" x14ac:dyDescent="0.35">
      <c r="A530" s="15" t="s">
        <v>257</v>
      </c>
      <c r="B530" s="15" t="s">
        <v>257</v>
      </c>
      <c r="C530" s="15"/>
      <c r="D530" s="15"/>
      <c r="E530" s="16"/>
      <c r="F530" s="15" t="s">
        <v>257</v>
      </c>
      <c r="G530" s="32"/>
      <c r="H530" s="27"/>
      <c r="I530" s="27"/>
      <c r="J530" s="27"/>
      <c r="K530" s="23" t="str">
        <f ca="1">IFERROR(__xludf.DUMMYFUNCTION("""COMPUTED_VALUE"""),"")</f>
        <v/>
      </c>
      <c r="L530" s="22"/>
      <c r="M530" s="23"/>
      <c r="N530" s="23"/>
      <c r="O530" s="23"/>
      <c r="P530" s="23"/>
      <c r="Q530" s="24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2"/>
      <c r="AD530" s="23"/>
      <c r="AE530" s="23"/>
      <c r="AF530" s="22"/>
      <c r="AG530" s="22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</row>
    <row r="531" spans="1:45" ht="27.75" customHeight="1" x14ac:dyDescent="0.35">
      <c r="A531" s="15" t="s">
        <v>257</v>
      </c>
      <c r="B531" s="15" t="s">
        <v>257</v>
      </c>
      <c r="C531" s="15"/>
      <c r="D531" s="15"/>
      <c r="E531" s="16"/>
      <c r="F531" s="15" t="s">
        <v>257</v>
      </c>
      <c r="G531" s="32"/>
      <c r="H531" s="27"/>
      <c r="I531" s="27"/>
      <c r="J531" s="27"/>
      <c r="K531" s="23" t="str">
        <f ca="1">IFERROR(__xludf.DUMMYFUNCTION("""COMPUTED_VALUE"""),"")</f>
        <v/>
      </c>
      <c r="L531" s="22"/>
      <c r="M531" s="23"/>
      <c r="N531" s="23"/>
      <c r="O531" s="23"/>
      <c r="P531" s="23"/>
      <c r="Q531" s="24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2"/>
      <c r="AD531" s="23"/>
      <c r="AE531" s="23"/>
      <c r="AF531" s="22"/>
      <c r="AG531" s="22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</row>
    <row r="532" spans="1:45" ht="27.75" customHeight="1" x14ac:dyDescent="0.35">
      <c r="A532" s="15" t="s">
        <v>257</v>
      </c>
      <c r="B532" s="15" t="s">
        <v>257</v>
      </c>
      <c r="C532" s="15"/>
      <c r="D532" s="15"/>
      <c r="E532" s="16"/>
      <c r="F532" s="15" t="s">
        <v>257</v>
      </c>
      <c r="G532" s="32"/>
      <c r="H532" s="27"/>
      <c r="I532" s="27"/>
      <c r="J532" s="27"/>
      <c r="K532" s="23" t="str">
        <f ca="1">IFERROR(__xludf.DUMMYFUNCTION("""COMPUTED_VALUE"""),"")</f>
        <v/>
      </c>
      <c r="L532" s="22"/>
      <c r="M532" s="23"/>
      <c r="N532" s="23"/>
      <c r="O532" s="23"/>
      <c r="P532" s="23"/>
      <c r="Q532" s="24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2"/>
      <c r="AD532" s="23"/>
      <c r="AE532" s="23"/>
      <c r="AF532" s="22"/>
      <c r="AG532" s="22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</row>
    <row r="533" spans="1:45" ht="27.75" customHeight="1" x14ac:dyDescent="0.35">
      <c r="A533" s="15" t="s">
        <v>257</v>
      </c>
      <c r="B533" s="15" t="s">
        <v>257</v>
      </c>
      <c r="C533" s="15"/>
      <c r="D533" s="15"/>
      <c r="E533" s="16"/>
      <c r="F533" s="15" t="s">
        <v>257</v>
      </c>
      <c r="G533" s="32"/>
      <c r="H533" s="27"/>
      <c r="I533" s="27"/>
      <c r="J533" s="27"/>
      <c r="K533" s="23" t="str">
        <f ca="1">IFERROR(__xludf.DUMMYFUNCTION("""COMPUTED_VALUE"""),"")</f>
        <v/>
      </c>
      <c r="L533" s="22"/>
      <c r="M533" s="23"/>
      <c r="N533" s="23"/>
      <c r="O533" s="23"/>
      <c r="P533" s="23"/>
      <c r="Q533" s="24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2"/>
      <c r="AD533" s="23"/>
      <c r="AE533" s="23"/>
      <c r="AF533" s="22"/>
      <c r="AG533" s="22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</row>
    <row r="534" spans="1:45" ht="27.75" customHeight="1" x14ac:dyDescent="0.35">
      <c r="A534" s="15" t="s">
        <v>257</v>
      </c>
      <c r="B534" s="15" t="s">
        <v>257</v>
      </c>
      <c r="C534" s="15"/>
      <c r="D534" s="15"/>
      <c r="E534" s="16"/>
      <c r="F534" s="15" t="s">
        <v>257</v>
      </c>
      <c r="G534" s="32"/>
      <c r="H534" s="27"/>
      <c r="I534" s="27"/>
      <c r="J534" s="27"/>
      <c r="K534" s="23" t="str">
        <f ca="1">IFERROR(__xludf.DUMMYFUNCTION("""COMPUTED_VALUE"""),"")</f>
        <v/>
      </c>
      <c r="L534" s="22"/>
      <c r="M534" s="23"/>
      <c r="N534" s="23"/>
      <c r="O534" s="23"/>
      <c r="P534" s="23"/>
      <c r="Q534" s="24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2"/>
      <c r="AD534" s="23"/>
      <c r="AE534" s="23"/>
      <c r="AF534" s="22"/>
      <c r="AG534" s="22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</row>
    <row r="535" spans="1:45" ht="27.75" customHeight="1" x14ac:dyDescent="0.35">
      <c r="A535" s="15" t="s">
        <v>257</v>
      </c>
      <c r="B535" s="15" t="s">
        <v>257</v>
      </c>
      <c r="C535" s="15"/>
      <c r="D535" s="15"/>
      <c r="E535" s="16"/>
      <c r="F535" s="15" t="s">
        <v>257</v>
      </c>
      <c r="G535" s="32"/>
      <c r="H535" s="27"/>
      <c r="I535" s="27"/>
      <c r="J535" s="27"/>
      <c r="K535" s="23" t="str">
        <f ca="1">IFERROR(__xludf.DUMMYFUNCTION("""COMPUTED_VALUE"""),"")</f>
        <v/>
      </c>
      <c r="L535" s="22"/>
      <c r="M535" s="23"/>
      <c r="N535" s="23"/>
      <c r="O535" s="23"/>
      <c r="P535" s="23"/>
      <c r="Q535" s="24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2"/>
      <c r="AD535" s="23"/>
      <c r="AE535" s="23"/>
      <c r="AF535" s="22"/>
      <c r="AG535" s="22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</row>
    <row r="536" spans="1:45" ht="27.75" customHeight="1" x14ac:dyDescent="0.35">
      <c r="A536" s="15" t="s">
        <v>257</v>
      </c>
      <c r="B536" s="15" t="s">
        <v>257</v>
      </c>
      <c r="C536" s="15"/>
      <c r="D536" s="15"/>
      <c r="E536" s="16"/>
      <c r="F536" s="15" t="s">
        <v>257</v>
      </c>
      <c r="G536" s="32"/>
      <c r="H536" s="27"/>
      <c r="I536" s="27"/>
      <c r="J536" s="27"/>
      <c r="K536" s="23" t="str">
        <f ca="1">IFERROR(__xludf.DUMMYFUNCTION("""COMPUTED_VALUE"""),"")</f>
        <v/>
      </c>
      <c r="L536" s="22"/>
      <c r="M536" s="23"/>
      <c r="N536" s="23"/>
      <c r="O536" s="23"/>
      <c r="P536" s="23"/>
      <c r="Q536" s="24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2"/>
      <c r="AD536" s="23"/>
      <c r="AE536" s="23"/>
      <c r="AF536" s="22"/>
      <c r="AG536" s="22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</row>
    <row r="537" spans="1:45" ht="27.75" customHeight="1" x14ac:dyDescent="0.35">
      <c r="A537" s="15" t="s">
        <v>257</v>
      </c>
      <c r="B537" s="15" t="s">
        <v>257</v>
      </c>
      <c r="C537" s="15"/>
      <c r="D537" s="15"/>
      <c r="E537" s="16"/>
      <c r="F537" s="15" t="s">
        <v>257</v>
      </c>
      <c r="G537" s="32"/>
      <c r="H537" s="27"/>
      <c r="I537" s="27"/>
      <c r="J537" s="27"/>
      <c r="K537" s="23" t="str">
        <f ca="1">IFERROR(__xludf.DUMMYFUNCTION("""COMPUTED_VALUE"""),"")</f>
        <v/>
      </c>
      <c r="L537" s="22"/>
      <c r="M537" s="23"/>
      <c r="N537" s="23"/>
      <c r="O537" s="23"/>
      <c r="P537" s="23"/>
      <c r="Q537" s="24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2"/>
      <c r="AD537" s="23"/>
      <c r="AE537" s="23"/>
      <c r="AF537" s="22"/>
      <c r="AG537" s="22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</row>
    <row r="538" spans="1:45" ht="27.75" customHeight="1" x14ac:dyDescent="0.35">
      <c r="A538" s="15" t="s">
        <v>257</v>
      </c>
      <c r="B538" s="15" t="s">
        <v>257</v>
      </c>
      <c r="C538" s="15"/>
      <c r="D538" s="15"/>
      <c r="E538" s="16"/>
      <c r="F538" s="15" t="s">
        <v>257</v>
      </c>
      <c r="G538" s="32"/>
      <c r="H538" s="27"/>
      <c r="I538" s="27"/>
      <c r="J538" s="27"/>
      <c r="K538" s="23" t="str">
        <f ca="1">IFERROR(__xludf.DUMMYFUNCTION("""COMPUTED_VALUE"""),"")</f>
        <v/>
      </c>
      <c r="L538" s="22"/>
      <c r="M538" s="23"/>
      <c r="N538" s="23"/>
      <c r="O538" s="23"/>
      <c r="P538" s="23"/>
      <c r="Q538" s="24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2"/>
      <c r="AD538" s="23"/>
      <c r="AE538" s="23"/>
      <c r="AF538" s="22"/>
      <c r="AG538" s="22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</row>
    <row r="539" spans="1:45" ht="27.75" customHeight="1" x14ac:dyDescent="0.35">
      <c r="A539" s="15" t="s">
        <v>257</v>
      </c>
      <c r="B539" s="15" t="s">
        <v>257</v>
      </c>
      <c r="C539" s="15"/>
      <c r="D539" s="15"/>
      <c r="E539" s="16"/>
      <c r="F539" s="15" t="s">
        <v>257</v>
      </c>
      <c r="G539" s="32"/>
      <c r="H539" s="27"/>
      <c r="I539" s="27"/>
      <c r="J539" s="27"/>
      <c r="K539" s="23" t="str">
        <f ca="1">IFERROR(__xludf.DUMMYFUNCTION("""COMPUTED_VALUE"""),"")</f>
        <v/>
      </c>
      <c r="L539" s="22"/>
      <c r="M539" s="23"/>
      <c r="N539" s="23"/>
      <c r="O539" s="23"/>
      <c r="P539" s="23"/>
      <c r="Q539" s="24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2"/>
      <c r="AD539" s="23"/>
      <c r="AE539" s="23"/>
      <c r="AF539" s="22"/>
      <c r="AG539" s="22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</row>
    <row r="540" spans="1:45" ht="27.75" customHeight="1" x14ac:dyDescent="0.35">
      <c r="A540" s="15" t="s">
        <v>257</v>
      </c>
      <c r="B540" s="15" t="s">
        <v>257</v>
      </c>
      <c r="C540" s="15"/>
      <c r="D540" s="15"/>
      <c r="E540" s="16"/>
      <c r="F540" s="15" t="s">
        <v>257</v>
      </c>
      <c r="G540" s="32"/>
      <c r="H540" s="27"/>
      <c r="I540" s="27"/>
      <c r="J540" s="27"/>
      <c r="K540" s="23" t="str">
        <f ca="1">IFERROR(__xludf.DUMMYFUNCTION("""COMPUTED_VALUE"""),"")</f>
        <v/>
      </c>
      <c r="L540" s="22"/>
      <c r="M540" s="23"/>
      <c r="N540" s="23"/>
      <c r="O540" s="23"/>
      <c r="P540" s="23"/>
      <c r="Q540" s="24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2"/>
      <c r="AD540" s="23"/>
      <c r="AE540" s="23"/>
      <c r="AF540" s="22"/>
      <c r="AG540" s="22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</row>
    <row r="541" spans="1:45" ht="27.75" customHeight="1" x14ac:dyDescent="0.35">
      <c r="A541" s="15" t="s">
        <v>257</v>
      </c>
      <c r="B541" s="15" t="s">
        <v>257</v>
      </c>
      <c r="C541" s="15"/>
      <c r="D541" s="15"/>
      <c r="E541" s="16"/>
      <c r="F541" s="15" t="s">
        <v>257</v>
      </c>
      <c r="G541" s="32"/>
      <c r="H541" s="27"/>
      <c r="I541" s="27"/>
      <c r="J541" s="27"/>
      <c r="K541" s="23" t="str">
        <f ca="1">IFERROR(__xludf.DUMMYFUNCTION("""COMPUTED_VALUE"""),"")</f>
        <v/>
      </c>
      <c r="L541" s="22"/>
      <c r="M541" s="23"/>
      <c r="N541" s="23"/>
      <c r="O541" s="23"/>
      <c r="P541" s="23"/>
      <c r="Q541" s="24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2"/>
      <c r="AD541" s="23"/>
      <c r="AE541" s="23"/>
      <c r="AF541" s="22"/>
      <c r="AG541" s="22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</row>
    <row r="542" spans="1:45" ht="27.75" customHeight="1" x14ac:dyDescent="0.35">
      <c r="A542" s="15" t="s">
        <v>257</v>
      </c>
      <c r="B542" s="15" t="s">
        <v>257</v>
      </c>
      <c r="C542" s="15"/>
      <c r="D542" s="15"/>
      <c r="E542" s="16"/>
      <c r="F542" s="15" t="s">
        <v>257</v>
      </c>
      <c r="G542" s="32"/>
      <c r="H542" s="27"/>
      <c r="I542" s="27"/>
      <c r="J542" s="27"/>
      <c r="K542" s="23" t="str">
        <f ca="1">IFERROR(__xludf.DUMMYFUNCTION("""COMPUTED_VALUE"""),"")</f>
        <v/>
      </c>
      <c r="L542" s="22"/>
      <c r="M542" s="23"/>
      <c r="N542" s="23"/>
      <c r="O542" s="23"/>
      <c r="P542" s="23"/>
      <c r="Q542" s="24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2"/>
      <c r="AD542" s="23"/>
      <c r="AE542" s="23"/>
      <c r="AF542" s="22"/>
      <c r="AG542" s="22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</row>
    <row r="543" spans="1:45" ht="27.75" customHeight="1" x14ac:dyDescent="0.35">
      <c r="A543" s="15" t="s">
        <v>257</v>
      </c>
      <c r="B543" s="15" t="s">
        <v>257</v>
      </c>
      <c r="C543" s="15"/>
      <c r="D543" s="15"/>
      <c r="E543" s="16"/>
      <c r="F543" s="15" t="s">
        <v>257</v>
      </c>
      <c r="G543" s="32"/>
      <c r="H543" s="27"/>
      <c r="I543" s="27"/>
      <c r="J543" s="27"/>
      <c r="K543" s="23" t="str">
        <f ca="1">IFERROR(__xludf.DUMMYFUNCTION("""COMPUTED_VALUE"""),"")</f>
        <v/>
      </c>
      <c r="L543" s="22"/>
      <c r="M543" s="23"/>
      <c r="N543" s="23"/>
      <c r="O543" s="23"/>
      <c r="P543" s="23"/>
      <c r="Q543" s="24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2"/>
      <c r="AD543" s="23"/>
      <c r="AE543" s="23"/>
      <c r="AF543" s="22"/>
      <c r="AG543" s="22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</row>
    <row r="544" spans="1:45" ht="27.75" customHeight="1" x14ac:dyDescent="0.35">
      <c r="A544" s="15" t="s">
        <v>257</v>
      </c>
      <c r="B544" s="15" t="s">
        <v>257</v>
      </c>
      <c r="C544" s="15"/>
      <c r="D544" s="15"/>
      <c r="E544" s="16"/>
      <c r="F544" s="15" t="s">
        <v>257</v>
      </c>
      <c r="G544" s="32"/>
      <c r="H544" s="27"/>
      <c r="I544" s="27"/>
      <c r="J544" s="27"/>
      <c r="K544" s="23" t="str">
        <f ca="1">IFERROR(__xludf.DUMMYFUNCTION("""COMPUTED_VALUE"""),"")</f>
        <v/>
      </c>
      <c r="L544" s="22"/>
      <c r="M544" s="23"/>
      <c r="N544" s="23"/>
      <c r="O544" s="23"/>
      <c r="P544" s="23"/>
      <c r="Q544" s="24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2"/>
      <c r="AD544" s="23"/>
      <c r="AE544" s="23"/>
      <c r="AF544" s="22"/>
      <c r="AG544" s="22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</row>
    <row r="545" spans="1:45" ht="27.75" customHeight="1" x14ac:dyDescent="0.35">
      <c r="A545" s="15" t="s">
        <v>257</v>
      </c>
      <c r="B545" s="15" t="s">
        <v>257</v>
      </c>
      <c r="C545" s="15"/>
      <c r="D545" s="15"/>
      <c r="E545" s="16"/>
      <c r="F545" s="15" t="s">
        <v>257</v>
      </c>
      <c r="G545" s="32"/>
      <c r="H545" s="27"/>
      <c r="I545" s="27"/>
      <c r="J545" s="27"/>
      <c r="K545" s="23" t="str">
        <f ca="1">IFERROR(__xludf.DUMMYFUNCTION("""COMPUTED_VALUE"""),"")</f>
        <v/>
      </c>
      <c r="L545" s="22"/>
      <c r="M545" s="23"/>
      <c r="N545" s="23"/>
      <c r="O545" s="23"/>
      <c r="P545" s="23"/>
      <c r="Q545" s="24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2"/>
      <c r="AD545" s="23"/>
      <c r="AE545" s="23"/>
      <c r="AF545" s="22"/>
      <c r="AG545" s="22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</row>
    <row r="546" spans="1:45" ht="27.75" customHeight="1" x14ac:dyDescent="0.35">
      <c r="A546" s="15" t="s">
        <v>257</v>
      </c>
      <c r="B546" s="15" t="s">
        <v>257</v>
      </c>
      <c r="C546" s="15"/>
      <c r="D546" s="15"/>
      <c r="E546" s="16"/>
      <c r="F546" s="15" t="s">
        <v>257</v>
      </c>
      <c r="G546" s="32"/>
      <c r="H546" s="27"/>
      <c r="I546" s="27"/>
      <c r="J546" s="27"/>
      <c r="K546" s="23" t="str">
        <f ca="1">IFERROR(__xludf.DUMMYFUNCTION("""COMPUTED_VALUE"""),"")</f>
        <v/>
      </c>
      <c r="L546" s="22"/>
      <c r="M546" s="23"/>
      <c r="N546" s="23"/>
      <c r="O546" s="23"/>
      <c r="P546" s="23"/>
      <c r="Q546" s="24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2"/>
      <c r="AD546" s="23"/>
      <c r="AE546" s="23"/>
      <c r="AF546" s="22"/>
      <c r="AG546" s="22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</row>
    <row r="547" spans="1:45" ht="27.75" customHeight="1" x14ac:dyDescent="0.35">
      <c r="A547" s="15" t="s">
        <v>257</v>
      </c>
      <c r="B547" s="15" t="s">
        <v>257</v>
      </c>
      <c r="C547" s="15"/>
      <c r="D547" s="15"/>
      <c r="E547" s="16"/>
      <c r="F547" s="15" t="s">
        <v>257</v>
      </c>
      <c r="G547" s="32"/>
      <c r="H547" s="27"/>
      <c r="I547" s="27"/>
      <c r="J547" s="27"/>
      <c r="K547" s="23" t="str">
        <f ca="1">IFERROR(__xludf.DUMMYFUNCTION("""COMPUTED_VALUE"""),"")</f>
        <v/>
      </c>
      <c r="L547" s="22"/>
      <c r="M547" s="23"/>
      <c r="N547" s="23"/>
      <c r="O547" s="23"/>
      <c r="P547" s="23"/>
      <c r="Q547" s="24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2"/>
      <c r="AD547" s="23"/>
      <c r="AE547" s="23"/>
      <c r="AF547" s="22"/>
      <c r="AG547" s="22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</row>
    <row r="548" spans="1:45" ht="27.75" customHeight="1" x14ac:dyDescent="0.35">
      <c r="A548" s="15" t="s">
        <v>257</v>
      </c>
      <c r="B548" s="15" t="s">
        <v>257</v>
      </c>
      <c r="C548" s="15"/>
      <c r="D548" s="15"/>
      <c r="E548" s="16"/>
      <c r="F548" s="15" t="s">
        <v>257</v>
      </c>
      <c r="G548" s="32"/>
      <c r="H548" s="27"/>
      <c r="I548" s="27"/>
      <c r="J548" s="27"/>
      <c r="K548" s="23" t="str">
        <f ca="1">IFERROR(__xludf.DUMMYFUNCTION("""COMPUTED_VALUE"""),"")</f>
        <v/>
      </c>
      <c r="L548" s="22"/>
      <c r="M548" s="23"/>
      <c r="N548" s="23"/>
      <c r="O548" s="23"/>
      <c r="P548" s="23"/>
      <c r="Q548" s="24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2"/>
      <c r="AD548" s="23"/>
      <c r="AE548" s="23"/>
      <c r="AF548" s="22"/>
      <c r="AG548" s="22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</row>
    <row r="549" spans="1:45" ht="27.75" customHeight="1" x14ac:dyDescent="0.35">
      <c r="A549" s="15" t="s">
        <v>257</v>
      </c>
      <c r="B549" s="15" t="s">
        <v>257</v>
      </c>
      <c r="C549" s="15"/>
      <c r="D549" s="15"/>
      <c r="E549" s="16"/>
      <c r="F549" s="15" t="s">
        <v>257</v>
      </c>
      <c r="G549" s="32"/>
      <c r="H549" s="27"/>
      <c r="I549" s="27"/>
      <c r="J549" s="27"/>
      <c r="K549" s="23" t="str">
        <f ca="1">IFERROR(__xludf.DUMMYFUNCTION("""COMPUTED_VALUE"""),"")</f>
        <v/>
      </c>
      <c r="L549" s="22"/>
      <c r="M549" s="23"/>
      <c r="N549" s="23"/>
      <c r="O549" s="23"/>
      <c r="P549" s="23"/>
      <c r="Q549" s="24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2"/>
      <c r="AD549" s="23"/>
      <c r="AE549" s="23"/>
      <c r="AF549" s="22"/>
      <c r="AG549" s="22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</row>
    <row r="550" spans="1:45" ht="27.75" customHeight="1" x14ac:dyDescent="0.35">
      <c r="A550" s="15" t="s">
        <v>257</v>
      </c>
      <c r="B550" s="15" t="s">
        <v>257</v>
      </c>
      <c r="C550" s="15"/>
      <c r="D550" s="15"/>
      <c r="E550" s="16"/>
      <c r="F550" s="15" t="s">
        <v>257</v>
      </c>
      <c r="G550" s="32"/>
      <c r="H550" s="27"/>
      <c r="I550" s="27"/>
      <c r="J550" s="27"/>
      <c r="K550" s="23" t="str">
        <f ca="1">IFERROR(__xludf.DUMMYFUNCTION("""COMPUTED_VALUE"""),"")</f>
        <v/>
      </c>
      <c r="L550" s="22"/>
      <c r="M550" s="23"/>
      <c r="N550" s="23"/>
      <c r="O550" s="23"/>
      <c r="P550" s="23"/>
      <c r="Q550" s="24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2"/>
      <c r="AD550" s="23"/>
      <c r="AE550" s="23"/>
      <c r="AF550" s="22"/>
      <c r="AG550" s="22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</row>
    <row r="551" spans="1:45" ht="27.75" customHeight="1" x14ac:dyDescent="0.35">
      <c r="A551" s="15" t="s">
        <v>257</v>
      </c>
      <c r="B551" s="15" t="s">
        <v>257</v>
      </c>
      <c r="C551" s="15"/>
      <c r="D551" s="15"/>
      <c r="E551" s="16"/>
      <c r="F551" s="15" t="s">
        <v>257</v>
      </c>
      <c r="G551" s="32"/>
      <c r="H551" s="27"/>
      <c r="I551" s="27"/>
      <c r="J551" s="27"/>
      <c r="K551" s="23" t="str">
        <f ca="1">IFERROR(__xludf.DUMMYFUNCTION("""COMPUTED_VALUE"""),"")</f>
        <v/>
      </c>
      <c r="L551" s="22"/>
      <c r="M551" s="23"/>
      <c r="N551" s="23"/>
      <c r="O551" s="23"/>
      <c r="P551" s="23"/>
      <c r="Q551" s="24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2"/>
      <c r="AD551" s="23"/>
      <c r="AE551" s="23"/>
      <c r="AF551" s="22"/>
      <c r="AG551" s="22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</row>
    <row r="552" spans="1:45" ht="27.75" customHeight="1" x14ac:dyDescent="0.35">
      <c r="A552" s="15" t="s">
        <v>257</v>
      </c>
      <c r="B552" s="15" t="s">
        <v>257</v>
      </c>
      <c r="C552" s="15"/>
      <c r="D552" s="15"/>
      <c r="E552" s="16"/>
      <c r="F552" s="15" t="s">
        <v>257</v>
      </c>
      <c r="G552" s="32"/>
      <c r="H552" s="27"/>
      <c r="I552" s="27"/>
      <c r="J552" s="27"/>
      <c r="K552" s="23" t="str">
        <f ca="1">IFERROR(__xludf.DUMMYFUNCTION("""COMPUTED_VALUE"""),"")</f>
        <v/>
      </c>
      <c r="L552" s="22"/>
      <c r="M552" s="23"/>
      <c r="N552" s="23"/>
      <c r="O552" s="23"/>
      <c r="P552" s="23"/>
      <c r="Q552" s="24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2"/>
      <c r="AD552" s="23"/>
      <c r="AE552" s="23"/>
      <c r="AF552" s="22"/>
      <c r="AG552" s="22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</row>
    <row r="553" spans="1:45" ht="27.75" customHeight="1" x14ac:dyDescent="0.35">
      <c r="A553" s="15" t="s">
        <v>257</v>
      </c>
      <c r="B553" s="15" t="s">
        <v>257</v>
      </c>
      <c r="C553" s="15"/>
      <c r="D553" s="15"/>
      <c r="E553" s="16"/>
      <c r="F553" s="15" t="s">
        <v>257</v>
      </c>
      <c r="G553" s="32"/>
      <c r="H553" s="27"/>
      <c r="I553" s="27"/>
      <c r="J553" s="27"/>
      <c r="K553" s="23" t="str">
        <f ca="1">IFERROR(__xludf.DUMMYFUNCTION("""COMPUTED_VALUE"""),"")</f>
        <v/>
      </c>
      <c r="L553" s="22"/>
      <c r="M553" s="23"/>
      <c r="N553" s="23"/>
      <c r="O553" s="23"/>
      <c r="P553" s="23"/>
      <c r="Q553" s="24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2"/>
      <c r="AD553" s="23"/>
      <c r="AE553" s="23"/>
      <c r="AF553" s="22"/>
      <c r="AG553" s="22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</row>
    <row r="554" spans="1:45" ht="27.75" customHeight="1" x14ac:dyDescent="0.35">
      <c r="A554" s="15" t="s">
        <v>257</v>
      </c>
      <c r="B554" s="15" t="s">
        <v>257</v>
      </c>
      <c r="C554" s="15"/>
      <c r="D554" s="15"/>
      <c r="E554" s="16"/>
      <c r="F554" s="15" t="s">
        <v>257</v>
      </c>
      <c r="G554" s="32"/>
      <c r="H554" s="27"/>
      <c r="I554" s="27"/>
      <c r="J554" s="27"/>
      <c r="K554" s="23" t="str">
        <f ca="1">IFERROR(__xludf.DUMMYFUNCTION("""COMPUTED_VALUE"""),"")</f>
        <v/>
      </c>
      <c r="L554" s="22"/>
      <c r="M554" s="23"/>
      <c r="N554" s="23"/>
      <c r="O554" s="23"/>
      <c r="P554" s="23"/>
      <c r="Q554" s="24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2"/>
      <c r="AD554" s="23"/>
      <c r="AE554" s="23"/>
      <c r="AF554" s="22"/>
      <c r="AG554" s="22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</row>
    <row r="555" spans="1:45" ht="27.75" customHeight="1" x14ac:dyDescent="0.35">
      <c r="A555" s="15" t="s">
        <v>257</v>
      </c>
      <c r="B555" s="15" t="s">
        <v>257</v>
      </c>
      <c r="C555" s="15"/>
      <c r="D555" s="15"/>
      <c r="E555" s="16"/>
      <c r="F555" s="15" t="s">
        <v>257</v>
      </c>
      <c r="G555" s="32"/>
      <c r="H555" s="27"/>
      <c r="I555" s="27"/>
      <c r="J555" s="27"/>
      <c r="K555" s="23" t="str">
        <f ca="1">IFERROR(__xludf.DUMMYFUNCTION("""COMPUTED_VALUE"""),"")</f>
        <v/>
      </c>
      <c r="L555" s="22"/>
      <c r="M555" s="23"/>
      <c r="N555" s="23"/>
      <c r="O555" s="23"/>
      <c r="P555" s="23"/>
      <c r="Q555" s="24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2"/>
      <c r="AD555" s="23"/>
      <c r="AE555" s="23"/>
      <c r="AF555" s="22"/>
      <c r="AG555" s="22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</row>
    <row r="556" spans="1:45" ht="27.75" customHeight="1" x14ac:dyDescent="0.35">
      <c r="A556" s="15" t="s">
        <v>257</v>
      </c>
      <c r="B556" s="15" t="s">
        <v>257</v>
      </c>
      <c r="C556" s="15"/>
      <c r="D556" s="15"/>
      <c r="E556" s="16"/>
      <c r="F556" s="15" t="s">
        <v>257</v>
      </c>
      <c r="G556" s="32"/>
      <c r="H556" s="27"/>
      <c r="I556" s="27"/>
      <c r="J556" s="27"/>
      <c r="K556" s="23" t="str">
        <f ca="1">IFERROR(__xludf.DUMMYFUNCTION("""COMPUTED_VALUE"""),"")</f>
        <v/>
      </c>
      <c r="L556" s="22"/>
      <c r="M556" s="23"/>
      <c r="N556" s="23"/>
      <c r="O556" s="23"/>
      <c r="P556" s="23"/>
      <c r="Q556" s="24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2"/>
      <c r="AD556" s="23"/>
      <c r="AE556" s="23"/>
      <c r="AF556" s="22"/>
      <c r="AG556" s="22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</row>
    <row r="557" spans="1:45" ht="27.75" customHeight="1" x14ac:dyDescent="0.35">
      <c r="A557" s="15" t="s">
        <v>257</v>
      </c>
      <c r="B557" s="15" t="s">
        <v>257</v>
      </c>
      <c r="C557" s="15"/>
      <c r="D557" s="15"/>
      <c r="E557" s="16"/>
      <c r="F557" s="15" t="s">
        <v>257</v>
      </c>
      <c r="G557" s="32"/>
      <c r="H557" s="27"/>
      <c r="I557" s="27"/>
      <c r="J557" s="27"/>
      <c r="K557" s="23" t="str">
        <f ca="1">IFERROR(__xludf.DUMMYFUNCTION("""COMPUTED_VALUE"""),"")</f>
        <v/>
      </c>
      <c r="L557" s="22"/>
      <c r="M557" s="23"/>
      <c r="N557" s="23"/>
      <c r="O557" s="23"/>
      <c r="P557" s="23"/>
      <c r="Q557" s="24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2"/>
      <c r="AD557" s="23"/>
      <c r="AE557" s="23"/>
      <c r="AF557" s="22"/>
      <c r="AG557" s="22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</row>
    <row r="558" spans="1:45" ht="27.75" customHeight="1" x14ac:dyDescent="0.35">
      <c r="A558" s="15" t="s">
        <v>257</v>
      </c>
      <c r="B558" s="15" t="s">
        <v>257</v>
      </c>
      <c r="C558" s="15"/>
      <c r="D558" s="15"/>
      <c r="E558" s="16"/>
      <c r="F558" s="15" t="s">
        <v>257</v>
      </c>
      <c r="G558" s="32"/>
      <c r="H558" s="27"/>
      <c r="I558" s="27"/>
      <c r="J558" s="27"/>
      <c r="K558" s="23" t="str">
        <f ca="1">IFERROR(__xludf.DUMMYFUNCTION("""COMPUTED_VALUE"""),"")</f>
        <v/>
      </c>
      <c r="L558" s="22"/>
      <c r="M558" s="23"/>
      <c r="N558" s="23"/>
      <c r="O558" s="23"/>
      <c r="P558" s="23"/>
      <c r="Q558" s="24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2"/>
      <c r="AD558" s="23"/>
      <c r="AE558" s="23"/>
      <c r="AF558" s="22"/>
      <c r="AG558" s="22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</row>
    <row r="559" spans="1:45" ht="27.75" customHeight="1" x14ac:dyDescent="0.35">
      <c r="A559" s="15" t="s">
        <v>257</v>
      </c>
      <c r="B559" s="15" t="s">
        <v>257</v>
      </c>
      <c r="C559" s="15"/>
      <c r="D559" s="15"/>
      <c r="E559" s="16"/>
      <c r="F559" s="15" t="s">
        <v>257</v>
      </c>
      <c r="G559" s="32"/>
      <c r="H559" s="27"/>
      <c r="I559" s="27"/>
      <c r="J559" s="27"/>
      <c r="K559" s="23" t="str">
        <f ca="1">IFERROR(__xludf.DUMMYFUNCTION("""COMPUTED_VALUE"""),"")</f>
        <v/>
      </c>
      <c r="L559" s="22"/>
      <c r="M559" s="23"/>
      <c r="N559" s="23"/>
      <c r="O559" s="23"/>
      <c r="P559" s="23"/>
      <c r="Q559" s="24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2"/>
      <c r="AD559" s="23"/>
      <c r="AE559" s="23"/>
      <c r="AF559" s="22"/>
      <c r="AG559" s="22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</row>
    <row r="560" spans="1:45" ht="27.75" customHeight="1" x14ac:dyDescent="0.35">
      <c r="A560" s="15" t="s">
        <v>257</v>
      </c>
      <c r="B560" s="15" t="s">
        <v>257</v>
      </c>
      <c r="C560" s="15"/>
      <c r="D560" s="15"/>
      <c r="E560" s="16"/>
      <c r="F560" s="15" t="s">
        <v>257</v>
      </c>
      <c r="G560" s="32"/>
      <c r="H560" s="27"/>
      <c r="I560" s="27"/>
      <c r="J560" s="27"/>
      <c r="K560" s="23" t="str">
        <f ca="1">IFERROR(__xludf.DUMMYFUNCTION("""COMPUTED_VALUE"""),"")</f>
        <v/>
      </c>
      <c r="L560" s="22"/>
      <c r="M560" s="23"/>
      <c r="N560" s="23"/>
      <c r="O560" s="23"/>
      <c r="P560" s="23"/>
      <c r="Q560" s="24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2"/>
      <c r="AD560" s="23"/>
      <c r="AE560" s="23"/>
      <c r="AF560" s="22"/>
      <c r="AG560" s="22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</row>
    <row r="561" spans="1:45" ht="27.75" customHeight="1" x14ac:dyDescent="0.35">
      <c r="A561" s="15" t="s">
        <v>257</v>
      </c>
      <c r="B561" s="15" t="s">
        <v>257</v>
      </c>
      <c r="C561" s="15"/>
      <c r="D561" s="15"/>
      <c r="E561" s="16"/>
      <c r="F561" s="15" t="s">
        <v>257</v>
      </c>
      <c r="G561" s="32"/>
      <c r="H561" s="27"/>
      <c r="I561" s="27"/>
      <c r="J561" s="27"/>
      <c r="K561" s="23" t="str">
        <f ca="1">IFERROR(__xludf.DUMMYFUNCTION("""COMPUTED_VALUE"""),"")</f>
        <v/>
      </c>
      <c r="L561" s="22"/>
      <c r="M561" s="23"/>
      <c r="N561" s="23"/>
      <c r="O561" s="23"/>
      <c r="P561" s="23"/>
      <c r="Q561" s="24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2"/>
      <c r="AD561" s="23"/>
      <c r="AE561" s="23"/>
      <c r="AF561" s="22"/>
      <c r="AG561" s="22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</row>
    <row r="562" spans="1:45" ht="27.75" customHeight="1" x14ac:dyDescent="0.35">
      <c r="A562" s="15" t="s">
        <v>257</v>
      </c>
      <c r="B562" s="15" t="s">
        <v>257</v>
      </c>
      <c r="C562" s="15"/>
      <c r="D562" s="15"/>
      <c r="E562" s="16"/>
      <c r="F562" s="15" t="s">
        <v>257</v>
      </c>
      <c r="G562" s="32"/>
      <c r="H562" s="27"/>
      <c r="I562" s="27"/>
      <c r="J562" s="27"/>
      <c r="K562" s="23" t="str">
        <f ca="1">IFERROR(__xludf.DUMMYFUNCTION("""COMPUTED_VALUE"""),"")</f>
        <v/>
      </c>
      <c r="L562" s="22"/>
      <c r="M562" s="23"/>
      <c r="N562" s="23"/>
      <c r="O562" s="23"/>
      <c r="P562" s="23"/>
      <c r="Q562" s="24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2"/>
      <c r="AD562" s="23"/>
      <c r="AE562" s="23"/>
      <c r="AF562" s="22"/>
      <c r="AG562" s="22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</row>
    <row r="563" spans="1:45" ht="27.75" customHeight="1" x14ac:dyDescent="0.35">
      <c r="A563" s="15" t="s">
        <v>257</v>
      </c>
      <c r="B563" s="15" t="s">
        <v>257</v>
      </c>
      <c r="C563" s="15"/>
      <c r="D563" s="15"/>
      <c r="E563" s="16"/>
      <c r="F563" s="15" t="s">
        <v>257</v>
      </c>
      <c r="G563" s="32"/>
      <c r="H563" s="27"/>
      <c r="I563" s="27"/>
      <c r="J563" s="27"/>
      <c r="K563" s="23" t="str">
        <f ca="1">IFERROR(__xludf.DUMMYFUNCTION("""COMPUTED_VALUE"""),"")</f>
        <v/>
      </c>
      <c r="L563" s="22"/>
      <c r="M563" s="23"/>
      <c r="N563" s="23"/>
      <c r="O563" s="23"/>
      <c r="P563" s="23"/>
      <c r="Q563" s="24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2"/>
      <c r="AD563" s="23"/>
      <c r="AE563" s="23"/>
      <c r="AF563" s="22"/>
      <c r="AG563" s="22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</row>
    <row r="564" spans="1:45" ht="27.75" customHeight="1" x14ac:dyDescent="0.35">
      <c r="A564" s="15" t="s">
        <v>257</v>
      </c>
      <c r="B564" s="15" t="s">
        <v>257</v>
      </c>
      <c r="C564" s="15"/>
      <c r="D564" s="15"/>
      <c r="E564" s="16"/>
      <c r="F564" s="15" t="s">
        <v>257</v>
      </c>
      <c r="G564" s="32"/>
      <c r="H564" s="27"/>
      <c r="I564" s="27"/>
      <c r="J564" s="27"/>
      <c r="K564" s="23" t="str">
        <f ca="1">IFERROR(__xludf.DUMMYFUNCTION("""COMPUTED_VALUE"""),"")</f>
        <v/>
      </c>
      <c r="L564" s="22"/>
      <c r="M564" s="23"/>
      <c r="N564" s="23"/>
      <c r="O564" s="23"/>
      <c r="P564" s="23"/>
      <c r="Q564" s="24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2"/>
      <c r="AD564" s="23"/>
      <c r="AE564" s="23"/>
      <c r="AF564" s="22"/>
      <c r="AG564" s="22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</row>
    <row r="565" spans="1:45" ht="27.75" customHeight="1" x14ac:dyDescent="0.35">
      <c r="A565" s="15" t="s">
        <v>257</v>
      </c>
      <c r="B565" s="15" t="s">
        <v>257</v>
      </c>
      <c r="C565" s="15"/>
      <c r="D565" s="15"/>
      <c r="E565" s="16"/>
      <c r="F565" s="15" t="s">
        <v>257</v>
      </c>
      <c r="G565" s="32"/>
      <c r="H565" s="27"/>
      <c r="I565" s="27"/>
      <c r="J565" s="27"/>
      <c r="K565" s="23" t="str">
        <f ca="1">IFERROR(__xludf.DUMMYFUNCTION("""COMPUTED_VALUE"""),"")</f>
        <v/>
      </c>
      <c r="L565" s="22"/>
      <c r="M565" s="23"/>
      <c r="N565" s="23"/>
      <c r="O565" s="23"/>
      <c r="P565" s="23"/>
      <c r="Q565" s="24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2"/>
      <c r="AD565" s="23"/>
      <c r="AE565" s="23"/>
      <c r="AF565" s="22"/>
      <c r="AG565" s="22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</row>
    <row r="566" spans="1:45" ht="27.75" customHeight="1" x14ac:dyDescent="0.35">
      <c r="A566" s="15" t="s">
        <v>257</v>
      </c>
      <c r="B566" s="15" t="s">
        <v>257</v>
      </c>
      <c r="C566" s="15"/>
      <c r="D566" s="15"/>
      <c r="E566" s="16"/>
      <c r="F566" s="15" t="s">
        <v>257</v>
      </c>
      <c r="G566" s="32"/>
      <c r="H566" s="27"/>
      <c r="I566" s="27"/>
      <c r="J566" s="27"/>
      <c r="K566" s="23" t="str">
        <f ca="1">IFERROR(__xludf.DUMMYFUNCTION("""COMPUTED_VALUE"""),"")</f>
        <v/>
      </c>
      <c r="L566" s="22"/>
      <c r="M566" s="23"/>
      <c r="N566" s="23"/>
      <c r="O566" s="23"/>
      <c r="P566" s="23"/>
      <c r="Q566" s="24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2"/>
      <c r="AD566" s="23"/>
      <c r="AE566" s="23"/>
      <c r="AF566" s="22"/>
      <c r="AG566" s="22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</row>
    <row r="567" spans="1:45" ht="27.75" customHeight="1" x14ac:dyDescent="0.35">
      <c r="A567" s="15" t="s">
        <v>257</v>
      </c>
      <c r="B567" s="15" t="s">
        <v>257</v>
      </c>
      <c r="C567" s="15"/>
      <c r="D567" s="15"/>
      <c r="E567" s="16"/>
      <c r="F567" s="15" t="s">
        <v>257</v>
      </c>
      <c r="G567" s="32"/>
      <c r="H567" s="27"/>
      <c r="I567" s="27"/>
      <c r="J567" s="27"/>
      <c r="K567" s="23" t="str">
        <f ca="1">IFERROR(__xludf.DUMMYFUNCTION("""COMPUTED_VALUE"""),"")</f>
        <v/>
      </c>
      <c r="L567" s="22"/>
      <c r="M567" s="23"/>
      <c r="N567" s="23"/>
      <c r="O567" s="23"/>
      <c r="P567" s="23"/>
      <c r="Q567" s="24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2"/>
      <c r="AD567" s="23"/>
      <c r="AE567" s="23"/>
      <c r="AF567" s="22"/>
      <c r="AG567" s="22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</row>
    <row r="568" spans="1:45" ht="27.75" customHeight="1" x14ac:dyDescent="0.35">
      <c r="A568" s="15" t="s">
        <v>257</v>
      </c>
      <c r="B568" s="15" t="s">
        <v>257</v>
      </c>
      <c r="C568" s="15"/>
      <c r="D568" s="15"/>
      <c r="E568" s="16"/>
      <c r="F568" s="15" t="s">
        <v>257</v>
      </c>
      <c r="G568" s="32"/>
      <c r="H568" s="27"/>
      <c r="I568" s="27"/>
      <c r="J568" s="27"/>
      <c r="K568" s="23" t="str">
        <f ca="1">IFERROR(__xludf.DUMMYFUNCTION("""COMPUTED_VALUE"""),"")</f>
        <v/>
      </c>
      <c r="L568" s="22"/>
      <c r="M568" s="23"/>
      <c r="N568" s="23"/>
      <c r="O568" s="23"/>
      <c r="P568" s="23"/>
      <c r="Q568" s="24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2"/>
      <c r="AD568" s="23"/>
      <c r="AE568" s="23"/>
      <c r="AF568" s="22"/>
      <c r="AG568" s="22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</row>
    <row r="569" spans="1:45" ht="27.75" customHeight="1" x14ac:dyDescent="0.35">
      <c r="A569" s="15" t="s">
        <v>257</v>
      </c>
      <c r="B569" s="15" t="s">
        <v>257</v>
      </c>
      <c r="C569" s="15"/>
      <c r="D569" s="15"/>
      <c r="E569" s="16"/>
      <c r="F569" s="15" t="s">
        <v>257</v>
      </c>
      <c r="G569" s="32"/>
      <c r="H569" s="27"/>
      <c r="I569" s="27"/>
      <c r="J569" s="27"/>
      <c r="K569" s="23" t="str">
        <f ca="1">IFERROR(__xludf.DUMMYFUNCTION("""COMPUTED_VALUE"""),"")</f>
        <v/>
      </c>
      <c r="L569" s="22"/>
      <c r="M569" s="23"/>
      <c r="N569" s="23"/>
      <c r="O569" s="23"/>
      <c r="P569" s="23"/>
      <c r="Q569" s="24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2"/>
      <c r="AD569" s="23"/>
      <c r="AE569" s="23"/>
      <c r="AF569" s="22"/>
      <c r="AG569" s="22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</row>
    <row r="570" spans="1:45" ht="27.75" customHeight="1" x14ac:dyDescent="0.35">
      <c r="A570" s="15" t="s">
        <v>257</v>
      </c>
      <c r="B570" s="15" t="s">
        <v>257</v>
      </c>
      <c r="C570" s="15"/>
      <c r="D570" s="15"/>
      <c r="E570" s="16"/>
      <c r="F570" s="15" t="s">
        <v>257</v>
      </c>
      <c r="G570" s="32"/>
      <c r="H570" s="27"/>
      <c r="I570" s="27"/>
      <c r="J570" s="27"/>
      <c r="K570" s="23" t="str">
        <f ca="1">IFERROR(__xludf.DUMMYFUNCTION("""COMPUTED_VALUE"""),"")</f>
        <v/>
      </c>
      <c r="L570" s="22"/>
      <c r="M570" s="23"/>
      <c r="N570" s="23"/>
      <c r="O570" s="23"/>
      <c r="P570" s="23"/>
      <c r="Q570" s="24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2"/>
      <c r="AD570" s="23"/>
      <c r="AE570" s="23"/>
      <c r="AF570" s="22"/>
      <c r="AG570" s="22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</row>
    <row r="571" spans="1:45" ht="27.75" customHeight="1" x14ac:dyDescent="0.35">
      <c r="A571" s="15" t="s">
        <v>257</v>
      </c>
      <c r="B571" s="15" t="s">
        <v>257</v>
      </c>
      <c r="C571" s="15"/>
      <c r="D571" s="15"/>
      <c r="E571" s="16"/>
      <c r="F571" s="15" t="s">
        <v>257</v>
      </c>
      <c r="G571" s="32"/>
      <c r="H571" s="27"/>
      <c r="I571" s="27"/>
      <c r="J571" s="27"/>
      <c r="K571" s="23" t="str">
        <f ca="1">IFERROR(__xludf.DUMMYFUNCTION("""COMPUTED_VALUE"""),"")</f>
        <v/>
      </c>
      <c r="L571" s="22"/>
      <c r="M571" s="23"/>
      <c r="N571" s="23"/>
      <c r="O571" s="23"/>
      <c r="P571" s="23"/>
      <c r="Q571" s="24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2"/>
      <c r="AD571" s="23"/>
      <c r="AE571" s="23"/>
      <c r="AF571" s="22"/>
      <c r="AG571" s="22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</row>
    <row r="572" spans="1:45" ht="27.75" customHeight="1" x14ac:dyDescent="0.35">
      <c r="A572" s="15" t="s">
        <v>257</v>
      </c>
      <c r="B572" s="15" t="s">
        <v>257</v>
      </c>
      <c r="C572" s="15"/>
      <c r="D572" s="15"/>
      <c r="E572" s="16"/>
      <c r="F572" s="15" t="s">
        <v>257</v>
      </c>
      <c r="G572" s="32"/>
      <c r="H572" s="27"/>
      <c r="I572" s="27"/>
      <c r="J572" s="27"/>
      <c r="K572" s="23" t="str">
        <f ca="1">IFERROR(__xludf.DUMMYFUNCTION("""COMPUTED_VALUE"""),"")</f>
        <v/>
      </c>
      <c r="L572" s="22"/>
      <c r="M572" s="23"/>
      <c r="N572" s="23"/>
      <c r="O572" s="23"/>
      <c r="P572" s="23"/>
      <c r="Q572" s="24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2"/>
      <c r="AD572" s="23"/>
      <c r="AE572" s="23"/>
      <c r="AF572" s="22"/>
      <c r="AG572" s="22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</row>
    <row r="573" spans="1:45" ht="27.75" customHeight="1" x14ac:dyDescent="0.35">
      <c r="A573" s="15" t="s">
        <v>257</v>
      </c>
      <c r="B573" s="15" t="s">
        <v>257</v>
      </c>
      <c r="C573" s="15"/>
      <c r="D573" s="15"/>
      <c r="E573" s="16"/>
      <c r="F573" s="15" t="s">
        <v>257</v>
      </c>
      <c r="G573" s="32"/>
      <c r="H573" s="27"/>
      <c r="I573" s="27"/>
      <c r="J573" s="27"/>
      <c r="K573" s="23" t="str">
        <f ca="1">IFERROR(__xludf.DUMMYFUNCTION("""COMPUTED_VALUE"""),"")</f>
        <v/>
      </c>
      <c r="L573" s="22"/>
      <c r="M573" s="23"/>
      <c r="N573" s="23"/>
      <c r="O573" s="23"/>
      <c r="P573" s="23"/>
      <c r="Q573" s="24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2"/>
      <c r="AD573" s="23"/>
      <c r="AE573" s="23"/>
      <c r="AF573" s="22"/>
      <c r="AG573" s="22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</row>
    <row r="574" spans="1:45" ht="27.75" customHeight="1" x14ac:dyDescent="0.35">
      <c r="A574" s="15" t="s">
        <v>257</v>
      </c>
      <c r="B574" s="15" t="s">
        <v>257</v>
      </c>
      <c r="C574" s="15"/>
      <c r="D574" s="15"/>
      <c r="E574" s="16"/>
      <c r="F574" s="15" t="s">
        <v>257</v>
      </c>
      <c r="G574" s="32"/>
      <c r="H574" s="27"/>
      <c r="I574" s="27"/>
      <c r="J574" s="27"/>
      <c r="K574" s="23" t="str">
        <f ca="1">IFERROR(__xludf.DUMMYFUNCTION("""COMPUTED_VALUE"""),"")</f>
        <v/>
      </c>
      <c r="L574" s="22"/>
      <c r="M574" s="23"/>
      <c r="N574" s="23"/>
      <c r="O574" s="23"/>
      <c r="P574" s="23"/>
      <c r="Q574" s="24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2"/>
      <c r="AD574" s="23"/>
      <c r="AE574" s="23"/>
      <c r="AF574" s="22"/>
      <c r="AG574" s="22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</row>
    <row r="575" spans="1:45" ht="27.75" customHeight="1" x14ac:dyDescent="0.35">
      <c r="A575" s="15" t="s">
        <v>257</v>
      </c>
      <c r="B575" s="15" t="s">
        <v>257</v>
      </c>
      <c r="C575" s="15"/>
      <c r="D575" s="15"/>
      <c r="E575" s="16"/>
      <c r="F575" s="15" t="s">
        <v>257</v>
      </c>
      <c r="G575" s="32"/>
      <c r="H575" s="27"/>
      <c r="I575" s="27"/>
      <c r="J575" s="27"/>
      <c r="K575" s="23" t="str">
        <f ca="1">IFERROR(__xludf.DUMMYFUNCTION("""COMPUTED_VALUE"""),"")</f>
        <v/>
      </c>
      <c r="L575" s="22"/>
      <c r="M575" s="23"/>
      <c r="N575" s="23"/>
      <c r="O575" s="23"/>
      <c r="P575" s="23"/>
      <c r="Q575" s="24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2"/>
      <c r="AD575" s="23"/>
      <c r="AE575" s="23"/>
      <c r="AF575" s="22"/>
      <c r="AG575" s="22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</row>
    <row r="576" spans="1:45" ht="27.75" customHeight="1" x14ac:dyDescent="0.35">
      <c r="A576" s="15" t="s">
        <v>257</v>
      </c>
      <c r="B576" s="15" t="s">
        <v>257</v>
      </c>
      <c r="C576" s="15"/>
      <c r="D576" s="15"/>
      <c r="E576" s="16"/>
      <c r="F576" s="15" t="s">
        <v>257</v>
      </c>
      <c r="G576" s="32"/>
      <c r="H576" s="27"/>
      <c r="I576" s="27"/>
      <c r="J576" s="27"/>
      <c r="K576" s="23" t="str">
        <f ca="1">IFERROR(__xludf.DUMMYFUNCTION("""COMPUTED_VALUE"""),"")</f>
        <v/>
      </c>
      <c r="L576" s="22"/>
      <c r="M576" s="23"/>
      <c r="N576" s="23"/>
      <c r="O576" s="23"/>
      <c r="P576" s="23"/>
      <c r="Q576" s="24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2"/>
      <c r="AD576" s="23"/>
      <c r="AE576" s="23"/>
      <c r="AF576" s="22"/>
      <c r="AG576" s="22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</row>
    <row r="577" spans="1:45" ht="27.75" customHeight="1" x14ac:dyDescent="0.35">
      <c r="A577" s="15" t="s">
        <v>257</v>
      </c>
      <c r="B577" s="15" t="s">
        <v>257</v>
      </c>
      <c r="C577" s="15"/>
      <c r="D577" s="15"/>
      <c r="E577" s="16"/>
      <c r="F577" s="15" t="s">
        <v>257</v>
      </c>
      <c r="G577" s="32"/>
      <c r="H577" s="27"/>
      <c r="I577" s="27"/>
      <c r="J577" s="27"/>
      <c r="K577" s="23" t="str">
        <f ca="1">IFERROR(__xludf.DUMMYFUNCTION("""COMPUTED_VALUE"""),"")</f>
        <v/>
      </c>
      <c r="L577" s="22"/>
      <c r="M577" s="23"/>
      <c r="N577" s="23"/>
      <c r="O577" s="23"/>
      <c r="P577" s="23"/>
      <c r="Q577" s="24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2"/>
      <c r="AD577" s="23"/>
      <c r="AE577" s="23"/>
      <c r="AF577" s="22"/>
      <c r="AG577" s="22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</row>
    <row r="578" spans="1:45" ht="27.75" customHeight="1" x14ac:dyDescent="0.35">
      <c r="A578" s="15" t="s">
        <v>257</v>
      </c>
      <c r="B578" s="15" t="s">
        <v>257</v>
      </c>
      <c r="C578" s="15"/>
      <c r="D578" s="15"/>
      <c r="E578" s="16"/>
      <c r="F578" s="15" t="s">
        <v>257</v>
      </c>
      <c r="G578" s="32"/>
      <c r="H578" s="27"/>
      <c r="I578" s="27"/>
      <c r="J578" s="27"/>
      <c r="K578" s="23" t="str">
        <f ca="1">IFERROR(__xludf.DUMMYFUNCTION("""COMPUTED_VALUE"""),"")</f>
        <v/>
      </c>
      <c r="L578" s="22"/>
      <c r="M578" s="23"/>
      <c r="N578" s="23"/>
      <c r="O578" s="23"/>
      <c r="P578" s="23"/>
      <c r="Q578" s="24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2"/>
      <c r="AD578" s="23"/>
      <c r="AE578" s="23"/>
      <c r="AF578" s="22"/>
      <c r="AG578" s="22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</row>
    <row r="579" spans="1:45" ht="27.75" customHeight="1" x14ac:dyDescent="0.35">
      <c r="A579" s="15" t="s">
        <v>257</v>
      </c>
      <c r="B579" s="15" t="s">
        <v>257</v>
      </c>
      <c r="C579" s="15"/>
      <c r="D579" s="15"/>
      <c r="E579" s="16"/>
      <c r="F579" s="15" t="s">
        <v>257</v>
      </c>
      <c r="G579" s="32"/>
      <c r="H579" s="27"/>
      <c r="I579" s="27"/>
      <c r="J579" s="27"/>
      <c r="K579" s="23" t="str">
        <f ca="1">IFERROR(__xludf.DUMMYFUNCTION("""COMPUTED_VALUE"""),"")</f>
        <v/>
      </c>
      <c r="L579" s="22"/>
      <c r="M579" s="23"/>
      <c r="N579" s="23"/>
      <c r="O579" s="23"/>
      <c r="P579" s="23"/>
      <c r="Q579" s="24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2"/>
      <c r="AD579" s="23"/>
      <c r="AE579" s="23"/>
      <c r="AF579" s="22"/>
      <c r="AG579" s="22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</row>
    <row r="580" spans="1:45" ht="27.75" customHeight="1" x14ac:dyDescent="0.35">
      <c r="A580" s="15" t="s">
        <v>257</v>
      </c>
      <c r="B580" s="15" t="s">
        <v>257</v>
      </c>
      <c r="C580" s="15"/>
      <c r="D580" s="15"/>
      <c r="E580" s="16"/>
      <c r="F580" s="15" t="s">
        <v>257</v>
      </c>
      <c r="G580" s="32"/>
      <c r="H580" s="27"/>
      <c r="I580" s="27"/>
      <c r="J580" s="27"/>
      <c r="K580" s="23" t="str">
        <f ca="1">IFERROR(__xludf.DUMMYFUNCTION("""COMPUTED_VALUE"""),"")</f>
        <v/>
      </c>
      <c r="L580" s="22"/>
      <c r="M580" s="23"/>
      <c r="N580" s="23"/>
      <c r="O580" s="23"/>
      <c r="P580" s="23"/>
      <c r="Q580" s="24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2"/>
      <c r="AD580" s="23"/>
      <c r="AE580" s="23"/>
      <c r="AF580" s="22"/>
      <c r="AG580" s="22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</row>
    <row r="581" spans="1:45" ht="27.75" customHeight="1" x14ac:dyDescent="0.35">
      <c r="A581" s="15" t="s">
        <v>257</v>
      </c>
      <c r="B581" s="15" t="s">
        <v>257</v>
      </c>
      <c r="C581" s="15"/>
      <c r="D581" s="15"/>
      <c r="E581" s="16"/>
      <c r="F581" s="15" t="s">
        <v>257</v>
      </c>
      <c r="G581" s="32"/>
      <c r="H581" s="27"/>
      <c r="I581" s="27"/>
      <c r="J581" s="27"/>
      <c r="K581" s="23" t="str">
        <f ca="1">IFERROR(__xludf.DUMMYFUNCTION("""COMPUTED_VALUE"""),"")</f>
        <v/>
      </c>
      <c r="L581" s="22"/>
      <c r="M581" s="23"/>
      <c r="N581" s="23"/>
      <c r="O581" s="23"/>
      <c r="P581" s="23"/>
      <c r="Q581" s="24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2"/>
      <c r="AD581" s="23"/>
      <c r="AE581" s="23"/>
      <c r="AF581" s="22"/>
      <c r="AG581" s="22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</row>
    <row r="582" spans="1:45" ht="27.75" customHeight="1" x14ac:dyDescent="0.35">
      <c r="A582" s="15" t="s">
        <v>257</v>
      </c>
      <c r="B582" s="15" t="s">
        <v>257</v>
      </c>
      <c r="C582" s="15"/>
      <c r="D582" s="15"/>
      <c r="E582" s="16"/>
      <c r="F582" s="15" t="s">
        <v>257</v>
      </c>
      <c r="G582" s="32"/>
      <c r="H582" s="27"/>
      <c r="I582" s="27"/>
      <c r="J582" s="27"/>
      <c r="K582" s="23" t="str">
        <f ca="1">IFERROR(__xludf.DUMMYFUNCTION("""COMPUTED_VALUE"""),"")</f>
        <v/>
      </c>
      <c r="L582" s="22"/>
      <c r="M582" s="23"/>
      <c r="N582" s="23"/>
      <c r="O582" s="23"/>
      <c r="P582" s="23"/>
      <c r="Q582" s="24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2"/>
      <c r="AD582" s="23"/>
      <c r="AE582" s="23"/>
      <c r="AF582" s="22"/>
      <c r="AG582" s="22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</row>
    <row r="583" spans="1:45" ht="27.75" customHeight="1" x14ac:dyDescent="0.35">
      <c r="A583" s="15" t="s">
        <v>257</v>
      </c>
      <c r="B583" s="15" t="s">
        <v>257</v>
      </c>
      <c r="C583" s="15"/>
      <c r="D583" s="15"/>
      <c r="E583" s="16"/>
      <c r="F583" s="15" t="s">
        <v>257</v>
      </c>
      <c r="G583" s="32"/>
      <c r="H583" s="27"/>
      <c r="I583" s="27"/>
      <c r="J583" s="27"/>
      <c r="K583" s="23" t="str">
        <f ca="1">IFERROR(__xludf.DUMMYFUNCTION("""COMPUTED_VALUE"""),"")</f>
        <v/>
      </c>
      <c r="L583" s="22"/>
      <c r="M583" s="23"/>
      <c r="N583" s="23"/>
      <c r="O583" s="23"/>
      <c r="P583" s="23"/>
      <c r="Q583" s="24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2"/>
      <c r="AD583" s="23"/>
      <c r="AE583" s="23"/>
      <c r="AF583" s="22"/>
      <c r="AG583" s="22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</row>
    <row r="584" spans="1:45" ht="27.75" customHeight="1" x14ac:dyDescent="0.35">
      <c r="A584" s="15" t="s">
        <v>257</v>
      </c>
      <c r="B584" s="15" t="s">
        <v>257</v>
      </c>
      <c r="C584" s="15"/>
      <c r="D584" s="15"/>
      <c r="E584" s="16"/>
      <c r="F584" s="15" t="s">
        <v>257</v>
      </c>
      <c r="G584" s="32"/>
      <c r="H584" s="27"/>
      <c r="I584" s="27"/>
      <c r="J584" s="27"/>
      <c r="K584" s="23" t="str">
        <f ca="1">IFERROR(__xludf.DUMMYFUNCTION("""COMPUTED_VALUE"""),"")</f>
        <v/>
      </c>
      <c r="L584" s="22"/>
      <c r="M584" s="23"/>
      <c r="N584" s="23"/>
      <c r="O584" s="23"/>
      <c r="P584" s="23"/>
      <c r="Q584" s="24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2"/>
      <c r="AD584" s="23"/>
      <c r="AE584" s="23"/>
      <c r="AF584" s="22"/>
      <c r="AG584" s="22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</row>
    <row r="585" spans="1:45" ht="27.75" customHeight="1" x14ac:dyDescent="0.35">
      <c r="A585" s="15" t="s">
        <v>257</v>
      </c>
      <c r="B585" s="15" t="s">
        <v>257</v>
      </c>
      <c r="C585" s="15"/>
      <c r="D585" s="15"/>
      <c r="E585" s="16"/>
      <c r="F585" s="15" t="s">
        <v>257</v>
      </c>
      <c r="G585" s="32"/>
      <c r="H585" s="27"/>
      <c r="I585" s="27"/>
      <c r="J585" s="27"/>
      <c r="K585" s="23" t="str">
        <f ca="1">IFERROR(__xludf.DUMMYFUNCTION("""COMPUTED_VALUE"""),"")</f>
        <v/>
      </c>
      <c r="L585" s="22"/>
      <c r="M585" s="23"/>
      <c r="N585" s="23"/>
      <c r="O585" s="23"/>
      <c r="P585" s="23"/>
      <c r="Q585" s="24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2"/>
      <c r="AD585" s="23"/>
      <c r="AE585" s="23"/>
      <c r="AF585" s="22"/>
      <c r="AG585" s="22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</row>
    <row r="586" spans="1:45" ht="27.75" customHeight="1" x14ac:dyDescent="0.35">
      <c r="A586" s="15" t="s">
        <v>257</v>
      </c>
      <c r="B586" s="15" t="s">
        <v>257</v>
      </c>
      <c r="C586" s="15"/>
      <c r="D586" s="15"/>
      <c r="E586" s="16"/>
      <c r="F586" s="15" t="s">
        <v>257</v>
      </c>
      <c r="G586" s="32"/>
      <c r="H586" s="27"/>
      <c r="I586" s="27"/>
      <c r="J586" s="27"/>
      <c r="K586" s="23" t="str">
        <f ca="1">IFERROR(__xludf.DUMMYFUNCTION("""COMPUTED_VALUE"""),"")</f>
        <v/>
      </c>
      <c r="L586" s="22"/>
      <c r="M586" s="23"/>
      <c r="N586" s="23"/>
      <c r="O586" s="23"/>
      <c r="P586" s="23"/>
      <c r="Q586" s="24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2"/>
      <c r="AD586" s="23"/>
      <c r="AE586" s="23"/>
      <c r="AF586" s="22"/>
      <c r="AG586" s="22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</row>
    <row r="587" spans="1:45" ht="27.75" customHeight="1" x14ac:dyDescent="0.35">
      <c r="A587" s="15" t="s">
        <v>257</v>
      </c>
      <c r="B587" s="15" t="s">
        <v>257</v>
      </c>
      <c r="C587" s="15"/>
      <c r="D587" s="15"/>
      <c r="E587" s="16"/>
      <c r="F587" s="15" t="s">
        <v>257</v>
      </c>
      <c r="G587" s="32"/>
      <c r="H587" s="27"/>
      <c r="I587" s="27"/>
      <c r="J587" s="27"/>
      <c r="K587" s="23" t="str">
        <f ca="1">IFERROR(__xludf.DUMMYFUNCTION("""COMPUTED_VALUE"""),"")</f>
        <v/>
      </c>
      <c r="L587" s="22"/>
      <c r="M587" s="23"/>
      <c r="N587" s="23"/>
      <c r="O587" s="23"/>
      <c r="P587" s="23"/>
      <c r="Q587" s="24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2"/>
      <c r="AD587" s="23"/>
      <c r="AE587" s="23"/>
      <c r="AF587" s="22"/>
      <c r="AG587" s="22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</row>
    <row r="588" spans="1:45" ht="27.75" customHeight="1" x14ac:dyDescent="0.35">
      <c r="A588" s="15" t="s">
        <v>257</v>
      </c>
      <c r="B588" s="15" t="s">
        <v>257</v>
      </c>
      <c r="C588" s="15"/>
      <c r="D588" s="15"/>
      <c r="E588" s="16"/>
      <c r="F588" s="15" t="s">
        <v>257</v>
      </c>
      <c r="G588" s="32"/>
      <c r="H588" s="27"/>
      <c r="I588" s="27"/>
      <c r="J588" s="27"/>
      <c r="K588" s="23" t="str">
        <f ca="1">IFERROR(__xludf.DUMMYFUNCTION("""COMPUTED_VALUE"""),"")</f>
        <v/>
      </c>
      <c r="L588" s="22"/>
      <c r="M588" s="23"/>
      <c r="N588" s="23"/>
      <c r="O588" s="23"/>
      <c r="P588" s="23"/>
      <c r="Q588" s="24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2"/>
      <c r="AD588" s="23"/>
      <c r="AE588" s="23"/>
      <c r="AF588" s="22"/>
      <c r="AG588" s="22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</row>
    <row r="589" spans="1:45" ht="27.75" customHeight="1" x14ac:dyDescent="0.35">
      <c r="A589" s="15" t="s">
        <v>257</v>
      </c>
      <c r="B589" s="15" t="s">
        <v>257</v>
      </c>
      <c r="C589" s="15"/>
      <c r="D589" s="15"/>
      <c r="E589" s="16"/>
      <c r="F589" s="15" t="s">
        <v>257</v>
      </c>
      <c r="G589" s="32"/>
      <c r="H589" s="27"/>
      <c r="I589" s="27"/>
      <c r="J589" s="27"/>
      <c r="K589" s="23" t="str">
        <f ca="1">IFERROR(__xludf.DUMMYFUNCTION("""COMPUTED_VALUE"""),"")</f>
        <v/>
      </c>
      <c r="L589" s="22"/>
      <c r="M589" s="23"/>
      <c r="N589" s="23"/>
      <c r="O589" s="23"/>
      <c r="P589" s="23"/>
      <c r="Q589" s="24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2"/>
      <c r="AD589" s="23"/>
      <c r="AE589" s="23"/>
      <c r="AF589" s="22"/>
      <c r="AG589" s="22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</row>
    <row r="590" spans="1:45" ht="27.75" customHeight="1" x14ac:dyDescent="0.35">
      <c r="A590" s="15" t="s">
        <v>257</v>
      </c>
      <c r="B590" s="15" t="s">
        <v>257</v>
      </c>
      <c r="C590" s="15"/>
      <c r="D590" s="15"/>
      <c r="E590" s="16"/>
      <c r="F590" s="15" t="s">
        <v>257</v>
      </c>
      <c r="G590" s="32"/>
      <c r="H590" s="27"/>
      <c r="I590" s="27"/>
      <c r="J590" s="27"/>
      <c r="K590" s="23" t="str">
        <f ca="1">IFERROR(__xludf.DUMMYFUNCTION("""COMPUTED_VALUE"""),"")</f>
        <v/>
      </c>
      <c r="L590" s="22"/>
      <c r="M590" s="23"/>
      <c r="N590" s="23"/>
      <c r="O590" s="23"/>
      <c r="P590" s="23"/>
      <c r="Q590" s="24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2"/>
      <c r="AD590" s="23"/>
      <c r="AE590" s="23"/>
      <c r="AF590" s="22"/>
      <c r="AG590" s="22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</row>
    <row r="591" spans="1:45" ht="27.75" customHeight="1" x14ac:dyDescent="0.35">
      <c r="A591" s="15" t="s">
        <v>257</v>
      </c>
      <c r="B591" s="15" t="s">
        <v>257</v>
      </c>
      <c r="C591" s="15"/>
      <c r="D591" s="15"/>
      <c r="E591" s="16"/>
      <c r="F591" s="15" t="s">
        <v>257</v>
      </c>
      <c r="G591" s="32"/>
      <c r="H591" s="27"/>
      <c r="I591" s="27"/>
      <c r="J591" s="27"/>
      <c r="K591" s="23" t="str">
        <f ca="1">IFERROR(__xludf.DUMMYFUNCTION("""COMPUTED_VALUE"""),"")</f>
        <v/>
      </c>
      <c r="L591" s="22"/>
      <c r="M591" s="23"/>
      <c r="N591" s="23"/>
      <c r="O591" s="23"/>
      <c r="P591" s="23"/>
      <c r="Q591" s="24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2"/>
      <c r="AD591" s="23"/>
      <c r="AE591" s="23"/>
      <c r="AF591" s="22"/>
      <c r="AG591" s="22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</row>
    <row r="592" spans="1:45" ht="27.75" customHeight="1" x14ac:dyDescent="0.35">
      <c r="A592" s="15" t="s">
        <v>257</v>
      </c>
      <c r="B592" s="15" t="s">
        <v>257</v>
      </c>
      <c r="C592" s="15"/>
      <c r="D592" s="15"/>
      <c r="E592" s="16"/>
      <c r="F592" s="15" t="s">
        <v>257</v>
      </c>
      <c r="G592" s="32"/>
      <c r="H592" s="27"/>
      <c r="I592" s="27"/>
      <c r="J592" s="27"/>
      <c r="K592" s="23" t="str">
        <f ca="1">IFERROR(__xludf.DUMMYFUNCTION("""COMPUTED_VALUE"""),"")</f>
        <v/>
      </c>
      <c r="L592" s="22"/>
      <c r="M592" s="23"/>
      <c r="N592" s="23"/>
      <c r="O592" s="23"/>
      <c r="P592" s="23"/>
      <c r="Q592" s="24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2"/>
      <c r="AD592" s="23"/>
      <c r="AE592" s="23"/>
      <c r="AF592" s="22"/>
      <c r="AG592" s="22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</row>
    <row r="593" spans="1:45" ht="27.75" customHeight="1" x14ac:dyDescent="0.35">
      <c r="A593" s="15" t="s">
        <v>257</v>
      </c>
      <c r="B593" s="15" t="s">
        <v>257</v>
      </c>
      <c r="C593" s="15"/>
      <c r="D593" s="15"/>
      <c r="E593" s="16"/>
      <c r="F593" s="15" t="s">
        <v>257</v>
      </c>
      <c r="G593" s="32"/>
      <c r="H593" s="27"/>
      <c r="I593" s="27"/>
      <c r="J593" s="27"/>
      <c r="K593" s="23" t="str">
        <f ca="1">IFERROR(__xludf.DUMMYFUNCTION("""COMPUTED_VALUE"""),"")</f>
        <v/>
      </c>
      <c r="L593" s="22"/>
      <c r="M593" s="23"/>
      <c r="N593" s="23"/>
      <c r="O593" s="23"/>
      <c r="P593" s="23"/>
      <c r="Q593" s="24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2"/>
      <c r="AD593" s="23"/>
      <c r="AE593" s="23"/>
      <c r="AF593" s="22"/>
      <c r="AG593" s="22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</row>
    <row r="594" spans="1:45" ht="27.75" customHeight="1" x14ac:dyDescent="0.35">
      <c r="A594" s="15" t="s">
        <v>257</v>
      </c>
      <c r="B594" s="15" t="s">
        <v>257</v>
      </c>
      <c r="C594" s="15"/>
      <c r="D594" s="15"/>
      <c r="E594" s="16"/>
      <c r="F594" s="15" t="s">
        <v>257</v>
      </c>
      <c r="G594" s="32"/>
      <c r="H594" s="27"/>
      <c r="I594" s="27"/>
      <c r="J594" s="27"/>
      <c r="K594" s="23" t="str">
        <f ca="1">IFERROR(__xludf.DUMMYFUNCTION("""COMPUTED_VALUE"""),"")</f>
        <v/>
      </c>
      <c r="L594" s="22"/>
      <c r="M594" s="23"/>
      <c r="N594" s="23"/>
      <c r="O594" s="23"/>
      <c r="P594" s="23"/>
      <c r="Q594" s="24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2"/>
      <c r="AD594" s="23"/>
      <c r="AE594" s="23"/>
      <c r="AF594" s="22"/>
      <c r="AG594" s="22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</row>
    <row r="595" spans="1:45" ht="27.75" customHeight="1" x14ac:dyDescent="0.35">
      <c r="A595" s="15" t="s">
        <v>257</v>
      </c>
      <c r="B595" s="15" t="s">
        <v>257</v>
      </c>
      <c r="C595" s="15"/>
      <c r="D595" s="15"/>
      <c r="E595" s="16"/>
      <c r="F595" s="15" t="s">
        <v>257</v>
      </c>
      <c r="G595" s="32"/>
      <c r="H595" s="27"/>
      <c r="I595" s="27"/>
      <c r="J595" s="27"/>
      <c r="K595" s="23" t="str">
        <f ca="1">IFERROR(__xludf.DUMMYFUNCTION("""COMPUTED_VALUE"""),"")</f>
        <v/>
      </c>
      <c r="L595" s="22"/>
      <c r="M595" s="23"/>
      <c r="N595" s="23"/>
      <c r="O595" s="23"/>
      <c r="P595" s="23"/>
      <c r="Q595" s="24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2"/>
      <c r="AD595" s="23"/>
      <c r="AE595" s="23"/>
      <c r="AF595" s="22"/>
      <c r="AG595" s="22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</row>
    <row r="596" spans="1:45" ht="27.75" customHeight="1" x14ac:dyDescent="0.35">
      <c r="A596" s="15" t="s">
        <v>257</v>
      </c>
      <c r="B596" s="15" t="s">
        <v>257</v>
      </c>
      <c r="C596" s="15"/>
      <c r="D596" s="15"/>
      <c r="E596" s="16"/>
      <c r="F596" s="15" t="s">
        <v>257</v>
      </c>
      <c r="G596" s="32"/>
      <c r="H596" s="27"/>
      <c r="I596" s="27"/>
      <c r="J596" s="27"/>
      <c r="K596" s="23" t="str">
        <f ca="1">IFERROR(__xludf.DUMMYFUNCTION("""COMPUTED_VALUE"""),"")</f>
        <v/>
      </c>
      <c r="L596" s="22"/>
      <c r="M596" s="23"/>
      <c r="N596" s="23"/>
      <c r="O596" s="23"/>
      <c r="P596" s="23"/>
      <c r="Q596" s="24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2"/>
      <c r="AD596" s="23"/>
      <c r="AE596" s="23"/>
      <c r="AF596" s="22"/>
      <c r="AG596" s="22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</row>
    <row r="597" spans="1:45" ht="27.75" customHeight="1" x14ac:dyDescent="0.35">
      <c r="A597" s="15" t="s">
        <v>257</v>
      </c>
      <c r="B597" s="15" t="s">
        <v>257</v>
      </c>
      <c r="C597" s="15"/>
      <c r="D597" s="15"/>
      <c r="E597" s="16"/>
      <c r="F597" s="15" t="s">
        <v>257</v>
      </c>
      <c r="G597" s="32"/>
      <c r="H597" s="27"/>
      <c r="I597" s="27"/>
      <c r="J597" s="27"/>
      <c r="K597" s="23" t="str">
        <f ca="1">IFERROR(__xludf.DUMMYFUNCTION("""COMPUTED_VALUE"""),"")</f>
        <v/>
      </c>
      <c r="L597" s="22"/>
      <c r="M597" s="23"/>
      <c r="N597" s="23"/>
      <c r="O597" s="23"/>
      <c r="P597" s="23"/>
      <c r="Q597" s="24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2"/>
      <c r="AD597" s="23"/>
      <c r="AE597" s="23"/>
      <c r="AF597" s="22"/>
      <c r="AG597" s="22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</row>
    <row r="598" spans="1:45" ht="27.75" customHeight="1" x14ac:dyDescent="0.35">
      <c r="A598" s="15" t="s">
        <v>257</v>
      </c>
      <c r="B598" s="15" t="s">
        <v>257</v>
      </c>
      <c r="C598" s="15"/>
      <c r="D598" s="15"/>
      <c r="E598" s="16"/>
      <c r="F598" s="15" t="s">
        <v>257</v>
      </c>
      <c r="G598" s="32"/>
      <c r="H598" s="27"/>
      <c r="I598" s="27"/>
      <c r="J598" s="27"/>
      <c r="K598" s="23" t="str">
        <f ca="1">IFERROR(__xludf.DUMMYFUNCTION("""COMPUTED_VALUE"""),"")</f>
        <v/>
      </c>
      <c r="L598" s="22"/>
      <c r="M598" s="23"/>
      <c r="N598" s="23"/>
      <c r="O598" s="23"/>
      <c r="P598" s="23"/>
      <c r="Q598" s="24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2"/>
      <c r="AD598" s="23"/>
      <c r="AE598" s="23"/>
      <c r="AF598" s="22"/>
      <c r="AG598" s="22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</row>
    <row r="599" spans="1:45" ht="27.75" customHeight="1" x14ac:dyDescent="0.35">
      <c r="A599" s="15" t="s">
        <v>257</v>
      </c>
      <c r="B599" s="15" t="s">
        <v>257</v>
      </c>
      <c r="C599" s="15"/>
      <c r="D599" s="15"/>
      <c r="E599" s="16"/>
      <c r="F599" s="15" t="s">
        <v>257</v>
      </c>
      <c r="G599" s="32"/>
      <c r="H599" s="27"/>
      <c r="I599" s="27"/>
      <c r="J599" s="27"/>
      <c r="K599" s="23" t="str">
        <f ca="1">IFERROR(__xludf.DUMMYFUNCTION("""COMPUTED_VALUE"""),"")</f>
        <v/>
      </c>
      <c r="L599" s="22"/>
      <c r="M599" s="23"/>
      <c r="N599" s="23"/>
      <c r="O599" s="23"/>
      <c r="P599" s="23"/>
      <c r="Q599" s="24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2"/>
      <c r="AD599" s="23"/>
      <c r="AE599" s="23"/>
      <c r="AF599" s="22"/>
      <c r="AG599" s="22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</row>
    <row r="600" spans="1:45" ht="27.75" customHeight="1" x14ac:dyDescent="0.35">
      <c r="A600" s="15" t="s">
        <v>257</v>
      </c>
      <c r="B600" s="15" t="s">
        <v>257</v>
      </c>
      <c r="C600" s="15"/>
      <c r="D600" s="15"/>
      <c r="E600" s="16"/>
      <c r="F600" s="15" t="s">
        <v>257</v>
      </c>
      <c r="G600" s="32"/>
      <c r="H600" s="27"/>
      <c r="I600" s="27"/>
      <c r="J600" s="27"/>
      <c r="K600" s="23" t="str">
        <f ca="1">IFERROR(__xludf.DUMMYFUNCTION("""COMPUTED_VALUE"""),"")</f>
        <v/>
      </c>
      <c r="L600" s="22"/>
      <c r="M600" s="23"/>
      <c r="N600" s="23"/>
      <c r="O600" s="23"/>
      <c r="P600" s="23"/>
      <c r="Q600" s="24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2"/>
      <c r="AD600" s="23"/>
      <c r="AE600" s="23"/>
      <c r="AF600" s="22"/>
      <c r="AG600" s="22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</row>
    <row r="601" spans="1:45" ht="27.75" customHeight="1" x14ac:dyDescent="0.35">
      <c r="A601" s="15" t="s">
        <v>257</v>
      </c>
      <c r="B601" s="15" t="s">
        <v>257</v>
      </c>
      <c r="C601" s="15"/>
      <c r="D601" s="15"/>
      <c r="E601" s="16"/>
      <c r="F601" s="15" t="s">
        <v>257</v>
      </c>
      <c r="G601" s="32"/>
      <c r="H601" s="27"/>
      <c r="I601" s="27"/>
      <c r="J601" s="27"/>
      <c r="K601" s="23" t="str">
        <f ca="1">IFERROR(__xludf.DUMMYFUNCTION("""COMPUTED_VALUE"""),"")</f>
        <v/>
      </c>
      <c r="L601" s="22"/>
      <c r="M601" s="23"/>
      <c r="N601" s="23"/>
      <c r="O601" s="23"/>
      <c r="P601" s="23"/>
      <c r="Q601" s="24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2"/>
      <c r="AD601" s="23"/>
      <c r="AE601" s="23"/>
      <c r="AF601" s="22"/>
      <c r="AG601" s="22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</row>
    <row r="602" spans="1:45" ht="27.75" customHeight="1" x14ac:dyDescent="0.35">
      <c r="A602" s="15" t="s">
        <v>257</v>
      </c>
      <c r="B602" s="15" t="s">
        <v>257</v>
      </c>
      <c r="C602" s="15"/>
      <c r="D602" s="15"/>
      <c r="E602" s="16"/>
      <c r="F602" s="15" t="s">
        <v>257</v>
      </c>
      <c r="G602" s="32"/>
      <c r="H602" s="27"/>
      <c r="I602" s="27"/>
      <c r="J602" s="27"/>
      <c r="K602" s="23" t="str">
        <f ca="1">IFERROR(__xludf.DUMMYFUNCTION("""COMPUTED_VALUE"""),"")</f>
        <v/>
      </c>
      <c r="L602" s="22"/>
      <c r="M602" s="23"/>
      <c r="N602" s="23"/>
      <c r="O602" s="23"/>
      <c r="P602" s="23"/>
      <c r="Q602" s="24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2"/>
      <c r="AD602" s="23"/>
      <c r="AE602" s="23"/>
      <c r="AF602" s="22"/>
      <c r="AG602" s="22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</row>
    <row r="603" spans="1:45" ht="27.75" customHeight="1" x14ac:dyDescent="0.35">
      <c r="A603" s="15" t="s">
        <v>257</v>
      </c>
      <c r="B603" s="15" t="s">
        <v>257</v>
      </c>
      <c r="C603" s="15"/>
      <c r="D603" s="15"/>
      <c r="E603" s="16"/>
      <c r="F603" s="15" t="s">
        <v>257</v>
      </c>
      <c r="G603" s="32"/>
      <c r="H603" s="27"/>
      <c r="I603" s="27"/>
      <c r="J603" s="27"/>
      <c r="K603" s="23" t="str">
        <f ca="1">IFERROR(__xludf.DUMMYFUNCTION("""COMPUTED_VALUE"""),"")</f>
        <v/>
      </c>
      <c r="L603" s="22"/>
      <c r="M603" s="23"/>
      <c r="N603" s="23"/>
      <c r="O603" s="23"/>
      <c r="P603" s="23"/>
      <c r="Q603" s="24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2"/>
      <c r="AD603" s="23"/>
      <c r="AE603" s="23"/>
      <c r="AF603" s="22"/>
      <c r="AG603" s="22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</row>
    <row r="604" spans="1:45" ht="27.75" customHeight="1" x14ac:dyDescent="0.35">
      <c r="A604" s="15" t="s">
        <v>257</v>
      </c>
      <c r="B604" s="15" t="s">
        <v>257</v>
      </c>
      <c r="C604" s="15"/>
      <c r="D604" s="15"/>
      <c r="E604" s="16"/>
      <c r="F604" s="15" t="s">
        <v>257</v>
      </c>
      <c r="G604" s="32"/>
      <c r="H604" s="27"/>
      <c r="I604" s="27"/>
      <c r="J604" s="27"/>
      <c r="K604" s="23" t="str">
        <f ca="1">IFERROR(__xludf.DUMMYFUNCTION("""COMPUTED_VALUE"""),"")</f>
        <v/>
      </c>
      <c r="L604" s="22"/>
      <c r="M604" s="23"/>
      <c r="N604" s="23"/>
      <c r="O604" s="23"/>
      <c r="P604" s="23"/>
      <c r="Q604" s="24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2"/>
      <c r="AD604" s="23"/>
      <c r="AE604" s="23"/>
      <c r="AF604" s="22"/>
      <c r="AG604" s="22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</row>
    <row r="605" spans="1:45" ht="27.75" customHeight="1" x14ac:dyDescent="0.35">
      <c r="A605" s="15" t="s">
        <v>257</v>
      </c>
      <c r="B605" s="15" t="s">
        <v>257</v>
      </c>
      <c r="C605" s="15"/>
      <c r="D605" s="15"/>
      <c r="E605" s="16"/>
      <c r="F605" s="15" t="s">
        <v>257</v>
      </c>
      <c r="G605" s="32"/>
      <c r="H605" s="27"/>
      <c r="I605" s="27"/>
      <c r="J605" s="27"/>
      <c r="K605" s="23" t="str">
        <f ca="1">IFERROR(__xludf.DUMMYFUNCTION("""COMPUTED_VALUE"""),"")</f>
        <v/>
      </c>
      <c r="L605" s="22"/>
      <c r="M605" s="23"/>
      <c r="N605" s="23"/>
      <c r="O605" s="23"/>
      <c r="P605" s="23"/>
      <c r="Q605" s="24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2"/>
      <c r="AD605" s="23"/>
      <c r="AE605" s="23"/>
      <c r="AF605" s="22"/>
      <c r="AG605" s="22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</row>
    <row r="606" spans="1:45" ht="27.75" customHeight="1" x14ac:dyDescent="0.35">
      <c r="A606" s="15" t="s">
        <v>257</v>
      </c>
      <c r="B606" s="15" t="s">
        <v>257</v>
      </c>
      <c r="C606" s="15"/>
      <c r="D606" s="15"/>
      <c r="E606" s="16"/>
      <c r="F606" s="15" t="s">
        <v>257</v>
      </c>
      <c r="G606" s="32"/>
      <c r="H606" s="27"/>
      <c r="I606" s="27"/>
      <c r="J606" s="27"/>
      <c r="K606" s="23" t="str">
        <f ca="1">IFERROR(__xludf.DUMMYFUNCTION("""COMPUTED_VALUE"""),"")</f>
        <v/>
      </c>
      <c r="L606" s="22"/>
      <c r="M606" s="23"/>
      <c r="N606" s="23"/>
      <c r="O606" s="23"/>
      <c r="P606" s="23"/>
      <c r="Q606" s="24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2"/>
      <c r="AD606" s="23"/>
      <c r="AE606" s="23"/>
      <c r="AF606" s="22"/>
      <c r="AG606" s="22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</row>
    <row r="607" spans="1:45" ht="27.75" customHeight="1" x14ac:dyDescent="0.35">
      <c r="A607" s="15" t="s">
        <v>257</v>
      </c>
      <c r="B607" s="15" t="s">
        <v>257</v>
      </c>
      <c r="C607" s="15"/>
      <c r="D607" s="15"/>
      <c r="E607" s="16"/>
      <c r="F607" s="15" t="s">
        <v>257</v>
      </c>
      <c r="G607" s="32"/>
      <c r="H607" s="27"/>
      <c r="I607" s="27"/>
      <c r="J607" s="27"/>
      <c r="K607" s="23" t="str">
        <f ca="1">IFERROR(__xludf.DUMMYFUNCTION("""COMPUTED_VALUE"""),"")</f>
        <v/>
      </c>
      <c r="L607" s="22"/>
      <c r="M607" s="23"/>
      <c r="N607" s="23"/>
      <c r="O607" s="23"/>
      <c r="P607" s="23"/>
      <c r="Q607" s="24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2"/>
      <c r="AD607" s="23"/>
      <c r="AE607" s="23"/>
      <c r="AF607" s="22"/>
      <c r="AG607" s="22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</row>
    <row r="608" spans="1:45" ht="27.75" customHeight="1" x14ac:dyDescent="0.35">
      <c r="A608" s="15" t="s">
        <v>257</v>
      </c>
      <c r="B608" s="15" t="s">
        <v>257</v>
      </c>
      <c r="C608" s="15"/>
      <c r="D608" s="15"/>
      <c r="E608" s="16"/>
      <c r="F608" s="15" t="s">
        <v>257</v>
      </c>
      <c r="G608" s="32"/>
      <c r="H608" s="27"/>
      <c r="I608" s="27"/>
      <c r="J608" s="27"/>
      <c r="K608" s="23" t="str">
        <f ca="1">IFERROR(__xludf.DUMMYFUNCTION("""COMPUTED_VALUE"""),"")</f>
        <v/>
      </c>
      <c r="L608" s="22"/>
      <c r="M608" s="23"/>
      <c r="N608" s="23"/>
      <c r="O608" s="23"/>
      <c r="P608" s="23"/>
      <c r="Q608" s="24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2"/>
      <c r="AD608" s="23"/>
      <c r="AE608" s="23"/>
      <c r="AF608" s="22"/>
      <c r="AG608" s="22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</row>
    <row r="609" spans="1:45" ht="27.75" customHeight="1" x14ac:dyDescent="0.35">
      <c r="A609" s="15" t="s">
        <v>257</v>
      </c>
      <c r="B609" s="15" t="s">
        <v>257</v>
      </c>
      <c r="C609" s="15"/>
      <c r="D609" s="15"/>
      <c r="E609" s="16"/>
      <c r="F609" s="15" t="s">
        <v>257</v>
      </c>
      <c r="G609" s="32"/>
      <c r="H609" s="27"/>
      <c r="I609" s="27"/>
      <c r="J609" s="27"/>
      <c r="K609" s="23" t="str">
        <f ca="1">IFERROR(__xludf.DUMMYFUNCTION("""COMPUTED_VALUE"""),"")</f>
        <v/>
      </c>
      <c r="L609" s="22"/>
      <c r="M609" s="23"/>
      <c r="N609" s="23"/>
      <c r="O609" s="23"/>
      <c r="P609" s="23"/>
      <c r="Q609" s="24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2"/>
      <c r="AD609" s="23"/>
      <c r="AE609" s="23"/>
      <c r="AF609" s="22"/>
      <c r="AG609" s="22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</row>
    <row r="610" spans="1:45" ht="27.75" customHeight="1" x14ac:dyDescent="0.35">
      <c r="A610" s="15" t="s">
        <v>257</v>
      </c>
      <c r="B610" s="15" t="s">
        <v>257</v>
      </c>
      <c r="C610" s="15"/>
      <c r="D610" s="15"/>
      <c r="E610" s="16"/>
      <c r="F610" s="15" t="s">
        <v>257</v>
      </c>
      <c r="G610" s="32"/>
      <c r="H610" s="27"/>
      <c r="I610" s="27"/>
      <c r="J610" s="27"/>
      <c r="K610" s="23" t="str">
        <f ca="1">IFERROR(__xludf.DUMMYFUNCTION("""COMPUTED_VALUE"""),"")</f>
        <v/>
      </c>
      <c r="L610" s="22"/>
      <c r="M610" s="23"/>
      <c r="N610" s="23"/>
      <c r="O610" s="23"/>
      <c r="P610" s="23"/>
      <c r="Q610" s="24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2"/>
      <c r="AD610" s="23"/>
      <c r="AE610" s="23"/>
      <c r="AF610" s="22"/>
      <c r="AG610" s="22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</row>
    <row r="611" spans="1:45" ht="27.75" customHeight="1" x14ac:dyDescent="0.35">
      <c r="A611" s="15" t="s">
        <v>257</v>
      </c>
      <c r="B611" s="15" t="s">
        <v>257</v>
      </c>
      <c r="C611" s="15"/>
      <c r="D611" s="15"/>
      <c r="E611" s="16"/>
      <c r="F611" s="15" t="s">
        <v>257</v>
      </c>
      <c r="G611" s="32"/>
      <c r="H611" s="27"/>
      <c r="I611" s="27"/>
      <c r="J611" s="27"/>
      <c r="K611" s="23" t="str">
        <f ca="1">IFERROR(__xludf.DUMMYFUNCTION("""COMPUTED_VALUE"""),"")</f>
        <v/>
      </c>
      <c r="L611" s="22"/>
      <c r="M611" s="23"/>
      <c r="N611" s="23"/>
      <c r="O611" s="23"/>
      <c r="P611" s="23"/>
      <c r="Q611" s="24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2"/>
      <c r="AD611" s="23"/>
      <c r="AE611" s="23"/>
      <c r="AF611" s="22"/>
      <c r="AG611" s="22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</row>
    <row r="612" spans="1:45" ht="27.75" customHeight="1" x14ac:dyDescent="0.35">
      <c r="A612" s="15" t="s">
        <v>257</v>
      </c>
      <c r="B612" s="15" t="s">
        <v>257</v>
      </c>
      <c r="C612" s="15"/>
      <c r="D612" s="15"/>
      <c r="E612" s="16"/>
      <c r="F612" s="15" t="s">
        <v>257</v>
      </c>
      <c r="G612" s="32"/>
      <c r="H612" s="27"/>
      <c r="I612" s="27"/>
      <c r="J612" s="27"/>
      <c r="K612" s="23" t="str">
        <f ca="1">IFERROR(__xludf.DUMMYFUNCTION("""COMPUTED_VALUE"""),"")</f>
        <v/>
      </c>
      <c r="L612" s="22"/>
      <c r="M612" s="23"/>
      <c r="N612" s="23"/>
      <c r="O612" s="23"/>
      <c r="P612" s="23"/>
      <c r="Q612" s="24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2"/>
      <c r="AD612" s="23"/>
      <c r="AE612" s="23"/>
      <c r="AF612" s="22"/>
      <c r="AG612" s="22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</row>
    <row r="613" spans="1:45" ht="27.75" customHeight="1" x14ac:dyDescent="0.35">
      <c r="A613" s="15" t="s">
        <v>257</v>
      </c>
      <c r="B613" s="15" t="s">
        <v>257</v>
      </c>
      <c r="C613" s="15"/>
      <c r="D613" s="15"/>
      <c r="E613" s="16"/>
      <c r="F613" s="15" t="s">
        <v>257</v>
      </c>
      <c r="G613" s="32"/>
      <c r="H613" s="27"/>
      <c r="I613" s="27"/>
      <c r="J613" s="27"/>
      <c r="K613" s="23" t="str">
        <f ca="1">IFERROR(__xludf.DUMMYFUNCTION("""COMPUTED_VALUE"""),"")</f>
        <v/>
      </c>
      <c r="L613" s="22"/>
      <c r="M613" s="23"/>
      <c r="N613" s="23"/>
      <c r="O613" s="23"/>
      <c r="P613" s="23"/>
      <c r="Q613" s="24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2"/>
      <c r="AD613" s="23"/>
      <c r="AE613" s="23"/>
      <c r="AF613" s="22"/>
      <c r="AG613" s="22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</row>
    <row r="614" spans="1:45" ht="27.75" customHeight="1" x14ac:dyDescent="0.35">
      <c r="A614" s="15" t="s">
        <v>257</v>
      </c>
      <c r="B614" s="15" t="s">
        <v>257</v>
      </c>
      <c r="C614" s="15"/>
      <c r="D614" s="15"/>
      <c r="E614" s="16"/>
      <c r="F614" s="15" t="s">
        <v>257</v>
      </c>
      <c r="G614" s="32"/>
      <c r="H614" s="27"/>
      <c r="I614" s="27"/>
      <c r="J614" s="27"/>
      <c r="K614" s="23" t="str">
        <f ca="1">IFERROR(__xludf.DUMMYFUNCTION("""COMPUTED_VALUE"""),"")</f>
        <v/>
      </c>
      <c r="L614" s="22"/>
      <c r="M614" s="23"/>
      <c r="N614" s="23"/>
      <c r="O614" s="23"/>
      <c r="P614" s="23"/>
      <c r="Q614" s="24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2"/>
      <c r="AD614" s="23"/>
      <c r="AE614" s="23"/>
      <c r="AF614" s="22"/>
      <c r="AG614" s="22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</row>
    <row r="615" spans="1:45" ht="27.75" customHeight="1" x14ac:dyDescent="0.35">
      <c r="A615" s="15" t="s">
        <v>257</v>
      </c>
      <c r="B615" s="15" t="s">
        <v>257</v>
      </c>
      <c r="C615" s="15"/>
      <c r="D615" s="15"/>
      <c r="E615" s="16"/>
      <c r="F615" s="15" t="s">
        <v>257</v>
      </c>
      <c r="G615" s="32"/>
      <c r="H615" s="27"/>
      <c r="I615" s="27"/>
      <c r="J615" s="27"/>
      <c r="K615" s="23" t="str">
        <f ca="1">IFERROR(__xludf.DUMMYFUNCTION("""COMPUTED_VALUE"""),"")</f>
        <v/>
      </c>
      <c r="L615" s="22"/>
      <c r="M615" s="23"/>
      <c r="N615" s="23"/>
      <c r="O615" s="23"/>
      <c r="P615" s="23"/>
      <c r="Q615" s="24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2"/>
      <c r="AD615" s="23"/>
      <c r="AE615" s="23"/>
      <c r="AF615" s="22"/>
      <c r="AG615" s="22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</row>
    <row r="616" spans="1:45" ht="27.75" customHeight="1" x14ac:dyDescent="0.35">
      <c r="A616" s="15" t="s">
        <v>257</v>
      </c>
      <c r="B616" s="15" t="s">
        <v>257</v>
      </c>
      <c r="C616" s="15"/>
      <c r="D616" s="15"/>
      <c r="E616" s="16"/>
      <c r="F616" s="15" t="s">
        <v>257</v>
      </c>
      <c r="G616" s="32"/>
      <c r="H616" s="27"/>
      <c r="I616" s="27"/>
      <c r="J616" s="27"/>
      <c r="K616" s="23" t="str">
        <f ca="1">IFERROR(__xludf.DUMMYFUNCTION("""COMPUTED_VALUE"""),"")</f>
        <v/>
      </c>
      <c r="L616" s="22"/>
      <c r="M616" s="23"/>
      <c r="N616" s="23"/>
      <c r="O616" s="23"/>
      <c r="P616" s="23"/>
      <c r="Q616" s="24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2"/>
      <c r="AD616" s="23"/>
      <c r="AE616" s="23"/>
      <c r="AF616" s="22"/>
      <c r="AG616" s="22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</row>
    <row r="617" spans="1:45" ht="27.75" customHeight="1" x14ac:dyDescent="0.35">
      <c r="A617" s="15" t="s">
        <v>257</v>
      </c>
      <c r="B617" s="15" t="s">
        <v>257</v>
      </c>
      <c r="C617" s="15"/>
      <c r="D617" s="15"/>
      <c r="E617" s="16"/>
      <c r="F617" s="15" t="s">
        <v>257</v>
      </c>
      <c r="G617" s="32"/>
      <c r="H617" s="27"/>
      <c r="I617" s="27"/>
      <c r="J617" s="27"/>
      <c r="K617" s="23" t="str">
        <f ca="1">IFERROR(__xludf.DUMMYFUNCTION("""COMPUTED_VALUE"""),"")</f>
        <v/>
      </c>
      <c r="L617" s="22"/>
      <c r="M617" s="23"/>
      <c r="N617" s="23"/>
      <c r="O617" s="23"/>
      <c r="P617" s="23"/>
      <c r="Q617" s="24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2"/>
      <c r="AD617" s="23"/>
      <c r="AE617" s="23"/>
      <c r="AF617" s="22"/>
      <c r="AG617" s="22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</row>
    <row r="618" spans="1:45" ht="27.75" customHeight="1" x14ac:dyDescent="0.35">
      <c r="A618" s="15" t="s">
        <v>257</v>
      </c>
      <c r="B618" s="15" t="s">
        <v>257</v>
      </c>
      <c r="C618" s="15"/>
      <c r="D618" s="15"/>
      <c r="E618" s="16"/>
      <c r="F618" s="15" t="s">
        <v>257</v>
      </c>
      <c r="G618" s="32"/>
      <c r="H618" s="27"/>
      <c r="I618" s="27"/>
      <c r="J618" s="27"/>
      <c r="K618" s="23" t="str">
        <f ca="1">IFERROR(__xludf.DUMMYFUNCTION("""COMPUTED_VALUE"""),"")</f>
        <v/>
      </c>
      <c r="L618" s="22"/>
      <c r="M618" s="23"/>
      <c r="N618" s="23"/>
      <c r="O618" s="23"/>
      <c r="P618" s="23"/>
      <c r="Q618" s="24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2"/>
      <c r="AD618" s="23"/>
      <c r="AE618" s="23"/>
      <c r="AF618" s="22"/>
      <c r="AG618" s="22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</row>
    <row r="619" spans="1:45" ht="27.75" customHeight="1" x14ac:dyDescent="0.35">
      <c r="A619" s="15" t="s">
        <v>257</v>
      </c>
      <c r="B619" s="15" t="s">
        <v>257</v>
      </c>
      <c r="C619" s="15"/>
      <c r="D619" s="15"/>
      <c r="E619" s="16"/>
      <c r="F619" s="15" t="s">
        <v>257</v>
      </c>
      <c r="G619" s="32"/>
      <c r="H619" s="27"/>
      <c r="I619" s="27"/>
      <c r="J619" s="27"/>
      <c r="K619" s="23" t="str">
        <f ca="1">IFERROR(__xludf.DUMMYFUNCTION("""COMPUTED_VALUE"""),"")</f>
        <v/>
      </c>
      <c r="L619" s="22"/>
      <c r="M619" s="23"/>
      <c r="N619" s="23"/>
      <c r="O619" s="23"/>
      <c r="P619" s="23"/>
      <c r="Q619" s="24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2"/>
      <c r="AD619" s="23"/>
      <c r="AE619" s="23"/>
      <c r="AF619" s="22"/>
      <c r="AG619" s="22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</row>
    <row r="620" spans="1:45" ht="27.75" customHeight="1" x14ac:dyDescent="0.35">
      <c r="A620" s="15" t="s">
        <v>257</v>
      </c>
      <c r="B620" s="15" t="s">
        <v>257</v>
      </c>
      <c r="C620" s="15"/>
      <c r="D620" s="15"/>
      <c r="E620" s="16"/>
      <c r="F620" s="15" t="s">
        <v>257</v>
      </c>
      <c r="G620" s="32"/>
      <c r="H620" s="27"/>
      <c r="I620" s="27"/>
      <c r="J620" s="27"/>
      <c r="K620" s="23" t="str">
        <f ca="1">IFERROR(__xludf.DUMMYFUNCTION("""COMPUTED_VALUE"""),"")</f>
        <v/>
      </c>
      <c r="L620" s="22"/>
      <c r="M620" s="23"/>
      <c r="N620" s="23"/>
      <c r="O620" s="23"/>
      <c r="P620" s="23"/>
      <c r="Q620" s="24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2"/>
      <c r="AD620" s="23"/>
      <c r="AE620" s="23"/>
      <c r="AF620" s="22"/>
      <c r="AG620" s="22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</row>
    <row r="621" spans="1:45" ht="27.75" customHeight="1" x14ac:dyDescent="0.35">
      <c r="A621" s="15" t="s">
        <v>257</v>
      </c>
      <c r="B621" s="15" t="s">
        <v>257</v>
      </c>
      <c r="C621" s="15"/>
      <c r="D621" s="15"/>
      <c r="E621" s="16"/>
      <c r="F621" s="15" t="s">
        <v>257</v>
      </c>
      <c r="G621" s="32"/>
      <c r="H621" s="27"/>
      <c r="I621" s="27"/>
      <c r="J621" s="27"/>
      <c r="K621" s="23" t="str">
        <f ca="1">IFERROR(__xludf.DUMMYFUNCTION("""COMPUTED_VALUE"""),"")</f>
        <v/>
      </c>
      <c r="L621" s="22"/>
      <c r="M621" s="23"/>
      <c r="N621" s="23"/>
      <c r="O621" s="23"/>
      <c r="P621" s="23"/>
      <c r="Q621" s="24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2"/>
      <c r="AD621" s="23"/>
      <c r="AE621" s="23"/>
      <c r="AF621" s="22"/>
      <c r="AG621" s="22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</row>
    <row r="622" spans="1:45" ht="27.75" customHeight="1" x14ac:dyDescent="0.35">
      <c r="A622" s="15" t="s">
        <v>257</v>
      </c>
      <c r="B622" s="15" t="s">
        <v>257</v>
      </c>
      <c r="C622" s="15"/>
      <c r="D622" s="15"/>
      <c r="E622" s="16"/>
      <c r="F622" s="15" t="s">
        <v>257</v>
      </c>
      <c r="G622" s="32"/>
      <c r="H622" s="27"/>
      <c r="I622" s="27"/>
      <c r="J622" s="27"/>
      <c r="K622" s="23" t="str">
        <f ca="1">IFERROR(__xludf.DUMMYFUNCTION("""COMPUTED_VALUE"""),"")</f>
        <v/>
      </c>
      <c r="L622" s="22"/>
      <c r="M622" s="23"/>
      <c r="N622" s="23"/>
      <c r="O622" s="23"/>
      <c r="P622" s="23"/>
      <c r="Q622" s="24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2"/>
      <c r="AD622" s="23"/>
      <c r="AE622" s="23"/>
      <c r="AF622" s="22"/>
      <c r="AG622" s="22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</row>
    <row r="623" spans="1:45" ht="27.75" customHeight="1" x14ac:dyDescent="0.35">
      <c r="A623" s="15" t="s">
        <v>257</v>
      </c>
      <c r="B623" s="15" t="s">
        <v>257</v>
      </c>
      <c r="C623" s="15"/>
      <c r="D623" s="15"/>
      <c r="E623" s="16"/>
      <c r="F623" s="15" t="s">
        <v>257</v>
      </c>
      <c r="G623" s="32"/>
      <c r="H623" s="27"/>
      <c r="I623" s="27"/>
      <c r="J623" s="27"/>
      <c r="K623" s="23" t="str">
        <f ca="1">IFERROR(__xludf.DUMMYFUNCTION("""COMPUTED_VALUE"""),"")</f>
        <v/>
      </c>
      <c r="L623" s="22"/>
      <c r="M623" s="23"/>
      <c r="N623" s="23"/>
      <c r="O623" s="23"/>
      <c r="P623" s="23"/>
      <c r="Q623" s="24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2"/>
      <c r="AD623" s="23"/>
      <c r="AE623" s="23"/>
      <c r="AF623" s="22"/>
      <c r="AG623" s="22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</row>
    <row r="624" spans="1:45" ht="27.75" customHeight="1" x14ac:dyDescent="0.35">
      <c r="A624" s="15" t="s">
        <v>257</v>
      </c>
      <c r="B624" s="15" t="s">
        <v>257</v>
      </c>
      <c r="C624" s="15"/>
      <c r="D624" s="15"/>
      <c r="E624" s="16"/>
      <c r="F624" s="15" t="s">
        <v>257</v>
      </c>
      <c r="G624" s="32"/>
      <c r="H624" s="27"/>
      <c r="I624" s="27"/>
      <c r="J624" s="27"/>
      <c r="K624" s="23" t="str">
        <f ca="1">IFERROR(__xludf.DUMMYFUNCTION("""COMPUTED_VALUE"""),"")</f>
        <v/>
      </c>
      <c r="L624" s="22"/>
      <c r="M624" s="23"/>
      <c r="N624" s="23"/>
      <c r="O624" s="23"/>
      <c r="P624" s="23"/>
      <c r="Q624" s="24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2"/>
      <c r="AD624" s="23"/>
      <c r="AE624" s="23"/>
      <c r="AF624" s="22"/>
      <c r="AG624" s="22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</row>
    <row r="625" spans="1:45" ht="27.75" customHeight="1" x14ac:dyDescent="0.35">
      <c r="A625" s="15" t="s">
        <v>257</v>
      </c>
      <c r="B625" s="15" t="s">
        <v>257</v>
      </c>
      <c r="C625" s="15"/>
      <c r="D625" s="15"/>
      <c r="E625" s="16"/>
      <c r="F625" s="15" t="s">
        <v>257</v>
      </c>
      <c r="G625" s="32"/>
      <c r="H625" s="27"/>
      <c r="I625" s="27"/>
      <c r="J625" s="27"/>
      <c r="K625" s="23" t="str">
        <f ca="1">IFERROR(__xludf.DUMMYFUNCTION("""COMPUTED_VALUE"""),"")</f>
        <v/>
      </c>
      <c r="L625" s="22"/>
      <c r="M625" s="23"/>
      <c r="N625" s="23"/>
      <c r="O625" s="23"/>
      <c r="P625" s="23"/>
      <c r="Q625" s="24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2"/>
      <c r="AD625" s="23"/>
      <c r="AE625" s="23"/>
      <c r="AF625" s="22"/>
      <c r="AG625" s="22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</row>
    <row r="626" spans="1:45" ht="27.75" customHeight="1" x14ac:dyDescent="0.35">
      <c r="A626" s="15" t="s">
        <v>257</v>
      </c>
      <c r="B626" s="15" t="s">
        <v>257</v>
      </c>
      <c r="C626" s="15"/>
      <c r="D626" s="15"/>
      <c r="E626" s="16"/>
      <c r="F626" s="15" t="s">
        <v>257</v>
      </c>
      <c r="G626" s="32"/>
      <c r="H626" s="27"/>
      <c r="I626" s="27"/>
      <c r="J626" s="27"/>
      <c r="K626" s="23" t="str">
        <f ca="1">IFERROR(__xludf.DUMMYFUNCTION("""COMPUTED_VALUE"""),"")</f>
        <v/>
      </c>
      <c r="L626" s="22"/>
      <c r="M626" s="23"/>
      <c r="N626" s="23"/>
      <c r="O626" s="23"/>
      <c r="P626" s="23"/>
      <c r="Q626" s="24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2"/>
      <c r="AD626" s="23"/>
      <c r="AE626" s="23"/>
      <c r="AF626" s="22"/>
      <c r="AG626" s="22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</row>
    <row r="627" spans="1:45" ht="27.75" customHeight="1" x14ac:dyDescent="0.35">
      <c r="A627" s="15" t="s">
        <v>257</v>
      </c>
      <c r="B627" s="15" t="s">
        <v>257</v>
      </c>
      <c r="C627" s="15"/>
      <c r="D627" s="15"/>
      <c r="E627" s="16"/>
      <c r="F627" s="15" t="s">
        <v>257</v>
      </c>
      <c r="G627" s="32"/>
      <c r="H627" s="27"/>
      <c r="I627" s="27"/>
      <c r="J627" s="27"/>
      <c r="K627" s="23" t="str">
        <f ca="1">IFERROR(__xludf.DUMMYFUNCTION("""COMPUTED_VALUE"""),"")</f>
        <v/>
      </c>
      <c r="L627" s="22"/>
      <c r="M627" s="23"/>
      <c r="N627" s="23"/>
      <c r="O627" s="23"/>
      <c r="P627" s="23"/>
      <c r="Q627" s="24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2"/>
      <c r="AD627" s="23"/>
      <c r="AE627" s="23"/>
      <c r="AF627" s="22"/>
      <c r="AG627" s="22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</row>
    <row r="628" spans="1:45" ht="27.75" customHeight="1" x14ac:dyDescent="0.35">
      <c r="A628" s="15" t="s">
        <v>257</v>
      </c>
      <c r="B628" s="15" t="s">
        <v>257</v>
      </c>
      <c r="C628" s="15"/>
      <c r="D628" s="15"/>
      <c r="E628" s="16"/>
      <c r="F628" s="15" t="s">
        <v>257</v>
      </c>
      <c r="G628" s="32"/>
      <c r="H628" s="27"/>
      <c r="I628" s="27"/>
      <c r="J628" s="27"/>
      <c r="K628" s="23" t="str">
        <f ca="1">IFERROR(__xludf.DUMMYFUNCTION("""COMPUTED_VALUE"""),"")</f>
        <v/>
      </c>
      <c r="L628" s="22"/>
      <c r="M628" s="23"/>
      <c r="N628" s="23"/>
      <c r="O628" s="23"/>
      <c r="P628" s="23"/>
      <c r="Q628" s="24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2"/>
      <c r="AD628" s="23"/>
      <c r="AE628" s="23"/>
      <c r="AF628" s="22"/>
      <c r="AG628" s="22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</row>
    <row r="629" spans="1:45" ht="27.75" customHeight="1" x14ac:dyDescent="0.35">
      <c r="A629" s="15" t="s">
        <v>257</v>
      </c>
      <c r="B629" s="15" t="s">
        <v>257</v>
      </c>
      <c r="C629" s="15"/>
      <c r="D629" s="15"/>
      <c r="E629" s="16"/>
      <c r="F629" s="15" t="s">
        <v>257</v>
      </c>
      <c r="G629" s="32"/>
      <c r="H629" s="27"/>
      <c r="I629" s="27"/>
      <c r="J629" s="27"/>
      <c r="K629" s="23" t="str">
        <f ca="1">IFERROR(__xludf.DUMMYFUNCTION("""COMPUTED_VALUE"""),"")</f>
        <v/>
      </c>
      <c r="L629" s="22"/>
      <c r="M629" s="23"/>
      <c r="N629" s="23"/>
      <c r="O629" s="23"/>
      <c r="P629" s="23"/>
      <c r="Q629" s="24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2"/>
      <c r="AD629" s="23"/>
      <c r="AE629" s="23"/>
      <c r="AF629" s="22"/>
      <c r="AG629" s="22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</row>
    <row r="630" spans="1:45" ht="27.75" customHeight="1" x14ac:dyDescent="0.35">
      <c r="A630" s="15" t="s">
        <v>257</v>
      </c>
      <c r="B630" s="15" t="s">
        <v>257</v>
      </c>
      <c r="C630" s="15"/>
      <c r="D630" s="15"/>
      <c r="E630" s="16"/>
      <c r="F630" s="15" t="s">
        <v>257</v>
      </c>
      <c r="G630" s="32"/>
      <c r="H630" s="27"/>
      <c r="I630" s="27"/>
      <c r="J630" s="27"/>
      <c r="K630" s="23" t="str">
        <f ca="1">IFERROR(__xludf.DUMMYFUNCTION("""COMPUTED_VALUE"""),"")</f>
        <v/>
      </c>
      <c r="L630" s="22"/>
      <c r="M630" s="23"/>
      <c r="N630" s="23"/>
      <c r="O630" s="23"/>
      <c r="P630" s="23"/>
      <c r="Q630" s="24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2"/>
      <c r="AD630" s="23"/>
      <c r="AE630" s="23"/>
      <c r="AF630" s="22"/>
      <c r="AG630" s="22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</row>
    <row r="631" spans="1:45" ht="27.75" customHeight="1" x14ac:dyDescent="0.35">
      <c r="A631" s="15" t="s">
        <v>257</v>
      </c>
      <c r="B631" s="15" t="s">
        <v>257</v>
      </c>
      <c r="C631" s="15"/>
      <c r="D631" s="15"/>
      <c r="E631" s="16"/>
      <c r="F631" s="15" t="s">
        <v>257</v>
      </c>
      <c r="G631" s="32"/>
      <c r="H631" s="27"/>
      <c r="I631" s="27"/>
      <c r="J631" s="27"/>
      <c r="K631" s="23" t="str">
        <f ca="1">IFERROR(__xludf.DUMMYFUNCTION("""COMPUTED_VALUE"""),"")</f>
        <v/>
      </c>
      <c r="L631" s="22"/>
      <c r="M631" s="23"/>
      <c r="N631" s="23"/>
      <c r="O631" s="23"/>
      <c r="P631" s="23"/>
      <c r="Q631" s="24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2"/>
      <c r="AD631" s="23"/>
      <c r="AE631" s="23"/>
      <c r="AF631" s="22"/>
      <c r="AG631" s="22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</row>
    <row r="632" spans="1:45" ht="27.75" customHeight="1" x14ac:dyDescent="0.35">
      <c r="A632" s="15" t="s">
        <v>257</v>
      </c>
      <c r="B632" s="15" t="s">
        <v>257</v>
      </c>
      <c r="C632" s="15"/>
      <c r="D632" s="15"/>
      <c r="E632" s="16"/>
      <c r="F632" s="15" t="s">
        <v>257</v>
      </c>
      <c r="G632" s="32"/>
      <c r="H632" s="27"/>
      <c r="I632" s="27"/>
      <c r="J632" s="27"/>
      <c r="K632" s="23" t="str">
        <f ca="1">IFERROR(__xludf.DUMMYFUNCTION("""COMPUTED_VALUE"""),"")</f>
        <v/>
      </c>
      <c r="L632" s="22"/>
      <c r="M632" s="23"/>
      <c r="N632" s="23"/>
      <c r="O632" s="23"/>
      <c r="P632" s="23"/>
      <c r="Q632" s="24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2"/>
      <c r="AD632" s="23"/>
      <c r="AE632" s="23"/>
      <c r="AF632" s="22"/>
      <c r="AG632" s="22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</row>
    <row r="633" spans="1:45" ht="27.75" customHeight="1" x14ac:dyDescent="0.35">
      <c r="A633" s="15" t="s">
        <v>257</v>
      </c>
      <c r="B633" s="15" t="s">
        <v>257</v>
      </c>
      <c r="C633" s="15"/>
      <c r="D633" s="15"/>
      <c r="E633" s="16"/>
      <c r="F633" s="15" t="s">
        <v>257</v>
      </c>
      <c r="G633" s="32"/>
      <c r="H633" s="27"/>
      <c r="I633" s="27"/>
      <c r="J633" s="27"/>
      <c r="K633" s="23" t="str">
        <f ca="1">IFERROR(__xludf.DUMMYFUNCTION("""COMPUTED_VALUE"""),"")</f>
        <v/>
      </c>
      <c r="L633" s="22"/>
      <c r="M633" s="23"/>
      <c r="N633" s="23"/>
      <c r="O633" s="23"/>
      <c r="P633" s="23"/>
      <c r="Q633" s="24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2"/>
      <c r="AD633" s="23"/>
      <c r="AE633" s="23"/>
      <c r="AF633" s="22"/>
      <c r="AG633" s="22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</row>
    <row r="634" spans="1:45" ht="27.75" customHeight="1" x14ac:dyDescent="0.35">
      <c r="A634" s="15" t="s">
        <v>257</v>
      </c>
      <c r="B634" s="15" t="s">
        <v>257</v>
      </c>
      <c r="C634" s="15"/>
      <c r="D634" s="15"/>
      <c r="E634" s="16"/>
      <c r="F634" s="15" t="s">
        <v>257</v>
      </c>
      <c r="G634" s="32"/>
      <c r="H634" s="27"/>
      <c r="I634" s="27"/>
      <c r="J634" s="27"/>
      <c r="K634" s="23" t="str">
        <f ca="1">IFERROR(__xludf.DUMMYFUNCTION("""COMPUTED_VALUE"""),"")</f>
        <v/>
      </c>
      <c r="L634" s="22"/>
      <c r="M634" s="23"/>
      <c r="N634" s="23"/>
      <c r="O634" s="23"/>
      <c r="P634" s="23"/>
      <c r="Q634" s="24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2"/>
      <c r="AD634" s="23"/>
      <c r="AE634" s="23"/>
      <c r="AF634" s="22"/>
      <c r="AG634" s="22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</row>
    <row r="635" spans="1:45" ht="27.75" customHeight="1" x14ac:dyDescent="0.35">
      <c r="A635" s="15" t="s">
        <v>257</v>
      </c>
      <c r="B635" s="15" t="s">
        <v>257</v>
      </c>
      <c r="C635" s="15"/>
      <c r="D635" s="15"/>
      <c r="E635" s="16"/>
      <c r="F635" s="15" t="s">
        <v>257</v>
      </c>
      <c r="G635" s="32"/>
      <c r="H635" s="27"/>
      <c r="I635" s="27"/>
      <c r="J635" s="27"/>
      <c r="K635" s="23" t="str">
        <f ca="1">IFERROR(__xludf.DUMMYFUNCTION("""COMPUTED_VALUE"""),"")</f>
        <v/>
      </c>
      <c r="L635" s="22"/>
      <c r="M635" s="23"/>
      <c r="N635" s="23"/>
      <c r="O635" s="23"/>
      <c r="P635" s="23"/>
      <c r="Q635" s="24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2"/>
      <c r="AD635" s="23"/>
      <c r="AE635" s="23"/>
      <c r="AF635" s="22"/>
      <c r="AG635" s="22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</row>
    <row r="636" spans="1:45" ht="27.75" customHeight="1" x14ac:dyDescent="0.35">
      <c r="A636" s="15" t="s">
        <v>257</v>
      </c>
      <c r="B636" s="15" t="s">
        <v>257</v>
      </c>
      <c r="C636" s="15"/>
      <c r="D636" s="15"/>
      <c r="E636" s="16"/>
      <c r="F636" s="15" t="s">
        <v>257</v>
      </c>
      <c r="G636" s="32"/>
      <c r="H636" s="27"/>
      <c r="I636" s="27"/>
      <c r="J636" s="27"/>
      <c r="K636" s="23" t="str">
        <f ca="1">IFERROR(__xludf.DUMMYFUNCTION("""COMPUTED_VALUE"""),"")</f>
        <v/>
      </c>
      <c r="L636" s="22"/>
      <c r="M636" s="23"/>
      <c r="N636" s="23"/>
      <c r="O636" s="23"/>
      <c r="P636" s="23"/>
      <c r="Q636" s="24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2"/>
      <c r="AD636" s="23"/>
      <c r="AE636" s="23"/>
      <c r="AF636" s="22"/>
      <c r="AG636" s="22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</row>
    <row r="637" spans="1:45" ht="27.75" customHeight="1" x14ac:dyDescent="0.35">
      <c r="A637" s="15" t="s">
        <v>257</v>
      </c>
      <c r="B637" s="15" t="s">
        <v>257</v>
      </c>
      <c r="C637" s="15"/>
      <c r="D637" s="15"/>
      <c r="E637" s="16"/>
      <c r="F637" s="15" t="s">
        <v>257</v>
      </c>
      <c r="G637" s="32"/>
      <c r="H637" s="27"/>
      <c r="I637" s="27"/>
      <c r="J637" s="27"/>
      <c r="K637" s="23" t="str">
        <f ca="1">IFERROR(__xludf.DUMMYFUNCTION("""COMPUTED_VALUE"""),"")</f>
        <v/>
      </c>
      <c r="L637" s="22"/>
      <c r="M637" s="23"/>
      <c r="N637" s="23"/>
      <c r="O637" s="23"/>
      <c r="P637" s="23"/>
      <c r="Q637" s="24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2"/>
      <c r="AD637" s="23"/>
      <c r="AE637" s="23"/>
      <c r="AF637" s="22"/>
      <c r="AG637" s="22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</row>
    <row r="638" spans="1:45" ht="27.75" customHeight="1" x14ac:dyDescent="0.35">
      <c r="A638" s="15" t="s">
        <v>257</v>
      </c>
      <c r="B638" s="15" t="s">
        <v>257</v>
      </c>
      <c r="C638" s="15"/>
      <c r="D638" s="15"/>
      <c r="E638" s="16"/>
      <c r="F638" s="15" t="s">
        <v>257</v>
      </c>
      <c r="G638" s="32"/>
      <c r="H638" s="27"/>
      <c r="I638" s="27"/>
      <c r="J638" s="27"/>
      <c r="K638" s="23" t="str">
        <f ca="1">IFERROR(__xludf.DUMMYFUNCTION("""COMPUTED_VALUE"""),"")</f>
        <v/>
      </c>
      <c r="L638" s="22"/>
      <c r="M638" s="23"/>
      <c r="N638" s="23"/>
      <c r="O638" s="23"/>
      <c r="P638" s="23"/>
      <c r="Q638" s="24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2"/>
      <c r="AD638" s="23"/>
      <c r="AE638" s="23"/>
      <c r="AF638" s="22"/>
      <c r="AG638" s="22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</row>
    <row r="639" spans="1:45" ht="27.75" customHeight="1" x14ac:dyDescent="0.35">
      <c r="A639" s="15" t="s">
        <v>257</v>
      </c>
      <c r="B639" s="15" t="s">
        <v>257</v>
      </c>
      <c r="C639" s="15"/>
      <c r="D639" s="15"/>
      <c r="E639" s="16"/>
      <c r="F639" s="15" t="s">
        <v>257</v>
      </c>
      <c r="G639" s="32"/>
      <c r="H639" s="27"/>
      <c r="I639" s="27"/>
      <c r="J639" s="27"/>
      <c r="K639" s="23" t="str">
        <f ca="1">IFERROR(__xludf.DUMMYFUNCTION("""COMPUTED_VALUE"""),"")</f>
        <v/>
      </c>
      <c r="L639" s="22"/>
      <c r="M639" s="23"/>
      <c r="N639" s="23"/>
      <c r="O639" s="23"/>
      <c r="P639" s="23"/>
      <c r="Q639" s="24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2"/>
      <c r="AD639" s="23"/>
      <c r="AE639" s="23"/>
      <c r="AF639" s="22"/>
      <c r="AG639" s="22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</row>
    <row r="640" spans="1:45" ht="27.75" customHeight="1" x14ac:dyDescent="0.35">
      <c r="A640" s="15" t="s">
        <v>257</v>
      </c>
      <c r="B640" s="15" t="s">
        <v>257</v>
      </c>
      <c r="C640" s="15"/>
      <c r="D640" s="15"/>
      <c r="E640" s="16"/>
      <c r="F640" s="15" t="s">
        <v>257</v>
      </c>
      <c r="G640" s="32"/>
      <c r="H640" s="27"/>
      <c r="I640" s="27"/>
      <c r="J640" s="27"/>
      <c r="K640" s="23" t="str">
        <f ca="1">IFERROR(__xludf.DUMMYFUNCTION("""COMPUTED_VALUE"""),"")</f>
        <v/>
      </c>
      <c r="L640" s="22"/>
      <c r="M640" s="23"/>
      <c r="N640" s="23"/>
      <c r="O640" s="23"/>
      <c r="P640" s="23"/>
      <c r="Q640" s="24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2"/>
      <c r="AD640" s="23"/>
      <c r="AE640" s="23"/>
      <c r="AF640" s="22"/>
      <c r="AG640" s="22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</row>
    <row r="641" spans="1:45" ht="27.75" customHeight="1" x14ac:dyDescent="0.35">
      <c r="A641" s="15" t="s">
        <v>257</v>
      </c>
      <c r="B641" s="15" t="s">
        <v>257</v>
      </c>
      <c r="C641" s="15"/>
      <c r="D641" s="15"/>
      <c r="E641" s="16"/>
      <c r="F641" s="15" t="s">
        <v>257</v>
      </c>
      <c r="G641" s="32"/>
      <c r="H641" s="27"/>
      <c r="I641" s="27"/>
      <c r="J641" s="27"/>
      <c r="K641" s="23" t="str">
        <f ca="1">IFERROR(__xludf.DUMMYFUNCTION("""COMPUTED_VALUE"""),"")</f>
        <v/>
      </c>
      <c r="L641" s="22"/>
      <c r="M641" s="23"/>
      <c r="N641" s="23"/>
      <c r="O641" s="23"/>
      <c r="P641" s="23"/>
      <c r="Q641" s="24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2"/>
      <c r="AD641" s="23"/>
      <c r="AE641" s="23"/>
      <c r="AF641" s="22"/>
      <c r="AG641" s="22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</row>
    <row r="642" spans="1:45" ht="27.75" customHeight="1" x14ac:dyDescent="0.35">
      <c r="A642" s="15" t="s">
        <v>257</v>
      </c>
      <c r="B642" s="15" t="s">
        <v>257</v>
      </c>
      <c r="C642" s="15"/>
      <c r="D642" s="15"/>
      <c r="E642" s="16"/>
      <c r="F642" s="15" t="s">
        <v>257</v>
      </c>
      <c r="G642" s="32"/>
      <c r="H642" s="27"/>
      <c r="I642" s="27"/>
      <c r="J642" s="27"/>
      <c r="K642" s="23" t="str">
        <f ca="1">IFERROR(__xludf.DUMMYFUNCTION("""COMPUTED_VALUE"""),"")</f>
        <v/>
      </c>
      <c r="L642" s="22"/>
      <c r="M642" s="23"/>
      <c r="N642" s="23"/>
      <c r="O642" s="23"/>
      <c r="P642" s="23"/>
      <c r="Q642" s="24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2"/>
      <c r="AD642" s="23"/>
      <c r="AE642" s="23"/>
      <c r="AF642" s="22"/>
      <c r="AG642" s="22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</row>
    <row r="643" spans="1:45" ht="27.75" customHeight="1" x14ac:dyDescent="0.35">
      <c r="A643" s="15" t="s">
        <v>257</v>
      </c>
      <c r="B643" s="15" t="s">
        <v>257</v>
      </c>
      <c r="C643" s="15"/>
      <c r="D643" s="15"/>
      <c r="E643" s="16"/>
      <c r="F643" s="15" t="s">
        <v>257</v>
      </c>
      <c r="G643" s="32"/>
      <c r="H643" s="27"/>
      <c r="I643" s="27"/>
      <c r="J643" s="27"/>
      <c r="K643" s="23" t="str">
        <f ca="1">IFERROR(__xludf.DUMMYFUNCTION("""COMPUTED_VALUE"""),"")</f>
        <v/>
      </c>
      <c r="L643" s="22"/>
      <c r="M643" s="23"/>
      <c r="N643" s="23"/>
      <c r="O643" s="23"/>
      <c r="P643" s="23"/>
      <c r="Q643" s="24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2"/>
      <c r="AD643" s="23"/>
      <c r="AE643" s="23"/>
      <c r="AF643" s="22"/>
      <c r="AG643" s="22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</row>
    <row r="644" spans="1:45" ht="27.75" customHeight="1" x14ac:dyDescent="0.35">
      <c r="A644" s="15" t="s">
        <v>257</v>
      </c>
      <c r="B644" s="15" t="s">
        <v>257</v>
      </c>
      <c r="C644" s="15"/>
      <c r="D644" s="15"/>
      <c r="E644" s="16"/>
      <c r="F644" s="15" t="s">
        <v>257</v>
      </c>
      <c r="G644" s="32"/>
      <c r="H644" s="27"/>
      <c r="I644" s="27"/>
      <c r="J644" s="27"/>
      <c r="K644" s="23" t="str">
        <f ca="1">IFERROR(__xludf.DUMMYFUNCTION("""COMPUTED_VALUE"""),"")</f>
        <v/>
      </c>
      <c r="L644" s="22"/>
      <c r="M644" s="23"/>
      <c r="N644" s="23"/>
      <c r="O644" s="23"/>
      <c r="P644" s="23"/>
      <c r="Q644" s="24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2"/>
      <c r="AD644" s="23"/>
      <c r="AE644" s="23"/>
      <c r="AF644" s="22"/>
      <c r="AG644" s="22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</row>
    <row r="645" spans="1:45" ht="27.75" customHeight="1" x14ac:dyDescent="0.35">
      <c r="A645" s="15" t="s">
        <v>257</v>
      </c>
      <c r="B645" s="15" t="s">
        <v>257</v>
      </c>
      <c r="C645" s="15"/>
      <c r="D645" s="15"/>
      <c r="E645" s="16"/>
      <c r="F645" s="15" t="s">
        <v>257</v>
      </c>
      <c r="G645" s="32"/>
      <c r="H645" s="27"/>
      <c r="I645" s="27"/>
      <c r="J645" s="27"/>
      <c r="K645" s="23" t="str">
        <f ca="1">IFERROR(__xludf.DUMMYFUNCTION("""COMPUTED_VALUE"""),"")</f>
        <v/>
      </c>
      <c r="L645" s="22"/>
      <c r="M645" s="23"/>
      <c r="N645" s="23"/>
      <c r="O645" s="23"/>
      <c r="P645" s="23"/>
      <c r="Q645" s="24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2"/>
      <c r="AD645" s="23"/>
      <c r="AE645" s="23"/>
      <c r="AF645" s="22"/>
      <c r="AG645" s="22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</row>
    <row r="646" spans="1:45" ht="27.75" customHeight="1" x14ac:dyDescent="0.35">
      <c r="A646" s="15" t="s">
        <v>257</v>
      </c>
      <c r="B646" s="15" t="s">
        <v>257</v>
      </c>
      <c r="C646" s="15"/>
      <c r="D646" s="15"/>
      <c r="E646" s="16"/>
      <c r="F646" s="15" t="s">
        <v>257</v>
      </c>
      <c r="G646" s="32"/>
      <c r="H646" s="27"/>
      <c r="I646" s="27"/>
      <c r="J646" s="27"/>
      <c r="K646" s="23" t="str">
        <f ca="1">IFERROR(__xludf.DUMMYFUNCTION("""COMPUTED_VALUE"""),"")</f>
        <v/>
      </c>
      <c r="L646" s="22"/>
      <c r="M646" s="23"/>
      <c r="N646" s="23"/>
      <c r="O646" s="23"/>
      <c r="P646" s="23"/>
      <c r="Q646" s="24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2"/>
      <c r="AD646" s="23"/>
      <c r="AE646" s="23"/>
      <c r="AF646" s="22"/>
      <c r="AG646" s="22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</row>
    <row r="647" spans="1:45" ht="27.75" customHeight="1" x14ac:dyDescent="0.35">
      <c r="A647" s="15" t="s">
        <v>257</v>
      </c>
      <c r="B647" s="15" t="s">
        <v>257</v>
      </c>
      <c r="C647" s="15"/>
      <c r="D647" s="15"/>
      <c r="E647" s="16"/>
      <c r="F647" s="15" t="s">
        <v>257</v>
      </c>
      <c r="G647" s="32"/>
      <c r="H647" s="27"/>
      <c r="I647" s="27"/>
      <c r="J647" s="27"/>
      <c r="K647" s="23" t="str">
        <f ca="1">IFERROR(__xludf.DUMMYFUNCTION("""COMPUTED_VALUE"""),"")</f>
        <v/>
      </c>
      <c r="L647" s="22"/>
      <c r="M647" s="23"/>
      <c r="N647" s="23"/>
      <c r="O647" s="23"/>
      <c r="P647" s="23"/>
      <c r="Q647" s="24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2"/>
      <c r="AD647" s="23"/>
      <c r="AE647" s="23"/>
      <c r="AF647" s="22"/>
      <c r="AG647" s="22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</row>
    <row r="648" spans="1:45" ht="27.75" customHeight="1" x14ac:dyDescent="0.35">
      <c r="A648" s="15" t="s">
        <v>257</v>
      </c>
      <c r="B648" s="15" t="s">
        <v>257</v>
      </c>
      <c r="C648" s="15"/>
      <c r="D648" s="15"/>
      <c r="E648" s="16"/>
      <c r="F648" s="15" t="s">
        <v>257</v>
      </c>
      <c r="G648" s="32"/>
      <c r="H648" s="27"/>
      <c r="I648" s="27"/>
      <c r="J648" s="27"/>
      <c r="K648" s="23" t="str">
        <f ca="1">IFERROR(__xludf.DUMMYFUNCTION("""COMPUTED_VALUE"""),"")</f>
        <v/>
      </c>
      <c r="L648" s="22"/>
      <c r="M648" s="23"/>
      <c r="N648" s="23"/>
      <c r="O648" s="23"/>
      <c r="P648" s="23"/>
      <c r="Q648" s="24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2"/>
      <c r="AD648" s="23"/>
      <c r="AE648" s="23"/>
      <c r="AF648" s="22"/>
      <c r="AG648" s="22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</row>
    <row r="649" spans="1:45" ht="27.75" customHeight="1" x14ac:dyDescent="0.35">
      <c r="A649" s="15" t="s">
        <v>257</v>
      </c>
      <c r="B649" s="15" t="s">
        <v>257</v>
      </c>
      <c r="C649" s="15"/>
      <c r="D649" s="15"/>
      <c r="E649" s="16"/>
      <c r="F649" s="15" t="s">
        <v>257</v>
      </c>
      <c r="G649" s="32"/>
      <c r="H649" s="27"/>
      <c r="I649" s="27"/>
      <c r="J649" s="27"/>
      <c r="K649" s="23" t="str">
        <f ca="1">IFERROR(__xludf.DUMMYFUNCTION("""COMPUTED_VALUE"""),"")</f>
        <v/>
      </c>
      <c r="L649" s="22"/>
      <c r="M649" s="23"/>
      <c r="N649" s="23"/>
      <c r="O649" s="23"/>
      <c r="P649" s="23"/>
      <c r="Q649" s="24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2"/>
      <c r="AD649" s="23"/>
      <c r="AE649" s="23"/>
      <c r="AF649" s="22"/>
      <c r="AG649" s="22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</row>
    <row r="650" spans="1:45" ht="27.75" customHeight="1" x14ac:dyDescent="0.35">
      <c r="A650" s="15" t="s">
        <v>257</v>
      </c>
      <c r="B650" s="15" t="s">
        <v>257</v>
      </c>
      <c r="C650" s="15"/>
      <c r="D650" s="15"/>
      <c r="E650" s="16"/>
      <c r="F650" s="15" t="s">
        <v>257</v>
      </c>
      <c r="G650" s="32"/>
      <c r="H650" s="27"/>
      <c r="I650" s="27"/>
      <c r="J650" s="27"/>
      <c r="K650" s="23" t="str">
        <f ca="1">IFERROR(__xludf.DUMMYFUNCTION("""COMPUTED_VALUE"""),"")</f>
        <v/>
      </c>
      <c r="L650" s="22"/>
      <c r="M650" s="23"/>
      <c r="N650" s="23"/>
      <c r="O650" s="23"/>
      <c r="P650" s="23"/>
      <c r="Q650" s="24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2"/>
      <c r="AD650" s="23"/>
      <c r="AE650" s="23"/>
      <c r="AF650" s="22"/>
      <c r="AG650" s="22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</row>
    <row r="651" spans="1:45" ht="27.75" customHeight="1" x14ac:dyDescent="0.35">
      <c r="A651" s="15" t="s">
        <v>257</v>
      </c>
      <c r="B651" s="15" t="s">
        <v>257</v>
      </c>
      <c r="C651" s="15"/>
      <c r="D651" s="15"/>
      <c r="E651" s="16"/>
      <c r="F651" s="15" t="s">
        <v>257</v>
      </c>
      <c r="G651" s="32"/>
      <c r="H651" s="27"/>
      <c r="I651" s="27"/>
      <c r="J651" s="27"/>
      <c r="K651" s="23" t="str">
        <f ca="1">IFERROR(__xludf.DUMMYFUNCTION("""COMPUTED_VALUE"""),"")</f>
        <v/>
      </c>
      <c r="L651" s="22"/>
      <c r="M651" s="23"/>
      <c r="N651" s="23"/>
      <c r="O651" s="23"/>
      <c r="P651" s="23"/>
      <c r="Q651" s="24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2"/>
      <c r="AD651" s="23"/>
      <c r="AE651" s="23"/>
      <c r="AF651" s="22"/>
      <c r="AG651" s="22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</row>
    <row r="652" spans="1:45" ht="27.75" customHeight="1" x14ac:dyDescent="0.35">
      <c r="A652" s="15" t="s">
        <v>257</v>
      </c>
      <c r="B652" s="15" t="s">
        <v>257</v>
      </c>
      <c r="C652" s="15"/>
      <c r="D652" s="15"/>
      <c r="E652" s="16"/>
      <c r="F652" s="15" t="s">
        <v>257</v>
      </c>
      <c r="G652" s="32"/>
      <c r="H652" s="27"/>
      <c r="I652" s="27"/>
      <c r="J652" s="27"/>
      <c r="K652" s="23" t="str">
        <f ca="1">IFERROR(__xludf.DUMMYFUNCTION("""COMPUTED_VALUE"""),"")</f>
        <v/>
      </c>
      <c r="L652" s="22"/>
      <c r="M652" s="23"/>
      <c r="N652" s="23"/>
      <c r="O652" s="23"/>
      <c r="P652" s="23"/>
      <c r="Q652" s="24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2"/>
      <c r="AD652" s="23"/>
      <c r="AE652" s="23"/>
      <c r="AF652" s="22"/>
      <c r="AG652" s="22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</row>
    <row r="653" spans="1:45" ht="27.75" customHeight="1" x14ac:dyDescent="0.35">
      <c r="A653" s="15" t="s">
        <v>257</v>
      </c>
      <c r="B653" s="15" t="s">
        <v>257</v>
      </c>
      <c r="C653" s="15"/>
      <c r="D653" s="15"/>
      <c r="E653" s="16"/>
      <c r="F653" s="15" t="s">
        <v>257</v>
      </c>
      <c r="G653" s="32"/>
      <c r="H653" s="27"/>
      <c r="I653" s="27"/>
      <c r="J653" s="27"/>
      <c r="K653" s="23" t="str">
        <f ca="1">IFERROR(__xludf.DUMMYFUNCTION("""COMPUTED_VALUE"""),"")</f>
        <v/>
      </c>
      <c r="L653" s="22"/>
      <c r="M653" s="23"/>
      <c r="N653" s="23"/>
      <c r="O653" s="23"/>
      <c r="P653" s="23"/>
      <c r="Q653" s="24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2"/>
      <c r="AD653" s="23"/>
      <c r="AE653" s="23"/>
      <c r="AF653" s="22"/>
      <c r="AG653" s="22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</row>
    <row r="654" spans="1:45" ht="27.75" customHeight="1" x14ac:dyDescent="0.35">
      <c r="A654" s="15" t="s">
        <v>257</v>
      </c>
      <c r="B654" s="15" t="s">
        <v>257</v>
      </c>
      <c r="C654" s="15"/>
      <c r="D654" s="15"/>
      <c r="E654" s="16"/>
      <c r="F654" s="15" t="s">
        <v>257</v>
      </c>
      <c r="G654" s="32"/>
      <c r="H654" s="27"/>
      <c r="I654" s="27"/>
      <c r="J654" s="27"/>
      <c r="K654" s="23" t="str">
        <f ca="1">IFERROR(__xludf.DUMMYFUNCTION("""COMPUTED_VALUE"""),"")</f>
        <v/>
      </c>
      <c r="L654" s="22"/>
      <c r="M654" s="23"/>
      <c r="N654" s="23"/>
      <c r="O654" s="23"/>
      <c r="P654" s="23"/>
      <c r="Q654" s="24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2"/>
      <c r="AD654" s="23"/>
      <c r="AE654" s="23"/>
      <c r="AF654" s="22"/>
      <c r="AG654" s="22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</row>
    <row r="655" spans="1:45" ht="27.75" customHeight="1" x14ac:dyDescent="0.35">
      <c r="A655" s="15" t="s">
        <v>257</v>
      </c>
      <c r="B655" s="15" t="s">
        <v>257</v>
      </c>
      <c r="C655" s="15"/>
      <c r="D655" s="15"/>
      <c r="E655" s="16"/>
      <c r="F655" s="15" t="s">
        <v>257</v>
      </c>
      <c r="G655" s="32"/>
      <c r="H655" s="27"/>
      <c r="I655" s="27"/>
      <c r="J655" s="27"/>
      <c r="K655" s="23" t="str">
        <f ca="1">IFERROR(__xludf.DUMMYFUNCTION("""COMPUTED_VALUE"""),"")</f>
        <v/>
      </c>
      <c r="L655" s="22"/>
      <c r="M655" s="23"/>
      <c r="N655" s="23"/>
      <c r="O655" s="23"/>
      <c r="P655" s="23"/>
      <c r="Q655" s="24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2"/>
      <c r="AD655" s="23"/>
      <c r="AE655" s="23"/>
      <c r="AF655" s="22"/>
      <c r="AG655" s="22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</row>
    <row r="656" spans="1:45" ht="27.75" customHeight="1" x14ac:dyDescent="0.35">
      <c r="A656" s="15" t="s">
        <v>257</v>
      </c>
      <c r="B656" s="15" t="s">
        <v>257</v>
      </c>
      <c r="C656" s="15"/>
      <c r="D656" s="15"/>
      <c r="E656" s="16"/>
      <c r="F656" s="15" t="s">
        <v>257</v>
      </c>
      <c r="G656" s="32"/>
      <c r="H656" s="27"/>
      <c r="I656" s="27"/>
      <c r="J656" s="27"/>
      <c r="K656" s="23" t="str">
        <f ca="1">IFERROR(__xludf.DUMMYFUNCTION("""COMPUTED_VALUE"""),"")</f>
        <v/>
      </c>
      <c r="L656" s="22"/>
      <c r="M656" s="23"/>
      <c r="N656" s="23"/>
      <c r="O656" s="23"/>
      <c r="P656" s="23"/>
      <c r="Q656" s="24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2"/>
      <c r="AD656" s="23"/>
      <c r="AE656" s="23"/>
      <c r="AF656" s="22"/>
      <c r="AG656" s="22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</row>
    <row r="657" spans="1:45" ht="27.75" customHeight="1" x14ac:dyDescent="0.35">
      <c r="A657" s="15" t="s">
        <v>257</v>
      </c>
      <c r="B657" s="15" t="s">
        <v>257</v>
      </c>
      <c r="C657" s="15"/>
      <c r="D657" s="15"/>
      <c r="E657" s="16"/>
      <c r="F657" s="15" t="s">
        <v>257</v>
      </c>
      <c r="G657" s="32"/>
      <c r="H657" s="27"/>
      <c r="I657" s="27"/>
      <c r="J657" s="27"/>
      <c r="K657" s="23" t="str">
        <f ca="1">IFERROR(__xludf.DUMMYFUNCTION("""COMPUTED_VALUE"""),"")</f>
        <v/>
      </c>
      <c r="L657" s="22"/>
      <c r="M657" s="23"/>
      <c r="N657" s="23"/>
      <c r="O657" s="23"/>
      <c r="P657" s="23"/>
      <c r="Q657" s="24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2"/>
      <c r="AD657" s="23"/>
      <c r="AE657" s="23"/>
      <c r="AF657" s="22"/>
      <c r="AG657" s="22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</row>
    <row r="658" spans="1:45" ht="27.75" customHeight="1" x14ac:dyDescent="0.35">
      <c r="A658" s="15" t="s">
        <v>257</v>
      </c>
      <c r="B658" s="15" t="s">
        <v>257</v>
      </c>
      <c r="C658" s="15"/>
      <c r="D658" s="15"/>
      <c r="E658" s="16"/>
      <c r="F658" s="15" t="s">
        <v>257</v>
      </c>
      <c r="G658" s="32"/>
      <c r="H658" s="27"/>
      <c r="I658" s="27"/>
      <c r="J658" s="27"/>
      <c r="K658" s="23" t="str">
        <f ca="1">IFERROR(__xludf.DUMMYFUNCTION("""COMPUTED_VALUE"""),"")</f>
        <v/>
      </c>
      <c r="L658" s="22"/>
      <c r="M658" s="23"/>
      <c r="N658" s="23"/>
      <c r="O658" s="23"/>
      <c r="P658" s="23"/>
      <c r="Q658" s="24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2"/>
      <c r="AD658" s="23"/>
      <c r="AE658" s="23"/>
      <c r="AF658" s="22"/>
      <c r="AG658" s="22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</row>
    <row r="659" spans="1:45" ht="27.75" customHeight="1" x14ac:dyDescent="0.35">
      <c r="A659" s="15" t="s">
        <v>257</v>
      </c>
      <c r="B659" s="15" t="s">
        <v>257</v>
      </c>
      <c r="C659" s="15"/>
      <c r="D659" s="15"/>
      <c r="E659" s="16"/>
      <c r="F659" s="15" t="s">
        <v>257</v>
      </c>
      <c r="G659" s="32"/>
      <c r="H659" s="27"/>
      <c r="I659" s="27"/>
      <c r="J659" s="27"/>
      <c r="K659" s="23" t="str">
        <f ca="1">IFERROR(__xludf.DUMMYFUNCTION("""COMPUTED_VALUE"""),"")</f>
        <v/>
      </c>
      <c r="L659" s="22"/>
      <c r="M659" s="23"/>
      <c r="N659" s="23"/>
      <c r="O659" s="23"/>
      <c r="P659" s="23"/>
      <c r="Q659" s="24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2"/>
      <c r="AD659" s="23"/>
      <c r="AE659" s="23"/>
      <c r="AF659" s="22"/>
      <c r="AG659" s="22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</row>
    <row r="660" spans="1:45" ht="27.75" customHeight="1" x14ac:dyDescent="0.35">
      <c r="A660" s="15" t="s">
        <v>257</v>
      </c>
      <c r="B660" s="15" t="s">
        <v>257</v>
      </c>
      <c r="C660" s="15"/>
      <c r="D660" s="15"/>
      <c r="E660" s="16"/>
      <c r="F660" s="15" t="s">
        <v>257</v>
      </c>
      <c r="G660" s="32"/>
      <c r="H660" s="27"/>
      <c r="I660" s="27"/>
      <c r="J660" s="27"/>
      <c r="K660" s="23" t="str">
        <f ca="1">IFERROR(__xludf.DUMMYFUNCTION("""COMPUTED_VALUE"""),"")</f>
        <v/>
      </c>
      <c r="L660" s="22"/>
      <c r="M660" s="23"/>
      <c r="N660" s="23"/>
      <c r="O660" s="23"/>
      <c r="P660" s="23"/>
      <c r="Q660" s="24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2"/>
      <c r="AD660" s="23"/>
      <c r="AE660" s="23"/>
      <c r="AF660" s="22"/>
      <c r="AG660" s="22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</row>
    <row r="661" spans="1:45" ht="27.75" customHeight="1" x14ac:dyDescent="0.35">
      <c r="A661" s="15" t="s">
        <v>257</v>
      </c>
      <c r="B661" s="15" t="s">
        <v>257</v>
      </c>
      <c r="C661" s="15"/>
      <c r="D661" s="15"/>
      <c r="E661" s="16"/>
      <c r="F661" s="15" t="s">
        <v>257</v>
      </c>
      <c r="G661" s="32"/>
      <c r="H661" s="27"/>
      <c r="I661" s="27"/>
      <c r="J661" s="27"/>
      <c r="K661" s="23" t="str">
        <f ca="1">IFERROR(__xludf.DUMMYFUNCTION("""COMPUTED_VALUE"""),"")</f>
        <v/>
      </c>
      <c r="L661" s="22"/>
      <c r="M661" s="23"/>
      <c r="N661" s="23"/>
      <c r="O661" s="23"/>
      <c r="P661" s="23"/>
      <c r="Q661" s="24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2"/>
      <c r="AD661" s="23"/>
      <c r="AE661" s="23"/>
      <c r="AF661" s="22"/>
      <c r="AG661" s="22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</row>
    <row r="662" spans="1:45" ht="27.75" customHeight="1" x14ac:dyDescent="0.35">
      <c r="A662" s="15" t="s">
        <v>257</v>
      </c>
      <c r="B662" s="15" t="s">
        <v>257</v>
      </c>
      <c r="C662" s="15"/>
      <c r="D662" s="15"/>
      <c r="E662" s="16"/>
      <c r="F662" s="15" t="s">
        <v>257</v>
      </c>
      <c r="G662" s="32"/>
      <c r="H662" s="27"/>
      <c r="I662" s="27"/>
      <c r="J662" s="27"/>
      <c r="K662" s="23" t="str">
        <f ca="1">IFERROR(__xludf.DUMMYFUNCTION("""COMPUTED_VALUE"""),"")</f>
        <v/>
      </c>
      <c r="L662" s="22"/>
      <c r="M662" s="23"/>
      <c r="N662" s="23"/>
      <c r="O662" s="23"/>
      <c r="P662" s="23"/>
      <c r="Q662" s="24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2"/>
      <c r="AD662" s="23"/>
      <c r="AE662" s="23"/>
      <c r="AF662" s="22"/>
      <c r="AG662" s="22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</row>
    <row r="663" spans="1:45" ht="27.75" customHeight="1" x14ac:dyDescent="0.35">
      <c r="A663" s="15" t="s">
        <v>257</v>
      </c>
      <c r="B663" s="15" t="s">
        <v>257</v>
      </c>
      <c r="C663" s="15"/>
      <c r="D663" s="15"/>
      <c r="E663" s="16"/>
      <c r="F663" s="15" t="s">
        <v>257</v>
      </c>
      <c r="G663" s="32"/>
      <c r="H663" s="27"/>
      <c r="I663" s="27"/>
      <c r="J663" s="27"/>
      <c r="K663" s="23" t="str">
        <f ca="1">IFERROR(__xludf.DUMMYFUNCTION("""COMPUTED_VALUE"""),"")</f>
        <v/>
      </c>
      <c r="L663" s="22"/>
      <c r="M663" s="23"/>
      <c r="N663" s="23"/>
      <c r="O663" s="23"/>
      <c r="P663" s="23"/>
      <c r="Q663" s="24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2"/>
      <c r="AD663" s="23"/>
      <c r="AE663" s="23"/>
      <c r="AF663" s="22"/>
      <c r="AG663" s="22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</row>
    <row r="664" spans="1:45" ht="27.75" customHeight="1" x14ac:dyDescent="0.35">
      <c r="A664" s="15" t="s">
        <v>257</v>
      </c>
      <c r="B664" s="15" t="s">
        <v>257</v>
      </c>
      <c r="C664" s="15"/>
      <c r="D664" s="15"/>
      <c r="E664" s="16"/>
      <c r="F664" s="15" t="s">
        <v>257</v>
      </c>
      <c r="G664" s="32"/>
      <c r="H664" s="27"/>
      <c r="I664" s="27"/>
      <c r="J664" s="27"/>
      <c r="K664" s="23" t="str">
        <f ca="1">IFERROR(__xludf.DUMMYFUNCTION("""COMPUTED_VALUE"""),"")</f>
        <v/>
      </c>
      <c r="L664" s="22"/>
      <c r="M664" s="23"/>
      <c r="N664" s="23"/>
      <c r="O664" s="23"/>
      <c r="P664" s="23"/>
      <c r="Q664" s="24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2"/>
      <c r="AD664" s="23"/>
      <c r="AE664" s="23"/>
      <c r="AF664" s="22"/>
      <c r="AG664" s="22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</row>
    <row r="665" spans="1:45" ht="27.75" customHeight="1" x14ac:dyDescent="0.35">
      <c r="A665" s="15" t="s">
        <v>257</v>
      </c>
      <c r="B665" s="15" t="s">
        <v>257</v>
      </c>
      <c r="C665" s="15"/>
      <c r="D665" s="15"/>
      <c r="E665" s="16"/>
      <c r="F665" s="15" t="s">
        <v>257</v>
      </c>
      <c r="G665" s="32"/>
      <c r="H665" s="27"/>
      <c r="I665" s="27"/>
      <c r="J665" s="27"/>
      <c r="K665" s="23" t="str">
        <f ca="1">IFERROR(__xludf.DUMMYFUNCTION("""COMPUTED_VALUE"""),"")</f>
        <v/>
      </c>
      <c r="L665" s="22"/>
      <c r="M665" s="23"/>
      <c r="N665" s="23"/>
      <c r="O665" s="23"/>
      <c r="P665" s="23"/>
      <c r="Q665" s="24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2"/>
      <c r="AD665" s="23"/>
      <c r="AE665" s="23"/>
      <c r="AF665" s="22"/>
      <c r="AG665" s="22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</row>
    <row r="666" spans="1:45" ht="27.75" customHeight="1" x14ac:dyDescent="0.35">
      <c r="A666" s="15" t="s">
        <v>257</v>
      </c>
      <c r="B666" s="15" t="s">
        <v>257</v>
      </c>
      <c r="C666" s="15"/>
      <c r="D666" s="15"/>
      <c r="E666" s="16"/>
      <c r="F666" s="15" t="s">
        <v>257</v>
      </c>
      <c r="G666" s="32"/>
      <c r="H666" s="27"/>
      <c r="I666" s="27"/>
      <c r="J666" s="27"/>
      <c r="K666" s="23" t="str">
        <f ca="1">IFERROR(__xludf.DUMMYFUNCTION("""COMPUTED_VALUE"""),"")</f>
        <v/>
      </c>
      <c r="L666" s="22"/>
      <c r="M666" s="23"/>
      <c r="N666" s="23"/>
      <c r="O666" s="23"/>
      <c r="P666" s="23"/>
      <c r="Q666" s="24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2"/>
      <c r="AD666" s="23"/>
      <c r="AE666" s="23"/>
      <c r="AF666" s="22"/>
      <c r="AG666" s="22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</row>
    <row r="667" spans="1:45" ht="27.75" customHeight="1" x14ac:dyDescent="0.35">
      <c r="A667" s="15" t="s">
        <v>257</v>
      </c>
      <c r="B667" s="15" t="s">
        <v>257</v>
      </c>
      <c r="C667" s="15"/>
      <c r="D667" s="15"/>
      <c r="E667" s="16"/>
      <c r="F667" s="15" t="s">
        <v>257</v>
      </c>
      <c r="G667" s="32"/>
      <c r="H667" s="27"/>
      <c r="I667" s="27"/>
      <c r="J667" s="27"/>
      <c r="K667" s="23" t="str">
        <f ca="1">IFERROR(__xludf.DUMMYFUNCTION("""COMPUTED_VALUE"""),"")</f>
        <v/>
      </c>
      <c r="L667" s="22"/>
      <c r="M667" s="23"/>
      <c r="N667" s="23"/>
      <c r="O667" s="23"/>
      <c r="P667" s="23"/>
      <c r="Q667" s="24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2"/>
      <c r="AD667" s="23"/>
      <c r="AE667" s="23"/>
      <c r="AF667" s="22"/>
      <c r="AG667" s="22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</row>
    <row r="668" spans="1:45" ht="27.75" customHeight="1" x14ac:dyDescent="0.35">
      <c r="A668" s="15" t="s">
        <v>257</v>
      </c>
      <c r="B668" s="15" t="s">
        <v>257</v>
      </c>
      <c r="C668" s="15"/>
      <c r="D668" s="15"/>
      <c r="E668" s="16"/>
      <c r="F668" s="15" t="s">
        <v>257</v>
      </c>
      <c r="G668" s="32"/>
      <c r="H668" s="27"/>
      <c r="I668" s="27"/>
      <c r="J668" s="27"/>
      <c r="K668" s="23" t="str">
        <f ca="1">IFERROR(__xludf.DUMMYFUNCTION("""COMPUTED_VALUE"""),"")</f>
        <v/>
      </c>
      <c r="L668" s="22"/>
      <c r="M668" s="23"/>
      <c r="N668" s="23"/>
      <c r="O668" s="23"/>
      <c r="P668" s="23"/>
      <c r="Q668" s="24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2"/>
      <c r="AD668" s="23"/>
      <c r="AE668" s="23"/>
      <c r="AF668" s="22"/>
      <c r="AG668" s="22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</row>
    <row r="669" spans="1:45" ht="27.75" customHeight="1" x14ac:dyDescent="0.35">
      <c r="A669" s="15" t="s">
        <v>257</v>
      </c>
      <c r="B669" s="15" t="s">
        <v>257</v>
      </c>
      <c r="C669" s="15"/>
      <c r="D669" s="15"/>
      <c r="E669" s="16"/>
      <c r="F669" s="15" t="s">
        <v>257</v>
      </c>
      <c r="G669" s="32"/>
      <c r="H669" s="27"/>
      <c r="I669" s="27"/>
      <c r="J669" s="27"/>
      <c r="K669" s="23" t="str">
        <f ca="1">IFERROR(__xludf.DUMMYFUNCTION("""COMPUTED_VALUE"""),"")</f>
        <v/>
      </c>
      <c r="L669" s="22"/>
      <c r="M669" s="23"/>
      <c r="N669" s="23"/>
      <c r="O669" s="23"/>
      <c r="P669" s="23"/>
      <c r="Q669" s="24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2"/>
      <c r="AD669" s="23"/>
      <c r="AE669" s="23"/>
      <c r="AF669" s="22"/>
      <c r="AG669" s="22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</row>
    <row r="670" spans="1:45" ht="27.75" customHeight="1" x14ac:dyDescent="0.35">
      <c r="A670" s="15" t="s">
        <v>257</v>
      </c>
      <c r="B670" s="15" t="s">
        <v>257</v>
      </c>
      <c r="C670" s="15"/>
      <c r="D670" s="15"/>
      <c r="E670" s="16"/>
      <c r="F670" s="15" t="s">
        <v>257</v>
      </c>
      <c r="G670" s="32"/>
      <c r="H670" s="27"/>
      <c r="I670" s="27"/>
      <c r="J670" s="27"/>
      <c r="K670" s="23" t="str">
        <f ca="1">IFERROR(__xludf.DUMMYFUNCTION("""COMPUTED_VALUE"""),"")</f>
        <v/>
      </c>
      <c r="L670" s="22"/>
      <c r="M670" s="23"/>
      <c r="N670" s="23"/>
      <c r="O670" s="23"/>
      <c r="P670" s="23"/>
      <c r="Q670" s="24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2"/>
      <c r="AD670" s="23"/>
      <c r="AE670" s="23"/>
      <c r="AF670" s="22"/>
      <c r="AG670" s="22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</row>
    <row r="671" spans="1:45" ht="27.75" customHeight="1" x14ac:dyDescent="0.35">
      <c r="A671" s="15" t="s">
        <v>257</v>
      </c>
      <c r="B671" s="15" t="s">
        <v>257</v>
      </c>
      <c r="C671" s="15"/>
      <c r="D671" s="15"/>
      <c r="E671" s="16"/>
      <c r="F671" s="15" t="s">
        <v>257</v>
      </c>
      <c r="G671" s="32"/>
      <c r="H671" s="27"/>
      <c r="I671" s="27"/>
      <c r="J671" s="27"/>
      <c r="K671" s="23" t="str">
        <f ca="1">IFERROR(__xludf.DUMMYFUNCTION("""COMPUTED_VALUE"""),"")</f>
        <v/>
      </c>
      <c r="L671" s="22"/>
      <c r="M671" s="23"/>
      <c r="N671" s="23"/>
      <c r="O671" s="23"/>
      <c r="P671" s="23"/>
      <c r="Q671" s="24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2"/>
      <c r="AD671" s="23"/>
      <c r="AE671" s="23"/>
      <c r="AF671" s="22"/>
      <c r="AG671" s="22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</row>
    <row r="672" spans="1:45" ht="27.75" customHeight="1" x14ac:dyDescent="0.35">
      <c r="A672" s="15" t="s">
        <v>257</v>
      </c>
      <c r="B672" s="15" t="s">
        <v>257</v>
      </c>
      <c r="C672" s="15"/>
      <c r="D672" s="15"/>
      <c r="E672" s="16"/>
      <c r="F672" s="15" t="s">
        <v>257</v>
      </c>
      <c r="G672" s="32"/>
      <c r="H672" s="27"/>
      <c r="I672" s="27"/>
      <c r="J672" s="27"/>
      <c r="K672" s="23" t="str">
        <f ca="1">IFERROR(__xludf.DUMMYFUNCTION("""COMPUTED_VALUE"""),"")</f>
        <v/>
      </c>
      <c r="L672" s="22"/>
      <c r="M672" s="23"/>
      <c r="N672" s="23"/>
      <c r="O672" s="23"/>
      <c r="P672" s="23"/>
      <c r="Q672" s="24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2"/>
      <c r="AD672" s="23"/>
      <c r="AE672" s="23"/>
      <c r="AF672" s="22"/>
      <c r="AG672" s="22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</row>
    <row r="673" spans="1:45" ht="27.75" customHeight="1" x14ac:dyDescent="0.35">
      <c r="A673" s="15" t="s">
        <v>257</v>
      </c>
      <c r="B673" s="15" t="s">
        <v>257</v>
      </c>
      <c r="C673" s="15"/>
      <c r="D673" s="15"/>
      <c r="E673" s="16"/>
      <c r="F673" s="15" t="s">
        <v>257</v>
      </c>
      <c r="G673" s="32"/>
      <c r="H673" s="27"/>
      <c r="I673" s="27"/>
      <c r="J673" s="27"/>
      <c r="K673" s="23" t="str">
        <f ca="1">IFERROR(__xludf.DUMMYFUNCTION("""COMPUTED_VALUE"""),"")</f>
        <v/>
      </c>
      <c r="L673" s="22"/>
      <c r="M673" s="23"/>
      <c r="N673" s="23"/>
      <c r="O673" s="23"/>
      <c r="P673" s="23"/>
      <c r="Q673" s="24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2"/>
      <c r="AD673" s="23"/>
      <c r="AE673" s="23"/>
      <c r="AF673" s="22"/>
      <c r="AG673" s="22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</row>
    <row r="674" spans="1:45" ht="27.75" customHeight="1" x14ac:dyDescent="0.35">
      <c r="A674" s="15" t="s">
        <v>257</v>
      </c>
      <c r="B674" s="15" t="s">
        <v>257</v>
      </c>
      <c r="C674" s="15"/>
      <c r="D674" s="15"/>
      <c r="E674" s="16"/>
      <c r="F674" s="15" t="s">
        <v>257</v>
      </c>
      <c r="G674" s="32"/>
      <c r="H674" s="27"/>
      <c r="I674" s="27"/>
      <c r="J674" s="27"/>
      <c r="K674" s="23" t="str">
        <f ca="1">IFERROR(__xludf.DUMMYFUNCTION("""COMPUTED_VALUE"""),"")</f>
        <v/>
      </c>
      <c r="L674" s="22"/>
      <c r="M674" s="23"/>
      <c r="N674" s="23"/>
      <c r="O674" s="23"/>
      <c r="P674" s="23"/>
      <c r="Q674" s="24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2"/>
      <c r="AD674" s="23"/>
      <c r="AE674" s="23"/>
      <c r="AF674" s="22"/>
      <c r="AG674" s="22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</row>
    <row r="675" spans="1:45" ht="27.75" customHeight="1" x14ac:dyDescent="0.35">
      <c r="A675" s="15" t="s">
        <v>257</v>
      </c>
      <c r="B675" s="15" t="s">
        <v>257</v>
      </c>
      <c r="C675" s="15"/>
      <c r="D675" s="15"/>
      <c r="E675" s="16"/>
      <c r="F675" s="15" t="s">
        <v>257</v>
      </c>
      <c r="G675" s="32"/>
      <c r="H675" s="27"/>
      <c r="I675" s="27"/>
      <c r="J675" s="27"/>
      <c r="K675" s="23" t="str">
        <f ca="1">IFERROR(__xludf.DUMMYFUNCTION("""COMPUTED_VALUE"""),"")</f>
        <v/>
      </c>
      <c r="L675" s="22"/>
      <c r="M675" s="23"/>
      <c r="N675" s="23"/>
      <c r="O675" s="23"/>
      <c r="P675" s="23"/>
      <c r="Q675" s="24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2"/>
      <c r="AD675" s="23"/>
      <c r="AE675" s="23"/>
      <c r="AF675" s="22"/>
      <c r="AG675" s="22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</row>
    <row r="676" spans="1:45" ht="27.75" customHeight="1" x14ac:dyDescent="0.35">
      <c r="A676" s="15" t="s">
        <v>257</v>
      </c>
      <c r="B676" s="15" t="s">
        <v>257</v>
      </c>
      <c r="C676" s="15"/>
      <c r="D676" s="15"/>
      <c r="E676" s="16"/>
      <c r="F676" s="15" t="s">
        <v>257</v>
      </c>
      <c r="G676" s="32"/>
      <c r="H676" s="27"/>
      <c r="I676" s="27"/>
      <c r="J676" s="27"/>
      <c r="K676" s="23" t="str">
        <f ca="1">IFERROR(__xludf.DUMMYFUNCTION("""COMPUTED_VALUE"""),"")</f>
        <v/>
      </c>
      <c r="L676" s="22"/>
      <c r="M676" s="23"/>
      <c r="N676" s="23"/>
      <c r="O676" s="23"/>
      <c r="P676" s="23"/>
      <c r="Q676" s="24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2"/>
      <c r="AD676" s="23"/>
      <c r="AE676" s="23"/>
      <c r="AF676" s="22"/>
      <c r="AG676" s="22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</row>
    <row r="677" spans="1:45" ht="27.75" customHeight="1" x14ac:dyDescent="0.35">
      <c r="A677" s="15" t="s">
        <v>257</v>
      </c>
      <c r="B677" s="15" t="s">
        <v>257</v>
      </c>
      <c r="C677" s="15"/>
      <c r="D677" s="15"/>
      <c r="E677" s="16"/>
      <c r="F677" s="15" t="s">
        <v>257</v>
      </c>
      <c r="G677" s="32"/>
      <c r="H677" s="27"/>
      <c r="I677" s="27"/>
      <c r="J677" s="27"/>
      <c r="K677" s="23" t="str">
        <f ca="1">IFERROR(__xludf.DUMMYFUNCTION("""COMPUTED_VALUE"""),"")</f>
        <v/>
      </c>
      <c r="L677" s="22"/>
      <c r="M677" s="23"/>
      <c r="N677" s="23"/>
      <c r="O677" s="23"/>
      <c r="P677" s="23"/>
      <c r="Q677" s="24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2"/>
      <c r="AD677" s="23"/>
      <c r="AE677" s="23"/>
      <c r="AF677" s="22"/>
      <c r="AG677" s="22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</row>
    <row r="678" spans="1:45" ht="27.75" customHeight="1" x14ac:dyDescent="0.35">
      <c r="A678" s="15" t="s">
        <v>257</v>
      </c>
      <c r="B678" s="15" t="s">
        <v>257</v>
      </c>
      <c r="C678" s="15"/>
      <c r="D678" s="15"/>
      <c r="E678" s="16"/>
      <c r="F678" s="15" t="s">
        <v>257</v>
      </c>
      <c r="G678" s="32"/>
      <c r="H678" s="27"/>
      <c r="I678" s="27"/>
      <c r="J678" s="27"/>
      <c r="K678" s="23" t="str">
        <f ca="1">IFERROR(__xludf.DUMMYFUNCTION("""COMPUTED_VALUE"""),"")</f>
        <v/>
      </c>
      <c r="L678" s="22"/>
      <c r="M678" s="23"/>
      <c r="N678" s="23"/>
      <c r="O678" s="23"/>
      <c r="P678" s="23"/>
      <c r="Q678" s="24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2"/>
      <c r="AD678" s="23"/>
      <c r="AE678" s="23"/>
      <c r="AF678" s="22"/>
      <c r="AG678" s="22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</row>
    <row r="679" spans="1:45" ht="27.75" customHeight="1" x14ac:dyDescent="0.35">
      <c r="A679" s="15" t="s">
        <v>257</v>
      </c>
      <c r="B679" s="15" t="s">
        <v>257</v>
      </c>
      <c r="C679" s="15"/>
      <c r="D679" s="15"/>
      <c r="E679" s="16"/>
      <c r="F679" s="15" t="s">
        <v>257</v>
      </c>
      <c r="G679" s="32"/>
      <c r="H679" s="27"/>
      <c r="I679" s="27"/>
      <c r="J679" s="27"/>
      <c r="K679" s="23" t="str">
        <f ca="1">IFERROR(__xludf.DUMMYFUNCTION("""COMPUTED_VALUE"""),"")</f>
        <v/>
      </c>
      <c r="L679" s="22"/>
      <c r="M679" s="23"/>
      <c r="N679" s="23"/>
      <c r="O679" s="23"/>
      <c r="P679" s="23"/>
      <c r="Q679" s="24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2"/>
      <c r="AD679" s="23"/>
      <c r="AE679" s="23"/>
      <c r="AF679" s="22"/>
      <c r="AG679" s="22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</row>
    <row r="680" spans="1:45" ht="27.75" customHeight="1" x14ac:dyDescent="0.35">
      <c r="A680" s="15" t="s">
        <v>257</v>
      </c>
      <c r="B680" s="15" t="s">
        <v>257</v>
      </c>
      <c r="C680" s="15"/>
      <c r="D680" s="15"/>
      <c r="E680" s="16"/>
      <c r="F680" s="15" t="s">
        <v>257</v>
      </c>
      <c r="G680" s="32"/>
      <c r="H680" s="27"/>
      <c r="I680" s="27"/>
      <c r="J680" s="27"/>
      <c r="K680" s="23" t="str">
        <f ca="1">IFERROR(__xludf.DUMMYFUNCTION("""COMPUTED_VALUE"""),"")</f>
        <v/>
      </c>
      <c r="L680" s="22"/>
      <c r="M680" s="23"/>
      <c r="N680" s="23"/>
      <c r="O680" s="23"/>
      <c r="P680" s="23"/>
      <c r="Q680" s="24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2"/>
      <c r="AD680" s="23"/>
      <c r="AE680" s="23"/>
      <c r="AF680" s="22"/>
      <c r="AG680" s="22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</row>
    <row r="681" spans="1:45" ht="27.75" customHeight="1" x14ac:dyDescent="0.35">
      <c r="A681" s="15" t="s">
        <v>257</v>
      </c>
      <c r="B681" s="15" t="s">
        <v>257</v>
      </c>
      <c r="C681" s="15"/>
      <c r="D681" s="15"/>
      <c r="E681" s="16"/>
      <c r="F681" s="15" t="s">
        <v>257</v>
      </c>
      <c r="G681" s="32"/>
      <c r="H681" s="27"/>
      <c r="I681" s="27"/>
      <c r="J681" s="27"/>
      <c r="K681" s="23" t="str">
        <f ca="1">IFERROR(__xludf.DUMMYFUNCTION("""COMPUTED_VALUE"""),"")</f>
        <v/>
      </c>
      <c r="L681" s="22"/>
      <c r="M681" s="23"/>
      <c r="N681" s="23"/>
      <c r="O681" s="23"/>
      <c r="P681" s="23"/>
      <c r="Q681" s="24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2"/>
      <c r="AD681" s="23"/>
      <c r="AE681" s="23"/>
      <c r="AF681" s="22"/>
      <c r="AG681" s="22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</row>
    <row r="682" spans="1:45" ht="27.75" customHeight="1" x14ac:dyDescent="0.35">
      <c r="A682" s="15" t="s">
        <v>257</v>
      </c>
      <c r="B682" s="15" t="s">
        <v>257</v>
      </c>
      <c r="C682" s="15"/>
      <c r="D682" s="15"/>
      <c r="E682" s="16"/>
      <c r="F682" s="15" t="s">
        <v>257</v>
      </c>
      <c r="G682" s="32"/>
      <c r="H682" s="27"/>
      <c r="I682" s="27"/>
      <c r="J682" s="27"/>
      <c r="K682" s="23" t="str">
        <f ca="1">IFERROR(__xludf.DUMMYFUNCTION("""COMPUTED_VALUE"""),"")</f>
        <v/>
      </c>
      <c r="L682" s="22"/>
      <c r="M682" s="23"/>
      <c r="N682" s="23"/>
      <c r="O682" s="23"/>
      <c r="P682" s="23"/>
      <c r="Q682" s="24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2"/>
      <c r="AD682" s="23"/>
      <c r="AE682" s="23"/>
      <c r="AF682" s="22"/>
      <c r="AG682" s="22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</row>
    <row r="683" spans="1:45" ht="27.75" customHeight="1" x14ac:dyDescent="0.35">
      <c r="A683" s="15" t="s">
        <v>257</v>
      </c>
      <c r="B683" s="15" t="s">
        <v>257</v>
      </c>
      <c r="C683" s="15"/>
      <c r="D683" s="15"/>
      <c r="E683" s="16"/>
      <c r="F683" s="15" t="s">
        <v>257</v>
      </c>
      <c r="G683" s="32"/>
      <c r="H683" s="27"/>
      <c r="I683" s="27"/>
      <c r="J683" s="27"/>
      <c r="K683" s="23" t="str">
        <f ca="1">IFERROR(__xludf.DUMMYFUNCTION("""COMPUTED_VALUE"""),"")</f>
        <v/>
      </c>
      <c r="L683" s="22"/>
      <c r="M683" s="23"/>
      <c r="N683" s="23"/>
      <c r="O683" s="23"/>
      <c r="P683" s="23"/>
      <c r="Q683" s="24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2"/>
      <c r="AD683" s="23"/>
      <c r="AE683" s="23"/>
      <c r="AF683" s="22"/>
      <c r="AG683" s="22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</row>
    <row r="684" spans="1:45" ht="27.75" customHeight="1" x14ac:dyDescent="0.35">
      <c r="A684" s="15" t="s">
        <v>257</v>
      </c>
      <c r="B684" s="15" t="s">
        <v>257</v>
      </c>
      <c r="C684" s="15"/>
      <c r="D684" s="15"/>
      <c r="E684" s="16"/>
      <c r="F684" s="15" t="s">
        <v>257</v>
      </c>
      <c r="G684" s="32"/>
      <c r="H684" s="27"/>
      <c r="I684" s="27"/>
      <c r="J684" s="27"/>
      <c r="K684" s="23" t="str">
        <f ca="1">IFERROR(__xludf.DUMMYFUNCTION("""COMPUTED_VALUE"""),"")</f>
        <v/>
      </c>
      <c r="L684" s="22"/>
      <c r="M684" s="23"/>
      <c r="N684" s="23"/>
      <c r="O684" s="23"/>
      <c r="P684" s="23"/>
      <c r="Q684" s="24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2"/>
      <c r="AD684" s="23"/>
      <c r="AE684" s="23"/>
      <c r="AF684" s="22"/>
      <c r="AG684" s="22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</row>
    <row r="685" spans="1:45" ht="27.75" customHeight="1" x14ac:dyDescent="0.35">
      <c r="A685" s="15" t="s">
        <v>257</v>
      </c>
      <c r="B685" s="15" t="s">
        <v>257</v>
      </c>
      <c r="C685" s="15"/>
      <c r="D685" s="15"/>
      <c r="E685" s="16"/>
      <c r="F685" s="15" t="s">
        <v>257</v>
      </c>
      <c r="G685" s="32"/>
      <c r="H685" s="27"/>
      <c r="I685" s="27"/>
      <c r="J685" s="27"/>
      <c r="K685" s="23" t="str">
        <f ca="1">IFERROR(__xludf.DUMMYFUNCTION("""COMPUTED_VALUE"""),"")</f>
        <v/>
      </c>
      <c r="L685" s="22"/>
      <c r="M685" s="23"/>
      <c r="N685" s="23"/>
      <c r="O685" s="23"/>
      <c r="P685" s="23"/>
      <c r="Q685" s="24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2"/>
      <c r="AD685" s="23"/>
      <c r="AE685" s="23"/>
      <c r="AF685" s="22"/>
      <c r="AG685" s="22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</row>
    <row r="686" spans="1:45" ht="27.75" customHeight="1" x14ac:dyDescent="0.35">
      <c r="A686" s="15" t="s">
        <v>257</v>
      </c>
      <c r="B686" s="15" t="s">
        <v>257</v>
      </c>
      <c r="C686" s="15"/>
      <c r="D686" s="15"/>
      <c r="E686" s="16"/>
      <c r="F686" s="15" t="s">
        <v>257</v>
      </c>
      <c r="G686" s="32"/>
      <c r="H686" s="27"/>
      <c r="I686" s="27"/>
      <c r="J686" s="27"/>
      <c r="K686" s="23" t="str">
        <f ca="1">IFERROR(__xludf.DUMMYFUNCTION("""COMPUTED_VALUE"""),"")</f>
        <v/>
      </c>
      <c r="L686" s="22"/>
      <c r="M686" s="23"/>
      <c r="N686" s="23"/>
      <c r="O686" s="23"/>
      <c r="P686" s="23"/>
      <c r="Q686" s="24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2"/>
      <c r="AD686" s="23"/>
      <c r="AE686" s="23"/>
      <c r="AF686" s="22"/>
      <c r="AG686" s="22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</row>
    <row r="687" spans="1:45" ht="27.75" customHeight="1" x14ac:dyDescent="0.35">
      <c r="A687" s="15" t="s">
        <v>257</v>
      </c>
      <c r="B687" s="15" t="s">
        <v>257</v>
      </c>
      <c r="C687" s="15"/>
      <c r="D687" s="15"/>
      <c r="E687" s="16"/>
      <c r="F687" s="15" t="s">
        <v>257</v>
      </c>
      <c r="G687" s="32"/>
      <c r="H687" s="27"/>
      <c r="I687" s="27"/>
      <c r="J687" s="27"/>
      <c r="K687" s="23" t="str">
        <f ca="1">IFERROR(__xludf.DUMMYFUNCTION("""COMPUTED_VALUE"""),"")</f>
        <v/>
      </c>
      <c r="L687" s="22"/>
      <c r="M687" s="23"/>
      <c r="N687" s="23"/>
      <c r="O687" s="23"/>
      <c r="P687" s="23"/>
      <c r="Q687" s="24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2"/>
      <c r="AD687" s="23"/>
      <c r="AE687" s="23"/>
      <c r="AF687" s="22"/>
      <c r="AG687" s="22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</row>
    <row r="688" spans="1:45" ht="27.75" customHeight="1" x14ac:dyDescent="0.35">
      <c r="A688" s="15" t="s">
        <v>257</v>
      </c>
      <c r="B688" s="15" t="s">
        <v>257</v>
      </c>
      <c r="C688" s="15"/>
      <c r="D688" s="15"/>
      <c r="E688" s="16"/>
      <c r="F688" s="15" t="s">
        <v>257</v>
      </c>
      <c r="G688" s="32"/>
      <c r="H688" s="27"/>
      <c r="I688" s="27"/>
      <c r="J688" s="27"/>
      <c r="K688" s="23" t="str">
        <f ca="1">IFERROR(__xludf.DUMMYFUNCTION("""COMPUTED_VALUE"""),"")</f>
        <v/>
      </c>
      <c r="L688" s="22"/>
      <c r="M688" s="23"/>
      <c r="N688" s="23"/>
      <c r="O688" s="23"/>
      <c r="P688" s="23"/>
      <c r="Q688" s="24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2"/>
      <c r="AD688" s="23"/>
      <c r="AE688" s="23"/>
      <c r="AF688" s="22"/>
      <c r="AG688" s="22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</row>
    <row r="689" spans="1:45" ht="27.75" customHeight="1" x14ac:dyDescent="0.35">
      <c r="A689" s="15" t="s">
        <v>257</v>
      </c>
      <c r="B689" s="15" t="s">
        <v>257</v>
      </c>
      <c r="C689" s="15"/>
      <c r="D689" s="15"/>
      <c r="E689" s="16"/>
      <c r="F689" s="15" t="s">
        <v>257</v>
      </c>
      <c r="G689" s="32"/>
      <c r="H689" s="27"/>
      <c r="I689" s="27"/>
      <c r="J689" s="27"/>
      <c r="K689" s="23" t="str">
        <f ca="1">IFERROR(__xludf.DUMMYFUNCTION("""COMPUTED_VALUE"""),"")</f>
        <v/>
      </c>
      <c r="L689" s="22"/>
      <c r="M689" s="23"/>
      <c r="N689" s="23"/>
      <c r="O689" s="23"/>
      <c r="P689" s="23"/>
      <c r="Q689" s="24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2"/>
      <c r="AD689" s="23"/>
      <c r="AE689" s="23"/>
      <c r="AF689" s="22"/>
      <c r="AG689" s="22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</row>
    <row r="690" spans="1:45" ht="27.75" customHeight="1" x14ac:dyDescent="0.35">
      <c r="A690" s="15" t="s">
        <v>257</v>
      </c>
      <c r="B690" s="15" t="s">
        <v>257</v>
      </c>
      <c r="C690" s="15"/>
      <c r="D690" s="15"/>
      <c r="E690" s="16"/>
      <c r="F690" s="15" t="s">
        <v>257</v>
      </c>
      <c r="G690" s="32"/>
      <c r="H690" s="27"/>
      <c r="I690" s="27"/>
      <c r="J690" s="27"/>
      <c r="K690" s="23" t="str">
        <f ca="1">IFERROR(__xludf.DUMMYFUNCTION("""COMPUTED_VALUE"""),"")</f>
        <v/>
      </c>
      <c r="L690" s="22"/>
      <c r="M690" s="23"/>
      <c r="N690" s="23"/>
      <c r="O690" s="23"/>
      <c r="P690" s="23"/>
      <c r="Q690" s="24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2"/>
      <c r="AD690" s="23"/>
      <c r="AE690" s="23"/>
      <c r="AF690" s="22"/>
      <c r="AG690" s="22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</row>
    <row r="691" spans="1:45" ht="27.75" customHeight="1" x14ac:dyDescent="0.35">
      <c r="A691" s="15" t="s">
        <v>257</v>
      </c>
      <c r="B691" s="15" t="s">
        <v>257</v>
      </c>
      <c r="C691" s="15"/>
      <c r="D691" s="15"/>
      <c r="E691" s="16"/>
      <c r="F691" s="15" t="s">
        <v>257</v>
      </c>
      <c r="G691" s="32"/>
      <c r="H691" s="27"/>
      <c r="I691" s="27"/>
      <c r="J691" s="27"/>
      <c r="K691" s="23" t="str">
        <f ca="1">IFERROR(__xludf.DUMMYFUNCTION("""COMPUTED_VALUE"""),"")</f>
        <v/>
      </c>
      <c r="L691" s="22"/>
      <c r="M691" s="23"/>
      <c r="N691" s="23"/>
      <c r="O691" s="23"/>
      <c r="P691" s="23"/>
      <c r="Q691" s="24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2"/>
      <c r="AD691" s="23"/>
      <c r="AE691" s="23"/>
      <c r="AF691" s="22"/>
      <c r="AG691" s="22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</row>
    <row r="692" spans="1:45" ht="27.75" customHeight="1" x14ac:dyDescent="0.35">
      <c r="A692" s="15" t="s">
        <v>257</v>
      </c>
      <c r="B692" s="15" t="s">
        <v>257</v>
      </c>
      <c r="C692" s="15"/>
      <c r="D692" s="15"/>
      <c r="E692" s="16"/>
      <c r="F692" s="15" t="s">
        <v>257</v>
      </c>
      <c r="G692" s="32"/>
      <c r="H692" s="27"/>
      <c r="I692" s="27"/>
      <c r="J692" s="27"/>
      <c r="K692" s="23" t="str">
        <f ca="1">IFERROR(__xludf.DUMMYFUNCTION("""COMPUTED_VALUE"""),"")</f>
        <v/>
      </c>
      <c r="L692" s="22"/>
      <c r="M692" s="23"/>
      <c r="N692" s="23"/>
      <c r="O692" s="23"/>
      <c r="P692" s="23"/>
      <c r="Q692" s="24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2"/>
      <c r="AD692" s="23"/>
      <c r="AE692" s="23"/>
      <c r="AF692" s="22"/>
      <c r="AG692" s="22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</row>
    <row r="693" spans="1:45" ht="27.75" customHeight="1" x14ac:dyDescent="0.35">
      <c r="A693" s="15" t="s">
        <v>257</v>
      </c>
      <c r="B693" s="15" t="s">
        <v>257</v>
      </c>
      <c r="C693" s="15"/>
      <c r="D693" s="15"/>
      <c r="E693" s="16"/>
      <c r="F693" s="15" t="s">
        <v>257</v>
      </c>
      <c r="G693" s="32"/>
      <c r="H693" s="27"/>
      <c r="I693" s="27"/>
      <c r="J693" s="27"/>
      <c r="K693" s="23" t="str">
        <f ca="1">IFERROR(__xludf.DUMMYFUNCTION("""COMPUTED_VALUE"""),"")</f>
        <v/>
      </c>
      <c r="L693" s="22"/>
      <c r="M693" s="23"/>
      <c r="N693" s="23"/>
      <c r="O693" s="23"/>
      <c r="P693" s="23"/>
      <c r="Q693" s="24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2"/>
      <c r="AD693" s="23"/>
      <c r="AE693" s="23"/>
      <c r="AF693" s="22"/>
      <c r="AG693" s="22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</row>
    <row r="694" spans="1:45" ht="27.75" customHeight="1" x14ac:dyDescent="0.35">
      <c r="A694" s="15" t="s">
        <v>257</v>
      </c>
      <c r="B694" s="15" t="s">
        <v>257</v>
      </c>
      <c r="C694" s="15"/>
      <c r="D694" s="15"/>
      <c r="E694" s="16"/>
      <c r="F694" s="15" t="s">
        <v>257</v>
      </c>
      <c r="G694" s="32"/>
      <c r="H694" s="27"/>
      <c r="I694" s="27"/>
      <c r="J694" s="27"/>
      <c r="K694" s="23" t="str">
        <f ca="1">IFERROR(__xludf.DUMMYFUNCTION("""COMPUTED_VALUE"""),"")</f>
        <v/>
      </c>
      <c r="L694" s="22"/>
      <c r="M694" s="23"/>
      <c r="N694" s="23"/>
      <c r="O694" s="23"/>
      <c r="P694" s="23"/>
      <c r="Q694" s="24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2"/>
      <c r="AD694" s="23"/>
      <c r="AE694" s="23"/>
      <c r="AF694" s="22"/>
      <c r="AG694" s="22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</row>
    <row r="695" spans="1:45" ht="27.75" customHeight="1" x14ac:dyDescent="0.35">
      <c r="A695" s="15" t="s">
        <v>257</v>
      </c>
      <c r="B695" s="15" t="s">
        <v>257</v>
      </c>
      <c r="C695" s="15"/>
      <c r="D695" s="15"/>
      <c r="E695" s="16"/>
      <c r="F695" s="15" t="s">
        <v>257</v>
      </c>
      <c r="G695" s="32"/>
      <c r="H695" s="27"/>
      <c r="I695" s="27"/>
      <c r="J695" s="27"/>
      <c r="K695" s="23" t="str">
        <f ca="1">IFERROR(__xludf.DUMMYFUNCTION("""COMPUTED_VALUE"""),"")</f>
        <v/>
      </c>
      <c r="L695" s="22"/>
      <c r="M695" s="23"/>
      <c r="N695" s="23"/>
      <c r="O695" s="23"/>
      <c r="P695" s="23"/>
      <c r="Q695" s="24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2"/>
      <c r="AD695" s="23"/>
      <c r="AE695" s="23"/>
      <c r="AF695" s="22"/>
      <c r="AG695" s="22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</row>
    <row r="696" spans="1:45" ht="27.75" customHeight="1" x14ac:dyDescent="0.35">
      <c r="A696" s="15" t="s">
        <v>257</v>
      </c>
      <c r="B696" s="15" t="s">
        <v>257</v>
      </c>
      <c r="C696" s="15"/>
      <c r="D696" s="15"/>
      <c r="E696" s="16"/>
      <c r="F696" s="15" t="s">
        <v>257</v>
      </c>
      <c r="G696" s="32"/>
      <c r="H696" s="27"/>
      <c r="I696" s="27"/>
      <c r="J696" s="27"/>
      <c r="K696" s="23" t="str">
        <f ca="1">IFERROR(__xludf.DUMMYFUNCTION("""COMPUTED_VALUE"""),"")</f>
        <v/>
      </c>
      <c r="L696" s="22"/>
      <c r="M696" s="23"/>
      <c r="N696" s="23"/>
      <c r="O696" s="23"/>
      <c r="P696" s="23"/>
      <c r="Q696" s="24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2"/>
      <c r="AD696" s="23"/>
      <c r="AE696" s="23"/>
      <c r="AF696" s="22"/>
      <c r="AG696" s="22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</row>
    <row r="697" spans="1:45" ht="27.75" customHeight="1" x14ac:dyDescent="0.35">
      <c r="A697" s="15" t="s">
        <v>257</v>
      </c>
      <c r="B697" s="15" t="s">
        <v>257</v>
      </c>
      <c r="C697" s="15"/>
      <c r="D697" s="15"/>
      <c r="E697" s="16"/>
      <c r="F697" s="15" t="s">
        <v>257</v>
      </c>
      <c r="G697" s="32"/>
      <c r="H697" s="27"/>
      <c r="I697" s="27"/>
      <c r="J697" s="27"/>
      <c r="K697" s="23" t="str">
        <f ca="1">IFERROR(__xludf.DUMMYFUNCTION("""COMPUTED_VALUE"""),"")</f>
        <v/>
      </c>
      <c r="L697" s="22"/>
      <c r="M697" s="23"/>
      <c r="N697" s="23"/>
      <c r="O697" s="23"/>
      <c r="P697" s="23"/>
      <c r="Q697" s="24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2"/>
      <c r="AD697" s="23"/>
      <c r="AE697" s="23"/>
      <c r="AF697" s="22"/>
      <c r="AG697" s="22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</row>
    <row r="698" spans="1:45" ht="27.75" customHeight="1" x14ac:dyDescent="0.35">
      <c r="A698" s="15" t="s">
        <v>257</v>
      </c>
      <c r="B698" s="15" t="s">
        <v>257</v>
      </c>
      <c r="C698" s="15"/>
      <c r="D698" s="15"/>
      <c r="E698" s="16"/>
      <c r="F698" s="15" t="s">
        <v>257</v>
      </c>
      <c r="G698" s="32"/>
      <c r="H698" s="27"/>
      <c r="I698" s="27"/>
      <c r="J698" s="27"/>
      <c r="K698" s="23" t="str">
        <f ca="1">IFERROR(__xludf.DUMMYFUNCTION("""COMPUTED_VALUE"""),"")</f>
        <v/>
      </c>
      <c r="L698" s="22"/>
      <c r="M698" s="23"/>
      <c r="N698" s="23"/>
      <c r="O698" s="23"/>
      <c r="P698" s="23"/>
      <c r="Q698" s="24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2"/>
      <c r="AD698" s="23"/>
      <c r="AE698" s="23"/>
      <c r="AF698" s="22"/>
      <c r="AG698" s="22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</row>
    <row r="699" spans="1:45" ht="27.75" customHeight="1" x14ac:dyDescent="0.35">
      <c r="A699" s="15" t="s">
        <v>257</v>
      </c>
      <c r="B699" s="15" t="s">
        <v>257</v>
      </c>
      <c r="C699" s="15"/>
      <c r="D699" s="15"/>
      <c r="E699" s="16"/>
      <c r="F699" s="15" t="s">
        <v>257</v>
      </c>
      <c r="G699" s="32"/>
      <c r="H699" s="27"/>
      <c r="I699" s="27"/>
      <c r="J699" s="27"/>
      <c r="K699" s="23" t="str">
        <f ca="1">IFERROR(__xludf.DUMMYFUNCTION("""COMPUTED_VALUE"""),"")</f>
        <v/>
      </c>
      <c r="L699" s="22"/>
      <c r="M699" s="23"/>
      <c r="N699" s="23"/>
      <c r="O699" s="23"/>
      <c r="P699" s="23"/>
      <c r="Q699" s="24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2"/>
      <c r="AD699" s="23"/>
      <c r="AE699" s="23"/>
      <c r="AF699" s="22"/>
      <c r="AG699" s="22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</row>
    <row r="700" spans="1:45" ht="27.75" customHeight="1" x14ac:dyDescent="0.35">
      <c r="A700" s="15" t="s">
        <v>257</v>
      </c>
      <c r="B700" s="15" t="s">
        <v>257</v>
      </c>
      <c r="C700" s="15"/>
      <c r="D700" s="15"/>
      <c r="E700" s="16"/>
      <c r="F700" s="15" t="s">
        <v>257</v>
      </c>
      <c r="G700" s="32"/>
      <c r="H700" s="27"/>
      <c r="I700" s="27"/>
      <c r="J700" s="27"/>
      <c r="K700" s="23" t="str">
        <f ca="1">IFERROR(__xludf.DUMMYFUNCTION("""COMPUTED_VALUE"""),"")</f>
        <v/>
      </c>
      <c r="L700" s="22"/>
      <c r="M700" s="23"/>
      <c r="N700" s="23"/>
      <c r="O700" s="23"/>
      <c r="P700" s="23"/>
      <c r="Q700" s="24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2"/>
      <c r="AD700" s="23"/>
      <c r="AE700" s="23"/>
      <c r="AF700" s="22"/>
      <c r="AG700" s="22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</row>
    <row r="701" spans="1:45" ht="27.75" customHeight="1" x14ac:dyDescent="0.35">
      <c r="A701" s="15" t="s">
        <v>257</v>
      </c>
      <c r="B701" s="15" t="s">
        <v>257</v>
      </c>
      <c r="C701" s="15"/>
      <c r="D701" s="15"/>
      <c r="E701" s="16"/>
      <c r="F701" s="15" t="s">
        <v>257</v>
      </c>
      <c r="G701" s="32"/>
      <c r="H701" s="27"/>
      <c r="I701" s="27"/>
      <c r="J701" s="27"/>
      <c r="K701" s="23" t="str">
        <f ca="1">IFERROR(__xludf.DUMMYFUNCTION("""COMPUTED_VALUE"""),"")</f>
        <v/>
      </c>
      <c r="L701" s="22"/>
      <c r="M701" s="23"/>
      <c r="N701" s="23"/>
      <c r="O701" s="23"/>
      <c r="P701" s="23"/>
      <c r="Q701" s="24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2"/>
      <c r="AD701" s="23"/>
      <c r="AE701" s="23"/>
      <c r="AF701" s="22"/>
      <c r="AG701" s="22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</row>
    <row r="702" spans="1:45" ht="27.75" customHeight="1" x14ac:dyDescent="0.35">
      <c r="A702" s="15" t="s">
        <v>257</v>
      </c>
      <c r="B702" s="15" t="s">
        <v>257</v>
      </c>
      <c r="C702" s="15"/>
      <c r="D702" s="15"/>
      <c r="E702" s="16"/>
      <c r="F702" s="15" t="s">
        <v>257</v>
      </c>
      <c r="G702" s="32"/>
      <c r="H702" s="27"/>
      <c r="I702" s="27"/>
      <c r="J702" s="27"/>
      <c r="K702" s="23" t="str">
        <f ca="1">IFERROR(__xludf.DUMMYFUNCTION("""COMPUTED_VALUE"""),"")</f>
        <v/>
      </c>
      <c r="L702" s="22"/>
      <c r="M702" s="23"/>
      <c r="N702" s="23"/>
      <c r="O702" s="23"/>
      <c r="P702" s="23"/>
      <c r="Q702" s="24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2"/>
      <c r="AD702" s="23"/>
      <c r="AE702" s="23"/>
      <c r="AF702" s="22"/>
      <c r="AG702" s="22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</row>
    <row r="703" spans="1:45" ht="27.75" customHeight="1" x14ac:dyDescent="0.35">
      <c r="A703" s="15" t="s">
        <v>257</v>
      </c>
      <c r="B703" s="15" t="s">
        <v>257</v>
      </c>
      <c r="C703" s="15"/>
      <c r="D703" s="15"/>
      <c r="E703" s="16"/>
      <c r="F703" s="15" t="s">
        <v>257</v>
      </c>
      <c r="G703" s="32"/>
      <c r="H703" s="27"/>
      <c r="I703" s="27"/>
      <c r="J703" s="27"/>
      <c r="K703" s="23" t="str">
        <f ca="1">IFERROR(__xludf.DUMMYFUNCTION("""COMPUTED_VALUE"""),"")</f>
        <v/>
      </c>
      <c r="L703" s="22"/>
      <c r="M703" s="23"/>
      <c r="N703" s="23"/>
      <c r="O703" s="23"/>
      <c r="P703" s="23"/>
      <c r="Q703" s="24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2"/>
      <c r="AD703" s="23"/>
      <c r="AE703" s="23"/>
      <c r="AF703" s="22"/>
      <c r="AG703" s="22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</row>
    <row r="704" spans="1:45" ht="27.75" customHeight="1" x14ac:dyDescent="0.35">
      <c r="A704" s="15" t="s">
        <v>257</v>
      </c>
      <c r="B704" s="15" t="s">
        <v>257</v>
      </c>
      <c r="C704" s="15"/>
      <c r="D704" s="15"/>
      <c r="E704" s="16"/>
      <c r="F704" s="15" t="s">
        <v>257</v>
      </c>
      <c r="G704" s="32"/>
      <c r="H704" s="27"/>
      <c r="I704" s="27"/>
      <c r="J704" s="27"/>
      <c r="K704" s="23" t="str">
        <f ca="1">IFERROR(__xludf.DUMMYFUNCTION("""COMPUTED_VALUE"""),"")</f>
        <v/>
      </c>
      <c r="L704" s="22"/>
      <c r="M704" s="23"/>
      <c r="N704" s="23"/>
      <c r="O704" s="23"/>
      <c r="P704" s="23"/>
      <c r="Q704" s="24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2"/>
      <c r="AD704" s="23"/>
      <c r="AE704" s="23"/>
      <c r="AF704" s="22"/>
      <c r="AG704" s="22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</row>
    <row r="705" spans="1:45" ht="27.75" customHeight="1" x14ac:dyDescent="0.35">
      <c r="A705" s="15" t="s">
        <v>257</v>
      </c>
      <c r="B705" s="15" t="s">
        <v>257</v>
      </c>
      <c r="C705" s="15"/>
      <c r="D705" s="15"/>
      <c r="E705" s="16"/>
      <c r="F705" s="15" t="s">
        <v>257</v>
      </c>
      <c r="G705" s="32"/>
      <c r="H705" s="27"/>
      <c r="I705" s="27"/>
      <c r="J705" s="27"/>
      <c r="K705" s="23" t="str">
        <f ca="1">IFERROR(__xludf.DUMMYFUNCTION("""COMPUTED_VALUE"""),"")</f>
        <v/>
      </c>
      <c r="L705" s="22"/>
      <c r="M705" s="23"/>
      <c r="N705" s="23"/>
      <c r="O705" s="23"/>
      <c r="P705" s="23"/>
      <c r="Q705" s="24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2"/>
      <c r="AD705" s="23"/>
      <c r="AE705" s="23"/>
      <c r="AF705" s="22"/>
      <c r="AG705" s="22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</row>
    <row r="706" spans="1:45" ht="27.75" customHeight="1" x14ac:dyDescent="0.35">
      <c r="A706" s="15" t="s">
        <v>257</v>
      </c>
      <c r="B706" s="15" t="s">
        <v>257</v>
      </c>
      <c r="C706" s="15"/>
      <c r="D706" s="15"/>
      <c r="E706" s="16"/>
      <c r="F706" s="15" t="s">
        <v>257</v>
      </c>
      <c r="G706" s="32"/>
      <c r="H706" s="27"/>
      <c r="I706" s="27"/>
      <c r="J706" s="27"/>
      <c r="K706" s="23" t="str">
        <f ca="1">IFERROR(__xludf.DUMMYFUNCTION("""COMPUTED_VALUE"""),"")</f>
        <v/>
      </c>
      <c r="L706" s="22"/>
      <c r="M706" s="23"/>
      <c r="N706" s="23"/>
      <c r="O706" s="23"/>
      <c r="P706" s="23"/>
      <c r="Q706" s="24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2"/>
      <c r="AD706" s="23"/>
      <c r="AE706" s="23"/>
      <c r="AF706" s="22"/>
      <c r="AG706" s="22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</row>
    <row r="707" spans="1:45" ht="27.75" customHeight="1" x14ac:dyDescent="0.35">
      <c r="A707" s="15" t="s">
        <v>257</v>
      </c>
      <c r="B707" s="15" t="s">
        <v>257</v>
      </c>
      <c r="C707" s="15"/>
      <c r="D707" s="15"/>
      <c r="E707" s="16"/>
      <c r="F707" s="15" t="s">
        <v>257</v>
      </c>
      <c r="G707" s="32"/>
      <c r="H707" s="27"/>
      <c r="I707" s="27"/>
      <c r="J707" s="27"/>
      <c r="K707" s="23" t="str">
        <f ca="1">IFERROR(__xludf.DUMMYFUNCTION("""COMPUTED_VALUE"""),"")</f>
        <v/>
      </c>
      <c r="L707" s="22"/>
      <c r="M707" s="23"/>
      <c r="N707" s="23"/>
      <c r="O707" s="23"/>
      <c r="P707" s="23"/>
      <c r="Q707" s="24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2"/>
      <c r="AD707" s="23"/>
      <c r="AE707" s="23"/>
      <c r="AF707" s="22"/>
      <c r="AG707" s="22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</row>
    <row r="708" spans="1:45" ht="27.75" customHeight="1" x14ac:dyDescent="0.35">
      <c r="A708" s="15" t="s">
        <v>257</v>
      </c>
      <c r="B708" s="15" t="s">
        <v>257</v>
      </c>
      <c r="C708" s="15"/>
      <c r="D708" s="15"/>
      <c r="E708" s="16"/>
      <c r="F708" s="15" t="s">
        <v>257</v>
      </c>
      <c r="G708" s="32"/>
      <c r="H708" s="27"/>
      <c r="I708" s="27"/>
      <c r="J708" s="27"/>
      <c r="K708" s="23" t="str">
        <f ca="1">IFERROR(__xludf.DUMMYFUNCTION("""COMPUTED_VALUE"""),"")</f>
        <v/>
      </c>
      <c r="L708" s="22"/>
      <c r="M708" s="23"/>
      <c r="N708" s="23"/>
      <c r="O708" s="23"/>
      <c r="P708" s="23"/>
      <c r="Q708" s="24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2"/>
      <c r="AD708" s="23"/>
      <c r="AE708" s="23"/>
      <c r="AF708" s="22"/>
      <c r="AG708" s="22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</row>
    <row r="709" spans="1:45" ht="27.75" customHeight="1" x14ac:dyDescent="0.35">
      <c r="A709" s="15" t="s">
        <v>257</v>
      </c>
      <c r="B709" s="15" t="s">
        <v>257</v>
      </c>
      <c r="C709" s="15"/>
      <c r="D709" s="15"/>
      <c r="E709" s="16"/>
      <c r="F709" s="15" t="s">
        <v>257</v>
      </c>
      <c r="G709" s="32"/>
      <c r="H709" s="27"/>
      <c r="I709" s="27"/>
      <c r="J709" s="27"/>
      <c r="K709" s="23" t="str">
        <f ca="1">IFERROR(__xludf.DUMMYFUNCTION("""COMPUTED_VALUE"""),"")</f>
        <v/>
      </c>
      <c r="L709" s="22"/>
      <c r="M709" s="23"/>
      <c r="N709" s="23"/>
      <c r="O709" s="23"/>
      <c r="P709" s="23"/>
      <c r="Q709" s="24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2"/>
      <c r="AD709" s="23"/>
      <c r="AE709" s="23"/>
      <c r="AF709" s="22"/>
      <c r="AG709" s="22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</row>
    <row r="710" spans="1:45" ht="27.75" customHeight="1" x14ac:dyDescent="0.35">
      <c r="A710" s="15" t="s">
        <v>257</v>
      </c>
      <c r="B710" s="15" t="s">
        <v>257</v>
      </c>
      <c r="C710" s="15"/>
      <c r="D710" s="15"/>
      <c r="E710" s="16"/>
      <c r="F710" s="15" t="s">
        <v>257</v>
      </c>
      <c r="G710" s="32"/>
      <c r="H710" s="27"/>
      <c r="I710" s="27"/>
      <c r="J710" s="27"/>
      <c r="K710" s="23" t="str">
        <f ca="1">IFERROR(__xludf.DUMMYFUNCTION("""COMPUTED_VALUE"""),"")</f>
        <v/>
      </c>
      <c r="L710" s="22"/>
      <c r="M710" s="23"/>
      <c r="N710" s="23"/>
      <c r="O710" s="23"/>
      <c r="P710" s="23"/>
      <c r="Q710" s="24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2"/>
      <c r="AD710" s="23"/>
      <c r="AE710" s="23"/>
      <c r="AF710" s="22"/>
      <c r="AG710" s="22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</row>
    <row r="711" spans="1:45" ht="27.75" customHeight="1" x14ac:dyDescent="0.35">
      <c r="A711" s="15" t="s">
        <v>257</v>
      </c>
      <c r="B711" s="15" t="s">
        <v>257</v>
      </c>
      <c r="C711" s="15"/>
      <c r="D711" s="15"/>
      <c r="E711" s="16"/>
      <c r="F711" s="15" t="s">
        <v>257</v>
      </c>
      <c r="G711" s="32"/>
      <c r="H711" s="27"/>
      <c r="I711" s="27"/>
      <c r="J711" s="27"/>
      <c r="K711" s="23" t="str">
        <f ca="1">IFERROR(__xludf.DUMMYFUNCTION("""COMPUTED_VALUE"""),"")</f>
        <v/>
      </c>
      <c r="L711" s="22"/>
      <c r="M711" s="23"/>
      <c r="N711" s="23"/>
      <c r="O711" s="23"/>
      <c r="P711" s="23"/>
      <c r="Q711" s="24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2"/>
      <c r="AD711" s="23"/>
      <c r="AE711" s="23"/>
      <c r="AF711" s="22"/>
      <c r="AG711" s="22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</row>
    <row r="712" spans="1:45" ht="27.75" customHeight="1" x14ac:dyDescent="0.35">
      <c r="A712" s="15" t="s">
        <v>257</v>
      </c>
      <c r="B712" s="15" t="s">
        <v>257</v>
      </c>
      <c r="C712" s="15"/>
      <c r="D712" s="15"/>
      <c r="E712" s="16"/>
      <c r="F712" s="15" t="s">
        <v>257</v>
      </c>
      <c r="G712" s="32"/>
      <c r="H712" s="27"/>
      <c r="I712" s="27"/>
      <c r="J712" s="27"/>
      <c r="K712" s="23" t="str">
        <f ca="1">IFERROR(__xludf.DUMMYFUNCTION("""COMPUTED_VALUE"""),"")</f>
        <v/>
      </c>
      <c r="L712" s="22"/>
      <c r="M712" s="23"/>
      <c r="N712" s="23"/>
      <c r="O712" s="23"/>
      <c r="P712" s="23"/>
      <c r="Q712" s="24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2"/>
      <c r="AD712" s="23"/>
      <c r="AE712" s="23"/>
      <c r="AF712" s="22"/>
      <c r="AG712" s="22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</row>
    <row r="713" spans="1:45" ht="27.75" customHeight="1" x14ac:dyDescent="0.35">
      <c r="A713" s="15" t="s">
        <v>257</v>
      </c>
      <c r="B713" s="15" t="s">
        <v>257</v>
      </c>
      <c r="C713" s="15"/>
      <c r="D713" s="15"/>
      <c r="E713" s="16"/>
      <c r="F713" s="15" t="s">
        <v>257</v>
      </c>
      <c r="G713" s="32"/>
      <c r="H713" s="27"/>
      <c r="I713" s="27"/>
      <c r="J713" s="27"/>
      <c r="K713" s="23" t="str">
        <f ca="1">IFERROR(__xludf.DUMMYFUNCTION("""COMPUTED_VALUE"""),"")</f>
        <v/>
      </c>
      <c r="L713" s="22"/>
      <c r="M713" s="23"/>
      <c r="N713" s="23"/>
      <c r="O713" s="23"/>
      <c r="P713" s="23"/>
      <c r="Q713" s="24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2"/>
      <c r="AD713" s="23"/>
      <c r="AE713" s="23"/>
      <c r="AF713" s="22"/>
      <c r="AG713" s="22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</row>
    <row r="714" spans="1:45" ht="27.75" customHeight="1" x14ac:dyDescent="0.35">
      <c r="A714" s="15" t="s">
        <v>257</v>
      </c>
      <c r="B714" s="15" t="s">
        <v>257</v>
      </c>
      <c r="C714" s="15"/>
      <c r="D714" s="15"/>
      <c r="E714" s="16"/>
      <c r="F714" s="15" t="s">
        <v>257</v>
      </c>
      <c r="G714" s="32"/>
      <c r="H714" s="27"/>
      <c r="I714" s="27"/>
      <c r="J714" s="27"/>
      <c r="K714" s="23" t="str">
        <f ca="1">IFERROR(__xludf.DUMMYFUNCTION("""COMPUTED_VALUE"""),"")</f>
        <v/>
      </c>
      <c r="L714" s="22"/>
      <c r="M714" s="23"/>
      <c r="N714" s="23"/>
      <c r="O714" s="23"/>
      <c r="P714" s="23"/>
      <c r="Q714" s="24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2"/>
      <c r="AD714" s="23"/>
      <c r="AE714" s="23"/>
      <c r="AF714" s="22"/>
      <c r="AG714" s="22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</row>
    <row r="715" spans="1:45" ht="27.75" customHeight="1" x14ac:dyDescent="0.35">
      <c r="A715" s="15" t="s">
        <v>257</v>
      </c>
      <c r="B715" s="15" t="s">
        <v>257</v>
      </c>
      <c r="C715" s="15"/>
      <c r="D715" s="15"/>
      <c r="E715" s="16"/>
      <c r="F715" s="15" t="s">
        <v>257</v>
      </c>
      <c r="G715" s="32"/>
      <c r="H715" s="27"/>
      <c r="I715" s="27"/>
      <c r="J715" s="27"/>
      <c r="K715" s="23" t="str">
        <f ca="1">IFERROR(__xludf.DUMMYFUNCTION("""COMPUTED_VALUE"""),"")</f>
        <v/>
      </c>
      <c r="L715" s="22"/>
      <c r="M715" s="23"/>
      <c r="N715" s="23"/>
      <c r="O715" s="23"/>
      <c r="P715" s="23"/>
      <c r="Q715" s="24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2"/>
      <c r="AD715" s="23"/>
      <c r="AE715" s="23"/>
      <c r="AF715" s="22"/>
      <c r="AG715" s="22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</row>
    <row r="716" spans="1:45" ht="27.75" customHeight="1" x14ac:dyDescent="0.35">
      <c r="A716" s="15" t="s">
        <v>257</v>
      </c>
      <c r="B716" s="15" t="s">
        <v>257</v>
      </c>
      <c r="C716" s="15"/>
      <c r="D716" s="15"/>
      <c r="E716" s="16"/>
      <c r="F716" s="15" t="s">
        <v>257</v>
      </c>
      <c r="G716" s="32"/>
      <c r="H716" s="27"/>
      <c r="I716" s="27"/>
      <c r="J716" s="27"/>
      <c r="K716" s="23" t="str">
        <f ca="1">IFERROR(__xludf.DUMMYFUNCTION("""COMPUTED_VALUE"""),"")</f>
        <v/>
      </c>
      <c r="L716" s="22"/>
      <c r="M716" s="23"/>
      <c r="N716" s="23"/>
      <c r="O716" s="23"/>
      <c r="P716" s="23"/>
      <c r="Q716" s="24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2"/>
      <c r="AD716" s="23"/>
      <c r="AE716" s="23"/>
      <c r="AF716" s="22"/>
      <c r="AG716" s="22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</row>
    <row r="717" spans="1:45" ht="27.75" customHeight="1" x14ac:dyDescent="0.35">
      <c r="A717" s="15" t="s">
        <v>257</v>
      </c>
      <c r="B717" s="15" t="s">
        <v>257</v>
      </c>
      <c r="C717" s="15"/>
      <c r="D717" s="15"/>
      <c r="E717" s="16"/>
      <c r="F717" s="15" t="s">
        <v>257</v>
      </c>
      <c r="G717" s="32"/>
      <c r="H717" s="27"/>
      <c r="I717" s="27"/>
      <c r="J717" s="27"/>
      <c r="K717" s="23" t="str">
        <f ca="1">IFERROR(__xludf.DUMMYFUNCTION("""COMPUTED_VALUE"""),"")</f>
        <v/>
      </c>
      <c r="L717" s="22"/>
      <c r="M717" s="23"/>
      <c r="N717" s="23"/>
      <c r="O717" s="23"/>
      <c r="P717" s="23"/>
      <c r="Q717" s="24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2"/>
      <c r="AD717" s="23"/>
      <c r="AE717" s="23"/>
      <c r="AF717" s="22"/>
      <c r="AG717" s="22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</row>
    <row r="718" spans="1:45" ht="27.75" customHeight="1" x14ac:dyDescent="0.35">
      <c r="A718" s="15" t="s">
        <v>257</v>
      </c>
      <c r="B718" s="15" t="s">
        <v>257</v>
      </c>
      <c r="C718" s="15"/>
      <c r="D718" s="15"/>
      <c r="E718" s="16"/>
      <c r="F718" s="15" t="s">
        <v>257</v>
      </c>
      <c r="G718" s="32"/>
      <c r="H718" s="27"/>
      <c r="I718" s="27"/>
      <c r="J718" s="27"/>
      <c r="K718" s="23" t="str">
        <f ca="1">IFERROR(__xludf.DUMMYFUNCTION("""COMPUTED_VALUE"""),"")</f>
        <v/>
      </c>
      <c r="L718" s="22"/>
      <c r="M718" s="23"/>
      <c r="N718" s="23"/>
      <c r="O718" s="23"/>
      <c r="P718" s="23"/>
      <c r="Q718" s="24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2"/>
      <c r="AD718" s="23"/>
      <c r="AE718" s="23"/>
      <c r="AF718" s="22"/>
      <c r="AG718" s="22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</row>
    <row r="719" spans="1:45" ht="27.75" customHeight="1" x14ac:dyDescent="0.35">
      <c r="A719" s="15" t="s">
        <v>257</v>
      </c>
      <c r="B719" s="15" t="s">
        <v>257</v>
      </c>
      <c r="C719" s="15"/>
      <c r="D719" s="15"/>
      <c r="E719" s="16"/>
      <c r="F719" s="15" t="s">
        <v>257</v>
      </c>
      <c r="G719" s="32"/>
      <c r="H719" s="27"/>
      <c r="I719" s="27"/>
      <c r="J719" s="27"/>
      <c r="K719" s="23" t="str">
        <f ca="1">IFERROR(__xludf.DUMMYFUNCTION("""COMPUTED_VALUE"""),"")</f>
        <v/>
      </c>
      <c r="L719" s="22"/>
      <c r="M719" s="23"/>
      <c r="N719" s="23"/>
      <c r="O719" s="23"/>
      <c r="P719" s="23"/>
      <c r="Q719" s="24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2"/>
      <c r="AD719" s="23"/>
      <c r="AE719" s="23"/>
      <c r="AF719" s="22"/>
      <c r="AG719" s="22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</row>
    <row r="720" spans="1:45" ht="27.75" customHeight="1" x14ac:dyDescent="0.35">
      <c r="A720" s="15" t="s">
        <v>257</v>
      </c>
      <c r="B720" s="15" t="s">
        <v>257</v>
      </c>
      <c r="C720" s="15"/>
      <c r="D720" s="15"/>
      <c r="E720" s="16"/>
      <c r="F720" s="15" t="s">
        <v>257</v>
      </c>
      <c r="G720" s="32"/>
      <c r="H720" s="27"/>
      <c r="I720" s="27"/>
      <c r="J720" s="27"/>
      <c r="K720" s="23" t="str">
        <f ca="1">IFERROR(__xludf.DUMMYFUNCTION("""COMPUTED_VALUE"""),"")</f>
        <v/>
      </c>
      <c r="L720" s="22"/>
      <c r="M720" s="23"/>
      <c r="N720" s="23"/>
      <c r="O720" s="23"/>
      <c r="P720" s="23"/>
      <c r="Q720" s="24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2"/>
      <c r="AD720" s="23"/>
      <c r="AE720" s="23"/>
      <c r="AF720" s="22"/>
      <c r="AG720" s="22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</row>
    <row r="721" spans="1:45" ht="27.75" customHeight="1" x14ac:dyDescent="0.35">
      <c r="A721" s="15" t="s">
        <v>257</v>
      </c>
      <c r="B721" s="15" t="s">
        <v>257</v>
      </c>
      <c r="C721" s="15"/>
      <c r="D721" s="15"/>
      <c r="E721" s="16"/>
      <c r="F721" s="15" t="s">
        <v>257</v>
      </c>
      <c r="G721" s="32"/>
      <c r="H721" s="27"/>
      <c r="I721" s="27"/>
      <c r="J721" s="27"/>
      <c r="K721" s="23" t="str">
        <f ca="1">IFERROR(__xludf.DUMMYFUNCTION("""COMPUTED_VALUE"""),"")</f>
        <v/>
      </c>
      <c r="L721" s="22"/>
      <c r="M721" s="23"/>
      <c r="N721" s="23"/>
      <c r="O721" s="23"/>
      <c r="P721" s="23"/>
      <c r="Q721" s="24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2"/>
      <c r="AD721" s="23"/>
      <c r="AE721" s="23"/>
      <c r="AF721" s="22"/>
      <c r="AG721" s="22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</row>
    <row r="722" spans="1:45" ht="27.75" customHeight="1" x14ac:dyDescent="0.35">
      <c r="A722" s="15" t="s">
        <v>257</v>
      </c>
      <c r="B722" s="15" t="s">
        <v>257</v>
      </c>
      <c r="C722" s="15"/>
      <c r="D722" s="15"/>
      <c r="E722" s="16"/>
      <c r="F722" s="15" t="s">
        <v>257</v>
      </c>
      <c r="G722" s="32"/>
      <c r="H722" s="27"/>
      <c r="I722" s="27"/>
      <c r="J722" s="27"/>
      <c r="K722" s="23" t="str">
        <f ca="1">IFERROR(__xludf.DUMMYFUNCTION("""COMPUTED_VALUE"""),"")</f>
        <v/>
      </c>
      <c r="L722" s="22"/>
      <c r="M722" s="23"/>
      <c r="N722" s="23"/>
      <c r="O722" s="23"/>
      <c r="P722" s="23"/>
      <c r="Q722" s="24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2"/>
      <c r="AD722" s="23"/>
      <c r="AE722" s="23"/>
      <c r="AF722" s="22"/>
      <c r="AG722" s="22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</row>
    <row r="723" spans="1:45" ht="27.75" customHeight="1" x14ac:dyDescent="0.35">
      <c r="A723" s="15" t="s">
        <v>257</v>
      </c>
      <c r="B723" s="15" t="s">
        <v>257</v>
      </c>
      <c r="C723" s="15"/>
      <c r="D723" s="15"/>
      <c r="E723" s="16"/>
      <c r="F723" s="15" t="s">
        <v>257</v>
      </c>
      <c r="G723" s="32"/>
      <c r="H723" s="27"/>
      <c r="I723" s="27"/>
      <c r="J723" s="27"/>
      <c r="K723" s="23" t="str">
        <f ca="1">IFERROR(__xludf.DUMMYFUNCTION("""COMPUTED_VALUE"""),"")</f>
        <v/>
      </c>
      <c r="L723" s="22"/>
      <c r="M723" s="23"/>
      <c r="N723" s="23"/>
      <c r="O723" s="23"/>
      <c r="P723" s="23"/>
      <c r="Q723" s="24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2"/>
      <c r="AD723" s="23"/>
      <c r="AE723" s="23"/>
      <c r="AF723" s="22"/>
      <c r="AG723" s="22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</row>
    <row r="724" spans="1:45" ht="27.75" customHeight="1" x14ac:dyDescent="0.35">
      <c r="A724" s="15" t="s">
        <v>257</v>
      </c>
      <c r="B724" s="15" t="s">
        <v>257</v>
      </c>
      <c r="C724" s="15"/>
      <c r="D724" s="15"/>
      <c r="E724" s="16"/>
      <c r="F724" s="15" t="s">
        <v>257</v>
      </c>
      <c r="G724" s="32"/>
      <c r="H724" s="27"/>
      <c r="I724" s="27"/>
      <c r="J724" s="27"/>
      <c r="K724" s="23" t="str">
        <f ca="1">IFERROR(__xludf.DUMMYFUNCTION("""COMPUTED_VALUE"""),"")</f>
        <v/>
      </c>
      <c r="L724" s="22"/>
      <c r="M724" s="23"/>
      <c r="N724" s="23"/>
      <c r="O724" s="23"/>
      <c r="P724" s="23"/>
      <c r="Q724" s="24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2"/>
      <c r="AD724" s="23"/>
      <c r="AE724" s="23"/>
      <c r="AF724" s="22"/>
      <c r="AG724" s="22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</row>
    <row r="725" spans="1:45" ht="27.75" customHeight="1" x14ac:dyDescent="0.35">
      <c r="A725" s="15" t="s">
        <v>257</v>
      </c>
      <c r="B725" s="15" t="s">
        <v>257</v>
      </c>
      <c r="C725" s="15"/>
      <c r="D725" s="15"/>
      <c r="E725" s="16"/>
      <c r="F725" s="15" t="s">
        <v>257</v>
      </c>
      <c r="G725" s="32"/>
      <c r="H725" s="27"/>
      <c r="I725" s="27"/>
      <c r="J725" s="27"/>
      <c r="K725" s="23" t="str">
        <f ca="1">IFERROR(__xludf.DUMMYFUNCTION("""COMPUTED_VALUE"""),"")</f>
        <v/>
      </c>
      <c r="L725" s="22"/>
      <c r="M725" s="23"/>
      <c r="N725" s="23"/>
      <c r="O725" s="23"/>
      <c r="P725" s="23"/>
      <c r="Q725" s="24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2"/>
      <c r="AD725" s="23"/>
      <c r="AE725" s="23"/>
      <c r="AF725" s="22"/>
      <c r="AG725" s="22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</row>
    <row r="726" spans="1:45" ht="27.75" customHeight="1" x14ac:dyDescent="0.35">
      <c r="A726" s="15" t="s">
        <v>257</v>
      </c>
      <c r="B726" s="15" t="s">
        <v>257</v>
      </c>
      <c r="C726" s="15"/>
      <c r="D726" s="15"/>
      <c r="E726" s="16"/>
      <c r="F726" s="15" t="s">
        <v>257</v>
      </c>
      <c r="G726" s="32"/>
      <c r="H726" s="27"/>
      <c r="I726" s="27"/>
      <c r="J726" s="27"/>
      <c r="K726" s="23" t="str">
        <f ca="1">IFERROR(__xludf.DUMMYFUNCTION("""COMPUTED_VALUE"""),"")</f>
        <v/>
      </c>
      <c r="L726" s="22"/>
      <c r="M726" s="23"/>
      <c r="N726" s="23"/>
      <c r="O726" s="23"/>
      <c r="P726" s="23"/>
      <c r="Q726" s="24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2"/>
      <c r="AD726" s="23"/>
      <c r="AE726" s="23"/>
      <c r="AF726" s="22"/>
      <c r="AG726" s="22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</row>
    <row r="727" spans="1:45" ht="27.75" customHeight="1" x14ac:dyDescent="0.35">
      <c r="A727" s="15" t="s">
        <v>257</v>
      </c>
      <c r="B727" s="15" t="s">
        <v>257</v>
      </c>
      <c r="C727" s="15"/>
      <c r="D727" s="15"/>
      <c r="E727" s="16"/>
      <c r="F727" s="15" t="s">
        <v>257</v>
      </c>
      <c r="G727" s="32"/>
      <c r="H727" s="27"/>
      <c r="I727" s="27"/>
      <c r="J727" s="27"/>
      <c r="K727" s="23" t="str">
        <f ca="1">IFERROR(__xludf.DUMMYFUNCTION("""COMPUTED_VALUE"""),"")</f>
        <v/>
      </c>
      <c r="L727" s="22"/>
      <c r="M727" s="23"/>
      <c r="N727" s="23"/>
      <c r="O727" s="23"/>
      <c r="P727" s="23"/>
      <c r="Q727" s="24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2"/>
      <c r="AD727" s="23"/>
      <c r="AE727" s="23"/>
      <c r="AF727" s="22"/>
      <c r="AG727" s="22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</row>
    <row r="728" spans="1:45" ht="27.75" customHeight="1" x14ac:dyDescent="0.35">
      <c r="A728" s="15" t="s">
        <v>257</v>
      </c>
      <c r="B728" s="15" t="s">
        <v>257</v>
      </c>
      <c r="C728" s="15"/>
      <c r="D728" s="15"/>
      <c r="E728" s="16"/>
      <c r="F728" s="15" t="s">
        <v>257</v>
      </c>
      <c r="G728" s="32"/>
      <c r="H728" s="27"/>
      <c r="I728" s="27"/>
      <c r="J728" s="27"/>
      <c r="K728" s="23" t="str">
        <f ca="1">IFERROR(__xludf.DUMMYFUNCTION("""COMPUTED_VALUE"""),"")</f>
        <v/>
      </c>
      <c r="L728" s="22"/>
      <c r="M728" s="23"/>
      <c r="N728" s="23"/>
      <c r="O728" s="23"/>
      <c r="P728" s="23"/>
      <c r="Q728" s="24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2"/>
      <c r="AD728" s="23"/>
      <c r="AE728" s="23"/>
      <c r="AF728" s="22"/>
      <c r="AG728" s="22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</row>
    <row r="729" spans="1:45" ht="27.75" customHeight="1" x14ac:dyDescent="0.35">
      <c r="A729" s="15" t="s">
        <v>257</v>
      </c>
      <c r="B729" s="15" t="s">
        <v>257</v>
      </c>
      <c r="C729" s="15"/>
      <c r="D729" s="15"/>
      <c r="E729" s="16"/>
      <c r="F729" s="15" t="s">
        <v>257</v>
      </c>
      <c r="G729" s="32"/>
      <c r="H729" s="27"/>
      <c r="I729" s="27"/>
      <c r="J729" s="27"/>
      <c r="K729" s="23" t="str">
        <f ca="1">IFERROR(__xludf.DUMMYFUNCTION("""COMPUTED_VALUE"""),"")</f>
        <v/>
      </c>
      <c r="L729" s="22"/>
      <c r="M729" s="23"/>
      <c r="N729" s="23"/>
      <c r="O729" s="23"/>
      <c r="P729" s="23"/>
      <c r="Q729" s="24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2"/>
      <c r="AD729" s="23"/>
      <c r="AE729" s="23"/>
      <c r="AF729" s="22"/>
      <c r="AG729" s="22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</row>
    <row r="730" spans="1:45" ht="27.75" customHeight="1" x14ac:dyDescent="0.35">
      <c r="A730" s="15" t="s">
        <v>257</v>
      </c>
      <c r="B730" s="15" t="s">
        <v>257</v>
      </c>
      <c r="C730" s="15"/>
      <c r="D730" s="15"/>
      <c r="E730" s="16"/>
      <c r="F730" s="15" t="s">
        <v>257</v>
      </c>
      <c r="G730" s="32"/>
      <c r="H730" s="27"/>
      <c r="I730" s="27"/>
      <c r="J730" s="27"/>
      <c r="K730" s="23" t="str">
        <f ca="1">IFERROR(__xludf.DUMMYFUNCTION("""COMPUTED_VALUE"""),"")</f>
        <v/>
      </c>
      <c r="L730" s="22"/>
      <c r="M730" s="23"/>
      <c r="N730" s="23"/>
      <c r="O730" s="23"/>
      <c r="P730" s="23"/>
      <c r="Q730" s="24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2"/>
      <c r="AD730" s="23"/>
      <c r="AE730" s="23"/>
      <c r="AF730" s="22"/>
      <c r="AG730" s="22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</row>
    <row r="731" spans="1:45" ht="27.75" customHeight="1" x14ac:dyDescent="0.35">
      <c r="A731" s="15" t="s">
        <v>257</v>
      </c>
      <c r="B731" s="15" t="s">
        <v>257</v>
      </c>
      <c r="C731" s="15"/>
      <c r="D731" s="15"/>
      <c r="E731" s="16"/>
      <c r="F731" s="15" t="s">
        <v>257</v>
      </c>
      <c r="G731" s="32"/>
      <c r="H731" s="27"/>
      <c r="I731" s="27"/>
      <c r="J731" s="27"/>
      <c r="K731" s="23" t="str">
        <f ca="1">IFERROR(__xludf.DUMMYFUNCTION("""COMPUTED_VALUE"""),"")</f>
        <v/>
      </c>
      <c r="L731" s="22"/>
      <c r="M731" s="23"/>
      <c r="N731" s="23"/>
      <c r="O731" s="23"/>
      <c r="P731" s="23"/>
      <c r="Q731" s="24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2"/>
      <c r="AD731" s="23"/>
      <c r="AE731" s="23"/>
      <c r="AF731" s="22"/>
      <c r="AG731" s="22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</row>
    <row r="732" spans="1:45" ht="27.75" customHeight="1" x14ac:dyDescent="0.35">
      <c r="A732" s="15" t="s">
        <v>257</v>
      </c>
      <c r="B732" s="15" t="s">
        <v>257</v>
      </c>
      <c r="C732" s="15"/>
      <c r="D732" s="15"/>
      <c r="E732" s="16"/>
      <c r="F732" s="15" t="s">
        <v>257</v>
      </c>
      <c r="G732" s="32"/>
      <c r="H732" s="27"/>
      <c r="I732" s="27"/>
      <c r="J732" s="27"/>
      <c r="K732" s="23" t="str">
        <f ca="1">IFERROR(__xludf.DUMMYFUNCTION("""COMPUTED_VALUE"""),"")</f>
        <v/>
      </c>
      <c r="L732" s="22"/>
      <c r="M732" s="23"/>
      <c r="N732" s="23"/>
      <c r="O732" s="23"/>
      <c r="P732" s="23"/>
      <c r="Q732" s="24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2"/>
      <c r="AD732" s="23"/>
      <c r="AE732" s="23"/>
      <c r="AF732" s="22"/>
      <c r="AG732" s="22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</row>
    <row r="733" spans="1:45" ht="27.75" customHeight="1" x14ac:dyDescent="0.35">
      <c r="A733" s="15" t="s">
        <v>257</v>
      </c>
      <c r="B733" s="15" t="s">
        <v>257</v>
      </c>
      <c r="C733" s="15"/>
      <c r="D733" s="15"/>
      <c r="E733" s="16"/>
      <c r="F733" s="15" t="s">
        <v>257</v>
      </c>
      <c r="G733" s="32"/>
      <c r="H733" s="27"/>
      <c r="I733" s="27"/>
      <c r="J733" s="27"/>
      <c r="K733" s="23" t="str">
        <f ca="1">IFERROR(__xludf.DUMMYFUNCTION("""COMPUTED_VALUE"""),"")</f>
        <v/>
      </c>
      <c r="L733" s="22"/>
      <c r="M733" s="23"/>
      <c r="N733" s="23"/>
      <c r="O733" s="23"/>
      <c r="P733" s="23"/>
      <c r="Q733" s="24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2"/>
      <c r="AD733" s="23"/>
      <c r="AE733" s="23"/>
      <c r="AF733" s="22"/>
      <c r="AG733" s="22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</row>
    <row r="734" spans="1:45" ht="27.75" customHeight="1" x14ac:dyDescent="0.35">
      <c r="A734" s="15" t="s">
        <v>257</v>
      </c>
      <c r="B734" s="15" t="s">
        <v>257</v>
      </c>
      <c r="C734" s="15"/>
      <c r="D734" s="15"/>
      <c r="E734" s="16"/>
      <c r="F734" s="15" t="s">
        <v>257</v>
      </c>
      <c r="G734" s="32"/>
      <c r="H734" s="27"/>
      <c r="I734" s="27"/>
      <c r="J734" s="27"/>
      <c r="K734" s="23" t="str">
        <f ca="1">IFERROR(__xludf.DUMMYFUNCTION("""COMPUTED_VALUE"""),"")</f>
        <v/>
      </c>
      <c r="L734" s="22"/>
      <c r="M734" s="23"/>
      <c r="N734" s="23"/>
      <c r="O734" s="23"/>
      <c r="P734" s="23"/>
      <c r="Q734" s="24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2"/>
      <c r="AD734" s="23"/>
      <c r="AE734" s="23"/>
      <c r="AF734" s="22"/>
      <c r="AG734" s="22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</row>
    <row r="735" spans="1:45" ht="27.75" customHeight="1" x14ac:dyDescent="0.35">
      <c r="A735" s="15" t="s">
        <v>257</v>
      </c>
      <c r="B735" s="15" t="s">
        <v>257</v>
      </c>
      <c r="C735" s="15"/>
      <c r="D735" s="15"/>
      <c r="E735" s="16"/>
      <c r="F735" s="15" t="s">
        <v>257</v>
      </c>
      <c r="G735" s="32"/>
      <c r="H735" s="27"/>
      <c r="I735" s="27"/>
      <c r="J735" s="27"/>
      <c r="K735" s="23" t="str">
        <f ca="1">IFERROR(__xludf.DUMMYFUNCTION("""COMPUTED_VALUE"""),"")</f>
        <v/>
      </c>
      <c r="L735" s="22"/>
      <c r="M735" s="23"/>
      <c r="N735" s="23"/>
      <c r="O735" s="23"/>
      <c r="P735" s="23"/>
      <c r="Q735" s="24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2"/>
      <c r="AD735" s="23"/>
      <c r="AE735" s="23"/>
      <c r="AF735" s="22"/>
      <c r="AG735" s="22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</row>
    <row r="736" spans="1:45" ht="27.75" customHeight="1" x14ac:dyDescent="0.35">
      <c r="A736" s="15" t="s">
        <v>257</v>
      </c>
      <c r="B736" s="15" t="s">
        <v>257</v>
      </c>
      <c r="C736" s="15"/>
      <c r="D736" s="15"/>
      <c r="E736" s="16"/>
      <c r="F736" s="15" t="s">
        <v>257</v>
      </c>
      <c r="G736" s="32"/>
      <c r="H736" s="27"/>
      <c r="I736" s="27"/>
      <c r="J736" s="27"/>
      <c r="K736" s="23" t="str">
        <f ca="1">IFERROR(__xludf.DUMMYFUNCTION("""COMPUTED_VALUE"""),"")</f>
        <v/>
      </c>
      <c r="L736" s="22"/>
      <c r="M736" s="23"/>
      <c r="N736" s="23"/>
      <c r="O736" s="23"/>
      <c r="P736" s="23"/>
      <c r="Q736" s="24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2"/>
      <c r="AD736" s="23"/>
      <c r="AE736" s="23"/>
      <c r="AF736" s="22"/>
      <c r="AG736" s="22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</row>
    <row r="737" spans="1:45" ht="27.75" customHeight="1" x14ac:dyDescent="0.35">
      <c r="A737" s="15" t="s">
        <v>257</v>
      </c>
      <c r="B737" s="15" t="s">
        <v>257</v>
      </c>
      <c r="C737" s="15"/>
      <c r="D737" s="15"/>
      <c r="E737" s="16"/>
      <c r="F737" s="15" t="s">
        <v>257</v>
      </c>
      <c r="G737" s="32"/>
      <c r="H737" s="27"/>
      <c r="I737" s="27"/>
      <c r="J737" s="27"/>
      <c r="K737" s="23" t="str">
        <f ca="1">IFERROR(__xludf.DUMMYFUNCTION("""COMPUTED_VALUE"""),"")</f>
        <v/>
      </c>
      <c r="L737" s="22"/>
      <c r="M737" s="23"/>
      <c r="N737" s="23"/>
      <c r="O737" s="23"/>
      <c r="P737" s="23"/>
      <c r="Q737" s="24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2"/>
      <c r="AD737" s="23"/>
      <c r="AE737" s="23"/>
      <c r="AF737" s="22"/>
      <c r="AG737" s="22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</row>
    <row r="738" spans="1:45" ht="27.75" customHeight="1" x14ac:dyDescent="0.35">
      <c r="A738" s="15" t="s">
        <v>257</v>
      </c>
      <c r="B738" s="15" t="s">
        <v>257</v>
      </c>
      <c r="C738" s="15"/>
      <c r="D738" s="15"/>
      <c r="E738" s="16"/>
      <c r="F738" s="15" t="s">
        <v>257</v>
      </c>
      <c r="G738" s="32"/>
      <c r="H738" s="27"/>
      <c r="I738" s="27"/>
      <c r="J738" s="27"/>
      <c r="K738" s="23" t="str">
        <f ca="1">IFERROR(__xludf.DUMMYFUNCTION("""COMPUTED_VALUE"""),"")</f>
        <v/>
      </c>
      <c r="L738" s="22"/>
      <c r="M738" s="23"/>
      <c r="N738" s="23"/>
      <c r="O738" s="23"/>
      <c r="P738" s="23"/>
      <c r="Q738" s="24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2"/>
      <c r="AD738" s="23"/>
      <c r="AE738" s="23"/>
      <c r="AF738" s="22"/>
      <c r="AG738" s="22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</row>
    <row r="739" spans="1:45" ht="27.75" customHeight="1" x14ac:dyDescent="0.35">
      <c r="A739" s="15" t="s">
        <v>257</v>
      </c>
      <c r="B739" s="15" t="s">
        <v>257</v>
      </c>
      <c r="C739" s="15"/>
      <c r="D739" s="15"/>
      <c r="E739" s="16"/>
      <c r="F739" s="15" t="s">
        <v>257</v>
      </c>
      <c r="G739" s="32"/>
      <c r="H739" s="27"/>
      <c r="I739" s="27"/>
      <c r="J739" s="27"/>
      <c r="K739" s="23" t="str">
        <f ca="1">IFERROR(__xludf.DUMMYFUNCTION("""COMPUTED_VALUE"""),"")</f>
        <v/>
      </c>
      <c r="L739" s="22"/>
      <c r="M739" s="23"/>
      <c r="N739" s="23"/>
      <c r="O739" s="23"/>
      <c r="P739" s="23"/>
      <c r="Q739" s="24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2"/>
      <c r="AD739" s="23"/>
      <c r="AE739" s="23"/>
      <c r="AF739" s="22"/>
      <c r="AG739" s="22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</row>
    <row r="740" spans="1:45" ht="27.75" customHeight="1" x14ac:dyDescent="0.35">
      <c r="A740" s="15" t="s">
        <v>257</v>
      </c>
      <c r="B740" s="15" t="s">
        <v>257</v>
      </c>
      <c r="C740" s="15"/>
      <c r="D740" s="15"/>
      <c r="E740" s="16"/>
      <c r="F740" s="15" t="s">
        <v>257</v>
      </c>
      <c r="G740" s="32"/>
      <c r="H740" s="27"/>
      <c r="I740" s="27"/>
      <c r="J740" s="27"/>
      <c r="K740" s="23" t="str">
        <f ca="1">IFERROR(__xludf.DUMMYFUNCTION("""COMPUTED_VALUE"""),"")</f>
        <v/>
      </c>
      <c r="L740" s="22"/>
      <c r="M740" s="23"/>
      <c r="N740" s="23"/>
      <c r="O740" s="23"/>
      <c r="P740" s="23"/>
      <c r="Q740" s="24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2"/>
      <c r="AD740" s="23"/>
      <c r="AE740" s="23"/>
      <c r="AF740" s="22"/>
      <c r="AG740" s="22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</row>
    <row r="741" spans="1:45" ht="27.75" customHeight="1" x14ac:dyDescent="0.35">
      <c r="A741" s="15" t="s">
        <v>257</v>
      </c>
      <c r="B741" s="15" t="s">
        <v>257</v>
      </c>
      <c r="C741" s="15"/>
      <c r="D741" s="15"/>
      <c r="E741" s="16"/>
      <c r="F741" s="15" t="s">
        <v>257</v>
      </c>
      <c r="G741" s="32"/>
      <c r="H741" s="27"/>
      <c r="I741" s="27"/>
      <c r="J741" s="27"/>
      <c r="K741" s="23" t="str">
        <f ca="1">IFERROR(__xludf.DUMMYFUNCTION("""COMPUTED_VALUE"""),"")</f>
        <v/>
      </c>
      <c r="L741" s="22"/>
      <c r="M741" s="23"/>
      <c r="N741" s="23"/>
      <c r="O741" s="23"/>
      <c r="P741" s="23"/>
      <c r="Q741" s="24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2"/>
      <c r="AD741" s="23"/>
      <c r="AE741" s="23"/>
      <c r="AF741" s="22"/>
      <c r="AG741" s="22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</row>
    <row r="742" spans="1:45" ht="27.75" customHeight="1" x14ac:dyDescent="0.35">
      <c r="A742" s="15" t="s">
        <v>257</v>
      </c>
      <c r="B742" s="15" t="s">
        <v>257</v>
      </c>
      <c r="C742" s="15"/>
      <c r="D742" s="15"/>
      <c r="E742" s="16"/>
      <c r="F742" s="15" t="s">
        <v>257</v>
      </c>
      <c r="G742" s="32"/>
      <c r="H742" s="27"/>
      <c r="I742" s="27"/>
      <c r="J742" s="27"/>
      <c r="K742" s="23" t="str">
        <f ca="1">IFERROR(__xludf.DUMMYFUNCTION("""COMPUTED_VALUE"""),"")</f>
        <v/>
      </c>
      <c r="L742" s="22"/>
      <c r="M742" s="23"/>
      <c r="N742" s="23"/>
      <c r="O742" s="23"/>
      <c r="P742" s="23"/>
      <c r="Q742" s="24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2"/>
      <c r="AD742" s="23"/>
      <c r="AE742" s="23"/>
      <c r="AF742" s="22"/>
      <c r="AG742" s="22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</row>
    <row r="743" spans="1:45" ht="27.75" customHeight="1" x14ac:dyDescent="0.35">
      <c r="A743" s="15" t="s">
        <v>257</v>
      </c>
      <c r="B743" s="15" t="s">
        <v>257</v>
      </c>
      <c r="C743" s="15"/>
      <c r="D743" s="15"/>
      <c r="E743" s="16"/>
      <c r="F743" s="15" t="s">
        <v>257</v>
      </c>
      <c r="G743" s="32"/>
      <c r="H743" s="27"/>
      <c r="I743" s="27"/>
      <c r="J743" s="27"/>
      <c r="K743" s="23" t="str">
        <f ca="1">IFERROR(__xludf.DUMMYFUNCTION("""COMPUTED_VALUE"""),"")</f>
        <v/>
      </c>
      <c r="L743" s="22"/>
      <c r="M743" s="23"/>
      <c r="N743" s="23"/>
      <c r="O743" s="23"/>
      <c r="P743" s="23"/>
      <c r="Q743" s="24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2"/>
      <c r="AD743" s="23"/>
      <c r="AE743" s="23"/>
      <c r="AF743" s="22"/>
      <c r="AG743" s="22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</row>
    <row r="744" spans="1:45" ht="27.75" customHeight="1" x14ac:dyDescent="0.35">
      <c r="A744" s="15" t="s">
        <v>257</v>
      </c>
      <c r="B744" s="15" t="s">
        <v>257</v>
      </c>
      <c r="C744" s="15"/>
      <c r="D744" s="15"/>
      <c r="E744" s="16"/>
      <c r="F744" s="15" t="s">
        <v>257</v>
      </c>
      <c r="G744" s="32"/>
      <c r="H744" s="27"/>
      <c r="I744" s="27"/>
      <c r="J744" s="27"/>
      <c r="K744" s="23" t="str">
        <f ca="1">IFERROR(__xludf.DUMMYFUNCTION("""COMPUTED_VALUE"""),"")</f>
        <v/>
      </c>
      <c r="L744" s="22"/>
      <c r="M744" s="23"/>
      <c r="N744" s="23"/>
      <c r="O744" s="23"/>
      <c r="P744" s="23"/>
      <c r="Q744" s="24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2"/>
      <c r="AD744" s="23"/>
      <c r="AE744" s="23"/>
      <c r="AF744" s="22"/>
      <c r="AG744" s="22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</row>
    <row r="745" spans="1:45" ht="27.75" customHeight="1" x14ac:dyDescent="0.35">
      <c r="A745" s="15" t="s">
        <v>257</v>
      </c>
      <c r="B745" s="15" t="s">
        <v>257</v>
      </c>
      <c r="C745" s="15"/>
      <c r="D745" s="15"/>
      <c r="E745" s="16"/>
      <c r="F745" s="15" t="s">
        <v>257</v>
      </c>
      <c r="G745" s="32"/>
      <c r="H745" s="27"/>
      <c r="I745" s="27"/>
      <c r="J745" s="27"/>
      <c r="K745" s="23" t="str">
        <f ca="1">IFERROR(__xludf.DUMMYFUNCTION("""COMPUTED_VALUE"""),"")</f>
        <v/>
      </c>
      <c r="L745" s="22"/>
      <c r="M745" s="23"/>
      <c r="N745" s="23"/>
      <c r="O745" s="23"/>
      <c r="P745" s="23"/>
      <c r="Q745" s="24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2"/>
      <c r="AD745" s="23"/>
      <c r="AE745" s="23"/>
      <c r="AF745" s="22"/>
      <c r="AG745" s="22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</row>
    <row r="746" spans="1:45" ht="27.75" customHeight="1" x14ac:dyDescent="0.35">
      <c r="A746" s="15" t="s">
        <v>257</v>
      </c>
      <c r="B746" s="15" t="s">
        <v>257</v>
      </c>
      <c r="C746" s="15"/>
      <c r="D746" s="15"/>
      <c r="E746" s="16"/>
      <c r="F746" s="15" t="s">
        <v>257</v>
      </c>
      <c r="G746" s="32"/>
      <c r="H746" s="27"/>
      <c r="I746" s="27"/>
      <c r="J746" s="27"/>
      <c r="K746" s="23" t="str">
        <f ca="1">IFERROR(__xludf.DUMMYFUNCTION("""COMPUTED_VALUE"""),"")</f>
        <v/>
      </c>
      <c r="L746" s="22"/>
      <c r="M746" s="23"/>
      <c r="N746" s="23"/>
      <c r="O746" s="23"/>
      <c r="P746" s="23"/>
      <c r="Q746" s="24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2"/>
      <c r="AD746" s="23"/>
      <c r="AE746" s="23"/>
      <c r="AF746" s="22"/>
      <c r="AG746" s="22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</row>
    <row r="747" spans="1:45" ht="27.75" customHeight="1" x14ac:dyDescent="0.35">
      <c r="A747" s="15" t="s">
        <v>257</v>
      </c>
      <c r="B747" s="15" t="s">
        <v>257</v>
      </c>
      <c r="C747" s="15"/>
      <c r="D747" s="15"/>
      <c r="E747" s="16"/>
      <c r="F747" s="15" t="s">
        <v>257</v>
      </c>
      <c r="G747" s="32"/>
      <c r="H747" s="27"/>
      <c r="I747" s="27"/>
      <c r="J747" s="27"/>
      <c r="K747" s="23" t="str">
        <f ca="1">IFERROR(__xludf.DUMMYFUNCTION("""COMPUTED_VALUE"""),"")</f>
        <v/>
      </c>
      <c r="L747" s="22"/>
      <c r="M747" s="23"/>
      <c r="N747" s="23"/>
      <c r="O747" s="23"/>
      <c r="P747" s="23"/>
      <c r="Q747" s="24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2"/>
      <c r="AD747" s="23"/>
      <c r="AE747" s="23"/>
      <c r="AF747" s="22"/>
      <c r="AG747" s="22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</row>
    <row r="748" spans="1:45" ht="27.75" customHeight="1" x14ac:dyDescent="0.35">
      <c r="A748" s="15" t="s">
        <v>257</v>
      </c>
      <c r="B748" s="15" t="s">
        <v>257</v>
      </c>
      <c r="C748" s="15"/>
      <c r="D748" s="15"/>
      <c r="E748" s="16"/>
      <c r="F748" s="15" t="s">
        <v>257</v>
      </c>
      <c r="G748" s="32"/>
      <c r="H748" s="27"/>
      <c r="I748" s="27"/>
      <c r="J748" s="27"/>
      <c r="K748" s="23" t="str">
        <f ca="1">IFERROR(__xludf.DUMMYFUNCTION("""COMPUTED_VALUE"""),"")</f>
        <v/>
      </c>
      <c r="L748" s="22"/>
      <c r="M748" s="23"/>
      <c r="N748" s="23"/>
      <c r="O748" s="23"/>
      <c r="P748" s="23"/>
      <c r="Q748" s="24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2"/>
      <c r="AD748" s="23"/>
      <c r="AE748" s="23"/>
      <c r="AF748" s="22"/>
      <c r="AG748" s="22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</row>
    <row r="749" spans="1:45" ht="27.75" customHeight="1" x14ac:dyDescent="0.35">
      <c r="A749" s="15" t="s">
        <v>257</v>
      </c>
      <c r="B749" s="15" t="s">
        <v>257</v>
      </c>
      <c r="C749" s="15"/>
      <c r="D749" s="15"/>
      <c r="E749" s="16"/>
      <c r="F749" s="15" t="s">
        <v>257</v>
      </c>
      <c r="G749" s="32"/>
      <c r="H749" s="27"/>
      <c r="I749" s="27"/>
      <c r="J749" s="27"/>
      <c r="K749" s="23" t="str">
        <f ca="1">IFERROR(__xludf.DUMMYFUNCTION("""COMPUTED_VALUE"""),"")</f>
        <v/>
      </c>
      <c r="L749" s="22"/>
      <c r="M749" s="23"/>
      <c r="N749" s="23"/>
      <c r="O749" s="23"/>
      <c r="P749" s="23"/>
      <c r="Q749" s="24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2"/>
      <c r="AD749" s="23"/>
      <c r="AE749" s="23"/>
      <c r="AF749" s="22"/>
      <c r="AG749" s="22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</row>
    <row r="750" spans="1:45" ht="27.75" customHeight="1" x14ac:dyDescent="0.35">
      <c r="A750" s="15" t="s">
        <v>257</v>
      </c>
      <c r="B750" s="15" t="s">
        <v>257</v>
      </c>
      <c r="C750" s="15"/>
      <c r="D750" s="15"/>
      <c r="E750" s="16"/>
      <c r="F750" s="15" t="s">
        <v>257</v>
      </c>
      <c r="G750" s="32"/>
      <c r="H750" s="27"/>
      <c r="I750" s="27"/>
      <c r="J750" s="27"/>
      <c r="K750" s="23" t="str">
        <f ca="1">IFERROR(__xludf.DUMMYFUNCTION("""COMPUTED_VALUE"""),"")</f>
        <v/>
      </c>
      <c r="L750" s="22"/>
      <c r="M750" s="23"/>
      <c r="N750" s="23"/>
      <c r="O750" s="23"/>
      <c r="P750" s="23"/>
      <c r="Q750" s="24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2"/>
      <c r="AD750" s="23"/>
      <c r="AE750" s="23"/>
      <c r="AF750" s="22"/>
      <c r="AG750" s="22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</row>
    <row r="751" spans="1:45" ht="27.75" customHeight="1" x14ac:dyDescent="0.35">
      <c r="A751" s="15" t="s">
        <v>257</v>
      </c>
      <c r="B751" s="15" t="s">
        <v>257</v>
      </c>
      <c r="C751" s="15"/>
      <c r="D751" s="15"/>
      <c r="E751" s="16"/>
      <c r="F751" s="15" t="s">
        <v>257</v>
      </c>
      <c r="G751" s="32"/>
      <c r="H751" s="27"/>
      <c r="I751" s="27"/>
      <c r="J751" s="27"/>
      <c r="K751" s="23" t="str">
        <f ca="1">IFERROR(__xludf.DUMMYFUNCTION("""COMPUTED_VALUE"""),"")</f>
        <v/>
      </c>
      <c r="L751" s="22"/>
      <c r="M751" s="23"/>
      <c r="N751" s="23"/>
      <c r="O751" s="23"/>
      <c r="P751" s="23"/>
      <c r="Q751" s="24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2"/>
      <c r="AD751" s="23"/>
      <c r="AE751" s="23"/>
      <c r="AF751" s="22"/>
      <c r="AG751" s="22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</row>
    <row r="752" spans="1:45" ht="27.75" customHeight="1" x14ac:dyDescent="0.35">
      <c r="A752" s="15" t="s">
        <v>257</v>
      </c>
      <c r="B752" s="15" t="s">
        <v>257</v>
      </c>
      <c r="C752" s="15"/>
      <c r="D752" s="15"/>
      <c r="E752" s="16"/>
      <c r="F752" s="15" t="s">
        <v>257</v>
      </c>
      <c r="G752" s="32"/>
      <c r="H752" s="27"/>
      <c r="I752" s="27"/>
      <c r="J752" s="27"/>
      <c r="K752" s="23" t="str">
        <f ca="1">IFERROR(__xludf.DUMMYFUNCTION("""COMPUTED_VALUE"""),"")</f>
        <v/>
      </c>
      <c r="L752" s="22"/>
      <c r="M752" s="23"/>
      <c r="N752" s="23"/>
      <c r="O752" s="23"/>
      <c r="P752" s="23"/>
      <c r="Q752" s="24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2"/>
      <c r="AD752" s="23"/>
      <c r="AE752" s="23"/>
      <c r="AF752" s="22"/>
      <c r="AG752" s="22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</row>
    <row r="753" spans="1:45" ht="27.75" customHeight="1" x14ac:dyDescent="0.35">
      <c r="A753" s="15" t="s">
        <v>257</v>
      </c>
      <c r="B753" s="15" t="s">
        <v>257</v>
      </c>
      <c r="C753" s="15"/>
      <c r="D753" s="15"/>
      <c r="E753" s="16"/>
      <c r="F753" s="15" t="s">
        <v>257</v>
      </c>
      <c r="G753" s="32"/>
      <c r="H753" s="27"/>
      <c r="I753" s="27"/>
      <c r="J753" s="27"/>
      <c r="K753" s="23" t="str">
        <f ca="1">IFERROR(__xludf.DUMMYFUNCTION("""COMPUTED_VALUE"""),"")</f>
        <v/>
      </c>
      <c r="L753" s="22"/>
      <c r="M753" s="23"/>
      <c r="N753" s="23"/>
      <c r="O753" s="23"/>
      <c r="P753" s="23"/>
      <c r="Q753" s="24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2"/>
      <c r="AD753" s="23"/>
      <c r="AE753" s="23"/>
      <c r="AF753" s="22"/>
      <c r="AG753" s="22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</row>
    <row r="754" spans="1:45" ht="27.75" customHeight="1" x14ac:dyDescent="0.35">
      <c r="A754" s="15" t="s">
        <v>257</v>
      </c>
      <c r="B754" s="15" t="s">
        <v>257</v>
      </c>
      <c r="C754" s="15"/>
      <c r="D754" s="15"/>
      <c r="E754" s="16"/>
      <c r="F754" s="15" t="s">
        <v>257</v>
      </c>
      <c r="G754" s="32"/>
      <c r="H754" s="27"/>
      <c r="I754" s="27"/>
      <c r="J754" s="27"/>
      <c r="K754" s="23" t="str">
        <f ca="1">IFERROR(__xludf.DUMMYFUNCTION("""COMPUTED_VALUE"""),"")</f>
        <v/>
      </c>
      <c r="L754" s="22"/>
      <c r="M754" s="23"/>
      <c r="N754" s="23"/>
      <c r="O754" s="23"/>
      <c r="P754" s="23"/>
      <c r="Q754" s="24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2"/>
      <c r="AD754" s="23"/>
      <c r="AE754" s="23"/>
      <c r="AF754" s="22"/>
      <c r="AG754" s="22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</row>
    <row r="755" spans="1:45" ht="27.75" customHeight="1" x14ac:dyDescent="0.35">
      <c r="A755" s="15" t="s">
        <v>257</v>
      </c>
      <c r="B755" s="15" t="s">
        <v>257</v>
      </c>
      <c r="C755" s="15"/>
      <c r="D755" s="15"/>
      <c r="E755" s="16"/>
      <c r="F755" s="15" t="s">
        <v>257</v>
      </c>
      <c r="G755" s="32"/>
      <c r="H755" s="27"/>
      <c r="I755" s="27"/>
      <c r="J755" s="27"/>
      <c r="K755" s="23" t="str">
        <f ca="1">IFERROR(__xludf.DUMMYFUNCTION("""COMPUTED_VALUE"""),"")</f>
        <v/>
      </c>
      <c r="L755" s="22"/>
      <c r="M755" s="23"/>
      <c r="N755" s="23"/>
      <c r="O755" s="23"/>
      <c r="P755" s="23"/>
      <c r="Q755" s="24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2"/>
      <c r="AD755" s="23"/>
      <c r="AE755" s="23"/>
      <c r="AF755" s="22"/>
      <c r="AG755" s="22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</row>
    <row r="756" spans="1:45" ht="27.75" customHeight="1" x14ac:dyDescent="0.35">
      <c r="A756" s="15" t="s">
        <v>257</v>
      </c>
      <c r="B756" s="15" t="s">
        <v>257</v>
      </c>
      <c r="C756" s="15"/>
      <c r="D756" s="15"/>
      <c r="E756" s="16"/>
      <c r="F756" s="15" t="s">
        <v>257</v>
      </c>
      <c r="G756" s="32"/>
      <c r="H756" s="27"/>
      <c r="I756" s="27"/>
      <c r="J756" s="27"/>
      <c r="K756" s="23" t="str">
        <f ca="1">IFERROR(__xludf.DUMMYFUNCTION("""COMPUTED_VALUE"""),"")</f>
        <v/>
      </c>
      <c r="L756" s="22"/>
      <c r="M756" s="23"/>
      <c r="N756" s="23"/>
      <c r="O756" s="23"/>
      <c r="P756" s="23"/>
      <c r="Q756" s="24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2"/>
      <c r="AD756" s="23"/>
      <c r="AE756" s="23"/>
      <c r="AF756" s="22"/>
      <c r="AG756" s="22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</row>
    <row r="757" spans="1:45" ht="27.75" customHeight="1" x14ac:dyDescent="0.35">
      <c r="A757" s="15" t="s">
        <v>257</v>
      </c>
      <c r="B757" s="15" t="s">
        <v>257</v>
      </c>
      <c r="C757" s="15"/>
      <c r="D757" s="15"/>
      <c r="E757" s="16"/>
      <c r="F757" s="15" t="s">
        <v>257</v>
      </c>
      <c r="G757" s="32"/>
      <c r="H757" s="27"/>
      <c r="I757" s="27"/>
      <c r="J757" s="27"/>
      <c r="K757" s="23" t="str">
        <f ca="1">IFERROR(__xludf.DUMMYFUNCTION("""COMPUTED_VALUE"""),"")</f>
        <v/>
      </c>
      <c r="L757" s="22"/>
      <c r="M757" s="23"/>
      <c r="N757" s="23"/>
      <c r="O757" s="23"/>
      <c r="P757" s="23"/>
      <c r="Q757" s="24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2"/>
      <c r="AD757" s="23"/>
      <c r="AE757" s="23"/>
      <c r="AF757" s="22"/>
      <c r="AG757" s="22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</row>
    <row r="758" spans="1:45" ht="27.75" customHeight="1" x14ac:dyDescent="0.35">
      <c r="A758" s="15" t="s">
        <v>257</v>
      </c>
      <c r="B758" s="15" t="s">
        <v>257</v>
      </c>
      <c r="C758" s="15"/>
      <c r="D758" s="15"/>
      <c r="E758" s="16"/>
      <c r="F758" s="15" t="s">
        <v>257</v>
      </c>
      <c r="G758" s="32"/>
      <c r="H758" s="27"/>
      <c r="I758" s="27"/>
      <c r="J758" s="27"/>
      <c r="K758" s="23" t="str">
        <f ca="1">IFERROR(__xludf.DUMMYFUNCTION("""COMPUTED_VALUE"""),"")</f>
        <v/>
      </c>
      <c r="L758" s="22"/>
      <c r="M758" s="23"/>
      <c r="N758" s="23"/>
      <c r="O758" s="23"/>
      <c r="P758" s="23"/>
      <c r="Q758" s="24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2"/>
      <c r="AD758" s="23"/>
      <c r="AE758" s="23"/>
      <c r="AF758" s="22"/>
      <c r="AG758" s="22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</row>
    <row r="759" spans="1:45" ht="27.75" customHeight="1" x14ac:dyDescent="0.35">
      <c r="A759" s="15" t="s">
        <v>257</v>
      </c>
      <c r="B759" s="15" t="s">
        <v>257</v>
      </c>
      <c r="C759" s="15"/>
      <c r="D759" s="15"/>
      <c r="E759" s="16"/>
      <c r="F759" s="15" t="s">
        <v>257</v>
      </c>
      <c r="G759" s="32"/>
      <c r="H759" s="27"/>
      <c r="I759" s="27"/>
      <c r="J759" s="27"/>
      <c r="K759" s="23" t="str">
        <f ca="1">IFERROR(__xludf.DUMMYFUNCTION("""COMPUTED_VALUE"""),"")</f>
        <v/>
      </c>
      <c r="L759" s="22"/>
      <c r="M759" s="23"/>
      <c r="N759" s="23"/>
      <c r="O759" s="23"/>
      <c r="P759" s="23"/>
      <c r="Q759" s="24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2"/>
      <c r="AD759" s="23"/>
      <c r="AE759" s="23"/>
      <c r="AF759" s="22"/>
      <c r="AG759" s="22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</row>
    <row r="760" spans="1:45" ht="27.75" customHeight="1" x14ac:dyDescent="0.35">
      <c r="A760" s="15" t="s">
        <v>257</v>
      </c>
      <c r="B760" s="15" t="s">
        <v>257</v>
      </c>
      <c r="C760" s="15"/>
      <c r="D760" s="15"/>
      <c r="E760" s="16"/>
      <c r="F760" s="15" t="s">
        <v>257</v>
      </c>
      <c r="G760" s="32"/>
      <c r="H760" s="27"/>
      <c r="I760" s="27"/>
      <c r="J760" s="27"/>
      <c r="K760" s="23" t="str">
        <f ca="1">IFERROR(__xludf.DUMMYFUNCTION("""COMPUTED_VALUE"""),"")</f>
        <v/>
      </c>
      <c r="L760" s="22"/>
      <c r="M760" s="23"/>
      <c r="N760" s="23"/>
      <c r="O760" s="23"/>
      <c r="P760" s="23"/>
      <c r="Q760" s="24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2"/>
      <c r="AD760" s="23"/>
      <c r="AE760" s="23"/>
      <c r="AF760" s="22"/>
      <c r="AG760" s="22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</row>
    <row r="761" spans="1:45" ht="27.75" customHeight="1" x14ac:dyDescent="0.35">
      <c r="A761" s="15" t="s">
        <v>257</v>
      </c>
      <c r="B761" s="15" t="s">
        <v>257</v>
      </c>
      <c r="C761" s="15"/>
      <c r="D761" s="15"/>
      <c r="E761" s="16"/>
      <c r="F761" s="15" t="s">
        <v>257</v>
      </c>
      <c r="G761" s="32"/>
      <c r="H761" s="27"/>
      <c r="I761" s="27"/>
      <c r="J761" s="27"/>
      <c r="K761" s="23" t="str">
        <f ca="1">IFERROR(__xludf.DUMMYFUNCTION("""COMPUTED_VALUE"""),"")</f>
        <v/>
      </c>
      <c r="L761" s="22"/>
      <c r="M761" s="23"/>
      <c r="N761" s="23"/>
      <c r="O761" s="23"/>
      <c r="P761" s="23"/>
      <c r="Q761" s="24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2"/>
      <c r="AD761" s="23"/>
      <c r="AE761" s="23"/>
      <c r="AF761" s="22"/>
      <c r="AG761" s="22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</row>
    <row r="762" spans="1:45" ht="27.75" customHeight="1" x14ac:dyDescent="0.35">
      <c r="A762" s="15" t="s">
        <v>257</v>
      </c>
      <c r="B762" s="15" t="s">
        <v>257</v>
      </c>
      <c r="C762" s="15"/>
      <c r="D762" s="15"/>
      <c r="E762" s="16"/>
      <c r="F762" s="15" t="s">
        <v>257</v>
      </c>
      <c r="G762" s="32"/>
      <c r="H762" s="27"/>
      <c r="I762" s="27"/>
      <c r="J762" s="27"/>
      <c r="K762" s="23" t="str">
        <f ca="1">IFERROR(__xludf.DUMMYFUNCTION("""COMPUTED_VALUE"""),"")</f>
        <v/>
      </c>
      <c r="L762" s="22"/>
      <c r="M762" s="23"/>
      <c r="N762" s="23"/>
      <c r="O762" s="23"/>
      <c r="P762" s="23"/>
      <c r="Q762" s="24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2"/>
      <c r="AD762" s="23"/>
      <c r="AE762" s="23"/>
      <c r="AF762" s="22"/>
      <c r="AG762" s="22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</row>
    <row r="763" spans="1:45" ht="27.75" customHeight="1" x14ac:dyDescent="0.35">
      <c r="A763" s="15" t="s">
        <v>257</v>
      </c>
      <c r="B763" s="15" t="s">
        <v>257</v>
      </c>
      <c r="C763" s="15"/>
      <c r="D763" s="15"/>
      <c r="E763" s="16"/>
      <c r="F763" s="15" t="s">
        <v>257</v>
      </c>
      <c r="G763" s="32"/>
      <c r="H763" s="27"/>
      <c r="I763" s="27"/>
      <c r="J763" s="27"/>
      <c r="K763" s="23" t="str">
        <f ca="1">IFERROR(__xludf.DUMMYFUNCTION("""COMPUTED_VALUE"""),"")</f>
        <v/>
      </c>
      <c r="L763" s="22"/>
      <c r="M763" s="23"/>
      <c r="N763" s="23"/>
      <c r="O763" s="23"/>
      <c r="P763" s="23"/>
      <c r="Q763" s="24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2"/>
      <c r="AD763" s="23"/>
      <c r="AE763" s="23"/>
      <c r="AF763" s="22"/>
      <c r="AG763" s="22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</row>
    <row r="764" spans="1:45" ht="27.75" customHeight="1" x14ac:dyDescent="0.35">
      <c r="A764" s="15" t="s">
        <v>257</v>
      </c>
      <c r="B764" s="15" t="s">
        <v>257</v>
      </c>
      <c r="C764" s="15"/>
      <c r="D764" s="15"/>
      <c r="E764" s="16"/>
      <c r="F764" s="15" t="s">
        <v>257</v>
      </c>
      <c r="G764" s="32"/>
      <c r="H764" s="27"/>
      <c r="I764" s="27"/>
      <c r="J764" s="27"/>
      <c r="K764" s="23" t="str">
        <f ca="1">IFERROR(__xludf.DUMMYFUNCTION("""COMPUTED_VALUE"""),"")</f>
        <v/>
      </c>
      <c r="L764" s="22"/>
      <c r="M764" s="23"/>
      <c r="N764" s="23"/>
      <c r="O764" s="23"/>
      <c r="P764" s="23"/>
      <c r="Q764" s="24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2"/>
      <c r="AD764" s="23"/>
      <c r="AE764" s="23"/>
      <c r="AF764" s="22"/>
      <c r="AG764" s="22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</row>
    <row r="765" spans="1:45" ht="27.75" customHeight="1" x14ac:dyDescent="0.35">
      <c r="A765" s="15" t="s">
        <v>257</v>
      </c>
      <c r="B765" s="15" t="s">
        <v>257</v>
      </c>
      <c r="C765" s="15"/>
      <c r="D765" s="15"/>
      <c r="E765" s="16"/>
      <c r="F765" s="15" t="s">
        <v>257</v>
      </c>
      <c r="G765" s="32"/>
      <c r="H765" s="27"/>
      <c r="I765" s="27"/>
      <c r="J765" s="27"/>
      <c r="K765" s="23" t="str">
        <f ca="1">IFERROR(__xludf.DUMMYFUNCTION("""COMPUTED_VALUE"""),"")</f>
        <v/>
      </c>
      <c r="L765" s="22"/>
      <c r="M765" s="23"/>
      <c r="N765" s="23"/>
      <c r="O765" s="23"/>
      <c r="P765" s="23"/>
      <c r="Q765" s="24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2"/>
      <c r="AD765" s="23"/>
      <c r="AE765" s="23"/>
      <c r="AF765" s="22"/>
      <c r="AG765" s="22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</row>
    <row r="766" spans="1:45" ht="27.75" customHeight="1" x14ac:dyDescent="0.35">
      <c r="A766" s="15" t="s">
        <v>257</v>
      </c>
      <c r="B766" s="15" t="s">
        <v>257</v>
      </c>
      <c r="C766" s="15"/>
      <c r="D766" s="15"/>
      <c r="E766" s="16"/>
      <c r="F766" s="15" t="s">
        <v>257</v>
      </c>
      <c r="G766" s="32"/>
      <c r="H766" s="27"/>
      <c r="I766" s="27"/>
      <c r="J766" s="27"/>
      <c r="K766" s="23" t="str">
        <f ca="1">IFERROR(__xludf.DUMMYFUNCTION("""COMPUTED_VALUE"""),"")</f>
        <v/>
      </c>
      <c r="L766" s="22"/>
      <c r="M766" s="23"/>
      <c r="N766" s="23"/>
      <c r="O766" s="23"/>
      <c r="P766" s="23"/>
      <c r="Q766" s="24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2"/>
      <c r="AD766" s="23"/>
      <c r="AE766" s="23"/>
      <c r="AF766" s="22"/>
      <c r="AG766" s="22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</row>
    <row r="767" spans="1:45" ht="27.75" customHeight="1" x14ac:dyDescent="0.35">
      <c r="A767" s="15" t="s">
        <v>257</v>
      </c>
      <c r="B767" s="15" t="s">
        <v>257</v>
      </c>
      <c r="C767" s="15"/>
      <c r="D767" s="15"/>
      <c r="E767" s="16"/>
      <c r="F767" s="15" t="s">
        <v>257</v>
      </c>
      <c r="G767" s="32"/>
      <c r="H767" s="27"/>
      <c r="I767" s="27"/>
      <c r="J767" s="27"/>
      <c r="K767" s="23" t="str">
        <f ca="1">IFERROR(__xludf.DUMMYFUNCTION("""COMPUTED_VALUE"""),"")</f>
        <v/>
      </c>
      <c r="L767" s="22"/>
      <c r="M767" s="23"/>
      <c r="N767" s="23"/>
      <c r="O767" s="23"/>
      <c r="P767" s="23"/>
      <c r="Q767" s="24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2"/>
      <c r="AD767" s="23"/>
      <c r="AE767" s="23"/>
      <c r="AF767" s="22"/>
      <c r="AG767" s="22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</row>
    <row r="768" spans="1:45" ht="27.75" customHeight="1" x14ac:dyDescent="0.35">
      <c r="A768" s="15" t="s">
        <v>257</v>
      </c>
      <c r="B768" s="15" t="s">
        <v>257</v>
      </c>
      <c r="C768" s="15"/>
      <c r="D768" s="15"/>
      <c r="E768" s="16"/>
      <c r="F768" s="15" t="s">
        <v>257</v>
      </c>
      <c r="G768" s="32"/>
      <c r="H768" s="27"/>
      <c r="I768" s="27"/>
      <c r="J768" s="27"/>
      <c r="K768" s="23" t="str">
        <f ca="1">IFERROR(__xludf.DUMMYFUNCTION("""COMPUTED_VALUE"""),"")</f>
        <v/>
      </c>
      <c r="L768" s="22"/>
      <c r="M768" s="23"/>
      <c r="N768" s="23"/>
      <c r="O768" s="23"/>
      <c r="P768" s="23"/>
      <c r="Q768" s="24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2"/>
      <c r="AD768" s="23"/>
      <c r="AE768" s="23"/>
      <c r="AF768" s="22"/>
      <c r="AG768" s="22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</row>
    <row r="769" spans="1:45" ht="27.75" customHeight="1" x14ac:dyDescent="0.35">
      <c r="A769" s="15" t="s">
        <v>257</v>
      </c>
      <c r="B769" s="15" t="s">
        <v>257</v>
      </c>
      <c r="C769" s="15"/>
      <c r="D769" s="15"/>
      <c r="E769" s="16"/>
      <c r="F769" s="15" t="s">
        <v>257</v>
      </c>
      <c r="G769" s="32"/>
      <c r="H769" s="27"/>
      <c r="I769" s="27"/>
      <c r="J769" s="27"/>
      <c r="K769" s="23" t="str">
        <f ca="1">IFERROR(__xludf.DUMMYFUNCTION("""COMPUTED_VALUE"""),"")</f>
        <v/>
      </c>
      <c r="L769" s="22"/>
      <c r="M769" s="23"/>
      <c r="N769" s="23"/>
      <c r="O769" s="23"/>
      <c r="P769" s="23"/>
      <c r="Q769" s="24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2"/>
      <c r="AD769" s="23"/>
      <c r="AE769" s="23"/>
      <c r="AF769" s="22"/>
      <c r="AG769" s="22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</row>
    <row r="770" spans="1:45" ht="27.75" customHeight="1" x14ac:dyDescent="0.35">
      <c r="A770" s="15" t="s">
        <v>257</v>
      </c>
      <c r="B770" s="15" t="s">
        <v>257</v>
      </c>
      <c r="C770" s="15"/>
      <c r="D770" s="15"/>
      <c r="E770" s="16"/>
      <c r="F770" s="15" t="s">
        <v>257</v>
      </c>
      <c r="G770" s="32"/>
      <c r="H770" s="27"/>
      <c r="I770" s="27"/>
      <c r="J770" s="27"/>
      <c r="K770" s="23" t="str">
        <f ca="1">IFERROR(__xludf.DUMMYFUNCTION("""COMPUTED_VALUE"""),"")</f>
        <v/>
      </c>
      <c r="L770" s="22"/>
      <c r="M770" s="23"/>
      <c r="N770" s="23"/>
      <c r="O770" s="23"/>
      <c r="P770" s="23"/>
      <c r="Q770" s="24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2"/>
      <c r="AD770" s="23"/>
      <c r="AE770" s="23"/>
      <c r="AF770" s="22"/>
      <c r="AG770" s="22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</row>
    <row r="771" spans="1:45" ht="27.75" customHeight="1" x14ac:dyDescent="0.35">
      <c r="A771" s="15" t="s">
        <v>257</v>
      </c>
      <c r="B771" s="15" t="s">
        <v>257</v>
      </c>
      <c r="C771" s="15"/>
      <c r="D771" s="15"/>
      <c r="E771" s="16"/>
      <c r="F771" s="15" t="s">
        <v>257</v>
      </c>
      <c r="G771" s="32"/>
      <c r="H771" s="27"/>
      <c r="I771" s="27"/>
      <c r="J771" s="27"/>
      <c r="K771" s="23" t="str">
        <f ca="1">IFERROR(__xludf.DUMMYFUNCTION("""COMPUTED_VALUE"""),"")</f>
        <v/>
      </c>
      <c r="L771" s="22"/>
      <c r="M771" s="23"/>
      <c r="N771" s="23"/>
      <c r="O771" s="23"/>
      <c r="P771" s="23"/>
      <c r="Q771" s="24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2"/>
      <c r="AD771" s="23"/>
      <c r="AE771" s="23"/>
      <c r="AF771" s="22"/>
      <c r="AG771" s="22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</row>
    <row r="772" spans="1:45" ht="27.75" customHeight="1" x14ac:dyDescent="0.35">
      <c r="A772" s="15" t="s">
        <v>257</v>
      </c>
      <c r="B772" s="15" t="s">
        <v>257</v>
      </c>
      <c r="C772" s="15"/>
      <c r="D772" s="15"/>
      <c r="E772" s="16"/>
      <c r="F772" s="15" t="s">
        <v>257</v>
      </c>
      <c r="G772" s="32"/>
      <c r="H772" s="27"/>
      <c r="I772" s="27"/>
      <c r="J772" s="27"/>
      <c r="K772" s="23" t="str">
        <f ca="1">IFERROR(__xludf.DUMMYFUNCTION("""COMPUTED_VALUE"""),"")</f>
        <v/>
      </c>
      <c r="L772" s="22"/>
      <c r="M772" s="23"/>
      <c r="N772" s="23"/>
      <c r="O772" s="23"/>
      <c r="P772" s="23"/>
      <c r="Q772" s="24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2"/>
      <c r="AD772" s="23"/>
      <c r="AE772" s="23"/>
      <c r="AF772" s="22"/>
      <c r="AG772" s="22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</row>
    <row r="773" spans="1:45" ht="27.75" customHeight="1" x14ac:dyDescent="0.35">
      <c r="A773" s="15" t="s">
        <v>257</v>
      </c>
      <c r="B773" s="15" t="s">
        <v>257</v>
      </c>
      <c r="C773" s="15"/>
      <c r="D773" s="15"/>
      <c r="E773" s="16"/>
      <c r="F773" s="15" t="s">
        <v>257</v>
      </c>
      <c r="G773" s="32"/>
      <c r="H773" s="27"/>
      <c r="I773" s="27"/>
      <c r="J773" s="27"/>
      <c r="K773" s="23" t="str">
        <f ca="1">IFERROR(__xludf.DUMMYFUNCTION("""COMPUTED_VALUE"""),"")</f>
        <v/>
      </c>
      <c r="L773" s="22"/>
      <c r="M773" s="23"/>
      <c r="N773" s="23"/>
      <c r="O773" s="23"/>
      <c r="P773" s="23"/>
      <c r="Q773" s="24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2"/>
      <c r="AD773" s="23"/>
      <c r="AE773" s="23"/>
      <c r="AF773" s="22"/>
      <c r="AG773" s="22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</row>
    <row r="774" spans="1:45" ht="27.75" customHeight="1" x14ac:dyDescent="0.35">
      <c r="A774" s="15" t="s">
        <v>257</v>
      </c>
      <c r="B774" s="15" t="s">
        <v>257</v>
      </c>
      <c r="C774" s="15"/>
      <c r="D774" s="15"/>
      <c r="E774" s="16"/>
      <c r="F774" s="15" t="s">
        <v>257</v>
      </c>
      <c r="G774" s="32"/>
      <c r="H774" s="27"/>
      <c r="I774" s="27"/>
      <c r="J774" s="27"/>
      <c r="K774" s="23" t="str">
        <f ca="1">IFERROR(__xludf.DUMMYFUNCTION("""COMPUTED_VALUE"""),"")</f>
        <v/>
      </c>
      <c r="L774" s="22"/>
      <c r="M774" s="23"/>
      <c r="N774" s="23"/>
      <c r="O774" s="23"/>
      <c r="P774" s="23"/>
      <c r="Q774" s="24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2"/>
      <c r="AD774" s="23"/>
      <c r="AE774" s="23"/>
      <c r="AF774" s="22"/>
      <c r="AG774" s="22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</row>
    <row r="775" spans="1:45" ht="27.75" customHeight="1" x14ac:dyDescent="0.35">
      <c r="A775" s="15" t="s">
        <v>257</v>
      </c>
      <c r="B775" s="15" t="s">
        <v>257</v>
      </c>
      <c r="C775" s="15"/>
      <c r="D775" s="15"/>
      <c r="E775" s="16"/>
      <c r="F775" s="15" t="s">
        <v>257</v>
      </c>
      <c r="G775" s="32"/>
      <c r="H775" s="27"/>
      <c r="I775" s="27"/>
      <c r="J775" s="27"/>
      <c r="K775" s="23" t="str">
        <f ca="1">IFERROR(__xludf.DUMMYFUNCTION("""COMPUTED_VALUE"""),"")</f>
        <v/>
      </c>
      <c r="L775" s="22"/>
      <c r="M775" s="23"/>
      <c r="N775" s="23"/>
      <c r="O775" s="23"/>
      <c r="P775" s="23"/>
      <c r="Q775" s="24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2"/>
      <c r="AD775" s="23"/>
      <c r="AE775" s="23"/>
      <c r="AF775" s="22"/>
      <c r="AG775" s="22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</row>
    <row r="776" spans="1:45" ht="27.75" customHeight="1" x14ac:dyDescent="0.35">
      <c r="A776" s="15" t="s">
        <v>257</v>
      </c>
      <c r="B776" s="15" t="s">
        <v>257</v>
      </c>
      <c r="C776" s="15"/>
      <c r="D776" s="15"/>
      <c r="E776" s="16"/>
      <c r="F776" s="15" t="s">
        <v>257</v>
      </c>
      <c r="G776" s="32"/>
      <c r="H776" s="27"/>
      <c r="I776" s="27"/>
      <c r="J776" s="27"/>
      <c r="K776" s="23" t="str">
        <f ca="1">IFERROR(__xludf.DUMMYFUNCTION("""COMPUTED_VALUE"""),"")</f>
        <v/>
      </c>
      <c r="L776" s="22"/>
      <c r="M776" s="23"/>
      <c r="N776" s="23"/>
      <c r="O776" s="23"/>
      <c r="P776" s="23"/>
      <c r="Q776" s="24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2"/>
      <c r="AD776" s="23"/>
      <c r="AE776" s="23"/>
      <c r="AF776" s="22"/>
      <c r="AG776" s="22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</row>
    <row r="777" spans="1:45" ht="27.75" customHeight="1" x14ac:dyDescent="0.35">
      <c r="A777" s="15" t="s">
        <v>257</v>
      </c>
      <c r="B777" s="15" t="s">
        <v>257</v>
      </c>
      <c r="C777" s="15"/>
      <c r="D777" s="15"/>
      <c r="E777" s="16"/>
      <c r="F777" s="15" t="s">
        <v>257</v>
      </c>
      <c r="G777" s="32"/>
      <c r="H777" s="27"/>
      <c r="I777" s="27"/>
      <c r="J777" s="27"/>
      <c r="K777" s="23" t="str">
        <f ca="1">IFERROR(__xludf.DUMMYFUNCTION("""COMPUTED_VALUE"""),"")</f>
        <v/>
      </c>
      <c r="L777" s="22"/>
      <c r="M777" s="23"/>
      <c r="N777" s="23"/>
      <c r="O777" s="23"/>
      <c r="P777" s="23"/>
      <c r="Q777" s="24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2"/>
      <c r="AD777" s="23"/>
      <c r="AE777" s="23"/>
      <c r="AF777" s="22"/>
      <c r="AG777" s="22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</row>
    <row r="778" spans="1:45" ht="27.75" customHeight="1" x14ac:dyDescent="0.35">
      <c r="A778" s="15" t="s">
        <v>257</v>
      </c>
      <c r="B778" s="15" t="s">
        <v>257</v>
      </c>
      <c r="C778" s="15"/>
      <c r="D778" s="15"/>
      <c r="E778" s="16"/>
      <c r="F778" s="15" t="s">
        <v>257</v>
      </c>
      <c r="G778" s="32"/>
      <c r="H778" s="27"/>
      <c r="I778" s="27"/>
      <c r="J778" s="27"/>
      <c r="K778" s="23" t="str">
        <f ca="1">IFERROR(__xludf.DUMMYFUNCTION("""COMPUTED_VALUE"""),"")</f>
        <v/>
      </c>
      <c r="L778" s="22"/>
      <c r="M778" s="23"/>
      <c r="N778" s="23"/>
      <c r="O778" s="23"/>
      <c r="P778" s="23"/>
      <c r="Q778" s="24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2"/>
      <c r="AD778" s="23"/>
      <c r="AE778" s="23"/>
      <c r="AF778" s="22"/>
      <c r="AG778" s="22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</row>
    <row r="779" spans="1:45" ht="27.75" customHeight="1" x14ac:dyDescent="0.35">
      <c r="A779" s="15" t="s">
        <v>257</v>
      </c>
      <c r="B779" s="15" t="s">
        <v>257</v>
      </c>
      <c r="C779" s="15"/>
      <c r="D779" s="15"/>
      <c r="E779" s="16"/>
      <c r="F779" s="15" t="s">
        <v>257</v>
      </c>
      <c r="G779" s="32"/>
      <c r="H779" s="27"/>
      <c r="I779" s="27"/>
      <c r="J779" s="27"/>
      <c r="K779" s="23" t="str">
        <f ca="1">IFERROR(__xludf.DUMMYFUNCTION("""COMPUTED_VALUE"""),"")</f>
        <v/>
      </c>
      <c r="L779" s="22"/>
      <c r="M779" s="23"/>
      <c r="N779" s="23"/>
      <c r="O779" s="23"/>
      <c r="P779" s="23"/>
      <c r="Q779" s="24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2"/>
      <c r="AD779" s="23"/>
      <c r="AE779" s="23"/>
      <c r="AF779" s="22"/>
      <c r="AG779" s="22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</row>
    <row r="780" spans="1:45" ht="27.75" customHeight="1" x14ac:dyDescent="0.35">
      <c r="A780" s="15" t="s">
        <v>257</v>
      </c>
      <c r="B780" s="15" t="s">
        <v>257</v>
      </c>
      <c r="C780" s="15"/>
      <c r="D780" s="15"/>
      <c r="E780" s="16"/>
      <c r="F780" s="15" t="s">
        <v>257</v>
      </c>
      <c r="G780" s="32"/>
      <c r="H780" s="27"/>
      <c r="I780" s="27"/>
      <c r="J780" s="27"/>
      <c r="K780" s="23" t="str">
        <f ca="1">IFERROR(__xludf.DUMMYFUNCTION("""COMPUTED_VALUE"""),"")</f>
        <v/>
      </c>
      <c r="L780" s="22"/>
      <c r="M780" s="23"/>
      <c r="N780" s="23"/>
      <c r="O780" s="23"/>
      <c r="P780" s="23"/>
      <c r="Q780" s="24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2"/>
      <c r="AD780" s="23"/>
      <c r="AE780" s="23"/>
      <c r="AF780" s="22"/>
      <c r="AG780" s="22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</row>
    <row r="781" spans="1:45" ht="27.75" customHeight="1" x14ac:dyDescent="0.35">
      <c r="A781" s="15" t="s">
        <v>257</v>
      </c>
      <c r="B781" s="15" t="s">
        <v>257</v>
      </c>
      <c r="C781" s="15"/>
      <c r="D781" s="15"/>
      <c r="E781" s="16"/>
      <c r="F781" s="15" t="s">
        <v>257</v>
      </c>
      <c r="G781" s="32"/>
      <c r="H781" s="27"/>
      <c r="I781" s="27"/>
      <c r="J781" s="27"/>
      <c r="K781" s="23" t="str">
        <f ca="1">IFERROR(__xludf.DUMMYFUNCTION("""COMPUTED_VALUE"""),"")</f>
        <v/>
      </c>
      <c r="L781" s="22"/>
      <c r="M781" s="23"/>
      <c r="N781" s="23"/>
      <c r="O781" s="23"/>
      <c r="P781" s="23"/>
      <c r="Q781" s="24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2"/>
      <c r="AD781" s="23"/>
      <c r="AE781" s="23"/>
      <c r="AF781" s="22"/>
      <c r="AG781" s="22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</row>
    <row r="782" spans="1:45" ht="27.75" customHeight="1" x14ac:dyDescent="0.35">
      <c r="A782" s="15" t="s">
        <v>257</v>
      </c>
      <c r="B782" s="15" t="s">
        <v>257</v>
      </c>
      <c r="C782" s="15"/>
      <c r="D782" s="15"/>
      <c r="E782" s="16"/>
      <c r="F782" s="15" t="s">
        <v>257</v>
      </c>
      <c r="G782" s="32"/>
      <c r="H782" s="27"/>
      <c r="I782" s="27"/>
      <c r="J782" s="27"/>
      <c r="K782" s="23" t="str">
        <f ca="1">IFERROR(__xludf.DUMMYFUNCTION("""COMPUTED_VALUE"""),"")</f>
        <v/>
      </c>
      <c r="L782" s="22"/>
      <c r="M782" s="23"/>
      <c r="N782" s="23"/>
      <c r="O782" s="23"/>
      <c r="P782" s="23"/>
      <c r="Q782" s="24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2"/>
      <c r="AD782" s="23"/>
      <c r="AE782" s="23"/>
      <c r="AF782" s="22"/>
      <c r="AG782" s="22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</row>
    <row r="783" spans="1:45" ht="27.75" customHeight="1" x14ac:dyDescent="0.35">
      <c r="A783" s="15" t="s">
        <v>257</v>
      </c>
      <c r="B783" s="15" t="s">
        <v>257</v>
      </c>
      <c r="C783" s="15"/>
      <c r="D783" s="15"/>
      <c r="E783" s="16"/>
      <c r="F783" s="15" t="s">
        <v>257</v>
      </c>
      <c r="G783" s="32"/>
      <c r="H783" s="27"/>
      <c r="I783" s="27"/>
      <c r="J783" s="27"/>
      <c r="K783" s="23" t="str">
        <f ca="1">IFERROR(__xludf.DUMMYFUNCTION("""COMPUTED_VALUE"""),"")</f>
        <v/>
      </c>
      <c r="L783" s="22"/>
      <c r="M783" s="23"/>
      <c r="N783" s="23"/>
      <c r="O783" s="23"/>
      <c r="P783" s="23"/>
      <c r="Q783" s="24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2"/>
      <c r="AD783" s="23"/>
      <c r="AE783" s="23"/>
      <c r="AF783" s="22"/>
      <c r="AG783" s="22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</row>
    <row r="784" spans="1:45" ht="27.75" customHeight="1" x14ac:dyDescent="0.35">
      <c r="A784" s="15" t="s">
        <v>257</v>
      </c>
      <c r="B784" s="15" t="s">
        <v>257</v>
      </c>
      <c r="C784" s="15"/>
      <c r="D784" s="15"/>
      <c r="E784" s="16"/>
      <c r="F784" s="15" t="s">
        <v>257</v>
      </c>
      <c r="G784" s="32"/>
      <c r="H784" s="27"/>
      <c r="I784" s="27"/>
      <c r="J784" s="27"/>
      <c r="K784" s="23" t="str">
        <f ca="1">IFERROR(__xludf.DUMMYFUNCTION("""COMPUTED_VALUE"""),"")</f>
        <v/>
      </c>
      <c r="L784" s="22"/>
      <c r="M784" s="23"/>
      <c r="N784" s="23"/>
      <c r="O784" s="23"/>
      <c r="P784" s="23"/>
      <c r="Q784" s="24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2"/>
      <c r="AD784" s="23"/>
      <c r="AE784" s="23"/>
      <c r="AF784" s="22"/>
      <c r="AG784" s="22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</row>
    <row r="785" spans="1:45" ht="27.75" customHeight="1" x14ac:dyDescent="0.35">
      <c r="A785" s="15" t="s">
        <v>257</v>
      </c>
      <c r="B785" s="15" t="s">
        <v>257</v>
      </c>
      <c r="C785" s="15"/>
      <c r="D785" s="15"/>
      <c r="E785" s="16"/>
      <c r="F785" s="15" t="s">
        <v>257</v>
      </c>
      <c r="G785" s="32"/>
      <c r="H785" s="27"/>
      <c r="I785" s="27"/>
      <c r="J785" s="27"/>
      <c r="K785" s="23" t="str">
        <f ca="1">IFERROR(__xludf.DUMMYFUNCTION("""COMPUTED_VALUE"""),"")</f>
        <v/>
      </c>
      <c r="L785" s="22"/>
      <c r="M785" s="23"/>
      <c r="N785" s="23"/>
      <c r="O785" s="23"/>
      <c r="P785" s="23"/>
      <c r="Q785" s="24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2"/>
      <c r="AD785" s="23"/>
      <c r="AE785" s="23"/>
      <c r="AF785" s="22"/>
      <c r="AG785" s="22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</row>
    <row r="786" spans="1:45" ht="27.75" customHeight="1" x14ac:dyDescent="0.35">
      <c r="A786" s="15" t="s">
        <v>257</v>
      </c>
      <c r="B786" s="15" t="s">
        <v>257</v>
      </c>
      <c r="C786" s="15"/>
      <c r="D786" s="15"/>
      <c r="E786" s="16"/>
      <c r="F786" s="15" t="s">
        <v>257</v>
      </c>
      <c r="G786" s="32"/>
      <c r="H786" s="27"/>
      <c r="I786" s="27"/>
      <c r="J786" s="27"/>
      <c r="K786" s="23" t="str">
        <f ca="1">IFERROR(__xludf.DUMMYFUNCTION("""COMPUTED_VALUE"""),"")</f>
        <v/>
      </c>
      <c r="L786" s="22"/>
      <c r="M786" s="23"/>
      <c r="N786" s="23"/>
      <c r="O786" s="23"/>
      <c r="P786" s="23"/>
      <c r="Q786" s="24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2"/>
      <c r="AD786" s="23"/>
      <c r="AE786" s="23"/>
      <c r="AF786" s="22"/>
      <c r="AG786" s="22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</row>
    <row r="787" spans="1:45" ht="27.75" customHeight="1" x14ac:dyDescent="0.35">
      <c r="A787" s="15" t="s">
        <v>257</v>
      </c>
      <c r="B787" s="15" t="s">
        <v>257</v>
      </c>
      <c r="C787" s="15"/>
      <c r="D787" s="15"/>
      <c r="E787" s="16"/>
      <c r="F787" s="15" t="s">
        <v>257</v>
      </c>
      <c r="G787" s="32"/>
      <c r="H787" s="27"/>
      <c r="I787" s="27"/>
      <c r="J787" s="27"/>
      <c r="K787" s="23" t="str">
        <f ca="1">IFERROR(__xludf.DUMMYFUNCTION("""COMPUTED_VALUE"""),"")</f>
        <v/>
      </c>
      <c r="L787" s="22"/>
      <c r="M787" s="23"/>
      <c r="N787" s="23"/>
      <c r="O787" s="23"/>
      <c r="P787" s="23"/>
      <c r="Q787" s="24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2"/>
      <c r="AD787" s="23"/>
      <c r="AE787" s="23"/>
      <c r="AF787" s="22"/>
      <c r="AG787" s="22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</row>
    <row r="788" spans="1:45" ht="27.75" customHeight="1" x14ac:dyDescent="0.35">
      <c r="A788" s="15" t="s">
        <v>257</v>
      </c>
      <c r="B788" s="15" t="s">
        <v>257</v>
      </c>
      <c r="C788" s="15"/>
      <c r="D788" s="15"/>
      <c r="E788" s="16"/>
      <c r="F788" s="15" t="s">
        <v>257</v>
      </c>
      <c r="G788" s="32"/>
      <c r="H788" s="27"/>
      <c r="I788" s="27"/>
      <c r="J788" s="27"/>
      <c r="K788" s="23" t="str">
        <f ca="1">IFERROR(__xludf.DUMMYFUNCTION("""COMPUTED_VALUE"""),"")</f>
        <v/>
      </c>
      <c r="L788" s="22"/>
      <c r="M788" s="23"/>
      <c r="N788" s="23"/>
      <c r="O788" s="23"/>
      <c r="P788" s="23"/>
      <c r="Q788" s="24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2"/>
      <c r="AD788" s="23"/>
      <c r="AE788" s="23"/>
      <c r="AF788" s="22"/>
      <c r="AG788" s="22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</row>
    <row r="789" spans="1:45" ht="27.75" customHeight="1" x14ac:dyDescent="0.35">
      <c r="A789" s="15" t="s">
        <v>257</v>
      </c>
      <c r="B789" s="15" t="s">
        <v>257</v>
      </c>
      <c r="C789" s="15"/>
      <c r="D789" s="15"/>
      <c r="E789" s="16"/>
      <c r="F789" s="15" t="s">
        <v>257</v>
      </c>
      <c r="G789" s="32"/>
      <c r="H789" s="27"/>
      <c r="I789" s="27"/>
      <c r="J789" s="27"/>
      <c r="K789" s="23" t="str">
        <f ca="1">IFERROR(__xludf.DUMMYFUNCTION("""COMPUTED_VALUE"""),"")</f>
        <v/>
      </c>
      <c r="L789" s="22"/>
      <c r="M789" s="23"/>
      <c r="N789" s="23"/>
      <c r="O789" s="23"/>
      <c r="P789" s="23"/>
      <c r="Q789" s="24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2"/>
      <c r="AD789" s="23"/>
      <c r="AE789" s="23"/>
      <c r="AF789" s="22"/>
      <c r="AG789" s="22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</row>
    <row r="790" spans="1:45" ht="27.75" customHeight="1" x14ac:dyDescent="0.35">
      <c r="A790" s="15" t="s">
        <v>257</v>
      </c>
      <c r="B790" s="15" t="s">
        <v>257</v>
      </c>
      <c r="C790" s="15"/>
      <c r="D790" s="15"/>
      <c r="E790" s="16"/>
      <c r="F790" s="15" t="s">
        <v>257</v>
      </c>
      <c r="G790" s="32"/>
      <c r="H790" s="27"/>
      <c r="I790" s="27"/>
      <c r="J790" s="27"/>
      <c r="K790" s="23" t="str">
        <f ca="1">IFERROR(__xludf.DUMMYFUNCTION("""COMPUTED_VALUE"""),"")</f>
        <v/>
      </c>
      <c r="L790" s="22"/>
      <c r="M790" s="23"/>
      <c r="N790" s="23"/>
      <c r="O790" s="23"/>
      <c r="P790" s="23"/>
      <c r="Q790" s="24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2"/>
      <c r="AD790" s="23"/>
      <c r="AE790" s="23"/>
      <c r="AF790" s="22"/>
      <c r="AG790" s="22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</row>
    <row r="791" spans="1:45" ht="27.75" customHeight="1" x14ac:dyDescent="0.35">
      <c r="A791" s="15" t="s">
        <v>257</v>
      </c>
      <c r="B791" s="15" t="s">
        <v>257</v>
      </c>
      <c r="C791" s="15"/>
      <c r="D791" s="15"/>
      <c r="E791" s="16"/>
      <c r="F791" s="15" t="s">
        <v>257</v>
      </c>
      <c r="G791" s="32"/>
      <c r="H791" s="27"/>
      <c r="I791" s="27"/>
      <c r="J791" s="27"/>
      <c r="K791" s="23" t="str">
        <f ca="1">IFERROR(__xludf.DUMMYFUNCTION("""COMPUTED_VALUE"""),"")</f>
        <v/>
      </c>
      <c r="L791" s="22"/>
      <c r="M791" s="23"/>
      <c r="N791" s="23"/>
      <c r="O791" s="23"/>
      <c r="P791" s="23"/>
      <c r="Q791" s="24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2"/>
      <c r="AD791" s="23"/>
      <c r="AE791" s="23"/>
      <c r="AF791" s="22"/>
      <c r="AG791" s="22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</row>
    <row r="792" spans="1:45" ht="27.75" customHeight="1" x14ac:dyDescent="0.35">
      <c r="A792" s="15" t="s">
        <v>257</v>
      </c>
      <c r="B792" s="15" t="s">
        <v>257</v>
      </c>
      <c r="C792" s="15"/>
      <c r="D792" s="15"/>
      <c r="E792" s="16"/>
      <c r="F792" s="15" t="s">
        <v>257</v>
      </c>
      <c r="G792" s="32"/>
      <c r="H792" s="27"/>
      <c r="I792" s="27"/>
      <c r="J792" s="27"/>
      <c r="K792" s="23" t="str">
        <f ca="1">IFERROR(__xludf.DUMMYFUNCTION("""COMPUTED_VALUE"""),"")</f>
        <v/>
      </c>
      <c r="L792" s="22"/>
      <c r="M792" s="23"/>
      <c r="N792" s="23"/>
      <c r="O792" s="23"/>
      <c r="P792" s="23"/>
      <c r="Q792" s="24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2"/>
      <c r="AD792" s="23"/>
      <c r="AE792" s="23"/>
      <c r="AF792" s="22"/>
      <c r="AG792" s="22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</row>
    <row r="793" spans="1:45" ht="27.75" customHeight="1" x14ac:dyDescent="0.35">
      <c r="A793" s="15" t="s">
        <v>257</v>
      </c>
      <c r="B793" s="15" t="s">
        <v>257</v>
      </c>
      <c r="C793" s="15"/>
      <c r="D793" s="15"/>
      <c r="E793" s="16"/>
      <c r="F793" s="15" t="s">
        <v>257</v>
      </c>
      <c r="G793" s="32"/>
      <c r="H793" s="27"/>
      <c r="I793" s="27"/>
      <c r="J793" s="27"/>
      <c r="K793" s="23" t="str">
        <f ca="1">IFERROR(__xludf.DUMMYFUNCTION("""COMPUTED_VALUE"""),"")</f>
        <v/>
      </c>
      <c r="L793" s="22"/>
      <c r="M793" s="23"/>
      <c r="N793" s="23"/>
      <c r="O793" s="23"/>
      <c r="P793" s="23"/>
      <c r="Q793" s="24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2"/>
      <c r="AD793" s="23"/>
      <c r="AE793" s="23"/>
      <c r="AF793" s="22"/>
      <c r="AG793" s="22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</row>
    <row r="794" spans="1:45" ht="27.75" customHeight="1" x14ac:dyDescent="0.35">
      <c r="A794" s="15" t="s">
        <v>257</v>
      </c>
      <c r="B794" s="15" t="s">
        <v>257</v>
      </c>
      <c r="C794" s="15"/>
      <c r="D794" s="15"/>
      <c r="E794" s="16"/>
      <c r="F794" s="15" t="s">
        <v>257</v>
      </c>
      <c r="G794" s="32"/>
      <c r="H794" s="27"/>
      <c r="I794" s="27"/>
      <c r="J794" s="27"/>
      <c r="K794" s="23" t="str">
        <f ca="1">IFERROR(__xludf.DUMMYFUNCTION("""COMPUTED_VALUE"""),"")</f>
        <v/>
      </c>
      <c r="L794" s="22"/>
      <c r="M794" s="23"/>
      <c r="N794" s="23"/>
      <c r="O794" s="23"/>
      <c r="P794" s="23"/>
      <c r="Q794" s="24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2"/>
      <c r="AD794" s="23"/>
      <c r="AE794" s="23"/>
      <c r="AF794" s="22"/>
      <c r="AG794" s="22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</row>
    <row r="795" spans="1:45" ht="27.75" customHeight="1" x14ac:dyDescent="0.35">
      <c r="A795" s="15" t="s">
        <v>257</v>
      </c>
      <c r="B795" s="15" t="s">
        <v>257</v>
      </c>
      <c r="C795" s="15"/>
      <c r="D795" s="15"/>
      <c r="E795" s="16"/>
      <c r="F795" s="15" t="s">
        <v>257</v>
      </c>
      <c r="G795" s="32"/>
      <c r="H795" s="27"/>
      <c r="I795" s="27"/>
      <c r="J795" s="27"/>
      <c r="K795" s="23" t="str">
        <f ca="1">IFERROR(__xludf.DUMMYFUNCTION("""COMPUTED_VALUE"""),"")</f>
        <v/>
      </c>
      <c r="L795" s="22"/>
      <c r="M795" s="23"/>
      <c r="N795" s="23"/>
      <c r="O795" s="23"/>
      <c r="P795" s="23"/>
      <c r="Q795" s="24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2"/>
      <c r="AD795" s="23"/>
      <c r="AE795" s="23"/>
      <c r="AF795" s="22"/>
      <c r="AG795" s="22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</row>
    <row r="796" spans="1:45" ht="27.75" customHeight="1" x14ac:dyDescent="0.35">
      <c r="A796" s="15" t="s">
        <v>257</v>
      </c>
      <c r="B796" s="15" t="s">
        <v>257</v>
      </c>
      <c r="C796" s="15"/>
      <c r="D796" s="15"/>
      <c r="E796" s="16"/>
      <c r="F796" s="15" t="s">
        <v>257</v>
      </c>
      <c r="G796" s="32"/>
      <c r="H796" s="27"/>
      <c r="I796" s="27"/>
      <c r="J796" s="27"/>
      <c r="K796" s="23" t="str">
        <f ca="1">IFERROR(__xludf.DUMMYFUNCTION("""COMPUTED_VALUE"""),"")</f>
        <v/>
      </c>
      <c r="L796" s="22"/>
      <c r="M796" s="23"/>
      <c r="N796" s="23"/>
      <c r="O796" s="23"/>
      <c r="P796" s="23"/>
      <c r="Q796" s="24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2"/>
      <c r="AD796" s="23"/>
      <c r="AE796" s="23"/>
      <c r="AF796" s="22"/>
      <c r="AG796" s="22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</row>
    <row r="797" spans="1:45" ht="27.75" customHeight="1" x14ac:dyDescent="0.35">
      <c r="A797" s="15" t="s">
        <v>257</v>
      </c>
      <c r="B797" s="15" t="s">
        <v>257</v>
      </c>
      <c r="C797" s="15"/>
      <c r="D797" s="15"/>
      <c r="E797" s="16"/>
      <c r="F797" s="15" t="s">
        <v>257</v>
      </c>
      <c r="G797" s="32"/>
      <c r="H797" s="27"/>
      <c r="I797" s="27"/>
      <c r="J797" s="27"/>
      <c r="K797" s="23" t="str">
        <f ca="1">IFERROR(__xludf.DUMMYFUNCTION("""COMPUTED_VALUE"""),"")</f>
        <v/>
      </c>
      <c r="L797" s="22"/>
      <c r="M797" s="23"/>
      <c r="N797" s="23"/>
      <c r="O797" s="23"/>
      <c r="P797" s="23"/>
      <c r="Q797" s="24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2"/>
      <c r="AD797" s="23"/>
      <c r="AE797" s="23"/>
      <c r="AF797" s="22"/>
      <c r="AG797" s="22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</row>
    <row r="798" spans="1:45" ht="27.75" customHeight="1" x14ac:dyDescent="0.35">
      <c r="A798" s="15" t="s">
        <v>257</v>
      </c>
      <c r="B798" s="15" t="s">
        <v>257</v>
      </c>
      <c r="C798" s="15"/>
      <c r="D798" s="15"/>
      <c r="E798" s="16"/>
      <c r="F798" s="15" t="s">
        <v>257</v>
      </c>
      <c r="G798" s="32"/>
      <c r="H798" s="27"/>
      <c r="I798" s="27"/>
      <c r="J798" s="27"/>
      <c r="K798" s="23" t="str">
        <f ca="1">IFERROR(__xludf.DUMMYFUNCTION("""COMPUTED_VALUE"""),"")</f>
        <v/>
      </c>
      <c r="L798" s="22"/>
      <c r="M798" s="23"/>
      <c r="N798" s="23"/>
      <c r="O798" s="23"/>
      <c r="P798" s="23"/>
      <c r="Q798" s="24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2"/>
      <c r="AD798" s="23"/>
      <c r="AE798" s="23"/>
      <c r="AF798" s="22"/>
      <c r="AG798" s="22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</row>
    <row r="799" spans="1:45" ht="27.75" customHeight="1" x14ac:dyDescent="0.35">
      <c r="A799" s="15" t="s">
        <v>257</v>
      </c>
      <c r="B799" s="15" t="s">
        <v>257</v>
      </c>
      <c r="C799" s="15"/>
      <c r="D799" s="15"/>
      <c r="E799" s="16"/>
      <c r="F799" s="15" t="s">
        <v>257</v>
      </c>
      <c r="G799" s="32"/>
      <c r="H799" s="27"/>
      <c r="I799" s="27"/>
      <c r="J799" s="27"/>
      <c r="K799" s="23" t="str">
        <f ca="1">IFERROR(__xludf.DUMMYFUNCTION("""COMPUTED_VALUE"""),"")</f>
        <v/>
      </c>
      <c r="L799" s="22"/>
      <c r="M799" s="23"/>
      <c r="N799" s="23"/>
      <c r="O799" s="23"/>
      <c r="P799" s="23"/>
      <c r="Q799" s="24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2"/>
      <c r="AD799" s="23"/>
      <c r="AE799" s="23"/>
      <c r="AF799" s="22"/>
      <c r="AG799" s="22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</row>
    <row r="800" spans="1:45" ht="27.75" customHeight="1" x14ac:dyDescent="0.35">
      <c r="A800" s="15" t="s">
        <v>257</v>
      </c>
      <c r="B800" s="15" t="s">
        <v>257</v>
      </c>
      <c r="C800" s="15"/>
      <c r="D800" s="15"/>
      <c r="E800" s="16"/>
      <c r="F800" s="15" t="s">
        <v>257</v>
      </c>
      <c r="G800" s="32"/>
      <c r="H800" s="27"/>
      <c r="I800" s="27"/>
      <c r="J800" s="27"/>
      <c r="K800" s="23" t="str">
        <f ca="1">IFERROR(__xludf.DUMMYFUNCTION("""COMPUTED_VALUE"""),"")</f>
        <v/>
      </c>
      <c r="L800" s="22"/>
      <c r="M800" s="23"/>
      <c r="N800" s="23"/>
      <c r="O800" s="23"/>
      <c r="P800" s="23"/>
      <c r="Q800" s="24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2"/>
      <c r="AD800" s="23"/>
      <c r="AE800" s="23"/>
      <c r="AF800" s="22"/>
      <c r="AG800" s="22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</row>
    <row r="801" spans="1:45" ht="27.75" customHeight="1" x14ac:dyDescent="0.35">
      <c r="A801" s="15" t="s">
        <v>257</v>
      </c>
      <c r="B801" s="15" t="s">
        <v>257</v>
      </c>
      <c r="C801" s="15"/>
      <c r="D801" s="15"/>
      <c r="E801" s="16"/>
      <c r="F801" s="15" t="s">
        <v>257</v>
      </c>
      <c r="G801" s="32"/>
      <c r="H801" s="27"/>
      <c r="I801" s="27"/>
      <c r="J801" s="27"/>
      <c r="K801" s="23" t="str">
        <f ca="1">IFERROR(__xludf.DUMMYFUNCTION("""COMPUTED_VALUE"""),"")</f>
        <v/>
      </c>
      <c r="L801" s="22"/>
      <c r="M801" s="23"/>
      <c r="N801" s="23"/>
      <c r="O801" s="23"/>
      <c r="P801" s="23"/>
      <c r="Q801" s="24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2"/>
      <c r="AD801" s="23"/>
      <c r="AE801" s="23"/>
      <c r="AF801" s="22"/>
      <c r="AG801" s="22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</row>
    <row r="802" spans="1:45" ht="27.75" customHeight="1" x14ac:dyDescent="0.35">
      <c r="A802" s="15" t="s">
        <v>257</v>
      </c>
      <c r="B802" s="15" t="s">
        <v>257</v>
      </c>
      <c r="C802" s="15"/>
      <c r="D802" s="15"/>
      <c r="E802" s="16"/>
      <c r="F802" s="15" t="s">
        <v>257</v>
      </c>
      <c r="G802" s="32"/>
      <c r="H802" s="27"/>
      <c r="I802" s="27"/>
      <c r="J802" s="27"/>
      <c r="K802" s="23" t="str">
        <f ca="1">IFERROR(__xludf.DUMMYFUNCTION("""COMPUTED_VALUE"""),"")</f>
        <v/>
      </c>
      <c r="L802" s="22"/>
      <c r="M802" s="23"/>
      <c r="N802" s="23"/>
      <c r="O802" s="23"/>
      <c r="P802" s="23"/>
      <c r="Q802" s="24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2"/>
      <c r="AD802" s="23"/>
      <c r="AE802" s="23"/>
      <c r="AF802" s="22"/>
      <c r="AG802" s="22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</row>
    <row r="803" spans="1:45" ht="27.75" customHeight="1" x14ac:dyDescent="0.35">
      <c r="A803" s="15" t="s">
        <v>257</v>
      </c>
      <c r="B803" s="15" t="s">
        <v>257</v>
      </c>
      <c r="C803" s="15"/>
      <c r="D803" s="15"/>
      <c r="E803" s="16"/>
      <c r="F803" s="15" t="s">
        <v>257</v>
      </c>
      <c r="G803" s="32"/>
      <c r="H803" s="27"/>
      <c r="I803" s="27"/>
      <c r="J803" s="27"/>
      <c r="K803" s="23" t="str">
        <f ca="1">IFERROR(__xludf.DUMMYFUNCTION("""COMPUTED_VALUE"""),"")</f>
        <v/>
      </c>
      <c r="L803" s="22"/>
      <c r="M803" s="23"/>
      <c r="N803" s="23"/>
      <c r="O803" s="23"/>
      <c r="P803" s="23"/>
      <c r="Q803" s="24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2"/>
      <c r="AD803" s="23"/>
      <c r="AE803" s="23"/>
      <c r="AF803" s="22"/>
      <c r="AG803" s="22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</row>
    <row r="804" spans="1:45" ht="27.75" customHeight="1" x14ac:dyDescent="0.35">
      <c r="A804" s="15" t="s">
        <v>257</v>
      </c>
      <c r="B804" s="15" t="s">
        <v>257</v>
      </c>
      <c r="C804" s="15"/>
      <c r="D804" s="15"/>
      <c r="E804" s="16"/>
      <c r="F804" s="15" t="s">
        <v>257</v>
      </c>
      <c r="G804" s="32"/>
      <c r="H804" s="27"/>
      <c r="I804" s="27"/>
      <c r="J804" s="27"/>
      <c r="K804" s="23" t="str">
        <f ca="1">IFERROR(__xludf.DUMMYFUNCTION("""COMPUTED_VALUE"""),"")</f>
        <v/>
      </c>
      <c r="L804" s="22"/>
      <c r="M804" s="23"/>
      <c r="N804" s="23"/>
      <c r="O804" s="23"/>
      <c r="P804" s="23"/>
      <c r="Q804" s="24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2"/>
      <c r="AD804" s="23"/>
      <c r="AE804" s="23"/>
      <c r="AF804" s="22"/>
      <c r="AG804" s="22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</row>
    <row r="805" spans="1:45" ht="27.75" customHeight="1" x14ac:dyDescent="0.35">
      <c r="A805" s="15" t="s">
        <v>257</v>
      </c>
      <c r="B805" s="15" t="s">
        <v>257</v>
      </c>
      <c r="C805" s="15"/>
      <c r="D805" s="15"/>
      <c r="E805" s="16"/>
      <c r="F805" s="15" t="s">
        <v>257</v>
      </c>
      <c r="G805" s="32"/>
      <c r="H805" s="27"/>
      <c r="I805" s="27"/>
      <c r="J805" s="27"/>
      <c r="K805" s="23" t="str">
        <f ca="1">IFERROR(__xludf.DUMMYFUNCTION("""COMPUTED_VALUE"""),"")</f>
        <v/>
      </c>
      <c r="L805" s="22"/>
      <c r="M805" s="23"/>
      <c r="N805" s="23"/>
      <c r="O805" s="23"/>
      <c r="P805" s="23"/>
      <c r="Q805" s="24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2"/>
      <c r="AD805" s="23"/>
      <c r="AE805" s="23"/>
      <c r="AF805" s="22"/>
      <c r="AG805" s="22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</row>
    <row r="806" spans="1:45" ht="27.75" customHeight="1" x14ac:dyDescent="0.35">
      <c r="A806" s="15" t="s">
        <v>257</v>
      </c>
      <c r="B806" s="15" t="s">
        <v>257</v>
      </c>
      <c r="C806" s="15"/>
      <c r="D806" s="15"/>
      <c r="E806" s="16"/>
      <c r="F806" s="15" t="s">
        <v>257</v>
      </c>
      <c r="G806" s="32"/>
      <c r="H806" s="27"/>
      <c r="I806" s="27"/>
      <c r="J806" s="27"/>
      <c r="K806" s="23" t="str">
        <f ca="1">IFERROR(__xludf.DUMMYFUNCTION("""COMPUTED_VALUE"""),"")</f>
        <v/>
      </c>
      <c r="L806" s="22"/>
      <c r="M806" s="23"/>
      <c r="N806" s="23"/>
      <c r="O806" s="23"/>
      <c r="P806" s="23"/>
      <c r="Q806" s="24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2"/>
      <c r="AD806" s="23"/>
      <c r="AE806" s="23"/>
      <c r="AF806" s="22"/>
      <c r="AG806" s="22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</row>
    <row r="807" spans="1:45" ht="27.75" customHeight="1" x14ac:dyDescent="0.35">
      <c r="A807" s="15" t="s">
        <v>257</v>
      </c>
      <c r="B807" s="15" t="s">
        <v>257</v>
      </c>
      <c r="C807" s="15"/>
      <c r="D807" s="15"/>
      <c r="E807" s="16"/>
      <c r="F807" s="15" t="s">
        <v>257</v>
      </c>
      <c r="G807" s="32"/>
      <c r="H807" s="27"/>
      <c r="I807" s="27"/>
      <c r="J807" s="27"/>
      <c r="K807" s="23" t="str">
        <f ca="1">IFERROR(__xludf.DUMMYFUNCTION("""COMPUTED_VALUE"""),"")</f>
        <v/>
      </c>
      <c r="L807" s="22"/>
      <c r="M807" s="23"/>
      <c r="N807" s="23"/>
      <c r="O807" s="23"/>
      <c r="P807" s="23"/>
      <c r="Q807" s="24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2"/>
      <c r="AD807" s="23"/>
      <c r="AE807" s="23"/>
      <c r="AF807" s="22"/>
      <c r="AG807" s="22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</row>
    <row r="808" spans="1:45" ht="27.75" customHeight="1" x14ac:dyDescent="0.35">
      <c r="A808" s="15" t="s">
        <v>257</v>
      </c>
      <c r="B808" s="15" t="s">
        <v>257</v>
      </c>
      <c r="C808" s="15"/>
      <c r="D808" s="15"/>
      <c r="E808" s="16"/>
      <c r="F808" s="15" t="s">
        <v>257</v>
      </c>
      <c r="G808" s="32"/>
      <c r="H808" s="27"/>
      <c r="I808" s="27"/>
      <c r="J808" s="27"/>
      <c r="K808" s="23" t="str">
        <f ca="1">IFERROR(__xludf.DUMMYFUNCTION("""COMPUTED_VALUE"""),"")</f>
        <v/>
      </c>
      <c r="L808" s="22"/>
      <c r="M808" s="23"/>
      <c r="N808" s="23"/>
      <c r="O808" s="23"/>
      <c r="P808" s="23"/>
      <c r="Q808" s="24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2"/>
      <c r="AD808" s="23"/>
      <c r="AE808" s="23"/>
      <c r="AF808" s="22"/>
      <c r="AG808" s="22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</row>
    <row r="809" spans="1:45" ht="27.75" customHeight="1" x14ac:dyDescent="0.35">
      <c r="A809" s="15" t="s">
        <v>257</v>
      </c>
      <c r="B809" s="15" t="s">
        <v>257</v>
      </c>
      <c r="C809" s="15"/>
      <c r="D809" s="15"/>
      <c r="E809" s="16"/>
      <c r="F809" s="15" t="s">
        <v>257</v>
      </c>
      <c r="G809" s="32"/>
      <c r="H809" s="27"/>
      <c r="I809" s="27"/>
      <c r="J809" s="27"/>
      <c r="K809" s="23" t="str">
        <f ca="1">IFERROR(__xludf.DUMMYFUNCTION("""COMPUTED_VALUE"""),"")</f>
        <v/>
      </c>
      <c r="L809" s="22"/>
      <c r="M809" s="23"/>
      <c r="N809" s="23"/>
      <c r="O809" s="23"/>
      <c r="P809" s="23"/>
      <c r="Q809" s="24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2"/>
      <c r="AD809" s="23"/>
      <c r="AE809" s="23"/>
      <c r="AF809" s="22"/>
      <c r="AG809" s="22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</row>
    <row r="810" spans="1:45" ht="27.75" customHeight="1" x14ac:dyDescent="0.35">
      <c r="A810" s="15" t="s">
        <v>257</v>
      </c>
      <c r="B810" s="15" t="s">
        <v>257</v>
      </c>
      <c r="C810" s="15"/>
      <c r="D810" s="15"/>
      <c r="E810" s="16"/>
      <c r="F810" s="15" t="s">
        <v>257</v>
      </c>
      <c r="G810" s="32"/>
      <c r="H810" s="27"/>
      <c r="I810" s="27"/>
      <c r="J810" s="27"/>
      <c r="K810" s="23" t="str">
        <f ca="1">IFERROR(__xludf.DUMMYFUNCTION("""COMPUTED_VALUE"""),"")</f>
        <v/>
      </c>
      <c r="L810" s="22"/>
      <c r="M810" s="23"/>
      <c r="N810" s="23"/>
      <c r="O810" s="23"/>
      <c r="P810" s="23"/>
      <c r="Q810" s="24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2"/>
      <c r="AD810" s="23"/>
      <c r="AE810" s="23"/>
      <c r="AF810" s="22"/>
      <c r="AG810" s="22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</row>
    <row r="811" spans="1:45" ht="27.75" customHeight="1" x14ac:dyDescent="0.35">
      <c r="A811" s="15" t="s">
        <v>257</v>
      </c>
      <c r="B811" s="15" t="s">
        <v>257</v>
      </c>
      <c r="C811" s="15"/>
      <c r="D811" s="15"/>
      <c r="E811" s="16"/>
      <c r="F811" s="15" t="s">
        <v>257</v>
      </c>
      <c r="G811" s="32"/>
      <c r="H811" s="27"/>
      <c r="I811" s="27"/>
      <c r="J811" s="27"/>
      <c r="K811" s="23" t="str">
        <f ca="1">IFERROR(__xludf.DUMMYFUNCTION("""COMPUTED_VALUE"""),"")</f>
        <v/>
      </c>
      <c r="L811" s="22"/>
      <c r="M811" s="23"/>
      <c r="N811" s="23"/>
      <c r="O811" s="23"/>
      <c r="P811" s="23"/>
      <c r="Q811" s="24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2"/>
      <c r="AD811" s="23"/>
      <c r="AE811" s="23"/>
      <c r="AF811" s="22"/>
      <c r="AG811" s="22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</row>
    <row r="812" spans="1:45" ht="27.75" customHeight="1" x14ac:dyDescent="0.35">
      <c r="A812" s="15" t="s">
        <v>257</v>
      </c>
      <c r="B812" s="15" t="s">
        <v>257</v>
      </c>
      <c r="C812" s="15"/>
      <c r="D812" s="15"/>
      <c r="E812" s="16"/>
      <c r="F812" s="15" t="s">
        <v>257</v>
      </c>
      <c r="G812" s="32"/>
      <c r="H812" s="27"/>
      <c r="I812" s="27"/>
      <c r="J812" s="27"/>
      <c r="K812" s="23" t="str">
        <f ca="1">IFERROR(__xludf.DUMMYFUNCTION("""COMPUTED_VALUE"""),"")</f>
        <v/>
      </c>
      <c r="L812" s="22"/>
      <c r="M812" s="23"/>
      <c r="N812" s="23"/>
      <c r="O812" s="23"/>
      <c r="P812" s="23"/>
      <c r="Q812" s="24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2"/>
      <c r="AD812" s="23"/>
      <c r="AE812" s="23"/>
      <c r="AF812" s="22"/>
      <c r="AG812" s="22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</row>
    <row r="813" spans="1:45" ht="27.75" customHeight="1" x14ac:dyDescent="0.35">
      <c r="A813" s="15" t="s">
        <v>257</v>
      </c>
      <c r="B813" s="15" t="s">
        <v>257</v>
      </c>
      <c r="C813" s="15"/>
      <c r="D813" s="15"/>
      <c r="E813" s="16"/>
      <c r="F813" s="15" t="s">
        <v>257</v>
      </c>
      <c r="G813" s="32"/>
      <c r="H813" s="27"/>
      <c r="I813" s="27"/>
      <c r="J813" s="27"/>
      <c r="K813" s="23" t="str">
        <f ca="1">IFERROR(__xludf.DUMMYFUNCTION("""COMPUTED_VALUE"""),"")</f>
        <v/>
      </c>
      <c r="L813" s="22"/>
      <c r="M813" s="23"/>
      <c r="N813" s="23"/>
      <c r="O813" s="23"/>
      <c r="P813" s="23"/>
      <c r="Q813" s="24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2"/>
      <c r="AD813" s="23"/>
      <c r="AE813" s="23"/>
      <c r="AF813" s="22"/>
      <c r="AG813" s="22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</row>
    <row r="814" spans="1:45" ht="27.75" customHeight="1" x14ac:dyDescent="0.35">
      <c r="A814" s="15" t="s">
        <v>257</v>
      </c>
      <c r="B814" s="15" t="s">
        <v>257</v>
      </c>
      <c r="C814" s="15"/>
      <c r="D814" s="15"/>
      <c r="E814" s="16"/>
      <c r="F814" s="15" t="s">
        <v>257</v>
      </c>
      <c r="G814" s="32"/>
      <c r="H814" s="27"/>
      <c r="I814" s="27"/>
      <c r="J814" s="27"/>
      <c r="K814" s="23" t="str">
        <f ca="1">IFERROR(__xludf.DUMMYFUNCTION("""COMPUTED_VALUE"""),"")</f>
        <v/>
      </c>
      <c r="L814" s="22"/>
      <c r="M814" s="23"/>
      <c r="N814" s="23"/>
      <c r="O814" s="23"/>
      <c r="P814" s="23"/>
      <c r="Q814" s="24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2"/>
      <c r="AD814" s="23"/>
      <c r="AE814" s="23"/>
      <c r="AF814" s="22"/>
      <c r="AG814" s="22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</row>
    <row r="815" spans="1:45" ht="27.75" customHeight="1" x14ac:dyDescent="0.35">
      <c r="A815" s="15" t="s">
        <v>257</v>
      </c>
      <c r="B815" s="15" t="s">
        <v>257</v>
      </c>
      <c r="C815" s="15"/>
      <c r="D815" s="15"/>
      <c r="E815" s="16"/>
      <c r="F815" s="15" t="s">
        <v>257</v>
      </c>
      <c r="G815" s="32"/>
      <c r="H815" s="27"/>
      <c r="I815" s="27"/>
      <c r="J815" s="27"/>
      <c r="K815" s="23" t="str">
        <f ca="1">IFERROR(__xludf.DUMMYFUNCTION("""COMPUTED_VALUE"""),"")</f>
        <v/>
      </c>
      <c r="L815" s="22"/>
      <c r="M815" s="23"/>
      <c r="N815" s="23"/>
      <c r="O815" s="23"/>
      <c r="P815" s="23"/>
      <c r="Q815" s="24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2"/>
      <c r="AD815" s="23"/>
      <c r="AE815" s="23"/>
      <c r="AF815" s="22"/>
      <c r="AG815" s="22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</row>
    <row r="816" spans="1:45" ht="27.75" customHeight="1" x14ac:dyDescent="0.35">
      <c r="A816" s="15" t="s">
        <v>257</v>
      </c>
      <c r="B816" s="15" t="s">
        <v>257</v>
      </c>
      <c r="C816" s="15"/>
      <c r="D816" s="15"/>
      <c r="E816" s="16"/>
      <c r="F816" s="15" t="s">
        <v>257</v>
      </c>
      <c r="G816" s="32"/>
      <c r="H816" s="27"/>
      <c r="I816" s="27"/>
      <c r="J816" s="27"/>
      <c r="K816" s="23" t="str">
        <f ca="1">IFERROR(__xludf.DUMMYFUNCTION("""COMPUTED_VALUE"""),"")</f>
        <v/>
      </c>
      <c r="L816" s="22"/>
      <c r="M816" s="23"/>
      <c r="N816" s="23"/>
      <c r="O816" s="23"/>
      <c r="P816" s="23"/>
      <c r="Q816" s="24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2"/>
      <c r="AD816" s="23"/>
      <c r="AE816" s="23"/>
      <c r="AF816" s="22"/>
      <c r="AG816" s="22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</row>
    <row r="817" spans="1:45" ht="27.75" customHeight="1" x14ac:dyDescent="0.35">
      <c r="A817" s="15" t="s">
        <v>257</v>
      </c>
      <c r="B817" s="15" t="s">
        <v>257</v>
      </c>
      <c r="C817" s="15"/>
      <c r="D817" s="15"/>
      <c r="E817" s="16"/>
      <c r="F817" s="15" t="s">
        <v>257</v>
      </c>
      <c r="G817" s="32"/>
      <c r="H817" s="27"/>
      <c r="I817" s="27"/>
      <c r="J817" s="27"/>
      <c r="K817" s="23" t="str">
        <f ca="1">IFERROR(__xludf.DUMMYFUNCTION("""COMPUTED_VALUE"""),"")</f>
        <v/>
      </c>
      <c r="L817" s="22"/>
      <c r="M817" s="23"/>
      <c r="N817" s="23"/>
      <c r="O817" s="23"/>
      <c r="P817" s="23"/>
      <c r="Q817" s="24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2"/>
      <c r="AD817" s="23"/>
      <c r="AE817" s="23"/>
      <c r="AF817" s="22"/>
      <c r="AG817" s="22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</row>
    <row r="818" spans="1:45" ht="27.75" customHeight="1" x14ac:dyDescent="0.35">
      <c r="A818" s="15" t="s">
        <v>257</v>
      </c>
      <c r="B818" s="15" t="s">
        <v>257</v>
      </c>
      <c r="C818" s="15"/>
      <c r="D818" s="15"/>
      <c r="E818" s="16"/>
      <c r="F818" s="15" t="s">
        <v>257</v>
      </c>
      <c r="G818" s="32"/>
      <c r="H818" s="27"/>
      <c r="I818" s="27"/>
      <c r="J818" s="27"/>
      <c r="K818" s="23" t="str">
        <f ca="1">IFERROR(__xludf.DUMMYFUNCTION("""COMPUTED_VALUE"""),"")</f>
        <v/>
      </c>
      <c r="L818" s="22"/>
      <c r="M818" s="23"/>
      <c r="N818" s="23"/>
      <c r="O818" s="23"/>
      <c r="P818" s="23"/>
      <c r="Q818" s="24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2"/>
      <c r="AD818" s="23"/>
      <c r="AE818" s="23"/>
      <c r="AF818" s="22"/>
      <c r="AG818" s="22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</row>
    <row r="819" spans="1:45" ht="27.75" customHeight="1" x14ac:dyDescent="0.35">
      <c r="A819" s="15" t="s">
        <v>257</v>
      </c>
      <c r="B819" s="15" t="s">
        <v>257</v>
      </c>
      <c r="C819" s="15"/>
      <c r="D819" s="15"/>
      <c r="E819" s="16"/>
      <c r="F819" s="15" t="s">
        <v>257</v>
      </c>
      <c r="G819" s="32"/>
      <c r="H819" s="27"/>
      <c r="I819" s="27"/>
      <c r="J819" s="27"/>
      <c r="K819" s="23" t="str">
        <f ca="1">IFERROR(__xludf.DUMMYFUNCTION("""COMPUTED_VALUE"""),"")</f>
        <v/>
      </c>
      <c r="L819" s="22"/>
      <c r="M819" s="23"/>
      <c r="N819" s="23"/>
      <c r="O819" s="23"/>
      <c r="P819" s="23"/>
      <c r="Q819" s="24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2"/>
      <c r="AD819" s="23"/>
      <c r="AE819" s="23"/>
      <c r="AF819" s="22"/>
      <c r="AG819" s="22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</row>
    <row r="820" spans="1:45" ht="27.75" customHeight="1" x14ac:dyDescent="0.35">
      <c r="A820" s="15" t="s">
        <v>257</v>
      </c>
      <c r="B820" s="15" t="s">
        <v>257</v>
      </c>
      <c r="C820" s="15"/>
      <c r="D820" s="15"/>
      <c r="E820" s="16"/>
      <c r="F820" s="15" t="s">
        <v>257</v>
      </c>
      <c r="G820" s="32"/>
      <c r="H820" s="27"/>
      <c r="I820" s="27"/>
      <c r="J820" s="27"/>
      <c r="K820" s="23" t="str">
        <f ca="1">IFERROR(__xludf.DUMMYFUNCTION("""COMPUTED_VALUE"""),"")</f>
        <v/>
      </c>
      <c r="L820" s="22"/>
      <c r="M820" s="23"/>
      <c r="N820" s="23"/>
      <c r="O820" s="23"/>
      <c r="P820" s="23"/>
      <c r="Q820" s="24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2"/>
      <c r="AD820" s="23"/>
      <c r="AE820" s="23"/>
      <c r="AF820" s="22"/>
      <c r="AG820" s="22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</row>
    <row r="821" spans="1:45" ht="27.75" customHeight="1" x14ac:dyDescent="0.35">
      <c r="A821" s="15" t="s">
        <v>257</v>
      </c>
      <c r="B821" s="15" t="s">
        <v>257</v>
      </c>
      <c r="C821" s="15"/>
      <c r="D821" s="15"/>
      <c r="E821" s="16"/>
      <c r="F821" s="15" t="s">
        <v>257</v>
      </c>
      <c r="G821" s="32"/>
      <c r="H821" s="27"/>
      <c r="I821" s="27"/>
      <c r="J821" s="27"/>
      <c r="K821" s="23" t="str">
        <f ca="1">IFERROR(__xludf.DUMMYFUNCTION("""COMPUTED_VALUE"""),"")</f>
        <v/>
      </c>
      <c r="L821" s="22"/>
      <c r="M821" s="23"/>
      <c r="N821" s="23"/>
      <c r="O821" s="23"/>
      <c r="P821" s="23"/>
      <c r="Q821" s="24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2"/>
      <c r="AD821" s="23"/>
      <c r="AE821" s="23"/>
      <c r="AF821" s="22"/>
      <c r="AG821" s="22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</row>
    <row r="822" spans="1:45" ht="27.75" customHeight="1" x14ac:dyDescent="0.35">
      <c r="A822" s="15" t="s">
        <v>257</v>
      </c>
      <c r="B822" s="15" t="s">
        <v>257</v>
      </c>
      <c r="C822" s="15"/>
      <c r="D822" s="15"/>
      <c r="E822" s="16"/>
      <c r="F822" s="15" t="s">
        <v>257</v>
      </c>
      <c r="G822" s="32"/>
      <c r="H822" s="27"/>
      <c r="I822" s="27"/>
      <c r="J822" s="27"/>
      <c r="K822" s="23" t="str">
        <f ca="1">IFERROR(__xludf.DUMMYFUNCTION("""COMPUTED_VALUE"""),"")</f>
        <v/>
      </c>
      <c r="L822" s="22"/>
      <c r="M822" s="23"/>
      <c r="N822" s="23"/>
      <c r="O822" s="23"/>
      <c r="P822" s="23"/>
      <c r="Q822" s="24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2"/>
      <c r="AD822" s="23"/>
      <c r="AE822" s="23"/>
      <c r="AF822" s="22"/>
      <c r="AG822" s="22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</row>
    <row r="823" spans="1:45" ht="27.75" customHeight="1" x14ac:dyDescent="0.35">
      <c r="A823" s="15" t="s">
        <v>257</v>
      </c>
      <c r="B823" s="15" t="s">
        <v>257</v>
      </c>
      <c r="C823" s="15"/>
      <c r="D823" s="15"/>
      <c r="E823" s="16"/>
      <c r="F823" s="15" t="s">
        <v>257</v>
      </c>
      <c r="G823" s="32"/>
      <c r="H823" s="27"/>
      <c r="I823" s="27"/>
      <c r="J823" s="27"/>
      <c r="K823" s="23" t="str">
        <f ca="1">IFERROR(__xludf.DUMMYFUNCTION("""COMPUTED_VALUE"""),"")</f>
        <v/>
      </c>
      <c r="L823" s="22"/>
      <c r="M823" s="23"/>
      <c r="N823" s="23"/>
      <c r="O823" s="23"/>
      <c r="P823" s="23"/>
      <c r="Q823" s="24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2"/>
      <c r="AD823" s="23"/>
      <c r="AE823" s="23"/>
      <c r="AF823" s="22"/>
      <c r="AG823" s="22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</row>
    <row r="824" spans="1:45" ht="27.75" customHeight="1" x14ac:dyDescent="0.35">
      <c r="A824" s="15" t="s">
        <v>257</v>
      </c>
      <c r="B824" s="15" t="s">
        <v>257</v>
      </c>
      <c r="C824" s="15"/>
      <c r="D824" s="15"/>
      <c r="E824" s="16"/>
      <c r="F824" s="15" t="s">
        <v>257</v>
      </c>
      <c r="G824" s="32"/>
      <c r="H824" s="27"/>
      <c r="I824" s="27"/>
      <c r="J824" s="27"/>
      <c r="K824" s="23" t="str">
        <f ca="1">IFERROR(__xludf.DUMMYFUNCTION("""COMPUTED_VALUE"""),"")</f>
        <v/>
      </c>
      <c r="L824" s="22"/>
      <c r="M824" s="23"/>
      <c r="N824" s="23"/>
      <c r="O824" s="23"/>
      <c r="P824" s="23"/>
      <c r="Q824" s="24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2"/>
      <c r="AD824" s="23"/>
      <c r="AE824" s="23"/>
      <c r="AF824" s="22"/>
      <c r="AG824" s="22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</row>
    <row r="825" spans="1:45" ht="27.75" customHeight="1" x14ac:dyDescent="0.35">
      <c r="A825" s="15" t="s">
        <v>257</v>
      </c>
      <c r="B825" s="15" t="s">
        <v>257</v>
      </c>
      <c r="C825" s="15"/>
      <c r="D825" s="15"/>
      <c r="E825" s="16"/>
      <c r="F825" s="15" t="s">
        <v>257</v>
      </c>
      <c r="G825" s="32"/>
      <c r="H825" s="27"/>
      <c r="I825" s="27"/>
      <c r="J825" s="27"/>
      <c r="K825" s="23" t="str">
        <f ca="1">IFERROR(__xludf.DUMMYFUNCTION("""COMPUTED_VALUE"""),"")</f>
        <v/>
      </c>
      <c r="L825" s="22"/>
      <c r="M825" s="23"/>
      <c r="N825" s="23"/>
      <c r="O825" s="23"/>
      <c r="P825" s="23"/>
      <c r="Q825" s="24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2"/>
      <c r="AD825" s="23"/>
      <c r="AE825" s="23"/>
      <c r="AF825" s="22"/>
      <c r="AG825" s="22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</row>
    <row r="826" spans="1:45" ht="27.75" customHeight="1" x14ac:dyDescent="0.35">
      <c r="A826" s="15" t="s">
        <v>257</v>
      </c>
      <c r="B826" s="15" t="s">
        <v>257</v>
      </c>
      <c r="C826" s="15"/>
      <c r="D826" s="15"/>
      <c r="E826" s="16"/>
      <c r="F826" s="15" t="s">
        <v>257</v>
      </c>
      <c r="G826" s="32"/>
      <c r="H826" s="27"/>
      <c r="I826" s="27"/>
      <c r="J826" s="27"/>
      <c r="K826" s="23" t="str">
        <f ca="1">IFERROR(__xludf.DUMMYFUNCTION("""COMPUTED_VALUE"""),"")</f>
        <v/>
      </c>
      <c r="L826" s="22"/>
      <c r="M826" s="23"/>
      <c r="N826" s="23"/>
      <c r="O826" s="23"/>
      <c r="P826" s="23"/>
      <c r="Q826" s="24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2"/>
      <c r="AD826" s="23"/>
      <c r="AE826" s="23"/>
      <c r="AF826" s="22"/>
      <c r="AG826" s="22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</row>
    <row r="827" spans="1:45" ht="27.75" customHeight="1" x14ac:dyDescent="0.35">
      <c r="A827" s="15" t="s">
        <v>257</v>
      </c>
      <c r="B827" s="15" t="s">
        <v>257</v>
      </c>
      <c r="C827" s="15"/>
      <c r="D827" s="15"/>
      <c r="E827" s="16"/>
      <c r="F827" s="15" t="s">
        <v>257</v>
      </c>
      <c r="G827" s="32"/>
      <c r="H827" s="27"/>
      <c r="I827" s="27"/>
      <c r="J827" s="27"/>
      <c r="K827" s="23" t="str">
        <f ca="1">IFERROR(__xludf.DUMMYFUNCTION("""COMPUTED_VALUE"""),"")</f>
        <v/>
      </c>
      <c r="L827" s="22"/>
      <c r="M827" s="23"/>
      <c r="N827" s="23"/>
      <c r="O827" s="23"/>
      <c r="P827" s="23"/>
      <c r="Q827" s="24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2"/>
      <c r="AD827" s="23"/>
      <c r="AE827" s="23"/>
      <c r="AF827" s="22"/>
      <c r="AG827" s="22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</row>
    <row r="828" spans="1:45" ht="27.75" customHeight="1" x14ac:dyDescent="0.35">
      <c r="A828" s="15" t="s">
        <v>257</v>
      </c>
      <c r="B828" s="15" t="s">
        <v>257</v>
      </c>
      <c r="C828" s="15"/>
      <c r="D828" s="15"/>
      <c r="E828" s="16"/>
      <c r="F828" s="15" t="s">
        <v>257</v>
      </c>
      <c r="G828" s="32"/>
      <c r="H828" s="27"/>
      <c r="I828" s="27"/>
      <c r="J828" s="27"/>
      <c r="K828" s="23" t="str">
        <f ca="1">IFERROR(__xludf.DUMMYFUNCTION("""COMPUTED_VALUE"""),"")</f>
        <v/>
      </c>
      <c r="L828" s="22"/>
      <c r="M828" s="23"/>
      <c r="N828" s="23"/>
      <c r="O828" s="23"/>
      <c r="P828" s="23"/>
      <c r="Q828" s="24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2"/>
      <c r="AD828" s="23"/>
      <c r="AE828" s="23"/>
      <c r="AF828" s="22"/>
      <c r="AG828" s="22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</row>
    <row r="829" spans="1:45" ht="27.75" customHeight="1" x14ac:dyDescent="0.35">
      <c r="A829" s="15" t="s">
        <v>257</v>
      </c>
      <c r="B829" s="15" t="s">
        <v>257</v>
      </c>
      <c r="C829" s="15"/>
      <c r="D829" s="15"/>
      <c r="E829" s="16"/>
      <c r="F829" s="15" t="s">
        <v>257</v>
      </c>
      <c r="G829" s="32"/>
      <c r="H829" s="27"/>
      <c r="I829" s="27"/>
      <c r="J829" s="27"/>
      <c r="K829" s="23" t="str">
        <f ca="1">IFERROR(__xludf.DUMMYFUNCTION("""COMPUTED_VALUE"""),"")</f>
        <v/>
      </c>
      <c r="L829" s="22"/>
      <c r="M829" s="23"/>
      <c r="N829" s="23"/>
      <c r="O829" s="23"/>
      <c r="P829" s="23"/>
      <c r="Q829" s="24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2"/>
      <c r="AD829" s="23"/>
      <c r="AE829" s="23"/>
      <c r="AF829" s="22"/>
      <c r="AG829" s="22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</row>
    <row r="830" spans="1:45" ht="27.75" customHeight="1" x14ac:dyDescent="0.35">
      <c r="A830" s="15" t="s">
        <v>257</v>
      </c>
      <c r="B830" s="15" t="s">
        <v>257</v>
      </c>
      <c r="C830" s="15"/>
      <c r="D830" s="15"/>
      <c r="E830" s="16"/>
      <c r="F830" s="15" t="s">
        <v>257</v>
      </c>
      <c r="G830" s="32"/>
      <c r="H830" s="27"/>
      <c r="I830" s="27"/>
      <c r="J830" s="27"/>
      <c r="K830" s="23" t="str">
        <f ca="1">IFERROR(__xludf.DUMMYFUNCTION("""COMPUTED_VALUE"""),"")</f>
        <v/>
      </c>
      <c r="L830" s="22"/>
      <c r="M830" s="23"/>
      <c r="N830" s="23"/>
      <c r="O830" s="23"/>
      <c r="P830" s="23"/>
      <c r="Q830" s="24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2"/>
      <c r="AD830" s="23"/>
      <c r="AE830" s="23"/>
      <c r="AF830" s="22"/>
      <c r="AG830" s="22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</row>
    <row r="831" spans="1:45" ht="27.75" customHeight="1" x14ac:dyDescent="0.35">
      <c r="A831" s="15" t="s">
        <v>257</v>
      </c>
      <c r="B831" s="15" t="s">
        <v>257</v>
      </c>
      <c r="C831" s="15"/>
      <c r="D831" s="15"/>
      <c r="E831" s="16"/>
      <c r="F831" s="15" t="s">
        <v>257</v>
      </c>
      <c r="G831" s="32"/>
      <c r="H831" s="27"/>
      <c r="I831" s="27"/>
      <c r="J831" s="27"/>
      <c r="K831" s="23" t="str">
        <f ca="1">IFERROR(__xludf.DUMMYFUNCTION("""COMPUTED_VALUE"""),"")</f>
        <v/>
      </c>
      <c r="L831" s="22"/>
      <c r="M831" s="23"/>
      <c r="N831" s="23"/>
      <c r="O831" s="23"/>
      <c r="P831" s="23"/>
      <c r="Q831" s="24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2"/>
      <c r="AD831" s="23"/>
      <c r="AE831" s="23"/>
      <c r="AF831" s="22"/>
      <c r="AG831" s="22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</row>
    <row r="832" spans="1:45" ht="27.75" customHeight="1" x14ac:dyDescent="0.35">
      <c r="A832" s="15" t="s">
        <v>257</v>
      </c>
      <c r="B832" s="15" t="s">
        <v>257</v>
      </c>
      <c r="C832" s="15"/>
      <c r="D832" s="15"/>
      <c r="E832" s="16"/>
      <c r="F832" s="15" t="s">
        <v>257</v>
      </c>
      <c r="G832" s="32"/>
      <c r="H832" s="27"/>
      <c r="I832" s="27"/>
      <c r="J832" s="27"/>
      <c r="K832" s="23" t="str">
        <f ca="1">IFERROR(__xludf.DUMMYFUNCTION("""COMPUTED_VALUE"""),"")</f>
        <v/>
      </c>
      <c r="L832" s="22"/>
      <c r="M832" s="23"/>
      <c r="N832" s="23"/>
      <c r="O832" s="23"/>
      <c r="P832" s="23"/>
      <c r="Q832" s="24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2"/>
      <c r="AD832" s="23"/>
      <c r="AE832" s="23"/>
      <c r="AF832" s="22"/>
      <c r="AG832" s="22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</row>
    <row r="833" spans="1:45" ht="27.75" customHeight="1" x14ac:dyDescent="0.35">
      <c r="A833" s="15" t="s">
        <v>257</v>
      </c>
      <c r="B833" s="15" t="s">
        <v>257</v>
      </c>
      <c r="C833" s="15"/>
      <c r="D833" s="15"/>
      <c r="E833" s="16"/>
      <c r="F833" s="15" t="s">
        <v>257</v>
      </c>
      <c r="G833" s="32"/>
      <c r="H833" s="27"/>
      <c r="I833" s="27"/>
      <c r="J833" s="27"/>
      <c r="K833" s="23" t="str">
        <f ca="1">IFERROR(__xludf.DUMMYFUNCTION("""COMPUTED_VALUE"""),"")</f>
        <v/>
      </c>
      <c r="L833" s="22"/>
      <c r="M833" s="23"/>
      <c r="N833" s="23"/>
      <c r="O833" s="23"/>
      <c r="P833" s="23"/>
      <c r="Q833" s="24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2"/>
      <c r="AD833" s="23"/>
      <c r="AE833" s="23"/>
      <c r="AF833" s="22"/>
      <c r="AG833" s="22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</row>
    <row r="834" spans="1:45" ht="27.75" customHeight="1" x14ac:dyDescent="0.35">
      <c r="A834" s="15" t="s">
        <v>257</v>
      </c>
      <c r="B834" s="15" t="s">
        <v>257</v>
      </c>
      <c r="C834" s="15"/>
      <c r="D834" s="15"/>
      <c r="E834" s="16"/>
      <c r="F834" s="15" t="s">
        <v>257</v>
      </c>
      <c r="G834" s="32"/>
      <c r="H834" s="27"/>
      <c r="I834" s="27"/>
      <c r="J834" s="27"/>
      <c r="K834" s="23" t="str">
        <f ca="1">IFERROR(__xludf.DUMMYFUNCTION("""COMPUTED_VALUE"""),"")</f>
        <v/>
      </c>
      <c r="L834" s="22"/>
      <c r="M834" s="23"/>
      <c r="N834" s="23"/>
      <c r="O834" s="23"/>
      <c r="P834" s="23"/>
      <c r="Q834" s="24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2"/>
      <c r="AD834" s="23"/>
      <c r="AE834" s="23"/>
      <c r="AF834" s="22"/>
      <c r="AG834" s="22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</row>
    <row r="835" spans="1:45" ht="27.75" customHeight="1" x14ac:dyDescent="0.35">
      <c r="A835" s="15" t="s">
        <v>257</v>
      </c>
      <c r="B835" s="15" t="s">
        <v>257</v>
      </c>
      <c r="C835" s="15"/>
      <c r="D835" s="15"/>
      <c r="E835" s="16"/>
      <c r="F835" s="15" t="s">
        <v>257</v>
      </c>
      <c r="G835" s="32"/>
      <c r="H835" s="27"/>
      <c r="I835" s="27"/>
      <c r="J835" s="27"/>
      <c r="K835" s="23" t="str">
        <f ca="1">IFERROR(__xludf.DUMMYFUNCTION("""COMPUTED_VALUE"""),"")</f>
        <v/>
      </c>
      <c r="L835" s="22"/>
      <c r="M835" s="23"/>
      <c r="N835" s="23"/>
      <c r="O835" s="23"/>
      <c r="P835" s="23"/>
      <c r="Q835" s="24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2"/>
      <c r="AD835" s="23"/>
      <c r="AE835" s="23"/>
      <c r="AF835" s="22"/>
      <c r="AG835" s="22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</row>
    <row r="836" spans="1:45" ht="27.75" customHeight="1" x14ac:dyDescent="0.35">
      <c r="A836" s="15" t="s">
        <v>257</v>
      </c>
      <c r="B836" s="15" t="s">
        <v>257</v>
      </c>
      <c r="C836" s="15"/>
      <c r="D836" s="15"/>
      <c r="E836" s="16"/>
      <c r="F836" s="15" t="s">
        <v>257</v>
      </c>
      <c r="G836" s="32"/>
      <c r="H836" s="27"/>
      <c r="I836" s="27"/>
      <c r="J836" s="27"/>
      <c r="K836" s="23" t="str">
        <f ca="1">IFERROR(__xludf.DUMMYFUNCTION("""COMPUTED_VALUE"""),"")</f>
        <v/>
      </c>
      <c r="L836" s="22"/>
      <c r="M836" s="23"/>
      <c r="N836" s="23"/>
      <c r="O836" s="23"/>
      <c r="P836" s="23"/>
      <c r="Q836" s="24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2"/>
      <c r="AD836" s="23"/>
      <c r="AE836" s="23"/>
      <c r="AF836" s="22"/>
      <c r="AG836" s="22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</row>
    <row r="837" spans="1:45" ht="27.75" customHeight="1" x14ac:dyDescent="0.35">
      <c r="A837" s="15" t="s">
        <v>257</v>
      </c>
      <c r="B837" s="15" t="s">
        <v>257</v>
      </c>
      <c r="C837" s="15"/>
      <c r="D837" s="15"/>
      <c r="E837" s="16"/>
      <c r="F837" s="15" t="s">
        <v>257</v>
      </c>
      <c r="G837" s="32"/>
      <c r="H837" s="27"/>
      <c r="I837" s="27"/>
      <c r="J837" s="27"/>
      <c r="K837" s="23" t="str">
        <f ca="1">IFERROR(__xludf.DUMMYFUNCTION("""COMPUTED_VALUE"""),"")</f>
        <v/>
      </c>
      <c r="L837" s="22"/>
      <c r="M837" s="23"/>
      <c r="N837" s="23"/>
      <c r="O837" s="23"/>
      <c r="P837" s="23"/>
      <c r="Q837" s="24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2"/>
      <c r="AD837" s="23"/>
      <c r="AE837" s="23"/>
      <c r="AF837" s="22"/>
      <c r="AG837" s="22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</row>
    <row r="838" spans="1:45" ht="27.75" customHeight="1" x14ac:dyDescent="0.35">
      <c r="A838" s="15" t="s">
        <v>257</v>
      </c>
      <c r="B838" s="15" t="s">
        <v>257</v>
      </c>
      <c r="C838" s="15"/>
      <c r="D838" s="15"/>
      <c r="E838" s="16"/>
      <c r="F838" s="15" t="s">
        <v>257</v>
      </c>
      <c r="G838" s="32"/>
      <c r="H838" s="27"/>
      <c r="I838" s="27"/>
      <c r="J838" s="27"/>
      <c r="K838" s="23" t="str">
        <f ca="1">IFERROR(__xludf.DUMMYFUNCTION("""COMPUTED_VALUE"""),"")</f>
        <v/>
      </c>
      <c r="L838" s="22"/>
      <c r="M838" s="23"/>
      <c r="N838" s="23"/>
      <c r="O838" s="23"/>
      <c r="P838" s="23"/>
      <c r="Q838" s="24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2"/>
      <c r="AD838" s="23"/>
      <c r="AE838" s="23"/>
      <c r="AF838" s="22"/>
      <c r="AG838" s="22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</row>
    <row r="839" spans="1:45" ht="27.75" customHeight="1" x14ac:dyDescent="0.35">
      <c r="A839" s="15" t="s">
        <v>257</v>
      </c>
      <c r="B839" s="15" t="s">
        <v>257</v>
      </c>
      <c r="C839" s="15"/>
      <c r="D839" s="15"/>
      <c r="E839" s="16"/>
      <c r="F839" s="15" t="s">
        <v>257</v>
      </c>
      <c r="G839" s="32"/>
      <c r="H839" s="27"/>
      <c r="I839" s="27"/>
      <c r="J839" s="27"/>
      <c r="K839" s="23" t="str">
        <f ca="1">IFERROR(__xludf.DUMMYFUNCTION("""COMPUTED_VALUE"""),"")</f>
        <v/>
      </c>
      <c r="L839" s="22"/>
      <c r="M839" s="23"/>
      <c r="N839" s="23"/>
      <c r="O839" s="23"/>
      <c r="P839" s="23"/>
      <c r="Q839" s="24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2"/>
      <c r="AD839" s="23"/>
      <c r="AE839" s="23"/>
      <c r="AF839" s="22"/>
      <c r="AG839" s="22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</row>
    <row r="840" spans="1:45" ht="27.75" customHeight="1" x14ac:dyDescent="0.35">
      <c r="A840" s="15" t="s">
        <v>257</v>
      </c>
      <c r="B840" s="15" t="s">
        <v>257</v>
      </c>
      <c r="C840" s="15"/>
      <c r="D840" s="15"/>
      <c r="E840" s="16"/>
      <c r="F840" s="15" t="s">
        <v>257</v>
      </c>
      <c r="G840" s="32"/>
      <c r="H840" s="27"/>
      <c r="I840" s="27"/>
      <c r="J840" s="27"/>
      <c r="K840" s="23" t="str">
        <f ca="1">IFERROR(__xludf.DUMMYFUNCTION("""COMPUTED_VALUE"""),"")</f>
        <v/>
      </c>
      <c r="L840" s="22"/>
      <c r="M840" s="23"/>
      <c r="N840" s="23"/>
      <c r="O840" s="23"/>
      <c r="P840" s="23"/>
      <c r="Q840" s="24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2"/>
      <c r="AD840" s="23"/>
      <c r="AE840" s="23"/>
      <c r="AF840" s="22"/>
      <c r="AG840" s="22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</row>
    <row r="841" spans="1:45" ht="27.75" customHeight="1" x14ac:dyDescent="0.35">
      <c r="A841" s="15" t="s">
        <v>257</v>
      </c>
      <c r="B841" s="15" t="s">
        <v>257</v>
      </c>
      <c r="C841" s="15"/>
      <c r="D841" s="15"/>
      <c r="E841" s="16"/>
      <c r="F841" s="15" t="s">
        <v>257</v>
      </c>
      <c r="G841" s="32"/>
      <c r="H841" s="27"/>
      <c r="I841" s="27"/>
      <c r="J841" s="27"/>
      <c r="K841" s="23" t="str">
        <f ca="1">IFERROR(__xludf.DUMMYFUNCTION("""COMPUTED_VALUE"""),"")</f>
        <v/>
      </c>
      <c r="L841" s="22"/>
      <c r="M841" s="23"/>
      <c r="N841" s="23"/>
      <c r="O841" s="23"/>
      <c r="P841" s="23"/>
      <c r="Q841" s="24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2"/>
      <c r="AD841" s="23"/>
      <c r="AE841" s="23"/>
      <c r="AF841" s="22"/>
      <c r="AG841" s="22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</row>
    <row r="842" spans="1:45" ht="27.75" customHeight="1" x14ac:dyDescent="0.35">
      <c r="A842" s="15" t="s">
        <v>257</v>
      </c>
      <c r="B842" s="15" t="s">
        <v>257</v>
      </c>
      <c r="C842" s="15"/>
      <c r="D842" s="15"/>
      <c r="E842" s="16"/>
      <c r="F842" s="15" t="s">
        <v>257</v>
      </c>
      <c r="G842" s="32"/>
      <c r="H842" s="27"/>
      <c r="I842" s="27"/>
      <c r="J842" s="27"/>
      <c r="K842" s="23" t="str">
        <f ca="1">IFERROR(__xludf.DUMMYFUNCTION("""COMPUTED_VALUE"""),"")</f>
        <v/>
      </c>
      <c r="L842" s="22"/>
      <c r="M842" s="23"/>
      <c r="N842" s="23"/>
      <c r="O842" s="23"/>
      <c r="P842" s="23"/>
      <c r="Q842" s="24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2"/>
      <c r="AD842" s="23"/>
      <c r="AE842" s="23"/>
      <c r="AF842" s="22"/>
      <c r="AG842" s="22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</row>
    <row r="843" spans="1:45" ht="27.75" customHeight="1" x14ac:dyDescent="0.35">
      <c r="A843" s="15" t="s">
        <v>257</v>
      </c>
      <c r="B843" s="15" t="s">
        <v>257</v>
      </c>
      <c r="C843" s="15"/>
      <c r="D843" s="15"/>
      <c r="E843" s="16"/>
      <c r="F843" s="15" t="s">
        <v>257</v>
      </c>
      <c r="G843" s="32"/>
      <c r="H843" s="27"/>
      <c r="I843" s="27"/>
      <c r="J843" s="27"/>
      <c r="K843" s="23" t="str">
        <f ca="1">IFERROR(__xludf.DUMMYFUNCTION("""COMPUTED_VALUE"""),"")</f>
        <v/>
      </c>
      <c r="L843" s="22"/>
      <c r="M843" s="23"/>
      <c r="N843" s="23"/>
      <c r="O843" s="23"/>
      <c r="P843" s="23"/>
      <c r="Q843" s="24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2"/>
      <c r="AD843" s="23"/>
      <c r="AE843" s="23"/>
      <c r="AF843" s="22"/>
      <c r="AG843" s="22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</row>
    <row r="844" spans="1:45" ht="27.75" customHeight="1" x14ac:dyDescent="0.35">
      <c r="A844" s="15" t="s">
        <v>257</v>
      </c>
      <c r="B844" s="15" t="s">
        <v>257</v>
      </c>
      <c r="C844" s="15"/>
      <c r="D844" s="15"/>
      <c r="E844" s="16"/>
      <c r="F844" s="15" t="s">
        <v>257</v>
      </c>
      <c r="G844" s="32"/>
      <c r="H844" s="27"/>
      <c r="I844" s="27"/>
      <c r="J844" s="27"/>
      <c r="K844" s="23" t="str">
        <f ca="1">IFERROR(__xludf.DUMMYFUNCTION("""COMPUTED_VALUE"""),"")</f>
        <v/>
      </c>
      <c r="L844" s="22"/>
      <c r="M844" s="23"/>
      <c r="N844" s="23"/>
      <c r="O844" s="23"/>
      <c r="P844" s="23"/>
      <c r="Q844" s="24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2"/>
      <c r="AD844" s="23"/>
      <c r="AE844" s="23"/>
      <c r="AF844" s="22"/>
      <c r="AG844" s="22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</row>
    <row r="845" spans="1:45" ht="27.75" customHeight="1" x14ac:dyDescent="0.35">
      <c r="A845" s="15" t="s">
        <v>257</v>
      </c>
      <c r="B845" s="15" t="s">
        <v>257</v>
      </c>
      <c r="C845" s="15"/>
      <c r="D845" s="15"/>
      <c r="E845" s="16"/>
      <c r="F845" s="15" t="s">
        <v>257</v>
      </c>
      <c r="G845" s="32"/>
      <c r="H845" s="27"/>
      <c r="I845" s="27"/>
      <c r="J845" s="27"/>
      <c r="K845" s="23" t="str">
        <f ca="1">IFERROR(__xludf.DUMMYFUNCTION("""COMPUTED_VALUE"""),"")</f>
        <v/>
      </c>
      <c r="L845" s="22"/>
      <c r="M845" s="23"/>
      <c r="N845" s="23"/>
      <c r="O845" s="23"/>
      <c r="P845" s="23"/>
      <c r="Q845" s="24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2"/>
      <c r="AD845" s="23"/>
      <c r="AE845" s="23"/>
      <c r="AF845" s="22"/>
      <c r="AG845" s="22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</row>
    <row r="846" spans="1:45" ht="27.75" customHeight="1" x14ac:dyDescent="0.35">
      <c r="A846" s="15" t="s">
        <v>257</v>
      </c>
      <c r="B846" s="15" t="s">
        <v>257</v>
      </c>
      <c r="C846" s="15"/>
      <c r="D846" s="15"/>
      <c r="E846" s="16"/>
      <c r="F846" s="15" t="s">
        <v>257</v>
      </c>
      <c r="G846" s="32"/>
      <c r="H846" s="27"/>
      <c r="I846" s="27"/>
      <c r="J846" s="27"/>
      <c r="K846" s="23" t="str">
        <f ca="1">IFERROR(__xludf.DUMMYFUNCTION("""COMPUTED_VALUE"""),"")</f>
        <v/>
      </c>
      <c r="L846" s="22"/>
      <c r="M846" s="23"/>
      <c r="N846" s="23"/>
      <c r="O846" s="23"/>
      <c r="P846" s="23"/>
      <c r="Q846" s="24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2"/>
      <c r="AD846" s="23"/>
      <c r="AE846" s="23"/>
      <c r="AF846" s="22"/>
      <c r="AG846" s="22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</row>
    <row r="847" spans="1:45" ht="27.75" customHeight="1" x14ac:dyDescent="0.35">
      <c r="A847" s="15" t="s">
        <v>257</v>
      </c>
      <c r="B847" s="15" t="s">
        <v>257</v>
      </c>
      <c r="C847" s="15"/>
      <c r="D847" s="15"/>
      <c r="E847" s="16"/>
      <c r="F847" s="15" t="s">
        <v>257</v>
      </c>
      <c r="G847" s="32"/>
      <c r="H847" s="27"/>
      <c r="I847" s="27"/>
      <c r="J847" s="27"/>
      <c r="K847" s="23" t="str">
        <f ca="1">IFERROR(__xludf.DUMMYFUNCTION("""COMPUTED_VALUE"""),"")</f>
        <v/>
      </c>
      <c r="L847" s="22"/>
      <c r="M847" s="23"/>
      <c r="N847" s="23"/>
      <c r="O847" s="23"/>
      <c r="P847" s="23"/>
      <c r="Q847" s="24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2"/>
      <c r="AD847" s="23"/>
      <c r="AE847" s="23"/>
      <c r="AF847" s="22"/>
      <c r="AG847" s="22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</row>
    <row r="848" spans="1:45" ht="27.75" customHeight="1" x14ac:dyDescent="0.35">
      <c r="A848" s="15" t="s">
        <v>257</v>
      </c>
      <c r="B848" s="15" t="s">
        <v>257</v>
      </c>
      <c r="C848" s="15"/>
      <c r="D848" s="15"/>
      <c r="E848" s="16"/>
      <c r="F848" s="15" t="s">
        <v>257</v>
      </c>
      <c r="G848" s="32"/>
      <c r="H848" s="27"/>
      <c r="I848" s="27"/>
      <c r="J848" s="27"/>
      <c r="K848" s="23" t="str">
        <f ca="1">IFERROR(__xludf.DUMMYFUNCTION("""COMPUTED_VALUE"""),"")</f>
        <v/>
      </c>
      <c r="L848" s="22"/>
      <c r="M848" s="23"/>
      <c r="N848" s="23"/>
      <c r="O848" s="23"/>
      <c r="P848" s="23"/>
      <c r="Q848" s="24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2"/>
      <c r="AD848" s="23"/>
      <c r="AE848" s="23"/>
      <c r="AF848" s="22"/>
      <c r="AG848" s="22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</row>
    <row r="849" spans="1:45" ht="27.75" customHeight="1" x14ac:dyDescent="0.35">
      <c r="A849" s="15" t="s">
        <v>257</v>
      </c>
      <c r="B849" s="15" t="s">
        <v>257</v>
      </c>
      <c r="C849" s="15"/>
      <c r="D849" s="15"/>
      <c r="E849" s="16"/>
      <c r="F849" s="15" t="s">
        <v>257</v>
      </c>
      <c r="G849" s="32"/>
      <c r="H849" s="27"/>
      <c r="I849" s="27"/>
      <c r="J849" s="27"/>
      <c r="K849" s="23" t="str">
        <f ca="1">IFERROR(__xludf.DUMMYFUNCTION("""COMPUTED_VALUE"""),"")</f>
        <v/>
      </c>
      <c r="L849" s="22"/>
      <c r="M849" s="23"/>
      <c r="N849" s="23"/>
      <c r="O849" s="23"/>
      <c r="P849" s="23"/>
      <c r="Q849" s="24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2"/>
      <c r="AD849" s="23"/>
      <c r="AE849" s="23"/>
      <c r="AF849" s="22"/>
      <c r="AG849" s="22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</row>
    <row r="850" spans="1:45" ht="27.75" customHeight="1" x14ac:dyDescent="0.35">
      <c r="A850" s="15" t="s">
        <v>257</v>
      </c>
      <c r="B850" s="15" t="s">
        <v>257</v>
      </c>
      <c r="C850" s="15"/>
      <c r="D850" s="15"/>
      <c r="E850" s="16"/>
      <c r="F850" s="15" t="s">
        <v>257</v>
      </c>
      <c r="G850" s="32"/>
      <c r="H850" s="27"/>
      <c r="I850" s="27"/>
      <c r="J850" s="27"/>
      <c r="K850" s="23" t="str">
        <f ca="1">IFERROR(__xludf.DUMMYFUNCTION("""COMPUTED_VALUE"""),"")</f>
        <v/>
      </c>
      <c r="L850" s="22"/>
      <c r="M850" s="23"/>
      <c r="N850" s="23"/>
      <c r="O850" s="23"/>
      <c r="P850" s="23"/>
      <c r="Q850" s="24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2"/>
      <c r="AD850" s="23"/>
      <c r="AE850" s="23"/>
      <c r="AF850" s="22"/>
      <c r="AG850" s="22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</row>
    <row r="851" spans="1:45" ht="27.75" customHeight="1" x14ac:dyDescent="0.35">
      <c r="A851" s="15" t="s">
        <v>257</v>
      </c>
      <c r="B851" s="15" t="s">
        <v>257</v>
      </c>
      <c r="C851" s="15"/>
      <c r="D851" s="15"/>
      <c r="E851" s="16"/>
      <c r="F851" s="15" t="s">
        <v>257</v>
      </c>
      <c r="G851" s="32"/>
      <c r="H851" s="27"/>
      <c r="I851" s="27"/>
      <c r="J851" s="27"/>
      <c r="K851" s="23" t="str">
        <f ca="1">IFERROR(__xludf.DUMMYFUNCTION("""COMPUTED_VALUE"""),"")</f>
        <v/>
      </c>
      <c r="L851" s="22"/>
      <c r="M851" s="23"/>
      <c r="N851" s="23"/>
      <c r="O851" s="23"/>
      <c r="P851" s="23"/>
      <c r="Q851" s="24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2"/>
      <c r="AD851" s="23"/>
      <c r="AE851" s="23"/>
      <c r="AF851" s="22"/>
      <c r="AG851" s="22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</row>
    <row r="852" spans="1:45" ht="27.75" customHeight="1" x14ac:dyDescent="0.35">
      <c r="A852" s="15" t="s">
        <v>257</v>
      </c>
      <c r="B852" s="15" t="s">
        <v>257</v>
      </c>
      <c r="C852" s="15"/>
      <c r="D852" s="15"/>
      <c r="E852" s="16"/>
      <c r="F852" s="15" t="s">
        <v>257</v>
      </c>
      <c r="G852" s="32"/>
      <c r="H852" s="27"/>
      <c r="I852" s="27"/>
      <c r="J852" s="27"/>
      <c r="K852" s="23" t="str">
        <f ca="1">IFERROR(__xludf.DUMMYFUNCTION("""COMPUTED_VALUE"""),"")</f>
        <v/>
      </c>
      <c r="L852" s="22"/>
      <c r="M852" s="23"/>
      <c r="N852" s="23"/>
      <c r="O852" s="23"/>
      <c r="P852" s="23"/>
      <c r="Q852" s="24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2"/>
      <c r="AD852" s="23"/>
      <c r="AE852" s="23"/>
      <c r="AF852" s="22"/>
      <c r="AG852" s="22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</row>
    <row r="853" spans="1:45" ht="27.75" customHeight="1" x14ac:dyDescent="0.35">
      <c r="A853" s="15" t="s">
        <v>257</v>
      </c>
      <c r="B853" s="15" t="s">
        <v>257</v>
      </c>
      <c r="C853" s="15"/>
      <c r="D853" s="15"/>
      <c r="E853" s="16"/>
      <c r="F853" s="15" t="s">
        <v>257</v>
      </c>
      <c r="G853" s="32"/>
      <c r="H853" s="27"/>
      <c r="I853" s="27"/>
      <c r="J853" s="27"/>
      <c r="K853" s="23" t="str">
        <f ca="1">IFERROR(__xludf.DUMMYFUNCTION("""COMPUTED_VALUE"""),"")</f>
        <v/>
      </c>
      <c r="L853" s="22"/>
      <c r="M853" s="23"/>
      <c r="N853" s="23"/>
      <c r="O853" s="23"/>
      <c r="P853" s="23"/>
      <c r="Q853" s="24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2"/>
      <c r="AD853" s="23"/>
      <c r="AE853" s="23"/>
      <c r="AF853" s="22"/>
      <c r="AG853" s="22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</row>
    <row r="854" spans="1:45" ht="27.75" customHeight="1" x14ac:dyDescent="0.35">
      <c r="A854" s="15" t="s">
        <v>257</v>
      </c>
      <c r="B854" s="15" t="s">
        <v>257</v>
      </c>
      <c r="C854" s="15"/>
      <c r="D854" s="15"/>
      <c r="E854" s="16"/>
      <c r="F854" s="15" t="s">
        <v>257</v>
      </c>
      <c r="G854" s="32"/>
      <c r="H854" s="27"/>
      <c r="I854" s="27"/>
      <c r="J854" s="27"/>
      <c r="K854" s="23" t="str">
        <f ca="1">IFERROR(__xludf.DUMMYFUNCTION("""COMPUTED_VALUE"""),"")</f>
        <v/>
      </c>
      <c r="L854" s="22"/>
      <c r="M854" s="23"/>
      <c r="N854" s="23"/>
      <c r="O854" s="23"/>
      <c r="P854" s="23"/>
      <c r="Q854" s="24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2"/>
      <c r="AD854" s="23"/>
      <c r="AE854" s="23"/>
      <c r="AF854" s="22"/>
      <c r="AG854" s="22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</row>
    <row r="855" spans="1:45" ht="27.75" customHeight="1" x14ac:dyDescent="0.35">
      <c r="A855" s="15" t="s">
        <v>257</v>
      </c>
      <c r="B855" s="15" t="s">
        <v>257</v>
      </c>
      <c r="C855" s="15"/>
      <c r="D855" s="15"/>
      <c r="E855" s="16"/>
      <c r="F855" s="15" t="s">
        <v>257</v>
      </c>
      <c r="G855" s="32"/>
      <c r="H855" s="27"/>
      <c r="I855" s="27"/>
      <c r="J855" s="27"/>
      <c r="K855" s="23" t="str">
        <f ca="1">IFERROR(__xludf.DUMMYFUNCTION("""COMPUTED_VALUE"""),"")</f>
        <v/>
      </c>
      <c r="L855" s="22"/>
      <c r="M855" s="23"/>
      <c r="N855" s="23"/>
      <c r="O855" s="23"/>
      <c r="P855" s="23"/>
      <c r="Q855" s="24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2"/>
      <c r="AD855" s="23"/>
      <c r="AE855" s="23"/>
      <c r="AF855" s="22"/>
      <c r="AG855" s="22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</row>
    <row r="856" spans="1:45" ht="27.75" customHeight="1" x14ac:dyDescent="0.35">
      <c r="A856" s="15" t="s">
        <v>257</v>
      </c>
      <c r="B856" s="15" t="s">
        <v>257</v>
      </c>
      <c r="C856" s="15"/>
      <c r="D856" s="15"/>
      <c r="E856" s="16"/>
      <c r="F856" s="15" t="s">
        <v>257</v>
      </c>
      <c r="G856" s="32"/>
      <c r="H856" s="27"/>
      <c r="I856" s="27"/>
      <c r="J856" s="27"/>
      <c r="K856" s="23" t="str">
        <f ca="1">IFERROR(__xludf.DUMMYFUNCTION("""COMPUTED_VALUE"""),"")</f>
        <v/>
      </c>
      <c r="L856" s="22"/>
      <c r="M856" s="23"/>
      <c r="N856" s="23"/>
      <c r="O856" s="23"/>
      <c r="P856" s="23"/>
      <c r="Q856" s="24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2"/>
      <c r="AD856" s="23"/>
      <c r="AE856" s="23"/>
      <c r="AF856" s="22"/>
      <c r="AG856" s="22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</row>
    <row r="857" spans="1:45" ht="27.75" customHeight="1" x14ac:dyDescent="0.35">
      <c r="A857" s="15" t="s">
        <v>257</v>
      </c>
      <c r="B857" s="15" t="s">
        <v>257</v>
      </c>
      <c r="C857" s="15"/>
      <c r="D857" s="15"/>
      <c r="E857" s="16"/>
      <c r="F857" s="15" t="s">
        <v>257</v>
      </c>
      <c r="G857" s="32"/>
      <c r="H857" s="27"/>
      <c r="I857" s="27"/>
      <c r="J857" s="27"/>
      <c r="K857" s="23" t="str">
        <f ca="1">IFERROR(__xludf.DUMMYFUNCTION("""COMPUTED_VALUE"""),"")</f>
        <v/>
      </c>
      <c r="L857" s="22"/>
      <c r="M857" s="23"/>
      <c r="N857" s="23"/>
      <c r="O857" s="23"/>
      <c r="P857" s="23"/>
      <c r="Q857" s="24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2"/>
      <c r="AD857" s="23"/>
      <c r="AE857" s="23"/>
      <c r="AF857" s="22"/>
      <c r="AG857" s="22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</row>
    <row r="858" spans="1:45" ht="27.75" customHeight="1" x14ac:dyDescent="0.35">
      <c r="A858" s="15" t="s">
        <v>257</v>
      </c>
      <c r="B858" s="15" t="s">
        <v>257</v>
      </c>
      <c r="C858" s="15"/>
      <c r="D858" s="15"/>
      <c r="E858" s="16"/>
      <c r="F858" s="15" t="s">
        <v>257</v>
      </c>
      <c r="G858" s="32"/>
      <c r="H858" s="27"/>
      <c r="I858" s="27"/>
      <c r="J858" s="27"/>
      <c r="K858" s="23" t="str">
        <f ca="1">IFERROR(__xludf.DUMMYFUNCTION("""COMPUTED_VALUE"""),"")</f>
        <v/>
      </c>
      <c r="L858" s="22"/>
      <c r="M858" s="23"/>
      <c r="N858" s="23"/>
      <c r="O858" s="23"/>
      <c r="P858" s="23"/>
      <c r="Q858" s="24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2"/>
      <c r="AD858" s="23"/>
      <c r="AE858" s="23"/>
      <c r="AF858" s="22"/>
      <c r="AG858" s="22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</row>
    <row r="859" spans="1:45" ht="27.75" customHeight="1" x14ac:dyDescent="0.35">
      <c r="A859" s="15" t="s">
        <v>257</v>
      </c>
      <c r="B859" s="15" t="s">
        <v>257</v>
      </c>
      <c r="C859" s="15"/>
      <c r="D859" s="15"/>
      <c r="E859" s="16"/>
      <c r="F859" s="15" t="s">
        <v>257</v>
      </c>
      <c r="G859" s="32"/>
      <c r="H859" s="27"/>
      <c r="I859" s="27"/>
      <c r="J859" s="27"/>
      <c r="K859" s="23" t="str">
        <f ca="1">IFERROR(__xludf.DUMMYFUNCTION("""COMPUTED_VALUE"""),"")</f>
        <v/>
      </c>
      <c r="L859" s="22"/>
      <c r="M859" s="23"/>
      <c r="N859" s="23"/>
      <c r="O859" s="23"/>
      <c r="P859" s="23"/>
      <c r="Q859" s="24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2"/>
      <c r="AD859" s="23"/>
      <c r="AE859" s="23"/>
      <c r="AF859" s="22"/>
      <c r="AG859" s="22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</row>
    <row r="860" spans="1:45" ht="27.75" customHeight="1" x14ac:dyDescent="0.35">
      <c r="A860" s="15" t="s">
        <v>257</v>
      </c>
      <c r="B860" s="15" t="s">
        <v>257</v>
      </c>
      <c r="C860" s="15"/>
      <c r="D860" s="15"/>
      <c r="E860" s="16"/>
      <c r="F860" s="15" t="s">
        <v>257</v>
      </c>
      <c r="G860" s="32"/>
      <c r="H860" s="27"/>
      <c r="I860" s="27"/>
      <c r="J860" s="27"/>
      <c r="K860" s="23" t="str">
        <f ca="1">IFERROR(__xludf.DUMMYFUNCTION("""COMPUTED_VALUE"""),"")</f>
        <v/>
      </c>
      <c r="L860" s="22"/>
      <c r="M860" s="23"/>
      <c r="N860" s="23"/>
      <c r="O860" s="23"/>
      <c r="P860" s="23"/>
      <c r="Q860" s="24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2"/>
      <c r="AD860" s="23"/>
      <c r="AE860" s="23"/>
      <c r="AF860" s="22"/>
      <c r="AG860" s="22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</row>
    <row r="861" spans="1:45" ht="27.75" customHeight="1" x14ac:dyDescent="0.35">
      <c r="A861" s="15" t="s">
        <v>257</v>
      </c>
      <c r="B861" s="15" t="s">
        <v>257</v>
      </c>
      <c r="C861" s="15"/>
      <c r="D861" s="15"/>
      <c r="E861" s="16"/>
      <c r="F861" s="15" t="s">
        <v>257</v>
      </c>
      <c r="G861" s="32"/>
      <c r="H861" s="27"/>
      <c r="I861" s="27"/>
      <c r="J861" s="27"/>
      <c r="K861" s="23" t="str">
        <f ca="1">IFERROR(__xludf.DUMMYFUNCTION("""COMPUTED_VALUE"""),"")</f>
        <v/>
      </c>
      <c r="L861" s="22"/>
      <c r="M861" s="23"/>
      <c r="N861" s="23"/>
      <c r="O861" s="23"/>
      <c r="P861" s="23"/>
      <c r="Q861" s="24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2"/>
      <c r="AD861" s="23"/>
      <c r="AE861" s="23"/>
      <c r="AF861" s="22"/>
      <c r="AG861" s="22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</row>
    <row r="862" spans="1:45" ht="27.75" customHeight="1" x14ac:dyDescent="0.35">
      <c r="A862" s="15" t="s">
        <v>257</v>
      </c>
      <c r="B862" s="15" t="s">
        <v>257</v>
      </c>
      <c r="C862" s="15"/>
      <c r="D862" s="15"/>
      <c r="E862" s="16"/>
      <c r="F862" s="15" t="s">
        <v>257</v>
      </c>
      <c r="G862" s="32"/>
      <c r="H862" s="27"/>
      <c r="I862" s="27"/>
      <c r="J862" s="27"/>
      <c r="K862" s="23" t="str">
        <f ca="1">IFERROR(__xludf.DUMMYFUNCTION("""COMPUTED_VALUE"""),"")</f>
        <v/>
      </c>
      <c r="L862" s="22"/>
      <c r="M862" s="23"/>
      <c r="N862" s="23"/>
      <c r="O862" s="23"/>
      <c r="P862" s="23"/>
      <c r="Q862" s="24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2"/>
      <c r="AD862" s="23"/>
      <c r="AE862" s="23"/>
      <c r="AF862" s="22"/>
      <c r="AG862" s="22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</row>
    <row r="863" spans="1:45" ht="27.75" customHeight="1" x14ac:dyDescent="0.35">
      <c r="A863" s="15" t="s">
        <v>257</v>
      </c>
      <c r="B863" s="15" t="s">
        <v>257</v>
      </c>
      <c r="C863" s="15"/>
      <c r="D863" s="15"/>
      <c r="E863" s="16"/>
      <c r="F863" s="15" t="s">
        <v>257</v>
      </c>
      <c r="G863" s="32"/>
      <c r="H863" s="27"/>
      <c r="I863" s="27"/>
      <c r="J863" s="27"/>
      <c r="K863" s="23" t="str">
        <f ca="1">IFERROR(__xludf.DUMMYFUNCTION("""COMPUTED_VALUE"""),"")</f>
        <v/>
      </c>
      <c r="L863" s="22"/>
      <c r="M863" s="23"/>
      <c r="N863" s="23"/>
      <c r="O863" s="23"/>
      <c r="P863" s="23"/>
      <c r="Q863" s="24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2"/>
      <c r="AD863" s="23"/>
      <c r="AE863" s="23"/>
      <c r="AF863" s="22"/>
      <c r="AG863" s="22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</row>
    <row r="864" spans="1:45" ht="27.75" customHeight="1" x14ac:dyDescent="0.35">
      <c r="A864" s="15" t="s">
        <v>257</v>
      </c>
      <c r="B864" s="15" t="s">
        <v>257</v>
      </c>
      <c r="C864" s="15"/>
      <c r="D864" s="15"/>
      <c r="E864" s="16"/>
      <c r="F864" s="15" t="s">
        <v>257</v>
      </c>
      <c r="G864" s="32"/>
      <c r="H864" s="27"/>
      <c r="I864" s="27"/>
      <c r="J864" s="27"/>
      <c r="K864" s="23" t="str">
        <f ca="1">IFERROR(__xludf.DUMMYFUNCTION("""COMPUTED_VALUE"""),"")</f>
        <v/>
      </c>
      <c r="L864" s="22"/>
      <c r="M864" s="23"/>
      <c r="N864" s="23"/>
      <c r="O864" s="23"/>
      <c r="P864" s="23"/>
      <c r="Q864" s="24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2"/>
      <c r="AD864" s="23"/>
      <c r="AE864" s="23"/>
      <c r="AF864" s="22"/>
      <c r="AG864" s="22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</row>
    <row r="865" spans="1:45" ht="27.75" customHeight="1" x14ac:dyDescent="0.35">
      <c r="A865" s="15" t="s">
        <v>257</v>
      </c>
      <c r="B865" s="15" t="s">
        <v>257</v>
      </c>
      <c r="C865" s="15"/>
      <c r="D865" s="15"/>
      <c r="E865" s="16"/>
      <c r="F865" s="15" t="s">
        <v>257</v>
      </c>
      <c r="G865" s="32"/>
      <c r="H865" s="27"/>
      <c r="I865" s="27"/>
      <c r="J865" s="27"/>
      <c r="K865" s="23" t="str">
        <f ca="1">IFERROR(__xludf.DUMMYFUNCTION("""COMPUTED_VALUE"""),"")</f>
        <v/>
      </c>
      <c r="L865" s="22"/>
      <c r="M865" s="23"/>
      <c r="N865" s="23"/>
      <c r="O865" s="23"/>
      <c r="P865" s="23"/>
      <c r="Q865" s="24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2"/>
      <c r="AD865" s="23"/>
      <c r="AE865" s="23"/>
      <c r="AF865" s="22"/>
      <c r="AG865" s="22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</row>
    <row r="866" spans="1:45" ht="27.75" customHeight="1" x14ac:dyDescent="0.35">
      <c r="A866" s="15" t="s">
        <v>257</v>
      </c>
      <c r="B866" s="15" t="s">
        <v>257</v>
      </c>
      <c r="C866" s="15"/>
      <c r="D866" s="15"/>
      <c r="E866" s="16"/>
      <c r="F866" s="15" t="s">
        <v>257</v>
      </c>
      <c r="G866" s="32"/>
      <c r="H866" s="27"/>
      <c r="I866" s="27"/>
      <c r="J866" s="27"/>
      <c r="K866" s="23" t="str">
        <f ca="1">IFERROR(__xludf.DUMMYFUNCTION("""COMPUTED_VALUE"""),"")</f>
        <v/>
      </c>
      <c r="L866" s="22"/>
      <c r="M866" s="23"/>
      <c r="N866" s="23"/>
      <c r="O866" s="23"/>
      <c r="P866" s="23"/>
      <c r="Q866" s="24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2"/>
      <c r="AD866" s="23"/>
      <c r="AE866" s="23"/>
      <c r="AF866" s="22"/>
      <c r="AG866" s="22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</row>
    <row r="867" spans="1:45" ht="27.75" customHeight="1" x14ac:dyDescent="0.35">
      <c r="A867" s="15" t="s">
        <v>257</v>
      </c>
      <c r="B867" s="15" t="s">
        <v>257</v>
      </c>
      <c r="C867" s="15"/>
      <c r="D867" s="15"/>
      <c r="E867" s="16"/>
      <c r="F867" s="15" t="s">
        <v>257</v>
      </c>
      <c r="G867" s="32"/>
      <c r="H867" s="27"/>
      <c r="I867" s="27"/>
      <c r="J867" s="27"/>
      <c r="K867" s="23" t="str">
        <f ca="1">IFERROR(__xludf.DUMMYFUNCTION("""COMPUTED_VALUE"""),"")</f>
        <v/>
      </c>
      <c r="L867" s="22"/>
      <c r="M867" s="23"/>
      <c r="N867" s="23"/>
      <c r="O867" s="23"/>
      <c r="P867" s="23"/>
      <c r="Q867" s="24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2"/>
      <c r="AD867" s="23"/>
      <c r="AE867" s="23"/>
      <c r="AF867" s="22"/>
      <c r="AG867" s="22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</row>
    <row r="868" spans="1:45" ht="27.75" customHeight="1" x14ac:dyDescent="0.35">
      <c r="A868" s="15" t="s">
        <v>257</v>
      </c>
      <c r="B868" s="15" t="s">
        <v>257</v>
      </c>
      <c r="C868" s="15"/>
      <c r="D868" s="15"/>
      <c r="E868" s="16"/>
      <c r="F868" s="15" t="s">
        <v>257</v>
      </c>
      <c r="G868" s="32"/>
      <c r="H868" s="27"/>
      <c r="I868" s="27"/>
      <c r="J868" s="27"/>
      <c r="K868" s="23" t="str">
        <f ca="1">IFERROR(__xludf.DUMMYFUNCTION("""COMPUTED_VALUE"""),"")</f>
        <v/>
      </c>
      <c r="L868" s="22"/>
      <c r="M868" s="23"/>
      <c r="N868" s="23"/>
      <c r="O868" s="23"/>
      <c r="P868" s="23"/>
      <c r="Q868" s="24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2"/>
      <c r="AD868" s="23"/>
      <c r="AE868" s="23"/>
      <c r="AF868" s="22"/>
      <c r="AG868" s="22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</row>
    <row r="869" spans="1:45" ht="27.75" customHeight="1" x14ac:dyDescent="0.35">
      <c r="A869" s="15" t="s">
        <v>257</v>
      </c>
      <c r="B869" s="15" t="s">
        <v>257</v>
      </c>
      <c r="C869" s="15"/>
      <c r="D869" s="15"/>
      <c r="E869" s="16"/>
      <c r="F869" s="15" t="s">
        <v>257</v>
      </c>
      <c r="G869" s="32"/>
      <c r="H869" s="27"/>
      <c r="I869" s="27"/>
      <c r="J869" s="27"/>
      <c r="K869" s="23" t="str">
        <f ca="1">IFERROR(__xludf.DUMMYFUNCTION("""COMPUTED_VALUE"""),"")</f>
        <v/>
      </c>
      <c r="L869" s="22"/>
      <c r="M869" s="23"/>
      <c r="N869" s="23"/>
      <c r="O869" s="23"/>
      <c r="P869" s="23"/>
      <c r="Q869" s="24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2"/>
      <c r="AD869" s="23"/>
      <c r="AE869" s="23"/>
      <c r="AF869" s="22"/>
      <c r="AG869" s="22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</row>
    <row r="870" spans="1:45" ht="27.75" customHeight="1" x14ac:dyDescent="0.35">
      <c r="A870" s="15" t="s">
        <v>257</v>
      </c>
      <c r="B870" s="15" t="s">
        <v>257</v>
      </c>
      <c r="C870" s="15"/>
      <c r="D870" s="15"/>
      <c r="E870" s="16"/>
      <c r="F870" s="15" t="s">
        <v>257</v>
      </c>
      <c r="G870" s="32"/>
      <c r="H870" s="27"/>
      <c r="I870" s="27"/>
      <c r="J870" s="27"/>
      <c r="K870" s="23" t="str">
        <f ca="1">IFERROR(__xludf.DUMMYFUNCTION("""COMPUTED_VALUE"""),"")</f>
        <v/>
      </c>
      <c r="L870" s="22"/>
      <c r="M870" s="23"/>
      <c r="N870" s="23"/>
      <c r="O870" s="23"/>
      <c r="P870" s="23"/>
      <c r="Q870" s="24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2"/>
      <c r="AD870" s="23"/>
      <c r="AE870" s="23"/>
      <c r="AF870" s="22"/>
      <c r="AG870" s="22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</row>
    <row r="871" spans="1:45" ht="27.75" customHeight="1" x14ac:dyDescent="0.35">
      <c r="A871" s="15" t="s">
        <v>257</v>
      </c>
      <c r="B871" s="15" t="s">
        <v>257</v>
      </c>
      <c r="C871" s="15"/>
      <c r="D871" s="15"/>
      <c r="E871" s="16"/>
      <c r="F871" s="15" t="s">
        <v>257</v>
      </c>
      <c r="G871" s="32"/>
      <c r="H871" s="27"/>
      <c r="I871" s="27"/>
      <c r="J871" s="27"/>
      <c r="K871" s="23" t="str">
        <f ca="1">IFERROR(__xludf.DUMMYFUNCTION("""COMPUTED_VALUE"""),"")</f>
        <v/>
      </c>
      <c r="L871" s="22"/>
      <c r="M871" s="23"/>
      <c r="N871" s="23"/>
      <c r="O871" s="23"/>
      <c r="P871" s="23"/>
      <c r="Q871" s="24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2"/>
      <c r="AD871" s="23"/>
      <c r="AE871" s="23"/>
      <c r="AF871" s="22"/>
      <c r="AG871" s="22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</row>
    <row r="872" spans="1:45" ht="27.75" customHeight="1" x14ac:dyDescent="0.35">
      <c r="A872" s="15" t="s">
        <v>257</v>
      </c>
      <c r="B872" s="15" t="s">
        <v>257</v>
      </c>
      <c r="C872" s="15"/>
      <c r="D872" s="15"/>
      <c r="E872" s="16"/>
      <c r="F872" s="15" t="s">
        <v>257</v>
      </c>
      <c r="G872" s="32"/>
      <c r="H872" s="27"/>
      <c r="I872" s="27"/>
      <c r="J872" s="27"/>
      <c r="K872" s="23" t="str">
        <f ca="1">IFERROR(__xludf.DUMMYFUNCTION("""COMPUTED_VALUE"""),"")</f>
        <v/>
      </c>
      <c r="L872" s="22"/>
      <c r="M872" s="23"/>
      <c r="N872" s="23"/>
      <c r="O872" s="23"/>
      <c r="P872" s="23"/>
      <c r="Q872" s="24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2"/>
      <c r="AD872" s="23"/>
      <c r="AE872" s="23"/>
      <c r="AF872" s="22"/>
      <c r="AG872" s="22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</row>
    <row r="873" spans="1:45" ht="27.75" customHeight="1" x14ac:dyDescent="0.35">
      <c r="A873" s="15" t="s">
        <v>257</v>
      </c>
      <c r="B873" s="15" t="s">
        <v>257</v>
      </c>
      <c r="C873" s="15"/>
      <c r="D873" s="15"/>
      <c r="E873" s="16"/>
      <c r="F873" s="15" t="s">
        <v>257</v>
      </c>
      <c r="G873" s="32"/>
      <c r="H873" s="27"/>
      <c r="I873" s="27"/>
      <c r="J873" s="27"/>
      <c r="K873" s="23" t="str">
        <f ca="1">IFERROR(__xludf.DUMMYFUNCTION("""COMPUTED_VALUE"""),"")</f>
        <v/>
      </c>
      <c r="L873" s="22"/>
      <c r="M873" s="23"/>
      <c r="N873" s="23"/>
      <c r="O873" s="23"/>
      <c r="P873" s="23"/>
      <c r="Q873" s="24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2"/>
      <c r="AD873" s="23"/>
      <c r="AE873" s="23"/>
      <c r="AF873" s="22"/>
      <c r="AG873" s="22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</row>
    <row r="874" spans="1:45" ht="27.75" customHeight="1" x14ac:dyDescent="0.35">
      <c r="A874" s="15" t="s">
        <v>257</v>
      </c>
      <c r="B874" s="15" t="s">
        <v>257</v>
      </c>
      <c r="C874" s="15"/>
      <c r="D874" s="15"/>
      <c r="E874" s="16"/>
      <c r="F874" s="15" t="s">
        <v>257</v>
      </c>
      <c r="G874" s="32"/>
      <c r="H874" s="27"/>
      <c r="I874" s="27"/>
      <c r="J874" s="27"/>
      <c r="K874" s="23" t="str">
        <f ca="1">IFERROR(__xludf.DUMMYFUNCTION("""COMPUTED_VALUE"""),"")</f>
        <v/>
      </c>
      <c r="L874" s="22"/>
      <c r="M874" s="23"/>
      <c r="N874" s="23"/>
      <c r="O874" s="23"/>
      <c r="P874" s="23"/>
      <c r="Q874" s="24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2"/>
      <c r="AD874" s="23"/>
      <c r="AE874" s="23"/>
      <c r="AF874" s="22"/>
      <c r="AG874" s="22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</row>
    <row r="875" spans="1:45" ht="27.75" customHeight="1" x14ac:dyDescent="0.35">
      <c r="A875" s="15" t="s">
        <v>257</v>
      </c>
      <c r="B875" s="15" t="s">
        <v>257</v>
      </c>
      <c r="C875" s="15"/>
      <c r="D875" s="15"/>
      <c r="E875" s="16"/>
      <c r="F875" s="15" t="s">
        <v>257</v>
      </c>
      <c r="G875" s="32"/>
      <c r="H875" s="27"/>
      <c r="I875" s="27"/>
      <c r="J875" s="27"/>
      <c r="K875" s="23" t="str">
        <f ca="1">IFERROR(__xludf.DUMMYFUNCTION("""COMPUTED_VALUE"""),"")</f>
        <v/>
      </c>
      <c r="L875" s="22"/>
      <c r="M875" s="23"/>
      <c r="N875" s="23"/>
      <c r="O875" s="23"/>
      <c r="P875" s="23"/>
      <c r="Q875" s="24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2"/>
      <c r="AD875" s="23"/>
      <c r="AE875" s="23"/>
      <c r="AF875" s="22"/>
      <c r="AG875" s="22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</row>
    <row r="876" spans="1:45" ht="27.75" customHeight="1" x14ac:dyDescent="0.35">
      <c r="A876" s="15" t="s">
        <v>257</v>
      </c>
      <c r="B876" s="15" t="s">
        <v>257</v>
      </c>
      <c r="C876" s="15"/>
      <c r="D876" s="15"/>
      <c r="E876" s="16"/>
      <c r="F876" s="15" t="s">
        <v>257</v>
      </c>
      <c r="G876" s="32"/>
      <c r="H876" s="27"/>
      <c r="I876" s="27"/>
      <c r="J876" s="27"/>
      <c r="K876" s="23" t="str">
        <f ca="1">IFERROR(__xludf.DUMMYFUNCTION("""COMPUTED_VALUE"""),"")</f>
        <v/>
      </c>
      <c r="L876" s="22"/>
      <c r="M876" s="23"/>
      <c r="N876" s="23"/>
      <c r="O876" s="23"/>
      <c r="P876" s="23"/>
      <c r="Q876" s="24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2"/>
      <c r="AD876" s="23"/>
      <c r="AE876" s="23"/>
      <c r="AF876" s="22"/>
      <c r="AG876" s="22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</row>
    <row r="877" spans="1:45" ht="27.75" customHeight="1" x14ac:dyDescent="0.35">
      <c r="A877" s="15" t="s">
        <v>257</v>
      </c>
      <c r="B877" s="15" t="s">
        <v>257</v>
      </c>
      <c r="C877" s="15"/>
      <c r="D877" s="15"/>
      <c r="E877" s="16"/>
      <c r="F877" s="15" t="s">
        <v>257</v>
      </c>
      <c r="G877" s="32"/>
      <c r="H877" s="27"/>
      <c r="I877" s="27"/>
      <c r="J877" s="27"/>
      <c r="K877" s="23" t="str">
        <f ca="1">IFERROR(__xludf.DUMMYFUNCTION("""COMPUTED_VALUE"""),"")</f>
        <v/>
      </c>
      <c r="L877" s="22"/>
      <c r="M877" s="23"/>
      <c r="N877" s="23"/>
      <c r="O877" s="23"/>
      <c r="P877" s="23"/>
      <c r="Q877" s="24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2"/>
      <c r="AD877" s="23"/>
      <c r="AE877" s="23"/>
      <c r="AF877" s="22"/>
      <c r="AG877" s="22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</row>
    <row r="878" spans="1:45" ht="27.75" customHeight="1" x14ac:dyDescent="0.35">
      <c r="A878" s="15" t="s">
        <v>257</v>
      </c>
      <c r="B878" s="15" t="s">
        <v>257</v>
      </c>
      <c r="C878" s="15"/>
      <c r="D878" s="15"/>
      <c r="E878" s="16"/>
      <c r="F878" s="15" t="s">
        <v>257</v>
      </c>
      <c r="G878" s="32"/>
      <c r="H878" s="27"/>
      <c r="I878" s="27"/>
      <c r="J878" s="27"/>
      <c r="K878" s="23" t="str">
        <f ca="1">IFERROR(__xludf.DUMMYFUNCTION("""COMPUTED_VALUE"""),"")</f>
        <v/>
      </c>
      <c r="L878" s="22"/>
      <c r="M878" s="23"/>
      <c r="N878" s="23"/>
      <c r="O878" s="23"/>
      <c r="P878" s="23"/>
      <c r="Q878" s="24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2"/>
      <c r="AD878" s="23"/>
      <c r="AE878" s="23"/>
      <c r="AF878" s="22"/>
      <c r="AG878" s="22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</row>
    <row r="879" spans="1:45" ht="27.75" customHeight="1" x14ac:dyDescent="0.35">
      <c r="A879" s="15" t="s">
        <v>257</v>
      </c>
      <c r="B879" s="15" t="s">
        <v>257</v>
      </c>
      <c r="C879" s="15"/>
      <c r="D879" s="15"/>
      <c r="E879" s="16"/>
      <c r="F879" s="15" t="s">
        <v>257</v>
      </c>
      <c r="G879" s="32"/>
      <c r="H879" s="27"/>
      <c r="I879" s="27"/>
      <c r="J879" s="27"/>
      <c r="K879" s="23" t="str">
        <f ca="1">IFERROR(__xludf.DUMMYFUNCTION("""COMPUTED_VALUE"""),"")</f>
        <v/>
      </c>
      <c r="L879" s="22"/>
      <c r="M879" s="23"/>
      <c r="N879" s="23"/>
      <c r="O879" s="23"/>
      <c r="P879" s="23"/>
      <c r="Q879" s="24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2"/>
      <c r="AD879" s="23"/>
      <c r="AE879" s="23"/>
      <c r="AF879" s="22"/>
      <c r="AG879" s="22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</row>
    <row r="880" spans="1:45" ht="27.75" customHeight="1" x14ac:dyDescent="0.35">
      <c r="A880" s="15" t="s">
        <v>257</v>
      </c>
      <c r="B880" s="15" t="s">
        <v>257</v>
      </c>
      <c r="C880" s="15"/>
      <c r="D880" s="15"/>
      <c r="E880" s="16"/>
      <c r="F880" s="15" t="s">
        <v>257</v>
      </c>
      <c r="G880" s="32"/>
      <c r="H880" s="27"/>
      <c r="I880" s="27"/>
      <c r="J880" s="27"/>
      <c r="K880" s="23" t="str">
        <f ca="1">IFERROR(__xludf.DUMMYFUNCTION("""COMPUTED_VALUE"""),"")</f>
        <v/>
      </c>
      <c r="L880" s="22"/>
      <c r="M880" s="23"/>
      <c r="N880" s="23"/>
      <c r="O880" s="23"/>
      <c r="P880" s="23"/>
      <c r="Q880" s="24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2"/>
      <c r="AD880" s="23"/>
      <c r="AE880" s="23"/>
      <c r="AF880" s="22"/>
      <c r="AG880" s="22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</row>
    <row r="881" spans="1:45" ht="27.75" customHeight="1" x14ac:dyDescent="0.35">
      <c r="A881" s="15" t="s">
        <v>257</v>
      </c>
      <c r="B881" s="15" t="s">
        <v>257</v>
      </c>
      <c r="C881" s="15"/>
      <c r="D881" s="15"/>
      <c r="E881" s="16"/>
      <c r="F881" s="15" t="s">
        <v>257</v>
      </c>
      <c r="G881" s="32"/>
      <c r="H881" s="27"/>
      <c r="I881" s="27"/>
      <c r="J881" s="27"/>
      <c r="K881" s="23" t="str">
        <f ca="1">IFERROR(__xludf.DUMMYFUNCTION("""COMPUTED_VALUE"""),"")</f>
        <v/>
      </c>
      <c r="L881" s="22"/>
      <c r="M881" s="23"/>
      <c r="N881" s="23"/>
      <c r="O881" s="23"/>
      <c r="P881" s="23"/>
      <c r="Q881" s="24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2"/>
      <c r="AD881" s="23"/>
      <c r="AE881" s="23"/>
      <c r="AF881" s="22"/>
      <c r="AG881" s="22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</row>
    <row r="882" spans="1:45" ht="27.75" customHeight="1" x14ac:dyDescent="0.35">
      <c r="A882" s="15" t="s">
        <v>257</v>
      </c>
      <c r="B882" s="15" t="s">
        <v>257</v>
      </c>
      <c r="C882" s="15"/>
      <c r="D882" s="15"/>
      <c r="E882" s="16"/>
      <c r="F882" s="15" t="s">
        <v>257</v>
      </c>
      <c r="G882" s="32"/>
      <c r="H882" s="27"/>
      <c r="I882" s="27"/>
      <c r="J882" s="27"/>
      <c r="K882" s="23" t="str">
        <f ca="1">IFERROR(__xludf.DUMMYFUNCTION("""COMPUTED_VALUE"""),"")</f>
        <v/>
      </c>
      <c r="L882" s="22"/>
      <c r="M882" s="23"/>
      <c r="N882" s="23"/>
      <c r="O882" s="23"/>
      <c r="P882" s="23"/>
      <c r="Q882" s="24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2"/>
      <c r="AD882" s="23"/>
      <c r="AE882" s="23"/>
      <c r="AF882" s="22"/>
      <c r="AG882" s="22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</row>
    <row r="883" spans="1:45" ht="27.75" customHeight="1" x14ac:dyDescent="0.35">
      <c r="A883" s="15" t="s">
        <v>257</v>
      </c>
      <c r="B883" s="15" t="s">
        <v>257</v>
      </c>
      <c r="C883" s="15"/>
      <c r="D883" s="15"/>
      <c r="E883" s="16"/>
      <c r="F883" s="15" t="s">
        <v>257</v>
      </c>
      <c r="G883" s="32"/>
      <c r="H883" s="27"/>
      <c r="I883" s="27"/>
      <c r="J883" s="27"/>
      <c r="K883" s="23" t="str">
        <f ca="1">IFERROR(__xludf.DUMMYFUNCTION("""COMPUTED_VALUE"""),"")</f>
        <v/>
      </c>
      <c r="L883" s="22"/>
      <c r="M883" s="23"/>
      <c r="N883" s="23"/>
      <c r="O883" s="23"/>
      <c r="P883" s="23"/>
      <c r="Q883" s="24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2"/>
      <c r="AD883" s="23"/>
      <c r="AE883" s="23"/>
      <c r="AF883" s="22"/>
      <c r="AG883" s="22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</row>
    <row r="884" spans="1:45" ht="27.75" customHeight="1" x14ac:dyDescent="0.35">
      <c r="A884" s="15" t="s">
        <v>257</v>
      </c>
      <c r="B884" s="15" t="s">
        <v>257</v>
      </c>
      <c r="C884" s="15"/>
      <c r="D884" s="15"/>
      <c r="E884" s="16"/>
      <c r="F884" s="15" t="s">
        <v>257</v>
      </c>
      <c r="G884" s="32"/>
      <c r="H884" s="27"/>
      <c r="I884" s="27"/>
      <c r="J884" s="27"/>
      <c r="K884" s="23" t="str">
        <f ca="1">IFERROR(__xludf.DUMMYFUNCTION("""COMPUTED_VALUE"""),"")</f>
        <v/>
      </c>
      <c r="L884" s="22"/>
      <c r="M884" s="23"/>
      <c r="N884" s="23"/>
      <c r="O884" s="23"/>
      <c r="P884" s="23"/>
      <c r="Q884" s="24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2"/>
      <c r="AD884" s="23"/>
      <c r="AE884" s="23"/>
      <c r="AF884" s="22"/>
      <c r="AG884" s="22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</row>
    <row r="885" spans="1:45" ht="27.75" customHeight="1" x14ac:dyDescent="0.35">
      <c r="A885" s="15" t="s">
        <v>257</v>
      </c>
      <c r="B885" s="15" t="s">
        <v>257</v>
      </c>
      <c r="C885" s="15"/>
      <c r="D885" s="15"/>
      <c r="E885" s="16"/>
      <c r="F885" s="15" t="s">
        <v>257</v>
      </c>
      <c r="G885" s="32"/>
      <c r="H885" s="27"/>
      <c r="I885" s="27"/>
      <c r="J885" s="27"/>
      <c r="K885" s="23" t="str">
        <f ca="1">IFERROR(__xludf.DUMMYFUNCTION("""COMPUTED_VALUE"""),"")</f>
        <v/>
      </c>
      <c r="L885" s="22"/>
      <c r="M885" s="23"/>
      <c r="N885" s="23"/>
      <c r="O885" s="23"/>
      <c r="P885" s="23"/>
      <c r="Q885" s="24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2"/>
      <c r="AD885" s="23"/>
      <c r="AE885" s="23"/>
      <c r="AF885" s="22"/>
      <c r="AG885" s="22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</row>
    <row r="886" spans="1:45" ht="27.75" customHeight="1" x14ac:dyDescent="0.35">
      <c r="A886" s="15" t="s">
        <v>257</v>
      </c>
      <c r="B886" s="15" t="s">
        <v>257</v>
      </c>
      <c r="C886" s="15"/>
      <c r="D886" s="15"/>
      <c r="E886" s="16"/>
      <c r="F886" s="15" t="s">
        <v>257</v>
      </c>
      <c r="G886" s="32"/>
      <c r="H886" s="27"/>
      <c r="I886" s="27"/>
      <c r="J886" s="27"/>
      <c r="K886" s="23" t="str">
        <f ca="1">IFERROR(__xludf.DUMMYFUNCTION("""COMPUTED_VALUE"""),"")</f>
        <v/>
      </c>
      <c r="L886" s="22"/>
      <c r="M886" s="23"/>
      <c r="N886" s="23"/>
      <c r="O886" s="23"/>
      <c r="P886" s="23"/>
      <c r="Q886" s="24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2"/>
      <c r="AD886" s="23"/>
      <c r="AE886" s="23"/>
      <c r="AF886" s="22"/>
      <c r="AG886" s="22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</row>
    <row r="887" spans="1:45" ht="27.75" customHeight="1" x14ac:dyDescent="0.35">
      <c r="A887" s="15" t="s">
        <v>257</v>
      </c>
      <c r="B887" s="15" t="s">
        <v>257</v>
      </c>
      <c r="C887" s="15"/>
      <c r="D887" s="15"/>
      <c r="E887" s="16"/>
      <c r="F887" s="15" t="s">
        <v>257</v>
      </c>
      <c r="G887" s="32"/>
      <c r="H887" s="27"/>
      <c r="I887" s="27"/>
      <c r="J887" s="27"/>
      <c r="K887" s="23" t="str">
        <f ca="1">IFERROR(__xludf.DUMMYFUNCTION("""COMPUTED_VALUE"""),"")</f>
        <v/>
      </c>
      <c r="L887" s="22"/>
      <c r="M887" s="23"/>
      <c r="N887" s="23"/>
      <c r="O887" s="23"/>
      <c r="P887" s="23"/>
      <c r="Q887" s="24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2"/>
      <c r="AD887" s="23"/>
      <c r="AE887" s="23"/>
      <c r="AF887" s="22"/>
      <c r="AG887" s="22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</row>
    <row r="888" spans="1:45" ht="27.75" customHeight="1" x14ac:dyDescent="0.35">
      <c r="A888" s="15" t="s">
        <v>257</v>
      </c>
      <c r="B888" s="15" t="s">
        <v>257</v>
      </c>
      <c r="C888" s="15"/>
      <c r="D888" s="15"/>
      <c r="E888" s="16"/>
      <c r="F888" s="15" t="s">
        <v>257</v>
      </c>
      <c r="G888" s="32"/>
      <c r="H888" s="27"/>
      <c r="I888" s="27"/>
      <c r="J888" s="27"/>
      <c r="K888" s="23" t="str">
        <f ca="1">IFERROR(__xludf.DUMMYFUNCTION("""COMPUTED_VALUE"""),"")</f>
        <v/>
      </c>
      <c r="L888" s="22"/>
      <c r="M888" s="23"/>
      <c r="N888" s="23"/>
      <c r="O888" s="23"/>
      <c r="P888" s="23"/>
      <c r="Q888" s="24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2"/>
      <c r="AD888" s="23"/>
      <c r="AE888" s="23"/>
      <c r="AF888" s="22"/>
      <c r="AG888" s="22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</row>
    <row r="889" spans="1:45" ht="27.75" customHeight="1" x14ac:dyDescent="0.35">
      <c r="A889" s="15" t="s">
        <v>257</v>
      </c>
      <c r="B889" s="15" t="s">
        <v>257</v>
      </c>
      <c r="C889" s="15"/>
      <c r="D889" s="15"/>
      <c r="E889" s="16"/>
      <c r="F889" s="15" t="s">
        <v>257</v>
      </c>
      <c r="G889" s="32"/>
      <c r="H889" s="27"/>
      <c r="I889" s="27"/>
      <c r="J889" s="27"/>
      <c r="K889" s="23" t="str">
        <f ca="1">IFERROR(__xludf.DUMMYFUNCTION("""COMPUTED_VALUE"""),"")</f>
        <v/>
      </c>
      <c r="L889" s="22"/>
      <c r="M889" s="23"/>
      <c r="N889" s="23"/>
      <c r="O889" s="23"/>
      <c r="P889" s="23"/>
      <c r="Q889" s="24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2"/>
      <c r="AD889" s="23"/>
      <c r="AE889" s="23"/>
      <c r="AF889" s="22"/>
      <c r="AG889" s="22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</row>
    <row r="890" spans="1:45" ht="27.75" customHeight="1" x14ac:dyDescent="0.35">
      <c r="A890" s="15" t="s">
        <v>257</v>
      </c>
      <c r="B890" s="15" t="s">
        <v>257</v>
      </c>
      <c r="C890" s="15"/>
      <c r="D890" s="15"/>
      <c r="E890" s="16"/>
      <c r="F890" s="15" t="s">
        <v>257</v>
      </c>
      <c r="G890" s="32"/>
      <c r="H890" s="27"/>
      <c r="I890" s="27"/>
      <c r="J890" s="27"/>
      <c r="K890" s="23" t="str">
        <f ca="1">IFERROR(__xludf.DUMMYFUNCTION("""COMPUTED_VALUE"""),"")</f>
        <v/>
      </c>
      <c r="L890" s="22"/>
      <c r="M890" s="23"/>
      <c r="N890" s="23"/>
      <c r="O890" s="23"/>
      <c r="P890" s="23"/>
      <c r="Q890" s="24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2"/>
      <c r="AD890" s="23"/>
      <c r="AE890" s="23"/>
      <c r="AF890" s="22"/>
      <c r="AG890" s="22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</row>
    <row r="891" spans="1:45" ht="27.75" customHeight="1" x14ac:dyDescent="0.35">
      <c r="A891" s="15" t="s">
        <v>257</v>
      </c>
      <c r="B891" s="15" t="s">
        <v>257</v>
      </c>
      <c r="C891" s="15"/>
      <c r="D891" s="15"/>
      <c r="E891" s="16"/>
      <c r="F891" s="15" t="s">
        <v>257</v>
      </c>
      <c r="G891" s="32"/>
      <c r="H891" s="27"/>
      <c r="I891" s="27"/>
      <c r="J891" s="27"/>
      <c r="K891" s="23" t="str">
        <f ca="1">IFERROR(__xludf.DUMMYFUNCTION("""COMPUTED_VALUE"""),"")</f>
        <v/>
      </c>
      <c r="L891" s="22"/>
      <c r="M891" s="23"/>
      <c r="N891" s="23"/>
      <c r="O891" s="23"/>
      <c r="P891" s="23"/>
      <c r="Q891" s="24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2"/>
      <c r="AD891" s="23"/>
      <c r="AE891" s="23"/>
      <c r="AF891" s="22"/>
      <c r="AG891" s="22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</row>
    <row r="892" spans="1:45" ht="27.75" customHeight="1" x14ac:dyDescent="0.35">
      <c r="A892" s="15" t="s">
        <v>257</v>
      </c>
      <c r="B892" s="15" t="s">
        <v>257</v>
      </c>
      <c r="C892" s="15"/>
      <c r="D892" s="15"/>
      <c r="E892" s="16"/>
      <c r="F892" s="15" t="s">
        <v>257</v>
      </c>
      <c r="G892" s="32"/>
      <c r="H892" s="27"/>
      <c r="I892" s="27"/>
      <c r="J892" s="27"/>
      <c r="K892" s="23" t="str">
        <f ca="1">IFERROR(__xludf.DUMMYFUNCTION("""COMPUTED_VALUE"""),"")</f>
        <v/>
      </c>
      <c r="L892" s="22"/>
      <c r="M892" s="23"/>
      <c r="N892" s="23"/>
      <c r="O892" s="23"/>
      <c r="P892" s="23"/>
      <c r="Q892" s="24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2"/>
      <c r="AD892" s="23"/>
      <c r="AE892" s="23"/>
      <c r="AF892" s="22"/>
      <c r="AG892" s="22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</row>
    <row r="893" spans="1:45" ht="27.75" customHeight="1" x14ac:dyDescent="0.35">
      <c r="A893" s="15" t="s">
        <v>257</v>
      </c>
      <c r="B893" s="15" t="s">
        <v>257</v>
      </c>
      <c r="C893" s="15"/>
      <c r="D893" s="15"/>
      <c r="E893" s="16"/>
      <c r="F893" s="15" t="s">
        <v>257</v>
      </c>
      <c r="G893" s="32"/>
      <c r="H893" s="27"/>
      <c r="I893" s="27"/>
      <c r="J893" s="27"/>
      <c r="K893" s="23" t="str">
        <f ca="1">IFERROR(__xludf.DUMMYFUNCTION("""COMPUTED_VALUE"""),"")</f>
        <v/>
      </c>
      <c r="L893" s="22"/>
      <c r="M893" s="23"/>
      <c r="N893" s="23"/>
      <c r="O893" s="23"/>
      <c r="P893" s="23"/>
      <c r="Q893" s="24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2"/>
      <c r="AD893" s="23"/>
      <c r="AE893" s="23"/>
      <c r="AF893" s="22"/>
      <c r="AG893" s="22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</row>
    <row r="894" spans="1:45" ht="27.75" customHeight="1" x14ac:dyDescent="0.35">
      <c r="A894" s="15" t="s">
        <v>257</v>
      </c>
      <c r="B894" s="15" t="s">
        <v>257</v>
      </c>
      <c r="C894" s="15"/>
      <c r="D894" s="15"/>
      <c r="E894" s="16"/>
      <c r="F894" s="15" t="s">
        <v>257</v>
      </c>
      <c r="G894" s="32"/>
      <c r="H894" s="27"/>
      <c r="I894" s="27"/>
      <c r="J894" s="27"/>
      <c r="K894" s="23" t="str">
        <f ca="1">IFERROR(__xludf.DUMMYFUNCTION("""COMPUTED_VALUE"""),"")</f>
        <v/>
      </c>
      <c r="L894" s="22"/>
      <c r="M894" s="23"/>
      <c r="N894" s="23"/>
      <c r="O894" s="23"/>
      <c r="P894" s="23"/>
      <c r="Q894" s="24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2"/>
      <c r="AD894" s="23"/>
      <c r="AE894" s="23"/>
      <c r="AF894" s="22"/>
      <c r="AG894" s="22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</row>
    <row r="895" spans="1:45" ht="27.75" customHeight="1" x14ac:dyDescent="0.35">
      <c r="A895" s="15" t="s">
        <v>257</v>
      </c>
      <c r="B895" s="15" t="s">
        <v>257</v>
      </c>
      <c r="C895" s="15"/>
      <c r="D895" s="15"/>
      <c r="E895" s="16"/>
      <c r="F895" s="15" t="s">
        <v>257</v>
      </c>
      <c r="G895" s="32"/>
      <c r="H895" s="27"/>
      <c r="I895" s="27"/>
      <c r="J895" s="27"/>
      <c r="K895" s="23" t="str">
        <f ca="1">IFERROR(__xludf.DUMMYFUNCTION("""COMPUTED_VALUE"""),"")</f>
        <v/>
      </c>
      <c r="L895" s="22"/>
      <c r="M895" s="23"/>
      <c r="N895" s="23"/>
      <c r="O895" s="23"/>
      <c r="P895" s="23"/>
      <c r="Q895" s="24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2"/>
      <c r="AD895" s="23"/>
      <c r="AE895" s="23"/>
      <c r="AF895" s="22"/>
      <c r="AG895" s="22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</row>
    <row r="896" spans="1:45" ht="27.75" customHeight="1" x14ac:dyDescent="0.35">
      <c r="A896" s="15" t="s">
        <v>257</v>
      </c>
      <c r="B896" s="15" t="s">
        <v>257</v>
      </c>
      <c r="C896" s="15"/>
      <c r="D896" s="15"/>
      <c r="E896" s="16"/>
      <c r="F896" s="15" t="s">
        <v>257</v>
      </c>
      <c r="G896" s="32"/>
      <c r="H896" s="27"/>
      <c r="I896" s="27"/>
      <c r="J896" s="27"/>
      <c r="K896" s="23" t="str">
        <f ca="1">IFERROR(__xludf.DUMMYFUNCTION("""COMPUTED_VALUE"""),"")</f>
        <v/>
      </c>
      <c r="L896" s="22"/>
      <c r="M896" s="23"/>
      <c r="N896" s="23"/>
      <c r="O896" s="23"/>
      <c r="P896" s="23"/>
      <c r="Q896" s="24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2"/>
      <c r="AD896" s="23"/>
      <c r="AE896" s="23"/>
      <c r="AF896" s="22"/>
      <c r="AG896" s="22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</row>
    <row r="897" spans="1:45" ht="27.75" customHeight="1" x14ac:dyDescent="0.35">
      <c r="A897" s="15" t="s">
        <v>257</v>
      </c>
      <c r="B897" s="15" t="s">
        <v>257</v>
      </c>
      <c r="C897" s="15"/>
      <c r="D897" s="15"/>
      <c r="E897" s="16"/>
      <c r="F897" s="15" t="s">
        <v>257</v>
      </c>
      <c r="G897" s="32"/>
      <c r="H897" s="27"/>
      <c r="I897" s="27"/>
      <c r="J897" s="27"/>
      <c r="K897" s="23" t="str">
        <f ca="1">IFERROR(__xludf.DUMMYFUNCTION("""COMPUTED_VALUE"""),"")</f>
        <v/>
      </c>
      <c r="L897" s="22"/>
      <c r="M897" s="23"/>
      <c r="N897" s="23"/>
      <c r="O897" s="23"/>
      <c r="P897" s="23"/>
      <c r="Q897" s="24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2"/>
      <c r="AD897" s="23"/>
      <c r="AE897" s="23"/>
      <c r="AF897" s="22"/>
      <c r="AG897" s="22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</row>
    <row r="898" spans="1:45" ht="27.75" customHeight="1" x14ac:dyDescent="0.35">
      <c r="A898" s="15" t="s">
        <v>257</v>
      </c>
      <c r="B898" s="15" t="s">
        <v>257</v>
      </c>
      <c r="C898" s="15"/>
      <c r="D898" s="15"/>
      <c r="E898" s="16"/>
      <c r="F898" s="15" t="s">
        <v>257</v>
      </c>
      <c r="G898" s="32"/>
      <c r="H898" s="27"/>
      <c r="I898" s="27"/>
      <c r="J898" s="27"/>
      <c r="K898" s="23" t="str">
        <f ca="1">IFERROR(__xludf.DUMMYFUNCTION("""COMPUTED_VALUE"""),"")</f>
        <v/>
      </c>
      <c r="L898" s="22"/>
      <c r="M898" s="23"/>
      <c r="N898" s="23"/>
      <c r="O898" s="23"/>
      <c r="P898" s="23"/>
      <c r="Q898" s="24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2"/>
      <c r="AD898" s="23"/>
      <c r="AE898" s="23"/>
      <c r="AF898" s="22"/>
      <c r="AG898" s="22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</row>
    <row r="899" spans="1:45" ht="27.75" customHeight="1" x14ac:dyDescent="0.35">
      <c r="A899" s="15" t="s">
        <v>257</v>
      </c>
      <c r="B899" s="15" t="s">
        <v>257</v>
      </c>
      <c r="C899" s="15"/>
      <c r="D899" s="15"/>
      <c r="E899" s="16"/>
      <c r="F899" s="15" t="s">
        <v>257</v>
      </c>
      <c r="G899" s="32"/>
      <c r="H899" s="27"/>
      <c r="I899" s="27"/>
      <c r="J899" s="27"/>
      <c r="K899" s="23" t="str">
        <f ca="1">IFERROR(__xludf.DUMMYFUNCTION("""COMPUTED_VALUE"""),"")</f>
        <v/>
      </c>
      <c r="L899" s="22"/>
      <c r="M899" s="23"/>
      <c r="N899" s="23"/>
      <c r="O899" s="23"/>
      <c r="P899" s="23"/>
      <c r="Q899" s="24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2"/>
      <c r="AD899" s="23"/>
      <c r="AE899" s="23"/>
      <c r="AF899" s="22"/>
      <c r="AG899" s="22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</row>
    <row r="900" spans="1:45" ht="27.75" customHeight="1" x14ac:dyDescent="0.35">
      <c r="A900" s="15" t="s">
        <v>257</v>
      </c>
      <c r="B900" s="15" t="s">
        <v>257</v>
      </c>
      <c r="C900" s="15"/>
      <c r="D900" s="15"/>
      <c r="E900" s="16"/>
      <c r="F900" s="15" t="s">
        <v>257</v>
      </c>
      <c r="G900" s="32"/>
      <c r="H900" s="27"/>
      <c r="I900" s="27"/>
      <c r="J900" s="27"/>
      <c r="K900" s="23" t="str">
        <f ca="1">IFERROR(__xludf.DUMMYFUNCTION("""COMPUTED_VALUE"""),"")</f>
        <v/>
      </c>
      <c r="L900" s="22"/>
      <c r="M900" s="23"/>
      <c r="N900" s="23"/>
      <c r="O900" s="23"/>
      <c r="P900" s="23"/>
      <c r="Q900" s="24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2"/>
      <c r="AD900" s="23"/>
      <c r="AE900" s="23"/>
      <c r="AF900" s="22"/>
      <c r="AG900" s="22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</row>
    <row r="901" spans="1:45" ht="27.75" customHeight="1" x14ac:dyDescent="0.35">
      <c r="A901" s="15" t="s">
        <v>257</v>
      </c>
      <c r="B901" s="15" t="s">
        <v>257</v>
      </c>
      <c r="C901" s="15"/>
      <c r="D901" s="15"/>
      <c r="E901" s="16"/>
      <c r="F901" s="15" t="s">
        <v>257</v>
      </c>
      <c r="G901" s="32"/>
      <c r="H901" s="27"/>
      <c r="I901" s="27"/>
      <c r="J901" s="27"/>
      <c r="K901" s="23" t="str">
        <f ca="1">IFERROR(__xludf.DUMMYFUNCTION("""COMPUTED_VALUE"""),"")</f>
        <v/>
      </c>
      <c r="L901" s="22"/>
      <c r="M901" s="23"/>
      <c r="N901" s="23"/>
      <c r="O901" s="23"/>
      <c r="P901" s="23"/>
      <c r="Q901" s="24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2"/>
      <c r="AD901" s="23"/>
      <c r="AE901" s="23"/>
      <c r="AF901" s="22"/>
      <c r="AG901" s="22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</row>
    <row r="902" spans="1:45" ht="27.75" customHeight="1" x14ac:dyDescent="0.35">
      <c r="A902" s="15" t="s">
        <v>257</v>
      </c>
      <c r="B902" s="15" t="s">
        <v>257</v>
      </c>
      <c r="C902" s="15"/>
      <c r="D902" s="15"/>
      <c r="E902" s="16"/>
      <c r="F902" s="15" t="s">
        <v>257</v>
      </c>
      <c r="G902" s="32"/>
      <c r="H902" s="27"/>
      <c r="I902" s="27"/>
      <c r="J902" s="27"/>
      <c r="K902" s="23" t="str">
        <f ca="1">IFERROR(__xludf.DUMMYFUNCTION("""COMPUTED_VALUE"""),"")</f>
        <v/>
      </c>
      <c r="L902" s="22"/>
      <c r="M902" s="23"/>
      <c r="N902" s="23"/>
      <c r="O902" s="23"/>
      <c r="P902" s="23"/>
      <c r="Q902" s="24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2"/>
      <c r="AD902" s="23"/>
      <c r="AE902" s="23"/>
      <c r="AF902" s="22"/>
      <c r="AG902" s="22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</row>
    <row r="903" spans="1:45" ht="27.75" customHeight="1" x14ac:dyDescent="0.35">
      <c r="A903" s="15" t="s">
        <v>257</v>
      </c>
      <c r="B903" s="15" t="s">
        <v>257</v>
      </c>
      <c r="C903" s="15"/>
      <c r="D903" s="15"/>
      <c r="E903" s="16"/>
      <c r="F903" s="15" t="s">
        <v>257</v>
      </c>
      <c r="G903" s="32"/>
      <c r="H903" s="27"/>
      <c r="I903" s="27"/>
      <c r="J903" s="27"/>
      <c r="K903" s="23" t="str">
        <f ca="1">IFERROR(__xludf.DUMMYFUNCTION("""COMPUTED_VALUE"""),"")</f>
        <v/>
      </c>
      <c r="L903" s="22"/>
      <c r="M903" s="23"/>
      <c r="N903" s="23"/>
      <c r="O903" s="23"/>
      <c r="P903" s="23"/>
      <c r="Q903" s="24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2"/>
      <c r="AD903" s="23"/>
      <c r="AE903" s="23"/>
      <c r="AF903" s="22"/>
      <c r="AG903" s="22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</row>
    <row r="904" spans="1:45" ht="27.75" customHeight="1" x14ac:dyDescent="0.35">
      <c r="A904" s="15" t="s">
        <v>257</v>
      </c>
      <c r="B904" s="15" t="s">
        <v>257</v>
      </c>
      <c r="C904" s="15"/>
      <c r="D904" s="15"/>
      <c r="E904" s="16"/>
      <c r="F904" s="15" t="s">
        <v>257</v>
      </c>
      <c r="G904" s="32"/>
      <c r="H904" s="27"/>
      <c r="I904" s="27"/>
      <c r="J904" s="27"/>
      <c r="K904" s="23" t="str">
        <f ca="1">IFERROR(__xludf.DUMMYFUNCTION("""COMPUTED_VALUE"""),"")</f>
        <v/>
      </c>
      <c r="L904" s="22"/>
      <c r="M904" s="23"/>
      <c r="N904" s="23"/>
      <c r="O904" s="23"/>
      <c r="P904" s="23"/>
      <c r="Q904" s="24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2"/>
      <c r="AD904" s="23"/>
      <c r="AE904" s="23"/>
      <c r="AF904" s="22"/>
      <c r="AG904" s="22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</row>
    <row r="905" spans="1:45" ht="27.75" customHeight="1" x14ac:dyDescent="0.35">
      <c r="A905" s="15" t="s">
        <v>257</v>
      </c>
      <c r="B905" s="15" t="s">
        <v>257</v>
      </c>
      <c r="C905" s="15"/>
      <c r="D905" s="15"/>
      <c r="E905" s="16"/>
      <c r="F905" s="15" t="s">
        <v>257</v>
      </c>
      <c r="G905" s="32"/>
      <c r="H905" s="27"/>
      <c r="I905" s="27"/>
      <c r="J905" s="27"/>
      <c r="K905" s="23" t="str">
        <f ca="1">IFERROR(__xludf.DUMMYFUNCTION("""COMPUTED_VALUE"""),"")</f>
        <v/>
      </c>
      <c r="L905" s="22"/>
      <c r="M905" s="23"/>
      <c r="N905" s="23"/>
      <c r="O905" s="23"/>
      <c r="P905" s="23"/>
      <c r="Q905" s="24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2"/>
      <c r="AD905" s="23"/>
      <c r="AE905" s="23"/>
      <c r="AF905" s="22"/>
      <c r="AG905" s="22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</row>
    <row r="906" spans="1:45" ht="27.75" customHeight="1" x14ac:dyDescent="0.35">
      <c r="A906" s="15" t="s">
        <v>257</v>
      </c>
      <c r="B906" s="15" t="s">
        <v>257</v>
      </c>
      <c r="C906" s="15"/>
      <c r="D906" s="15"/>
      <c r="E906" s="16"/>
      <c r="F906" s="15" t="s">
        <v>257</v>
      </c>
      <c r="G906" s="32"/>
      <c r="H906" s="27"/>
      <c r="I906" s="27"/>
      <c r="J906" s="27"/>
      <c r="K906" s="23" t="str">
        <f ca="1">IFERROR(__xludf.DUMMYFUNCTION("""COMPUTED_VALUE"""),"")</f>
        <v/>
      </c>
      <c r="L906" s="22"/>
      <c r="M906" s="23"/>
      <c r="N906" s="23"/>
      <c r="O906" s="23"/>
      <c r="P906" s="23"/>
      <c r="Q906" s="24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2"/>
      <c r="AD906" s="23"/>
      <c r="AE906" s="23"/>
      <c r="AF906" s="22"/>
      <c r="AG906" s="22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</row>
    <row r="907" spans="1:45" ht="27.75" customHeight="1" x14ac:dyDescent="0.35">
      <c r="A907" s="15" t="s">
        <v>257</v>
      </c>
      <c r="B907" s="15" t="s">
        <v>257</v>
      </c>
      <c r="C907" s="15"/>
      <c r="D907" s="15"/>
      <c r="E907" s="16"/>
      <c r="F907" s="15" t="s">
        <v>257</v>
      </c>
      <c r="G907" s="32"/>
      <c r="H907" s="27"/>
      <c r="I907" s="27"/>
      <c r="J907" s="27"/>
      <c r="K907" s="23" t="str">
        <f ca="1">IFERROR(__xludf.DUMMYFUNCTION("""COMPUTED_VALUE"""),"")</f>
        <v/>
      </c>
      <c r="L907" s="22"/>
      <c r="M907" s="23"/>
      <c r="N907" s="23"/>
      <c r="O907" s="23"/>
      <c r="P907" s="23"/>
      <c r="Q907" s="24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2"/>
      <c r="AD907" s="23"/>
      <c r="AE907" s="23"/>
      <c r="AF907" s="22"/>
      <c r="AG907" s="22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</row>
    <row r="908" spans="1:45" ht="27.75" customHeight="1" x14ac:dyDescent="0.35">
      <c r="A908" s="15" t="s">
        <v>257</v>
      </c>
      <c r="B908" s="15" t="s">
        <v>257</v>
      </c>
      <c r="C908" s="15"/>
      <c r="D908" s="15"/>
      <c r="E908" s="16"/>
      <c r="F908" s="15" t="s">
        <v>257</v>
      </c>
      <c r="G908" s="32"/>
      <c r="H908" s="27"/>
      <c r="I908" s="27"/>
      <c r="J908" s="27"/>
      <c r="K908" s="23" t="str">
        <f ca="1">IFERROR(__xludf.DUMMYFUNCTION("""COMPUTED_VALUE"""),"")</f>
        <v/>
      </c>
      <c r="L908" s="22"/>
      <c r="M908" s="23"/>
      <c r="N908" s="23"/>
      <c r="O908" s="23"/>
      <c r="P908" s="23"/>
      <c r="Q908" s="24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2"/>
      <c r="AD908" s="23"/>
      <c r="AE908" s="23"/>
      <c r="AF908" s="22"/>
      <c r="AG908" s="22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</row>
    <row r="909" spans="1:45" ht="27.75" customHeight="1" x14ac:dyDescent="0.35">
      <c r="A909" s="15" t="s">
        <v>257</v>
      </c>
      <c r="B909" s="15" t="s">
        <v>257</v>
      </c>
      <c r="C909" s="15"/>
      <c r="D909" s="15"/>
      <c r="E909" s="16"/>
      <c r="F909" s="15" t="s">
        <v>257</v>
      </c>
      <c r="G909" s="32"/>
      <c r="H909" s="27"/>
      <c r="I909" s="27"/>
      <c r="J909" s="27"/>
      <c r="K909" s="23" t="str">
        <f ca="1">IFERROR(__xludf.DUMMYFUNCTION("""COMPUTED_VALUE"""),"")</f>
        <v/>
      </c>
      <c r="L909" s="22"/>
      <c r="M909" s="23"/>
      <c r="N909" s="23"/>
      <c r="O909" s="23"/>
      <c r="P909" s="23"/>
      <c r="Q909" s="24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2"/>
      <c r="AD909" s="23"/>
      <c r="AE909" s="23"/>
      <c r="AF909" s="22"/>
      <c r="AG909" s="22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</row>
    <row r="910" spans="1:45" ht="27.75" customHeight="1" x14ac:dyDescent="0.35">
      <c r="A910" s="15" t="s">
        <v>257</v>
      </c>
      <c r="B910" s="15" t="s">
        <v>257</v>
      </c>
      <c r="C910" s="15"/>
      <c r="D910" s="15"/>
      <c r="E910" s="16"/>
      <c r="F910" s="15" t="s">
        <v>257</v>
      </c>
      <c r="G910" s="32"/>
      <c r="H910" s="27"/>
      <c r="I910" s="27"/>
      <c r="J910" s="27"/>
      <c r="K910" s="23" t="str">
        <f ca="1">IFERROR(__xludf.DUMMYFUNCTION("""COMPUTED_VALUE"""),"")</f>
        <v/>
      </c>
      <c r="L910" s="22"/>
      <c r="M910" s="23"/>
      <c r="N910" s="23"/>
      <c r="O910" s="23"/>
      <c r="P910" s="23"/>
      <c r="Q910" s="24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2"/>
      <c r="AD910" s="23"/>
      <c r="AE910" s="23"/>
      <c r="AF910" s="22"/>
      <c r="AG910" s="22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</row>
    <row r="911" spans="1:45" ht="27.75" customHeight="1" x14ac:dyDescent="0.35">
      <c r="A911" s="15" t="s">
        <v>257</v>
      </c>
      <c r="B911" s="15" t="s">
        <v>257</v>
      </c>
      <c r="C911" s="15"/>
      <c r="D911" s="15"/>
      <c r="E911" s="16"/>
      <c r="F911" s="15" t="s">
        <v>257</v>
      </c>
      <c r="G911" s="32"/>
      <c r="H911" s="27"/>
      <c r="I911" s="27"/>
      <c r="J911" s="27"/>
      <c r="K911" s="23" t="str">
        <f ca="1">IFERROR(__xludf.DUMMYFUNCTION("""COMPUTED_VALUE"""),"")</f>
        <v/>
      </c>
      <c r="L911" s="22"/>
      <c r="M911" s="23"/>
      <c r="N911" s="23"/>
      <c r="O911" s="23"/>
      <c r="P911" s="23"/>
      <c r="Q911" s="24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2"/>
      <c r="AD911" s="23"/>
      <c r="AE911" s="23"/>
      <c r="AF911" s="22"/>
      <c r="AG911" s="22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</row>
    <row r="912" spans="1:45" ht="27.75" customHeight="1" x14ac:dyDescent="0.35">
      <c r="A912" s="15" t="s">
        <v>257</v>
      </c>
      <c r="B912" s="15" t="s">
        <v>257</v>
      </c>
      <c r="C912" s="15"/>
      <c r="D912" s="15"/>
      <c r="E912" s="16"/>
      <c r="F912" s="15" t="s">
        <v>257</v>
      </c>
      <c r="G912" s="32"/>
      <c r="H912" s="27"/>
      <c r="I912" s="27"/>
      <c r="J912" s="27"/>
      <c r="K912" s="23" t="str">
        <f ca="1">IFERROR(__xludf.DUMMYFUNCTION("""COMPUTED_VALUE"""),"")</f>
        <v/>
      </c>
      <c r="L912" s="22"/>
      <c r="M912" s="23"/>
      <c r="N912" s="23"/>
      <c r="O912" s="23"/>
      <c r="P912" s="23"/>
      <c r="Q912" s="24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2"/>
      <c r="AD912" s="23"/>
      <c r="AE912" s="23"/>
      <c r="AF912" s="22"/>
      <c r="AG912" s="22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</row>
    <row r="913" spans="1:45" ht="27.75" customHeight="1" x14ac:dyDescent="0.35">
      <c r="A913" s="15" t="s">
        <v>257</v>
      </c>
      <c r="B913" s="15" t="s">
        <v>257</v>
      </c>
      <c r="C913" s="15"/>
      <c r="D913" s="15"/>
      <c r="E913" s="16"/>
      <c r="F913" s="15" t="s">
        <v>257</v>
      </c>
      <c r="G913" s="32"/>
      <c r="H913" s="27"/>
      <c r="I913" s="27"/>
      <c r="J913" s="27"/>
      <c r="K913" s="23" t="str">
        <f ca="1">IFERROR(__xludf.DUMMYFUNCTION("""COMPUTED_VALUE"""),"")</f>
        <v/>
      </c>
      <c r="L913" s="22"/>
      <c r="M913" s="23"/>
      <c r="N913" s="23"/>
      <c r="O913" s="23"/>
      <c r="P913" s="23"/>
      <c r="Q913" s="24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2"/>
      <c r="AD913" s="23"/>
      <c r="AE913" s="23"/>
      <c r="AF913" s="22"/>
      <c r="AG913" s="22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</row>
    <row r="914" spans="1:45" ht="27.75" customHeight="1" x14ac:dyDescent="0.35">
      <c r="A914" s="15" t="s">
        <v>257</v>
      </c>
      <c r="B914" s="15" t="s">
        <v>257</v>
      </c>
      <c r="C914" s="15"/>
      <c r="D914" s="15"/>
      <c r="E914" s="16"/>
      <c r="F914" s="15" t="s">
        <v>257</v>
      </c>
      <c r="G914" s="32"/>
      <c r="H914" s="27"/>
      <c r="I914" s="27"/>
      <c r="J914" s="27"/>
      <c r="K914" s="23" t="str">
        <f ca="1">IFERROR(__xludf.DUMMYFUNCTION("""COMPUTED_VALUE"""),"")</f>
        <v/>
      </c>
      <c r="L914" s="22"/>
      <c r="M914" s="23"/>
      <c r="N914" s="23"/>
      <c r="O914" s="23"/>
      <c r="P914" s="23"/>
      <c r="Q914" s="24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2"/>
      <c r="AD914" s="23"/>
      <c r="AE914" s="23"/>
      <c r="AF914" s="22"/>
      <c r="AG914" s="22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</row>
    <row r="915" spans="1:45" ht="27.75" customHeight="1" x14ac:dyDescent="0.35">
      <c r="A915" s="15" t="s">
        <v>257</v>
      </c>
      <c r="B915" s="15" t="s">
        <v>257</v>
      </c>
      <c r="C915" s="15"/>
      <c r="D915" s="15"/>
      <c r="E915" s="16"/>
      <c r="F915" s="15" t="s">
        <v>257</v>
      </c>
      <c r="G915" s="32"/>
      <c r="H915" s="27"/>
      <c r="I915" s="27"/>
      <c r="J915" s="27"/>
      <c r="K915" s="23" t="str">
        <f ca="1">IFERROR(__xludf.DUMMYFUNCTION("""COMPUTED_VALUE"""),"")</f>
        <v/>
      </c>
      <c r="L915" s="22"/>
      <c r="M915" s="23"/>
      <c r="N915" s="23"/>
      <c r="O915" s="23"/>
      <c r="P915" s="23"/>
      <c r="Q915" s="24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2"/>
      <c r="AD915" s="23"/>
      <c r="AE915" s="23"/>
      <c r="AF915" s="22"/>
      <c r="AG915" s="22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</row>
    <row r="916" spans="1:45" ht="27.75" customHeight="1" x14ac:dyDescent="0.35">
      <c r="A916" s="15" t="s">
        <v>257</v>
      </c>
      <c r="B916" s="15" t="s">
        <v>257</v>
      </c>
      <c r="C916" s="15"/>
      <c r="D916" s="15"/>
      <c r="E916" s="16"/>
      <c r="F916" s="15" t="s">
        <v>257</v>
      </c>
      <c r="G916" s="32"/>
      <c r="H916" s="27"/>
      <c r="I916" s="27"/>
      <c r="J916" s="27"/>
      <c r="K916" s="23" t="str">
        <f ca="1">IFERROR(__xludf.DUMMYFUNCTION("""COMPUTED_VALUE"""),"")</f>
        <v/>
      </c>
      <c r="L916" s="22"/>
      <c r="M916" s="23"/>
      <c r="N916" s="23"/>
      <c r="O916" s="23"/>
      <c r="P916" s="23"/>
      <c r="Q916" s="24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2"/>
      <c r="AD916" s="23"/>
      <c r="AE916" s="23"/>
      <c r="AF916" s="22"/>
      <c r="AG916" s="22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</row>
    <row r="917" spans="1:45" ht="27.75" customHeight="1" x14ac:dyDescent="0.35">
      <c r="A917" s="15" t="s">
        <v>257</v>
      </c>
      <c r="B917" s="15" t="s">
        <v>257</v>
      </c>
      <c r="C917" s="15"/>
      <c r="D917" s="15"/>
      <c r="E917" s="16"/>
      <c r="F917" s="15" t="s">
        <v>257</v>
      </c>
      <c r="G917" s="32"/>
      <c r="H917" s="27"/>
      <c r="I917" s="27"/>
      <c r="J917" s="27"/>
      <c r="K917" s="23" t="str">
        <f ca="1">IFERROR(__xludf.DUMMYFUNCTION("""COMPUTED_VALUE"""),"")</f>
        <v/>
      </c>
      <c r="L917" s="22"/>
      <c r="M917" s="23"/>
      <c r="N917" s="23"/>
      <c r="O917" s="23"/>
      <c r="P917" s="23"/>
      <c r="Q917" s="24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2"/>
      <c r="AD917" s="23"/>
      <c r="AE917" s="23"/>
      <c r="AF917" s="22"/>
      <c r="AG917" s="22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</row>
    <row r="918" spans="1:45" ht="27.75" customHeight="1" x14ac:dyDescent="0.35">
      <c r="A918" s="15" t="s">
        <v>257</v>
      </c>
      <c r="B918" s="15" t="s">
        <v>257</v>
      </c>
      <c r="C918" s="15"/>
      <c r="D918" s="15"/>
      <c r="E918" s="16"/>
      <c r="F918" s="15" t="s">
        <v>257</v>
      </c>
      <c r="G918" s="32"/>
      <c r="H918" s="27"/>
      <c r="I918" s="27"/>
      <c r="J918" s="27"/>
      <c r="K918" s="23" t="str">
        <f ca="1">IFERROR(__xludf.DUMMYFUNCTION("""COMPUTED_VALUE"""),"")</f>
        <v/>
      </c>
      <c r="L918" s="22"/>
      <c r="M918" s="23"/>
      <c r="N918" s="23"/>
      <c r="O918" s="23"/>
      <c r="P918" s="23"/>
      <c r="Q918" s="24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2"/>
      <c r="AD918" s="23"/>
      <c r="AE918" s="23"/>
      <c r="AF918" s="22"/>
      <c r="AG918" s="22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</row>
    <row r="919" spans="1:45" ht="27.75" customHeight="1" x14ac:dyDescent="0.35">
      <c r="A919" s="15" t="s">
        <v>257</v>
      </c>
      <c r="B919" s="15" t="s">
        <v>257</v>
      </c>
      <c r="C919" s="15"/>
      <c r="D919" s="15"/>
      <c r="E919" s="16"/>
      <c r="F919" s="15" t="s">
        <v>257</v>
      </c>
      <c r="G919" s="32"/>
      <c r="H919" s="27"/>
      <c r="I919" s="27"/>
      <c r="J919" s="27"/>
      <c r="K919" s="23" t="str">
        <f ca="1">IFERROR(__xludf.DUMMYFUNCTION("""COMPUTED_VALUE"""),"")</f>
        <v/>
      </c>
      <c r="L919" s="22"/>
      <c r="M919" s="23"/>
      <c r="N919" s="23"/>
      <c r="O919" s="23"/>
      <c r="P919" s="23"/>
      <c r="Q919" s="24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2"/>
      <c r="AD919" s="23"/>
      <c r="AE919" s="23"/>
      <c r="AF919" s="22"/>
      <c r="AG919" s="22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</row>
    <row r="920" spans="1:45" ht="27.75" customHeight="1" x14ac:dyDescent="0.35">
      <c r="A920" s="15" t="s">
        <v>257</v>
      </c>
      <c r="B920" s="15" t="s">
        <v>257</v>
      </c>
      <c r="C920" s="15"/>
      <c r="D920" s="15"/>
      <c r="E920" s="16"/>
      <c r="F920" s="15" t="s">
        <v>257</v>
      </c>
      <c r="G920" s="32"/>
      <c r="H920" s="27"/>
      <c r="I920" s="27"/>
      <c r="J920" s="27"/>
      <c r="K920" s="23" t="str">
        <f ca="1">IFERROR(__xludf.DUMMYFUNCTION("""COMPUTED_VALUE"""),"")</f>
        <v/>
      </c>
      <c r="L920" s="22"/>
      <c r="M920" s="23"/>
      <c r="N920" s="23"/>
      <c r="O920" s="23"/>
      <c r="P920" s="23"/>
      <c r="Q920" s="24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2"/>
      <c r="AD920" s="23"/>
      <c r="AE920" s="23"/>
      <c r="AF920" s="22"/>
      <c r="AG920" s="22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</row>
    <row r="921" spans="1:45" ht="27.75" customHeight="1" x14ac:dyDescent="0.35">
      <c r="A921" s="15" t="s">
        <v>257</v>
      </c>
      <c r="B921" s="15" t="s">
        <v>257</v>
      </c>
      <c r="C921" s="15"/>
      <c r="D921" s="15"/>
      <c r="E921" s="16"/>
      <c r="F921" s="15" t="s">
        <v>257</v>
      </c>
      <c r="G921" s="32"/>
      <c r="H921" s="27"/>
      <c r="I921" s="27"/>
      <c r="J921" s="27"/>
      <c r="K921" s="23" t="str">
        <f ca="1">IFERROR(__xludf.DUMMYFUNCTION("""COMPUTED_VALUE"""),"")</f>
        <v/>
      </c>
      <c r="L921" s="22"/>
      <c r="M921" s="23"/>
      <c r="N921" s="23"/>
      <c r="O921" s="23"/>
      <c r="P921" s="23"/>
      <c r="Q921" s="24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2"/>
      <c r="AD921" s="23"/>
      <c r="AE921" s="23"/>
      <c r="AF921" s="22"/>
      <c r="AG921" s="22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</row>
    <row r="922" spans="1:45" ht="27.75" customHeight="1" x14ac:dyDescent="0.35">
      <c r="A922" s="15" t="s">
        <v>257</v>
      </c>
      <c r="B922" s="15" t="s">
        <v>257</v>
      </c>
      <c r="C922" s="15"/>
      <c r="D922" s="15"/>
      <c r="E922" s="16"/>
      <c r="F922" s="15" t="s">
        <v>257</v>
      </c>
      <c r="G922" s="32"/>
      <c r="H922" s="27"/>
      <c r="I922" s="27"/>
      <c r="J922" s="27"/>
      <c r="K922" s="23" t="str">
        <f ca="1">IFERROR(__xludf.DUMMYFUNCTION("""COMPUTED_VALUE"""),"")</f>
        <v/>
      </c>
      <c r="L922" s="22"/>
      <c r="M922" s="23"/>
      <c r="N922" s="23"/>
      <c r="O922" s="23"/>
      <c r="P922" s="23"/>
      <c r="Q922" s="24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2"/>
      <c r="AD922" s="23"/>
      <c r="AE922" s="23"/>
      <c r="AF922" s="22"/>
      <c r="AG922" s="22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</row>
    <row r="923" spans="1:45" ht="27.75" customHeight="1" x14ac:dyDescent="0.35">
      <c r="A923" s="15" t="s">
        <v>257</v>
      </c>
      <c r="B923" s="15" t="s">
        <v>257</v>
      </c>
      <c r="C923" s="15"/>
      <c r="D923" s="15"/>
      <c r="E923" s="16"/>
      <c r="F923" s="15" t="s">
        <v>257</v>
      </c>
      <c r="G923" s="32"/>
      <c r="H923" s="27"/>
      <c r="I923" s="27"/>
      <c r="J923" s="27"/>
      <c r="K923" s="23" t="str">
        <f ca="1">IFERROR(__xludf.DUMMYFUNCTION("""COMPUTED_VALUE"""),"")</f>
        <v/>
      </c>
      <c r="L923" s="22"/>
      <c r="M923" s="23"/>
      <c r="N923" s="23"/>
      <c r="O923" s="23"/>
      <c r="P923" s="23"/>
      <c r="Q923" s="24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2"/>
      <c r="AD923" s="23"/>
      <c r="AE923" s="23"/>
      <c r="AF923" s="22"/>
      <c r="AG923" s="22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</row>
    <row r="924" spans="1:45" ht="27.75" customHeight="1" x14ac:dyDescent="0.35">
      <c r="A924" s="15" t="s">
        <v>257</v>
      </c>
      <c r="B924" s="15" t="s">
        <v>257</v>
      </c>
      <c r="C924" s="15"/>
      <c r="D924" s="15"/>
      <c r="E924" s="16"/>
      <c r="F924" s="15" t="s">
        <v>257</v>
      </c>
      <c r="G924" s="32"/>
      <c r="H924" s="27"/>
      <c r="I924" s="27"/>
      <c r="J924" s="27"/>
      <c r="K924" s="23" t="str">
        <f ca="1">IFERROR(__xludf.DUMMYFUNCTION("""COMPUTED_VALUE"""),"")</f>
        <v/>
      </c>
      <c r="L924" s="22"/>
      <c r="M924" s="23"/>
      <c r="N924" s="23"/>
      <c r="O924" s="23"/>
      <c r="P924" s="23"/>
      <c r="Q924" s="24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2"/>
      <c r="AD924" s="23"/>
      <c r="AE924" s="23"/>
      <c r="AF924" s="22"/>
      <c r="AG924" s="22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</row>
    <row r="925" spans="1:45" ht="27.75" customHeight="1" x14ac:dyDescent="0.35">
      <c r="A925" s="15" t="s">
        <v>257</v>
      </c>
      <c r="B925" s="15" t="s">
        <v>257</v>
      </c>
      <c r="C925" s="15"/>
      <c r="D925" s="15"/>
      <c r="E925" s="16"/>
      <c r="F925" s="15" t="s">
        <v>257</v>
      </c>
      <c r="G925" s="32"/>
      <c r="H925" s="27"/>
      <c r="I925" s="27"/>
      <c r="J925" s="27"/>
      <c r="K925" s="23" t="str">
        <f ca="1">IFERROR(__xludf.DUMMYFUNCTION("""COMPUTED_VALUE"""),"")</f>
        <v/>
      </c>
      <c r="L925" s="22"/>
      <c r="M925" s="23"/>
      <c r="N925" s="23"/>
      <c r="O925" s="23"/>
      <c r="P925" s="23"/>
      <c r="Q925" s="24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2"/>
      <c r="AD925" s="23"/>
      <c r="AE925" s="23"/>
      <c r="AF925" s="22"/>
      <c r="AG925" s="22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</row>
    <row r="926" spans="1:45" ht="27.75" customHeight="1" x14ac:dyDescent="0.35">
      <c r="A926" s="15" t="s">
        <v>257</v>
      </c>
      <c r="B926" s="15" t="s">
        <v>257</v>
      </c>
      <c r="C926" s="15"/>
      <c r="D926" s="15"/>
      <c r="E926" s="16"/>
      <c r="F926" s="15" t="s">
        <v>257</v>
      </c>
      <c r="G926" s="32"/>
      <c r="H926" s="27"/>
      <c r="I926" s="27"/>
      <c r="J926" s="27"/>
      <c r="K926" s="23" t="str">
        <f ca="1">IFERROR(__xludf.DUMMYFUNCTION("""COMPUTED_VALUE"""),"")</f>
        <v/>
      </c>
      <c r="L926" s="22"/>
      <c r="M926" s="23"/>
      <c r="N926" s="23"/>
      <c r="O926" s="23"/>
      <c r="P926" s="23"/>
      <c r="Q926" s="24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2"/>
      <c r="AD926" s="23"/>
      <c r="AE926" s="23"/>
      <c r="AF926" s="22"/>
      <c r="AG926" s="22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</row>
    <row r="927" spans="1:45" ht="27.75" customHeight="1" x14ac:dyDescent="0.35">
      <c r="A927" s="15" t="s">
        <v>257</v>
      </c>
      <c r="B927" s="15" t="s">
        <v>257</v>
      </c>
      <c r="C927" s="15"/>
      <c r="D927" s="15"/>
      <c r="E927" s="16"/>
      <c r="F927" s="15" t="s">
        <v>257</v>
      </c>
      <c r="G927" s="32"/>
      <c r="H927" s="27"/>
      <c r="I927" s="27"/>
      <c r="J927" s="27"/>
      <c r="K927" s="23" t="str">
        <f ca="1">IFERROR(__xludf.DUMMYFUNCTION("""COMPUTED_VALUE"""),"")</f>
        <v/>
      </c>
      <c r="L927" s="22"/>
      <c r="M927" s="23"/>
      <c r="N927" s="23"/>
      <c r="O927" s="23"/>
      <c r="P927" s="23"/>
      <c r="Q927" s="24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2"/>
      <c r="AD927" s="23"/>
      <c r="AE927" s="23"/>
      <c r="AF927" s="22"/>
      <c r="AG927" s="22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</row>
    <row r="928" spans="1:45" ht="27.75" customHeight="1" x14ac:dyDescent="0.35">
      <c r="A928" s="15" t="s">
        <v>257</v>
      </c>
      <c r="B928" s="15" t="s">
        <v>257</v>
      </c>
      <c r="C928" s="15"/>
      <c r="D928" s="15"/>
      <c r="E928" s="16"/>
      <c r="F928" s="15" t="s">
        <v>257</v>
      </c>
      <c r="G928" s="32"/>
      <c r="H928" s="27"/>
      <c r="I928" s="27"/>
      <c r="J928" s="27"/>
      <c r="K928" s="23" t="str">
        <f ca="1">IFERROR(__xludf.DUMMYFUNCTION("""COMPUTED_VALUE"""),"")</f>
        <v/>
      </c>
      <c r="L928" s="22"/>
      <c r="M928" s="23"/>
      <c r="N928" s="23"/>
      <c r="O928" s="23"/>
      <c r="P928" s="23"/>
      <c r="Q928" s="24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2"/>
      <c r="AD928" s="23"/>
      <c r="AE928" s="23"/>
      <c r="AF928" s="22"/>
      <c r="AG928" s="22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</row>
    <row r="929" spans="1:45" ht="27.75" customHeight="1" x14ac:dyDescent="0.35">
      <c r="A929" s="15" t="s">
        <v>257</v>
      </c>
      <c r="B929" s="15" t="s">
        <v>257</v>
      </c>
      <c r="C929" s="15"/>
      <c r="D929" s="15"/>
      <c r="E929" s="16"/>
      <c r="F929" s="15" t="s">
        <v>257</v>
      </c>
      <c r="G929" s="32"/>
      <c r="H929" s="27"/>
      <c r="I929" s="27"/>
      <c r="J929" s="27"/>
      <c r="K929" s="23" t="str">
        <f ca="1">IFERROR(__xludf.DUMMYFUNCTION("""COMPUTED_VALUE"""),"")</f>
        <v/>
      </c>
      <c r="L929" s="22"/>
      <c r="M929" s="23"/>
      <c r="N929" s="23"/>
      <c r="O929" s="23"/>
      <c r="P929" s="23"/>
      <c r="Q929" s="24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2"/>
      <c r="AD929" s="23"/>
      <c r="AE929" s="23"/>
      <c r="AF929" s="22"/>
      <c r="AG929" s="22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</row>
    <row r="930" spans="1:45" ht="27.75" customHeight="1" x14ac:dyDescent="0.35">
      <c r="A930" s="15" t="s">
        <v>257</v>
      </c>
      <c r="B930" s="15" t="s">
        <v>257</v>
      </c>
      <c r="C930" s="15"/>
      <c r="D930" s="15"/>
      <c r="E930" s="16"/>
      <c r="F930" s="15" t="s">
        <v>257</v>
      </c>
      <c r="G930" s="32"/>
      <c r="H930" s="27"/>
      <c r="I930" s="27"/>
      <c r="J930" s="27"/>
      <c r="K930" s="23" t="str">
        <f ca="1">IFERROR(__xludf.DUMMYFUNCTION("""COMPUTED_VALUE"""),"")</f>
        <v/>
      </c>
      <c r="L930" s="22"/>
      <c r="M930" s="23"/>
      <c r="N930" s="23"/>
      <c r="O930" s="23"/>
      <c r="P930" s="23"/>
      <c r="Q930" s="24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2"/>
      <c r="AD930" s="23"/>
      <c r="AE930" s="23"/>
      <c r="AF930" s="22"/>
      <c r="AG930" s="22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</row>
    <row r="931" spans="1:45" ht="27.75" customHeight="1" x14ac:dyDescent="0.35">
      <c r="A931" s="15" t="s">
        <v>257</v>
      </c>
      <c r="B931" s="15" t="s">
        <v>257</v>
      </c>
      <c r="C931" s="15"/>
      <c r="D931" s="15"/>
      <c r="E931" s="16"/>
      <c r="F931" s="15" t="s">
        <v>257</v>
      </c>
      <c r="G931" s="32"/>
      <c r="H931" s="27"/>
      <c r="I931" s="27"/>
      <c r="J931" s="27"/>
      <c r="K931" s="23" t="str">
        <f ca="1">IFERROR(__xludf.DUMMYFUNCTION("""COMPUTED_VALUE"""),"")</f>
        <v/>
      </c>
      <c r="L931" s="22"/>
      <c r="M931" s="23"/>
      <c r="N931" s="23"/>
      <c r="O931" s="23"/>
      <c r="P931" s="23"/>
      <c r="Q931" s="24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2"/>
      <c r="AD931" s="23"/>
      <c r="AE931" s="23"/>
      <c r="AF931" s="22"/>
      <c r="AG931" s="22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</row>
    <row r="932" spans="1:45" ht="27.75" customHeight="1" x14ac:dyDescent="0.35">
      <c r="A932" s="15" t="s">
        <v>257</v>
      </c>
      <c r="B932" s="15" t="s">
        <v>257</v>
      </c>
      <c r="C932" s="15"/>
      <c r="D932" s="15"/>
      <c r="E932" s="16"/>
      <c r="F932" s="15" t="s">
        <v>257</v>
      </c>
      <c r="G932" s="32"/>
      <c r="H932" s="27"/>
      <c r="I932" s="27"/>
      <c r="J932" s="27"/>
      <c r="K932" s="23" t="str">
        <f ca="1">IFERROR(__xludf.DUMMYFUNCTION("""COMPUTED_VALUE"""),"")</f>
        <v/>
      </c>
      <c r="L932" s="22"/>
      <c r="M932" s="23"/>
      <c r="N932" s="23"/>
      <c r="O932" s="23"/>
      <c r="P932" s="23"/>
      <c r="Q932" s="24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2"/>
      <c r="AD932" s="23"/>
      <c r="AE932" s="23"/>
      <c r="AF932" s="22"/>
      <c r="AG932" s="22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</row>
    <row r="933" spans="1:45" ht="27.75" customHeight="1" x14ac:dyDescent="0.35">
      <c r="A933" s="15" t="s">
        <v>257</v>
      </c>
      <c r="B933" s="15" t="s">
        <v>257</v>
      </c>
      <c r="C933" s="15"/>
      <c r="D933" s="15"/>
      <c r="E933" s="16"/>
      <c r="F933" s="15" t="s">
        <v>257</v>
      </c>
      <c r="G933" s="32"/>
      <c r="H933" s="27"/>
      <c r="I933" s="27"/>
      <c r="J933" s="27"/>
      <c r="K933" s="23" t="str">
        <f ca="1">IFERROR(__xludf.DUMMYFUNCTION("""COMPUTED_VALUE"""),"")</f>
        <v/>
      </c>
      <c r="L933" s="22"/>
      <c r="M933" s="23"/>
      <c r="N933" s="23"/>
      <c r="O933" s="23"/>
      <c r="P933" s="23"/>
      <c r="Q933" s="24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2"/>
      <c r="AD933" s="23"/>
      <c r="AE933" s="23"/>
      <c r="AF933" s="22"/>
      <c r="AG933" s="22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</row>
    <row r="934" spans="1:45" ht="27.75" customHeight="1" x14ac:dyDescent="0.35">
      <c r="A934" s="15" t="s">
        <v>257</v>
      </c>
      <c r="B934" s="15" t="s">
        <v>257</v>
      </c>
      <c r="C934" s="15"/>
      <c r="D934" s="15"/>
      <c r="E934" s="16"/>
      <c r="F934" s="15" t="s">
        <v>257</v>
      </c>
      <c r="G934" s="32"/>
      <c r="H934" s="27"/>
      <c r="I934" s="27"/>
      <c r="J934" s="27"/>
      <c r="K934" s="23" t="str">
        <f ca="1">IFERROR(__xludf.DUMMYFUNCTION("""COMPUTED_VALUE"""),"")</f>
        <v/>
      </c>
      <c r="L934" s="22"/>
      <c r="M934" s="23"/>
      <c r="N934" s="23"/>
      <c r="O934" s="23"/>
      <c r="P934" s="23"/>
      <c r="Q934" s="24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2"/>
      <c r="AD934" s="23"/>
      <c r="AE934" s="23"/>
      <c r="AF934" s="22"/>
      <c r="AG934" s="22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</row>
    <row r="935" spans="1:45" ht="27.75" customHeight="1" x14ac:dyDescent="0.35">
      <c r="A935" s="15" t="s">
        <v>257</v>
      </c>
      <c r="B935" s="15" t="s">
        <v>257</v>
      </c>
      <c r="C935" s="15"/>
      <c r="D935" s="15"/>
      <c r="E935" s="16"/>
      <c r="F935" s="15" t="s">
        <v>257</v>
      </c>
      <c r="G935" s="32"/>
      <c r="H935" s="27"/>
      <c r="I935" s="27"/>
      <c r="J935" s="27"/>
      <c r="K935" s="23" t="str">
        <f ca="1">IFERROR(__xludf.DUMMYFUNCTION("""COMPUTED_VALUE"""),"")</f>
        <v/>
      </c>
      <c r="L935" s="22"/>
      <c r="M935" s="23"/>
      <c r="N935" s="23"/>
      <c r="O935" s="23"/>
      <c r="P935" s="23"/>
      <c r="Q935" s="24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2"/>
      <c r="AD935" s="23"/>
      <c r="AE935" s="23"/>
      <c r="AF935" s="22"/>
      <c r="AG935" s="22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</row>
    <row r="936" spans="1:45" ht="27.75" customHeight="1" x14ac:dyDescent="0.35">
      <c r="A936" s="15" t="s">
        <v>257</v>
      </c>
      <c r="B936" s="15" t="s">
        <v>257</v>
      </c>
      <c r="C936" s="15"/>
      <c r="D936" s="15"/>
      <c r="E936" s="16"/>
      <c r="F936" s="15" t="s">
        <v>257</v>
      </c>
      <c r="G936" s="32"/>
      <c r="H936" s="27"/>
      <c r="I936" s="27"/>
      <c r="J936" s="27"/>
      <c r="K936" s="23" t="str">
        <f ca="1">IFERROR(__xludf.DUMMYFUNCTION("""COMPUTED_VALUE"""),"")</f>
        <v/>
      </c>
      <c r="L936" s="22"/>
      <c r="M936" s="23"/>
      <c r="N936" s="23"/>
      <c r="O936" s="23"/>
      <c r="P936" s="23"/>
      <c r="Q936" s="24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2"/>
      <c r="AD936" s="23"/>
      <c r="AE936" s="23"/>
      <c r="AF936" s="22"/>
      <c r="AG936" s="22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</row>
    <row r="937" spans="1:45" ht="27.75" customHeight="1" x14ac:dyDescent="0.35">
      <c r="A937" s="15" t="s">
        <v>257</v>
      </c>
      <c r="B937" s="15" t="s">
        <v>257</v>
      </c>
      <c r="C937" s="15"/>
      <c r="D937" s="15"/>
      <c r="E937" s="16"/>
      <c r="F937" s="15" t="s">
        <v>257</v>
      </c>
      <c r="G937" s="32"/>
      <c r="H937" s="27"/>
      <c r="I937" s="27"/>
      <c r="J937" s="27"/>
      <c r="K937" s="23" t="str">
        <f ca="1">IFERROR(__xludf.DUMMYFUNCTION("""COMPUTED_VALUE"""),"")</f>
        <v/>
      </c>
      <c r="L937" s="22"/>
      <c r="M937" s="23"/>
      <c r="N937" s="23"/>
      <c r="O937" s="23"/>
      <c r="P937" s="23"/>
      <c r="Q937" s="24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2"/>
      <c r="AD937" s="23"/>
      <c r="AE937" s="23"/>
      <c r="AF937" s="22"/>
      <c r="AG937" s="22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</row>
    <row r="938" spans="1:45" ht="27.75" customHeight="1" x14ac:dyDescent="0.35">
      <c r="A938" s="15" t="s">
        <v>257</v>
      </c>
      <c r="B938" s="15" t="s">
        <v>257</v>
      </c>
      <c r="C938" s="15"/>
      <c r="D938" s="15"/>
      <c r="E938" s="16"/>
      <c r="F938" s="15" t="s">
        <v>257</v>
      </c>
      <c r="G938" s="32"/>
      <c r="H938" s="27"/>
      <c r="I938" s="27"/>
      <c r="J938" s="27"/>
      <c r="K938" s="23" t="str">
        <f ca="1">IFERROR(__xludf.DUMMYFUNCTION("""COMPUTED_VALUE"""),"")</f>
        <v/>
      </c>
      <c r="L938" s="22"/>
      <c r="M938" s="23"/>
      <c r="N938" s="23"/>
      <c r="O938" s="23"/>
      <c r="P938" s="23"/>
      <c r="Q938" s="24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2"/>
      <c r="AD938" s="23"/>
      <c r="AE938" s="23"/>
      <c r="AF938" s="22"/>
      <c r="AG938" s="22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</row>
    <row r="939" spans="1:45" ht="27.75" customHeight="1" x14ac:dyDescent="0.35">
      <c r="A939" s="15" t="s">
        <v>257</v>
      </c>
      <c r="B939" s="15" t="s">
        <v>257</v>
      </c>
      <c r="C939" s="15"/>
      <c r="D939" s="15"/>
      <c r="E939" s="16"/>
      <c r="F939" s="15" t="s">
        <v>257</v>
      </c>
      <c r="G939" s="32"/>
      <c r="H939" s="27"/>
      <c r="I939" s="27"/>
      <c r="J939" s="27"/>
      <c r="K939" s="23" t="str">
        <f ca="1">IFERROR(__xludf.DUMMYFUNCTION("""COMPUTED_VALUE"""),"")</f>
        <v/>
      </c>
      <c r="L939" s="22"/>
      <c r="M939" s="23"/>
      <c r="N939" s="23"/>
      <c r="O939" s="23"/>
      <c r="P939" s="23"/>
      <c r="Q939" s="24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2"/>
      <c r="AD939" s="23"/>
      <c r="AE939" s="23"/>
      <c r="AF939" s="22"/>
      <c r="AG939" s="22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</row>
    <row r="940" spans="1:45" ht="27.75" customHeight="1" x14ac:dyDescent="0.35">
      <c r="A940" s="15" t="s">
        <v>257</v>
      </c>
      <c r="B940" s="15" t="s">
        <v>257</v>
      </c>
      <c r="C940" s="15"/>
      <c r="D940" s="15"/>
      <c r="E940" s="16"/>
      <c r="F940" s="15" t="s">
        <v>257</v>
      </c>
      <c r="G940" s="32"/>
      <c r="H940" s="27"/>
      <c r="I940" s="27"/>
      <c r="J940" s="27"/>
      <c r="K940" s="23" t="str">
        <f ca="1">IFERROR(__xludf.DUMMYFUNCTION("""COMPUTED_VALUE"""),"")</f>
        <v/>
      </c>
      <c r="L940" s="22"/>
      <c r="M940" s="23"/>
      <c r="N940" s="23"/>
      <c r="O940" s="23"/>
      <c r="P940" s="23"/>
      <c r="Q940" s="24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2"/>
      <c r="AD940" s="23"/>
      <c r="AE940" s="23"/>
      <c r="AF940" s="22"/>
      <c r="AG940" s="22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</row>
    <row r="941" spans="1:45" ht="27.75" customHeight="1" x14ac:dyDescent="0.35">
      <c r="A941" s="15" t="s">
        <v>257</v>
      </c>
      <c r="B941" s="15" t="s">
        <v>257</v>
      </c>
      <c r="C941" s="15"/>
      <c r="D941" s="15"/>
      <c r="E941" s="16"/>
      <c r="F941" s="15" t="s">
        <v>257</v>
      </c>
      <c r="G941" s="32"/>
      <c r="H941" s="27"/>
      <c r="I941" s="27"/>
      <c r="J941" s="27"/>
      <c r="K941" s="23" t="str">
        <f ca="1">IFERROR(__xludf.DUMMYFUNCTION("""COMPUTED_VALUE"""),"")</f>
        <v/>
      </c>
      <c r="L941" s="22"/>
      <c r="M941" s="23"/>
      <c r="N941" s="23"/>
      <c r="O941" s="23"/>
      <c r="P941" s="23"/>
      <c r="Q941" s="24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2"/>
      <c r="AD941" s="23"/>
      <c r="AE941" s="23"/>
      <c r="AF941" s="22"/>
      <c r="AG941" s="22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</row>
    <row r="942" spans="1:45" ht="27.75" customHeight="1" x14ac:dyDescent="0.35">
      <c r="A942" s="15" t="s">
        <v>257</v>
      </c>
      <c r="B942" s="15" t="s">
        <v>257</v>
      </c>
      <c r="C942" s="15"/>
      <c r="D942" s="15"/>
      <c r="E942" s="16"/>
      <c r="F942" s="15" t="s">
        <v>257</v>
      </c>
      <c r="G942" s="32"/>
      <c r="H942" s="27"/>
      <c r="I942" s="27"/>
      <c r="J942" s="27"/>
      <c r="K942" s="23" t="str">
        <f ca="1">IFERROR(__xludf.DUMMYFUNCTION("""COMPUTED_VALUE"""),"")</f>
        <v/>
      </c>
      <c r="L942" s="22"/>
      <c r="M942" s="23"/>
      <c r="N942" s="23"/>
      <c r="O942" s="23"/>
      <c r="P942" s="23"/>
      <c r="Q942" s="24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2"/>
      <c r="AD942" s="23"/>
      <c r="AE942" s="23"/>
      <c r="AF942" s="22"/>
      <c r="AG942" s="22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</row>
    <row r="943" spans="1:45" ht="27.75" customHeight="1" x14ac:dyDescent="0.35">
      <c r="A943" s="15" t="s">
        <v>257</v>
      </c>
      <c r="B943" s="15" t="s">
        <v>257</v>
      </c>
      <c r="C943" s="15"/>
      <c r="D943" s="15"/>
      <c r="E943" s="16"/>
      <c r="F943" s="15" t="s">
        <v>257</v>
      </c>
      <c r="G943" s="32"/>
      <c r="H943" s="27"/>
      <c r="I943" s="27"/>
      <c r="J943" s="27"/>
      <c r="K943" s="23" t="str">
        <f ca="1">IFERROR(__xludf.DUMMYFUNCTION("""COMPUTED_VALUE"""),"")</f>
        <v/>
      </c>
      <c r="L943" s="22"/>
      <c r="M943" s="23"/>
      <c r="N943" s="23"/>
      <c r="O943" s="23"/>
      <c r="P943" s="23"/>
      <c r="Q943" s="24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2"/>
      <c r="AD943" s="23"/>
      <c r="AE943" s="23"/>
      <c r="AF943" s="22"/>
      <c r="AG943" s="22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</row>
    <row r="944" spans="1:45" ht="27.75" customHeight="1" x14ac:dyDescent="0.35">
      <c r="A944" s="15" t="s">
        <v>257</v>
      </c>
      <c r="B944" s="15" t="s">
        <v>257</v>
      </c>
      <c r="C944" s="15"/>
      <c r="D944" s="15"/>
      <c r="E944" s="16"/>
      <c r="F944" s="15" t="s">
        <v>257</v>
      </c>
      <c r="G944" s="32"/>
      <c r="H944" s="27"/>
      <c r="I944" s="27"/>
      <c r="J944" s="27"/>
      <c r="K944" s="23" t="str">
        <f ca="1">IFERROR(__xludf.DUMMYFUNCTION("""COMPUTED_VALUE"""),"")</f>
        <v/>
      </c>
      <c r="L944" s="22"/>
      <c r="M944" s="23"/>
      <c r="N944" s="23"/>
      <c r="O944" s="23"/>
      <c r="P944" s="23"/>
      <c r="Q944" s="24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2"/>
      <c r="AD944" s="23"/>
      <c r="AE944" s="23"/>
      <c r="AF944" s="22"/>
      <c r="AG944" s="22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</row>
    <row r="945" spans="1:45" ht="27.75" customHeight="1" x14ac:dyDescent="0.35">
      <c r="A945" s="15" t="s">
        <v>257</v>
      </c>
      <c r="B945" s="15" t="s">
        <v>257</v>
      </c>
      <c r="C945" s="15"/>
      <c r="D945" s="15"/>
      <c r="E945" s="16"/>
      <c r="F945" s="15" t="s">
        <v>257</v>
      </c>
      <c r="G945" s="32"/>
      <c r="H945" s="27"/>
      <c r="I945" s="27"/>
      <c r="J945" s="27"/>
      <c r="K945" s="23" t="str">
        <f ca="1">IFERROR(__xludf.DUMMYFUNCTION("""COMPUTED_VALUE"""),"")</f>
        <v/>
      </c>
      <c r="L945" s="22"/>
      <c r="M945" s="23"/>
      <c r="N945" s="23"/>
      <c r="O945" s="23"/>
      <c r="P945" s="23"/>
      <c r="Q945" s="24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2"/>
      <c r="AD945" s="23"/>
      <c r="AE945" s="23"/>
      <c r="AF945" s="22"/>
      <c r="AG945" s="22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</row>
    <row r="946" spans="1:45" ht="27.75" customHeight="1" x14ac:dyDescent="0.35">
      <c r="A946" s="15" t="s">
        <v>257</v>
      </c>
      <c r="B946" s="15" t="s">
        <v>257</v>
      </c>
      <c r="C946" s="15"/>
      <c r="D946" s="15"/>
      <c r="E946" s="16"/>
      <c r="F946" s="15" t="s">
        <v>257</v>
      </c>
      <c r="G946" s="32"/>
      <c r="H946" s="27"/>
      <c r="I946" s="27"/>
      <c r="J946" s="27"/>
      <c r="K946" s="23" t="str">
        <f ca="1">IFERROR(__xludf.DUMMYFUNCTION("""COMPUTED_VALUE"""),"")</f>
        <v/>
      </c>
      <c r="L946" s="22"/>
      <c r="M946" s="23"/>
      <c r="N946" s="23"/>
      <c r="O946" s="23"/>
      <c r="P946" s="23"/>
      <c r="Q946" s="24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2"/>
      <c r="AD946" s="23"/>
      <c r="AE946" s="23"/>
      <c r="AF946" s="22"/>
      <c r="AG946" s="22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</row>
    <row r="947" spans="1:45" ht="27.75" customHeight="1" x14ac:dyDescent="0.35">
      <c r="A947" s="15" t="s">
        <v>257</v>
      </c>
      <c r="B947" s="15" t="s">
        <v>257</v>
      </c>
      <c r="C947" s="15"/>
      <c r="D947" s="15"/>
      <c r="E947" s="16"/>
      <c r="F947" s="15" t="s">
        <v>257</v>
      </c>
      <c r="G947" s="32"/>
      <c r="H947" s="27"/>
      <c r="I947" s="27"/>
      <c r="J947" s="27"/>
      <c r="K947" s="23" t="str">
        <f ca="1">IFERROR(__xludf.DUMMYFUNCTION("""COMPUTED_VALUE"""),"")</f>
        <v/>
      </c>
      <c r="L947" s="22"/>
      <c r="M947" s="23"/>
      <c r="N947" s="23"/>
      <c r="O947" s="23"/>
      <c r="P947" s="23"/>
      <c r="Q947" s="24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2"/>
      <c r="AD947" s="23"/>
      <c r="AE947" s="23"/>
      <c r="AF947" s="22"/>
      <c r="AG947" s="22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</row>
    <row r="948" spans="1:45" ht="27.75" customHeight="1" x14ac:dyDescent="0.35">
      <c r="A948" s="15" t="s">
        <v>257</v>
      </c>
      <c r="B948" s="15" t="s">
        <v>257</v>
      </c>
      <c r="C948" s="15"/>
      <c r="D948" s="15"/>
      <c r="E948" s="16"/>
      <c r="F948" s="15" t="s">
        <v>257</v>
      </c>
      <c r="G948" s="32"/>
      <c r="H948" s="27"/>
      <c r="I948" s="27"/>
      <c r="J948" s="27"/>
      <c r="K948" s="23" t="str">
        <f ca="1">IFERROR(__xludf.DUMMYFUNCTION("""COMPUTED_VALUE"""),"")</f>
        <v/>
      </c>
      <c r="L948" s="22"/>
      <c r="M948" s="23"/>
      <c r="N948" s="23"/>
      <c r="O948" s="23"/>
      <c r="P948" s="23"/>
      <c r="Q948" s="24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2"/>
      <c r="AD948" s="23"/>
      <c r="AE948" s="23"/>
      <c r="AF948" s="22"/>
      <c r="AG948" s="22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</row>
    <row r="949" spans="1:45" ht="27.75" customHeight="1" x14ac:dyDescent="0.35">
      <c r="A949" s="15" t="s">
        <v>257</v>
      </c>
      <c r="B949" s="15" t="s">
        <v>257</v>
      </c>
      <c r="C949" s="15"/>
      <c r="D949" s="15"/>
      <c r="E949" s="16"/>
      <c r="F949" s="15" t="s">
        <v>257</v>
      </c>
      <c r="G949" s="32"/>
      <c r="H949" s="27"/>
      <c r="I949" s="27"/>
      <c r="J949" s="27"/>
      <c r="K949" s="23" t="str">
        <f ca="1">IFERROR(__xludf.DUMMYFUNCTION("""COMPUTED_VALUE"""),"")</f>
        <v/>
      </c>
      <c r="L949" s="22"/>
      <c r="M949" s="23"/>
      <c r="N949" s="23"/>
      <c r="O949" s="23"/>
      <c r="P949" s="23"/>
      <c r="Q949" s="24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2"/>
      <c r="AD949" s="23"/>
      <c r="AE949" s="23"/>
      <c r="AF949" s="22"/>
      <c r="AG949" s="22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</row>
    <row r="950" spans="1:45" ht="27.75" customHeight="1" x14ac:dyDescent="0.35">
      <c r="A950" s="15" t="s">
        <v>257</v>
      </c>
      <c r="B950" s="15" t="s">
        <v>257</v>
      </c>
      <c r="C950" s="15"/>
      <c r="D950" s="15"/>
      <c r="E950" s="16"/>
      <c r="F950" s="15" t="s">
        <v>257</v>
      </c>
      <c r="G950" s="32"/>
      <c r="H950" s="27"/>
      <c r="I950" s="27"/>
      <c r="J950" s="27"/>
      <c r="K950" s="23" t="str">
        <f ca="1">IFERROR(__xludf.DUMMYFUNCTION("""COMPUTED_VALUE"""),"")</f>
        <v/>
      </c>
      <c r="L950" s="22"/>
      <c r="M950" s="23"/>
      <c r="N950" s="23"/>
      <c r="O950" s="23"/>
      <c r="P950" s="23"/>
      <c r="Q950" s="24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2"/>
      <c r="AD950" s="23"/>
      <c r="AE950" s="23"/>
      <c r="AF950" s="22"/>
      <c r="AG950" s="22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</row>
    <row r="951" spans="1:45" ht="27.75" customHeight="1" x14ac:dyDescent="0.35">
      <c r="A951" s="15" t="s">
        <v>257</v>
      </c>
      <c r="B951" s="15" t="s">
        <v>257</v>
      </c>
      <c r="C951" s="15"/>
      <c r="D951" s="15"/>
      <c r="E951" s="16"/>
      <c r="F951" s="15" t="s">
        <v>257</v>
      </c>
      <c r="G951" s="32"/>
      <c r="H951" s="27"/>
      <c r="I951" s="27"/>
      <c r="J951" s="27"/>
      <c r="K951" s="23" t="str">
        <f ca="1">IFERROR(__xludf.DUMMYFUNCTION("""COMPUTED_VALUE"""),"")</f>
        <v/>
      </c>
      <c r="L951" s="22"/>
      <c r="M951" s="23"/>
      <c r="N951" s="23"/>
      <c r="O951" s="23"/>
      <c r="P951" s="23"/>
      <c r="Q951" s="24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2"/>
      <c r="AD951" s="23"/>
      <c r="AE951" s="23"/>
      <c r="AF951" s="22"/>
      <c r="AG951" s="22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</row>
    <row r="952" spans="1:45" ht="27.75" customHeight="1" x14ac:dyDescent="0.35">
      <c r="A952" s="15" t="s">
        <v>257</v>
      </c>
      <c r="B952" s="15" t="s">
        <v>257</v>
      </c>
      <c r="C952" s="15"/>
      <c r="D952" s="15"/>
      <c r="E952" s="16"/>
      <c r="F952" s="15" t="s">
        <v>257</v>
      </c>
      <c r="G952" s="32"/>
      <c r="H952" s="27"/>
      <c r="I952" s="27"/>
      <c r="J952" s="27"/>
      <c r="K952" s="23" t="str">
        <f ca="1">IFERROR(__xludf.DUMMYFUNCTION("""COMPUTED_VALUE"""),"")</f>
        <v/>
      </c>
      <c r="L952" s="22"/>
      <c r="M952" s="23"/>
      <c r="N952" s="23"/>
      <c r="O952" s="23"/>
      <c r="P952" s="23"/>
      <c r="Q952" s="24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2"/>
      <c r="AD952" s="23"/>
      <c r="AE952" s="23"/>
      <c r="AF952" s="22"/>
      <c r="AG952" s="22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</row>
    <row r="953" spans="1:45" ht="27.75" customHeight="1" x14ac:dyDescent="0.35">
      <c r="A953" s="15" t="s">
        <v>257</v>
      </c>
      <c r="B953" s="15" t="s">
        <v>257</v>
      </c>
      <c r="C953" s="15"/>
      <c r="D953" s="15"/>
      <c r="E953" s="16"/>
      <c r="F953" s="15" t="s">
        <v>257</v>
      </c>
      <c r="G953" s="32"/>
      <c r="H953" s="27"/>
      <c r="I953" s="27"/>
      <c r="J953" s="27"/>
      <c r="K953" s="23" t="str">
        <f ca="1">IFERROR(__xludf.DUMMYFUNCTION("""COMPUTED_VALUE"""),"")</f>
        <v/>
      </c>
      <c r="L953" s="22"/>
      <c r="M953" s="23"/>
      <c r="N953" s="23"/>
      <c r="O953" s="23"/>
      <c r="P953" s="23"/>
      <c r="Q953" s="24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2"/>
      <c r="AD953" s="23"/>
      <c r="AE953" s="23"/>
      <c r="AF953" s="22"/>
      <c r="AG953" s="22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</row>
    <row r="954" spans="1:45" ht="27.75" customHeight="1" x14ac:dyDescent="0.35">
      <c r="A954" s="15" t="s">
        <v>257</v>
      </c>
      <c r="B954" s="15" t="s">
        <v>257</v>
      </c>
      <c r="C954" s="15"/>
      <c r="D954" s="15"/>
      <c r="E954" s="16"/>
      <c r="F954" s="15" t="s">
        <v>257</v>
      </c>
      <c r="G954" s="32"/>
      <c r="H954" s="27"/>
      <c r="I954" s="27"/>
      <c r="J954" s="27"/>
      <c r="K954" s="23" t="str">
        <f ca="1">IFERROR(__xludf.DUMMYFUNCTION("""COMPUTED_VALUE"""),"")</f>
        <v/>
      </c>
      <c r="L954" s="22"/>
      <c r="M954" s="23"/>
      <c r="N954" s="23"/>
      <c r="O954" s="23"/>
      <c r="P954" s="23"/>
      <c r="Q954" s="24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2"/>
      <c r="AD954" s="23"/>
      <c r="AE954" s="23"/>
      <c r="AF954" s="22"/>
      <c r="AG954" s="22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</row>
    <row r="955" spans="1:45" ht="27.75" customHeight="1" x14ac:dyDescent="0.35">
      <c r="A955" s="15" t="s">
        <v>257</v>
      </c>
      <c r="B955" s="15" t="s">
        <v>257</v>
      </c>
      <c r="C955" s="15"/>
      <c r="D955" s="15"/>
      <c r="E955" s="16"/>
      <c r="F955" s="15" t="s">
        <v>257</v>
      </c>
      <c r="G955" s="32"/>
      <c r="H955" s="27"/>
      <c r="I955" s="27"/>
      <c r="J955" s="27"/>
      <c r="K955" s="23" t="str">
        <f ca="1">IFERROR(__xludf.DUMMYFUNCTION("""COMPUTED_VALUE"""),"")</f>
        <v/>
      </c>
      <c r="L955" s="22"/>
      <c r="M955" s="23"/>
      <c r="N955" s="23"/>
      <c r="O955" s="23"/>
      <c r="P955" s="23"/>
      <c r="Q955" s="24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2"/>
      <c r="AD955" s="23"/>
      <c r="AE955" s="23"/>
      <c r="AF955" s="22"/>
      <c r="AG955" s="22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</row>
    <row r="956" spans="1:45" ht="27.75" customHeight="1" x14ac:dyDescent="0.35">
      <c r="A956" s="15" t="s">
        <v>257</v>
      </c>
      <c r="B956" s="15" t="s">
        <v>257</v>
      </c>
      <c r="C956" s="15"/>
      <c r="D956" s="15"/>
      <c r="E956" s="16"/>
      <c r="F956" s="15" t="s">
        <v>257</v>
      </c>
      <c r="G956" s="32"/>
      <c r="H956" s="27"/>
      <c r="I956" s="27"/>
      <c r="J956" s="27"/>
      <c r="K956" s="23" t="str">
        <f ca="1">IFERROR(__xludf.DUMMYFUNCTION("""COMPUTED_VALUE"""),"")</f>
        <v/>
      </c>
      <c r="L956" s="22"/>
      <c r="M956" s="23"/>
      <c r="N956" s="23"/>
      <c r="O956" s="23"/>
      <c r="P956" s="23"/>
      <c r="Q956" s="24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2"/>
      <c r="AD956" s="23"/>
      <c r="AE956" s="23"/>
      <c r="AF956" s="22"/>
      <c r="AG956" s="22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</row>
    <row r="957" spans="1:45" ht="27.75" customHeight="1" x14ac:dyDescent="0.35">
      <c r="A957" s="15" t="s">
        <v>257</v>
      </c>
      <c r="B957" s="15" t="s">
        <v>257</v>
      </c>
      <c r="C957" s="15"/>
      <c r="D957" s="15"/>
      <c r="E957" s="16"/>
      <c r="F957" s="15" t="s">
        <v>257</v>
      </c>
      <c r="G957" s="32"/>
      <c r="H957" s="27"/>
      <c r="I957" s="27"/>
      <c r="J957" s="27"/>
      <c r="K957" s="23" t="str">
        <f ca="1">IFERROR(__xludf.DUMMYFUNCTION("""COMPUTED_VALUE"""),"")</f>
        <v/>
      </c>
      <c r="L957" s="22"/>
      <c r="M957" s="23"/>
      <c r="N957" s="23"/>
      <c r="O957" s="23"/>
      <c r="P957" s="23"/>
      <c r="Q957" s="24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2"/>
      <c r="AD957" s="23"/>
      <c r="AE957" s="23"/>
      <c r="AF957" s="22"/>
      <c r="AG957" s="22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</row>
    <row r="958" spans="1:45" ht="27.75" customHeight="1" x14ac:dyDescent="0.35">
      <c r="A958" s="15" t="s">
        <v>257</v>
      </c>
      <c r="B958" s="15" t="s">
        <v>257</v>
      </c>
      <c r="C958" s="15"/>
      <c r="D958" s="15"/>
      <c r="E958" s="16"/>
      <c r="F958" s="15" t="s">
        <v>257</v>
      </c>
      <c r="G958" s="32"/>
      <c r="H958" s="27"/>
      <c r="I958" s="27"/>
      <c r="J958" s="27"/>
      <c r="K958" s="23" t="str">
        <f ca="1">IFERROR(__xludf.DUMMYFUNCTION("""COMPUTED_VALUE"""),"")</f>
        <v/>
      </c>
      <c r="L958" s="22"/>
      <c r="M958" s="23"/>
      <c r="N958" s="23"/>
      <c r="O958" s="23"/>
      <c r="P958" s="23"/>
      <c r="Q958" s="24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2"/>
      <c r="AD958" s="23"/>
      <c r="AE958" s="23"/>
      <c r="AF958" s="22"/>
      <c r="AG958" s="22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</row>
    <row r="959" spans="1:45" ht="27.75" customHeight="1" x14ac:dyDescent="0.35">
      <c r="A959" s="15" t="s">
        <v>257</v>
      </c>
      <c r="B959" s="15" t="s">
        <v>257</v>
      </c>
      <c r="C959" s="15"/>
      <c r="D959" s="15"/>
      <c r="E959" s="16"/>
      <c r="F959" s="15" t="s">
        <v>257</v>
      </c>
      <c r="G959" s="32"/>
      <c r="H959" s="27"/>
      <c r="I959" s="27"/>
      <c r="J959" s="27"/>
      <c r="K959" s="23" t="str">
        <f ca="1">IFERROR(__xludf.DUMMYFUNCTION("""COMPUTED_VALUE"""),"")</f>
        <v/>
      </c>
      <c r="L959" s="22"/>
      <c r="M959" s="23"/>
      <c r="N959" s="23"/>
      <c r="O959" s="23"/>
      <c r="P959" s="23"/>
      <c r="Q959" s="24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2"/>
      <c r="AD959" s="23"/>
      <c r="AE959" s="23"/>
      <c r="AF959" s="22"/>
      <c r="AG959" s="22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</row>
    <row r="960" spans="1:45" ht="27.75" customHeight="1" x14ac:dyDescent="0.35">
      <c r="A960" s="15" t="s">
        <v>257</v>
      </c>
      <c r="B960" s="15" t="s">
        <v>257</v>
      </c>
      <c r="C960" s="15"/>
      <c r="D960" s="15"/>
      <c r="E960" s="16"/>
      <c r="F960" s="15" t="s">
        <v>257</v>
      </c>
      <c r="G960" s="32"/>
      <c r="H960" s="27"/>
      <c r="I960" s="27"/>
      <c r="J960" s="27"/>
      <c r="K960" s="23" t="str">
        <f ca="1">IFERROR(__xludf.DUMMYFUNCTION("""COMPUTED_VALUE"""),"")</f>
        <v/>
      </c>
      <c r="L960" s="22"/>
      <c r="M960" s="23"/>
      <c r="N960" s="23"/>
      <c r="O960" s="23"/>
      <c r="P960" s="23"/>
      <c r="Q960" s="24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2"/>
      <c r="AD960" s="23"/>
      <c r="AE960" s="23"/>
      <c r="AF960" s="22"/>
      <c r="AG960" s="22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</row>
    <row r="961" spans="1:45" ht="27.75" customHeight="1" x14ac:dyDescent="0.35">
      <c r="A961" s="15" t="s">
        <v>257</v>
      </c>
      <c r="B961" s="15" t="s">
        <v>257</v>
      </c>
      <c r="C961" s="15"/>
      <c r="D961" s="15"/>
      <c r="E961" s="16"/>
      <c r="F961" s="15" t="s">
        <v>257</v>
      </c>
      <c r="G961" s="32"/>
      <c r="H961" s="27"/>
      <c r="I961" s="27"/>
      <c r="J961" s="27"/>
      <c r="K961" s="23" t="str">
        <f ca="1">IFERROR(__xludf.DUMMYFUNCTION("""COMPUTED_VALUE"""),"")</f>
        <v/>
      </c>
      <c r="L961" s="22"/>
      <c r="M961" s="23"/>
      <c r="N961" s="23"/>
      <c r="O961" s="23"/>
      <c r="P961" s="23"/>
      <c r="Q961" s="24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2"/>
      <c r="AD961" s="23"/>
      <c r="AE961" s="23"/>
      <c r="AF961" s="22"/>
      <c r="AG961" s="22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</row>
    <row r="962" spans="1:45" ht="27.75" customHeight="1" x14ac:dyDescent="0.35">
      <c r="A962" s="15" t="s">
        <v>257</v>
      </c>
      <c r="B962" s="15" t="s">
        <v>257</v>
      </c>
      <c r="C962" s="15"/>
      <c r="D962" s="15"/>
      <c r="E962" s="16"/>
      <c r="F962" s="15" t="s">
        <v>257</v>
      </c>
      <c r="G962" s="32"/>
      <c r="H962" s="27"/>
      <c r="I962" s="27"/>
      <c r="J962" s="27"/>
      <c r="K962" s="23" t="str">
        <f ca="1">IFERROR(__xludf.DUMMYFUNCTION("""COMPUTED_VALUE"""),"")</f>
        <v/>
      </c>
      <c r="L962" s="22"/>
      <c r="M962" s="23"/>
      <c r="N962" s="23"/>
      <c r="O962" s="23"/>
      <c r="P962" s="23"/>
      <c r="Q962" s="24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2"/>
      <c r="AD962" s="23"/>
      <c r="AE962" s="23"/>
      <c r="AF962" s="22"/>
      <c r="AG962" s="22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</row>
    <row r="963" spans="1:45" ht="27.75" customHeight="1" x14ac:dyDescent="0.35">
      <c r="A963" s="15" t="s">
        <v>257</v>
      </c>
      <c r="B963" s="15" t="s">
        <v>257</v>
      </c>
      <c r="C963" s="15"/>
      <c r="D963" s="15"/>
      <c r="E963" s="16"/>
      <c r="F963" s="15" t="s">
        <v>257</v>
      </c>
      <c r="G963" s="32"/>
      <c r="H963" s="27"/>
      <c r="I963" s="27"/>
      <c r="J963" s="27"/>
      <c r="K963" s="23" t="str">
        <f ca="1">IFERROR(__xludf.DUMMYFUNCTION("""COMPUTED_VALUE"""),"")</f>
        <v/>
      </c>
      <c r="L963" s="22"/>
      <c r="M963" s="23"/>
      <c r="N963" s="23"/>
      <c r="O963" s="23"/>
      <c r="P963" s="23"/>
      <c r="Q963" s="24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2"/>
      <c r="AD963" s="23"/>
      <c r="AE963" s="23"/>
      <c r="AF963" s="22"/>
      <c r="AG963" s="22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</row>
    <row r="964" spans="1:45" ht="27.75" customHeight="1" x14ac:dyDescent="0.35">
      <c r="A964" s="15" t="s">
        <v>257</v>
      </c>
      <c r="B964" s="15" t="s">
        <v>257</v>
      </c>
      <c r="C964" s="15"/>
      <c r="D964" s="15"/>
      <c r="E964" s="16"/>
      <c r="F964" s="15" t="s">
        <v>257</v>
      </c>
      <c r="G964" s="32"/>
      <c r="H964" s="27"/>
      <c r="I964" s="27"/>
      <c r="J964" s="27"/>
      <c r="K964" s="23" t="str">
        <f ca="1">IFERROR(__xludf.DUMMYFUNCTION("""COMPUTED_VALUE"""),"")</f>
        <v/>
      </c>
      <c r="L964" s="22"/>
      <c r="M964" s="23"/>
      <c r="N964" s="23"/>
      <c r="O964" s="23"/>
      <c r="P964" s="23"/>
      <c r="Q964" s="24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2"/>
      <c r="AD964" s="23"/>
      <c r="AE964" s="23"/>
      <c r="AF964" s="22"/>
      <c r="AG964" s="22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</row>
    <row r="965" spans="1:45" ht="27.75" customHeight="1" x14ac:dyDescent="0.35">
      <c r="A965" s="15" t="s">
        <v>257</v>
      </c>
      <c r="B965" s="15" t="s">
        <v>257</v>
      </c>
      <c r="C965" s="15"/>
      <c r="D965" s="15"/>
      <c r="E965" s="16"/>
      <c r="F965" s="15" t="s">
        <v>257</v>
      </c>
      <c r="G965" s="32"/>
      <c r="H965" s="27"/>
      <c r="I965" s="27"/>
      <c r="J965" s="27"/>
      <c r="K965" s="23" t="str">
        <f ca="1">IFERROR(__xludf.DUMMYFUNCTION("""COMPUTED_VALUE"""),"")</f>
        <v/>
      </c>
      <c r="L965" s="22"/>
      <c r="M965" s="23"/>
      <c r="N965" s="23"/>
      <c r="O965" s="23"/>
      <c r="P965" s="23"/>
      <c r="Q965" s="24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2"/>
      <c r="AD965" s="23"/>
      <c r="AE965" s="23"/>
      <c r="AF965" s="22"/>
      <c r="AG965" s="22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</row>
    <row r="966" spans="1:45" ht="27.75" customHeight="1" x14ac:dyDescent="0.35">
      <c r="A966" s="15" t="s">
        <v>257</v>
      </c>
      <c r="B966" s="15" t="s">
        <v>257</v>
      </c>
      <c r="C966" s="15"/>
      <c r="D966" s="15"/>
      <c r="E966" s="16"/>
      <c r="F966" s="15" t="s">
        <v>257</v>
      </c>
      <c r="G966" s="32"/>
      <c r="H966" s="27"/>
      <c r="I966" s="27"/>
      <c r="J966" s="27"/>
      <c r="K966" s="23" t="str">
        <f ca="1">IFERROR(__xludf.DUMMYFUNCTION("""COMPUTED_VALUE"""),"")</f>
        <v/>
      </c>
      <c r="L966" s="22"/>
      <c r="M966" s="23"/>
      <c r="N966" s="23"/>
      <c r="O966" s="23"/>
      <c r="P966" s="23"/>
      <c r="Q966" s="24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2"/>
      <c r="AD966" s="23"/>
      <c r="AE966" s="23"/>
      <c r="AF966" s="22"/>
      <c r="AG966" s="22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</row>
    <row r="967" spans="1:45" ht="27.75" customHeight="1" x14ac:dyDescent="0.35">
      <c r="A967" s="15" t="s">
        <v>257</v>
      </c>
      <c r="B967" s="15" t="s">
        <v>257</v>
      </c>
      <c r="C967" s="15"/>
      <c r="D967" s="15"/>
      <c r="E967" s="16"/>
      <c r="F967" s="15" t="s">
        <v>257</v>
      </c>
      <c r="G967" s="32"/>
      <c r="H967" s="27"/>
      <c r="I967" s="27"/>
      <c r="J967" s="27"/>
      <c r="K967" s="23" t="str">
        <f ca="1">IFERROR(__xludf.DUMMYFUNCTION("""COMPUTED_VALUE"""),"")</f>
        <v/>
      </c>
      <c r="L967" s="22"/>
      <c r="M967" s="23"/>
      <c r="N967" s="23"/>
      <c r="O967" s="23"/>
      <c r="P967" s="23"/>
      <c r="Q967" s="24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2"/>
      <c r="AD967" s="23"/>
      <c r="AE967" s="23"/>
      <c r="AF967" s="22"/>
      <c r="AG967" s="22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</row>
    <row r="968" spans="1:45" ht="27.75" customHeight="1" x14ac:dyDescent="0.35">
      <c r="A968" s="15" t="s">
        <v>257</v>
      </c>
      <c r="B968" s="15" t="s">
        <v>257</v>
      </c>
      <c r="C968" s="15"/>
      <c r="D968" s="15"/>
      <c r="E968" s="16"/>
      <c r="F968" s="15" t="s">
        <v>257</v>
      </c>
      <c r="G968" s="32"/>
      <c r="H968" s="27"/>
      <c r="I968" s="27"/>
      <c r="J968" s="27"/>
      <c r="K968" s="23" t="str">
        <f ca="1">IFERROR(__xludf.DUMMYFUNCTION("""COMPUTED_VALUE"""),"")</f>
        <v/>
      </c>
      <c r="L968" s="22"/>
      <c r="M968" s="23"/>
      <c r="N968" s="23"/>
      <c r="O968" s="23"/>
      <c r="P968" s="23"/>
      <c r="Q968" s="24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2"/>
      <c r="AD968" s="23"/>
      <c r="AE968" s="23"/>
      <c r="AF968" s="22"/>
      <c r="AG968" s="22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</row>
    <row r="969" spans="1:45" ht="27.75" customHeight="1" x14ac:dyDescent="0.35">
      <c r="A969" s="15" t="s">
        <v>257</v>
      </c>
      <c r="B969" s="15" t="s">
        <v>257</v>
      </c>
      <c r="C969" s="15"/>
      <c r="D969" s="15"/>
      <c r="E969" s="16"/>
      <c r="F969" s="15" t="s">
        <v>257</v>
      </c>
      <c r="G969" s="32"/>
      <c r="H969" s="27"/>
      <c r="I969" s="27"/>
      <c r="J969" s="27"/>
      <c r="K969" s="23" t="str">
        <f ca="1">IFERROR(__xludf.DUMMYFUNCTION("""COMPUTED_VALUE"""),"")</f>
        <v/>
      </c>
      <c r="L969" s="22"/>
      <c r="M969" s="23"/>
      <c r="N969" s="23"/>
      <c r="O969" s="23"/>
      <c r="P969" s="23"/>
      <c r="Q969" s="24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2"/>
      <c r="AD969" s="23"/>
      <c r="AE969" s="23"/>
      <c r="AF969" s="22"/>
      <c r="AG969" s="22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</row>
    <row r="970" spans="1:45" ht="27.75" customHeight="1" x14ac:dyDescent="0.35">
      <c r="A970" s="15" t="s">
        <v>257</v>
      </c>
      <c r="B970" s="15" t="s">
        <v>257</v>
      </c>
      <c r="C970" s="15"/>
      <c r="D970" s="15"/>
      <c r="E970" s="16"/>
      <c r="F970" s="15" t="s">
        <v>257</v>
      </c>
      <c r="G970" s="32"/>
      <c r="H970" s="27"/>
      <c r="I970" s="27"/>
      <c r="J970" s="27"/>
      <c r="K970" s="23" t="str">
        <f ca="1">IFERROR(__xludf.DUMMYFUNCTION("""COMPUTED_VALUE"""),"")</f>
        <v/>
      </c>
      <c r="L970" s="22"/>
      <c r="M970" s="23"/>
      <c r="N970" s="23"/>
      <c r="O970" s="23"/>
      <c r="P970" s="23"/>
      <c r="Q970" s="24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2"/>
      <c r="AD970" s="23"/>
      <c r="AE970" s="23"/>
      <c r="AF970" s="22"/>
      <c r="AG970" s="22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</row>
    <row r="971" spans="1:45" ht="27.75" customHeight="1" x14ac:dyDescent="0.35">
      <c r="A971" s="15" t="s">
        <v>257</v>
      </c>
      <c r="B971" s="15" t="s">
        <v>257</v>
      </c>
      <c r="C971" s="15"/>
      <c r="D971" s="15"/>
      <c r="E971" s="16"/>
      <c r="F971" s="15" t="s">
        <v>257</v>
      </c>
      <c r="G971" s="32"/>
      <c r="H971" s="27"/>
      <c r="I971" s="27"/>
      <c r="J971" s="27"/>
      <c r="K971" s="23" t="str">
        <f ca="1">IFERROR(__xludf.DUMMYFUNCTION("""COMPUTED_VALUE"""),"")</f>
        <v/>
      </c>
      <c r="L971" s="22"/>
      <c r="M971" s="23"/>
      <c r="N971" s="23"/>
      <c r="O971" s="23"/>
      <c r="P971" s="23"/>
      <c r="Q971" s="24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2"/>
      <c r="AD971" s="23"/>
      <c r="AE971" s="23"/>
      <c r="AF971" s="22"/>
      <c r="AG971" s="22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</row>
    <row r="972" spans="1:45" ht="27.75" customHeight="1" x14ac:dyDescent="0.35">
      <c r="A972" s="15" t="s">
        <v>257</v>
      </c>
      <c r="B972" s="15" t="s">
        <v>257</v>
      </c>
      <c r="C972" s="15"/>
      <c r="D972" s="15"/>
      <c r="E972" s="16"/>
      <c r="F972" s="15" t="s">
        <v>257</v>
      </c>
      <c r="G972" s="32"/>
      <c r="H972" s="27"/>
      <c r="I972" s="27"/>
      <c r="J972" s="27"/>
      <c r="K972" s="23" t="str">
        <f ca="1">IFERROR(__xludf.DUMMYFUNCTION("""COMPUTED_VALUE"""),"")</f>
        <v/>
      </c>
      <c r="L972" s="22"/>
      <c r="M972" s="23"/>
      <c r="N972" s="23"/>
      <c r="O972" s="23"/>
      <c r="P972" s="23"/>
      <c r="Q972" s="24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2"/>
      <c r="AD972" s="23"/>
      <c r="AE972" s="23"/>
      <c r="AF972" s="22"/>
      <c r="AG972" s="22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</row>
    <row r="973" spans="1:45" ht="27.75" customHeight="1" x14ac:dyDescent="0.35">
      <c r="A973" s="15" t="s">
        <v>257</v>
      </c>
      <c r="B973" s="15" t="s">
        <v>257</v>
      </c>
      <c r="C973" s="15"/>
      <c r="D973" s="15"/>
      <c r="E973" s="16"/>
      <c r="F973" s="15" t="s">
        <v>257</v>
      </c>
      <c r="G973" s="32"/>
      <c r="H973" s="27"/>
      <c r="I973" s="27"/>
      <c r="J973" s="27"/>
      <c r="K973" s="23" t="str">
        <f ca="1">IFERROR(__xludf.DUMMYFUNCTION("""COMPUTED_VALUE"""),"")</f>
        <v/>
      </c>
      <c r="L973" s="22"/>
      <c r="M973" s="23"/>
      <c r="N973" s="23"/>
      <c r="O973" s="23"/>
      <c r="P973" s="23"/>
      <c r="Q973" s="24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2"/>
      <c r="AD973" s="23"/>
      <c r="AE973" s="23"/>
      <c r="AF973" s="22"/>
      <c r="AG973" s="22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</row>
    <row r="974" spans="1:45" ht="27.75" customHeight="1" x14ac:dyDescent="0.35">
      <c r="A974" s="15" t="s">
        <v>257</v>
      </c>
      <c r="B974" s="15" t="s">
        <v>257</v>
      </c>
      <c r="C974" s="15"/>
      <c r="D974" s="15"/>
      <c r="E974" s="16"/>
      <c r="F974" s="15" t="s">
        <v>257</v>
      </c>
      <c r="G974" s="32"/>
      <c r="H974" s="27"/>
      <c r="I974" s="27"/>
      <c r="J974" s="27"/>
      <c r="K974" s="23" t="str">
        <f ca="1">IFERROR(__xludf.DUMMYFUNCTION("""COMPUTED_VALUE"""),"")</f>
        <v/>
      </c>
      <c r="L974" s="22"/>
      <c r="M974" s="23"/>
      <c r="N974" s="23"/>
      <c r="O974" s="23"/>
      <c r="P974" s="23"/>
      <c r="Q974" s="24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2"/>
      <c r="AD974" s="23"/>
      <c r="AE974" s="23"/>
      <c r="AF974" s="22"/>
      <c r="AG974" s="22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</row>
    <row r="975" spans="1:45" ht="27.75" customHeight="1" x14ac:dyDescent="0.35">
      <c r="A975" s="15" t="s">
        <v>257</v>
      </c>
      <c r="B975" s="15" t="s">
        <v>257</v>
      </c>
      <c r="C975" s="15"/>
      <c r="D975" s="15"/>
      <c r="E975" s="16"/>
      <c r="F975" s="15" t="s">
        <v>257</v>
      </c>
      <c r="G975" s="32"/>
      <c r="H975" s="27"/>
      <c r="I975" s="27"/>
      <c r="J975" s="27"/>
      <c r="K975" s="23" t="str">
        <f ca="1">IFERROR(__xludf.DUMMYFUNCTION("""COMPUTED_VALUE"""),"")</f>
        <v/>
      </c>
      <c r="L975" s="22"/>
      <c r="M975" s="23"/>
      <c r="N975" s="23"/>
      <c r="O975" s="23"/>
      <c r="P975" s="23"/>
      <c r="Q975" s="24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2"/>
      <c r="AD975" s="23"/>
      <c r="AE975" s="23"/>
      <c r="AF975" s="22"/>
      <c r="AG975" s="22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</row>
    <row r="976" spans="1:45" ht="27.75" customHeight="1" x14ac:dyDescent="0.35">
      <c r="A976" s="15" t="s">
        <v>257</v>
      </c>
      <c r="B976" s="15" t="s">
        <v>257</v>
      </c>
      <c r="C976" s="15"/>
      <c r="D976" s="15"/>
      <c r="E976" s="16"/>
      <c r="F976" s="15" t="s">
        <v>257</v>
      </c>
      <c r="G976" s="32"/>
      <c r="H976" s="27"/>
      <c r="I976" s="27"/>
      <c r="J976" s="27"/>
      <c r="K976" s="23" t="str">
        <f ca="1">IFERROR(__xludf.DUMMYFUNCTION("""COMPUTED_VALUE"""),"")</f>
        <v/>
      </c>
      <c r="L976" s="22"/>
      <c r="M976" s="23"/>
      <c r="N976" s="23"/>
      <c r="O976" s="23"/>
      <c r="P976" s="23"/>
      <c r="Q976" s="24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2"/>
      <c r="AD976" s="23"/>
      <c r="AE976" s="23"/>
      <c r="AF976" s="22"/>
      <c r="AG976" s="22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</row>
    <row r="977" spans="1:45" ht="27.75" customHeight="1" x14ac:dyDescent="0.35">
      <c r="A977" s="15" t="s">
        <v>257</v>
      </c>
      <c r="B977" s="15" t="s">
        <v>257</v>
      </c>
      <c r="C977" s="15"/>
      <c r="D977" s="15"/>
      <c r="E977" s="16"/>
      <c r="F977" s="15" t="s">
        <v>257</v>
      </c>
      <c r="G977" s="32"/>
      <c r="H977" s="27"/>
      <c r="I977" s="27"/>
      <c r="J977" s="27"/>
      <c r="K977" s="23" t="str">
        <f ca="1">IFERROR(__xludf.DUMMYFUNCTION("""COMPUTED_VALUE"""),"")</f>
        <v/>
      </c>
      <c r="L977" s="22"/>
      <c r="M977" s="23"/>
      <c r="N977" s="23"/>
      <c r="O977" s="23"/>
      <c r="P977" s="23"/>
      <c r="Q977" s="24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2"/>
      <c r="AD977" s="23"/>
      <c r="AE977" s="23"/>
      <c r="AF977" s="22"/>
      <c r="AG977" s="22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</row>
    <row r="978" spans="1:45" ht="27.75" customHeight="1" x14ac:dyDescent="0.35">
      <c r="A978" s="15" t="s">
        <v>257</v>
      </c>
      <c r="B978" s="15" t="s">
        <v>257</v>
      </c>
      <c r="C978" s="15"/>
      <c r="D978" s="15"/>
      <c r="E978" s="16"/>
      <c r="F978" s="15" t="s">
        <v>257</v>
      </c>
      <c r="G978" s="32"/>
      <c r="H978" s="27"/>
      <c r="I978" s="27"/>
      <c r="J978" s="27"/>
      <c r="K978" s="23" t="str">
        <f ca="1">IFERROR(__xludf.DUMMYFUNCTION("""COMPUTED_VALUE"""),"")</f>
        <v/>
      </c>
      <c r="L978" s="22"/>
      <c r="M978" s="23"/>
      <c r="N978" s="23"/>
      <c r="O978" s="23"/>
      <c r="P978" s="23"/>
      <c r="Q978" s="24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2"/>
      <c r="AD978" s="23"/>
      <c r="AE978" s="23"/>
      <c r="AF978" s="22"/>
      <c r="AG978" s="22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</row>
    <row r="979" spans="1:45" ht="27.75" customHeight="1" x14ac:dyDescent="0.35">
      <c r="A979" s="15" t="s">
        <v>257</v>
      </c>
      <c r="B979" s="15" t="s">
        <v>257</v>
      </c>
      <c r="C979" s="15"/>
      <c r="D979" s="15"/>
      <c r="E979" s="16"/>
      <c r="F979" s="15" t="s">
        <v>257</v>
      </c>
      <c r="G979" s="32"/>
      <c r="H979" s="27"/>
      <c r="I979" s="27"/>
      <c r="J979" s="27"/>
      <c r="K979" s="23" t="str">
        <f ca="1">IFERROR(__xludf.DUMMYFUNCTION("""COMPUTED_VALUE"""),"")</f>
        <v/>
      </c>
      <c r="L979" s="22"/>
      <c r="M979" s="23"/>
      <c r="N979" s="23"/>
      <c r="O979" s="23"/>
      <c r="P979" s="23"/>
      <c r="Q979" s="24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2"/>
      <c r="AD979" s="23"/>
      <c r="AE979" s="23"/>
      <c r="AF979" s="22"/>
      <c r="AG979" s="22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</row>
    <row r="980" spans="1:45" ht="27.75" customHeight="1" x14ac:dyDescent="0.35">
      <c r="A980" s="15" t="s">
        <v>257</v>
      </c>
      <c r="B980" s="15" t="s">
        <v>257</v>
      </c>
      <c r="C980" s="15"/>
      <c r="D980" s="15"/>
      <c r="E980" s="16"/>
      <c r="F980" s="15" t="s">
        <v>257</v>
      </c>
      <c r="G980" s="32"/>
      <c r="H980" s="27"/>
      <c r="I980" s="27"/>
      <c r="J980" s="27"/>
      <c r="K980" s="23" t="str">
        <f ca="1">IFERROR(__xludf.DUMMYFUNCTION("""COMPUTED_VALUE"""),"")</f>
        <v/>
      </c>
      <c r="L980" s="22"/>
      <c r="M980" s="23"/>
      <c r="N980" s="23"/>
      <c r="O980" s="23"/>
      <c r="P980" s="23"/>
      <c r="Q980" s="24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2"/>
      <c r="AD980" s="23"/>
      <c r="AE980" s="23"/>
      <c r="AF980" s="22"/>
      <c r="AG980" s="22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</row>
    <row r="981" spans="1:45" ht="27.75" customHeight="1" x14ac:dyDescent="0.35">
      <c r="A981" s="15" t="s">
        <v>257</v>
      </c>
      <c r="B981" s="15" t="s">
        <v>257</v>
      </c>
      <c r="C981" s="15"/>
      <c r="D981" s="15"/>
      <c r="E981" s="16"/>
      <c r="F981" s="15" t="s">
        <v>257</v>
      </c>
      <c r="G981" s="32"/>
      <c r="H981" s="27"/>
      <c r="I981" s="27"/>
      <c r="J981" s="27"/>
      <c r="K981" s="23" t="str">
        <f ca="1">IFERROR(__xludf.DUMMYFUNCTION("""COMPUTED_VALUE"""),"")</f>
        <v/>
      </c>
      <c r="L981" s="22"/>
      <c r="M981" s="23"/>
      <c r="N981" s="23"/>
      <c r="O981" s="23"/>
      <c r="P981" s="23"/>
      <c r="Q981" s="24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2"/>
      <c r="AD981" s="23"/>
      <c r="AE981" s="23"/>
      <c r="AF981" s="22"/>
      <c r="AG981" s="22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</row>
    <row r="982" spans="1:45" ht="27.75" customHeight="1" x14ac:dyDescent="0.35">
      <c r="A982" s="15" t="s">
        <v>257</v>
      </c>
      <c r="B982" s="15" t="s">
        <v>257</v>
      </c>
      <c r="C982" s="15"/>
      <c r="D982" s="15"/>
      <c r="E982" s="16"/>
      <c r="F982" s="15" t="s">
        <v>257</v>
      </c>
      <c r="G982" s="32"/>
      <c r="H982" s="27"/>
      <c r="I982" s="27"/>
      <c r="J982" s="27"/>
      <c r="K982" s="23" t="str">
        <f ca="1">IFERROR(__xludf.DUMMYFUNCTION("""COMPUTED_VALUE"""),"")</f>
        <v/>
      </c>
      <c r="L982" s="22"/>
      <c r="M982" s="23"/>
      <c r="N982" s="23"/>
      <c r="O982" s="23"/>
      <c r="P982" s="23"/>
      <c r="Q982" s="24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2"/>
      <c r="AD982" s="23"/>
      <c r="AE982" s="23"/>
      <c r="AF982" s="22"/>
      <c r="AG982" s="22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</row>
    <row r="983" spans="1:45" ht="27.75" customHeight="1" x14ac:dyDescent="0.35">
      <c r="A983" s="15" t="s">
        <v>257</v>
      </c>
      <c r="B983" s="15" t="s">
        <v>257</v>
      </c>
      <c r="C983" s="15"/>
      <c r="D983" s="15"/>
      <c r="E983" s="16"/>
      <c r="F983" s="15" t="s">
        <v>257</v>
      </c>
      <c r="G983" s="32"/>
      <c r="H983" s="27"/>
      <c r="I983" s="27"/>
      <c r="J983" s="27"/>
      <c r="K983" s="23" t="str">
        <f ca="1">IFERROR(__xludf.DUMMYFUNCTION("""COMPUTED_VALUE"""),"")</f>
        <v/>
      </c>
      <c r="L983" s="22"/>
      <c r="M983" s="23"/>
      <c r="N983" s="23"/>
      <c r="O983" s="23"/>
      <c r="P983" s="23"/>
      <c r="Q983" s="24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2"/>
      <c r="AD983" s="23"/>
      <c r="AE983" s="23"/>
      <c r="AF983" s="22"/>
      <c r="AG983" s="22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</row>
    <row r="984" spans="1:45" ht="27.75" customHeight="1" x14ac:dyDescent="0.35">
      <c r="A984" s="15" t="s">
        <v>257</v>
      </c>
      <c r="B984" s="15" t="s">
        <v>257</v>
      </c>
      <c r="C984" s="15"/>
      <c r="D984" s="15"/>
      <c r="E984" s="16"/>
      <c r="F984" s="15" t="s">
        <v>257</v>
      </c>
      <c r="G984" s="32"/>
      <c r="H984" s="27"/>
      <c r="I984" s="27"/>
      <c r="J984" s="27"/>
      <c r="K984" s="23" t="str">
        <f ca="1">IFERROR(__xludf.DUMMYFUNCTION("""COMPUTED_VALUE"""),"")</f>
        <v/>
      </c>
      <c r="L984" s="22"/>
      <c r="M984" s="23"/>
      <c r="N984" s="23"/>
      <c r="O984" s="23"/>
      <c r="P984" s="23"/>
      <c r="Q984" s="24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2"/>
      <c r="AD984" s="23"/>
      <c r="AE984" s="23"/>
      <c r="AF984" s="22"/>
      <c r="AG984" s="22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</row>
    <row r="985" spans="1:45" ht="27.75" customHeight="1" x14ac:dyDescent="0.35">
      <c r="A985" s="15" t="s">
        <v>257</v>
      </c>
      <c r="B985" s="15" t="s">
        <v>257</v>
      </c>
      <c r="C985" s="15"/>
      <c r="D985" s="15"/>
      <c r="E985" s="16"/>
      <c r="F985" s="15" t="s">
        <v>257</v>
      </c>
      <c r="G985" s="32"/>
      <c r="H985" s="27"/>
      <c r="I985" s="27"/>
      <c r="J985" s="27"/>
      <c r="K985" s="23" t="str">
        <f ca="1">IFERROR(__xludf.DUMMYFUNCTION("""COMPUTED_VALUE"""),"")</f>
        <v/>
      </c>
      <c r="L985" s="22"/>
      <c r="M985" s="23"/>
      <c r="N985" s="23"/>
      <c r="O985" s="23"/>
      <c r="P985" s="23"/>
      <c r="Q985" s="24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2"/>
      <c r="AD985" s="23"/>
      <c r="AE985" s="23"/>
      <c r="AF985" s="22"/>
      <c r="AG985" s="22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</row>
    <row r="986" spans="1:45" ht="27.75" customHeight="1" x14ac:dyDescent="0.35">
      <c r="A986" s="15" t="s">
        <v>257</v>
      </c>
      <c r="B986" s="15" t="s">
        <v>257</v>
      </c>
      <c r="C986" s="15"/>
      <c r="D986" s="15"/>
      <c r="E986" s="16"/>
      <c r="F986" s="15" t="s">
        <v>257</v>
      </c>
      <c r="G986" s="32"/>
      <c r="H986" s="27"/>
      <c r="I986" s="27"/>
      <c r="J986" s="27"/>
      <c r="K986" s="23" t="str">
        <f ca="1">IFERROR(__xludf.DUMMYFUNCTION("""COMPUTED_VALUE"""),"")</f>
        <v/>
      </c>
      <c r="L986" s="22"/>
      <c r="M986" s="23"/>
      <c r="N986" s="23"/>
      <c r="O986" s="23"/>
      <c r="P986" s="23"/>
      <c r="Q986" s="24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2"/>
      <c r="AD986" s="23"/>
      <c r="AE986" s="23"/>
      <c r="AF986" s="22"/>
      <c r="AG986" s="22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</row>
    <row r="987" spans="1:45" ht="27.75" customHeight="1" x14ac:dyDescent="0.35">
      <c r="A987" s="15" t="s">
        <v>257</v>
      </c>
      <c r="B987" s="15" t="s">
        <v>257</v>
      </c>
      <c r="C987" s="15"/>
      <c r="D987" s="15"/>
      <c r="E987" s="16"/>
      <c r="F987" s="15" t="s">
        <v>257</v>
      </c>
      <c r="G987" s="32"/>
      <c r="H987" s="27"/>
      <c r="I987" s="27"/>
      <c r="J987" s="27"/>
      <c r="K987" s="23" t="str">
        <f ca="1">IFERROR(__xludf.DUMMYFUNCTION("""COMPUTED_VALUE"""),"")</f>
        <v/>
      </c>
      <c r="L987" s="22"/>
      <c r="M987" s="23"/>
      <c r="N987" s="23"/>
      <c r="O987" s="23"/>
      <c r="P987" s="23"/>
      <c r="Q987" s="24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2"/>
      <c r="AD987" s="23"/>
      <c r="AE987" s="23"/>
      <c r="AF987" s="22"/>
      <c r="AG987" s="22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</row>
    <row r="988" spans="1:45" ht="27.75" customHeight="1" x14ac:dyDescent="0.35">
      <c r="A988" s="15" t="s">
        <v>257</v>
      </c>
      <c r="B988" s="15" t="s">
        <v>257</v>
      </c>
      <c r="C988" s="15"/>
      <c r="D988" s="15"/>
      <c r="E988" s="16"/>
      <c r="F988" s="15" t="s">
        <v>257</v>
      </c>
      <c r="G988" s="32"/>
      <c r="H988" s="27"/>
      <c r="I988" s="27"/>
      <c r="J988" s="27"/>
      <c r="K988" s="23" t="str">
        <f ca="1">IFERROR(__xludf.DUMMYFUNCTION("""COMPUTED_VALUE"""),"")</f>
        <v/>
      </c>
      <c r="L988" s="22"/>
      <c r="M988" s="23"/>
      <c r="N988" s="23"/>
      <c r="O988" s="23"/>
      <c r="P988" s="23"/>
      <c r="Q988" s="24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2"/>
      <c r="AD988" s="23"/>
      <c r="AE988" s="23"/>
      <c r="AF988" s="22"/>
      <c r="AG988" s="22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</row>
    <row r="989" spans="1:45" ht="27.75" customHeight="1" x14ac:dyDescent="0.35">
      <c r="A989" s="15" t="s">
        <v>257</v>
      </c>
      <c r="B989" s="15" t="s">
        <v>257</v>
      </c>
      <c r="C989" s="15"/>
      <c r="D989" s="15"/>
      <c r="E989" s="16"/>
      <c r="F989" s="15" t="s">
        <v>257</v>
      </c>
      <c r="G989" s="32"/>
      <c r="H989" s="27"/>
      <c r="I989" s="27"/>
      <c r="J989" s="27"/>
      <c r="K989" s="23" t="str">
        <f ca="1">IFERROR(__xludf.DUMMYFUNCTION("""COMPUTED_VALUE"""),"")</f>
        <v/>
      </c>
      <c r="L989" s="22"/>
      <c r="M989" s="23"/>
      <c r="N989" s="23"/>
      <c r="O989" s="23"/>
      <c r="P989" s="23"/>
      <c r="Q989" s="24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2"/>
      <c r="AD989" s="23"/>
      <c r="AE989" s="23"/>
      <c r="AF989" s="22"/>
      <c r="AG989" s="22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</row>
    <row r="990" spans="1:45" ht="27.75" customHeight="1" x14ac:dyDescent="0.35">
      <c r="A990" s="15" t="s">
        <v>257</v>
      </c>
      <c r="B990" s="15" t="s">
        <v>257</v>
      </c>
      <c r="C990" s="15"/>
      <c r="D990" s="15"/>
      <c r="E990" s="16"/>
      <c r="F990" s="15" t="s">
        <v>257</v>
      </c>
      <c r="G990" s="32"/>
      <c r="H990" s="27"/>
      <c r="I990" s="27"/>
      <c r="J990" s="27"/>
      <c r="K990" s="23" t="str">
        <f ca="1">IFERROR(__xludf.DUMMYFUNCTION("""COMPUTED_VALUE"""),"")</f>
        <v/>
      </c>
      <c r="L990" s="22"/>
      <c r="M990" s="23"/>
      <c r="N990" s="23"/>
      <c r="O990" s="23"/>
      <c r="P990" s="23"/>
      <c r="Q990" s="24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2"/>
      <c r="AD990" s="23"/>
      <c r="AE990" s="23"/>
      <c r="AF990" s="22"/>
      <c r="AG990" s="22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</row>
    <row r="991" spans="1:45" ht="27.75" customHeight="1" x14ac:dyDescent="0.35">
      <c r="A991" s="15" t="s">
        <v>257</v>
      </c>
      <c r="B991" s="15" t="s">
        <v>257</v>
      </c>
      <c r="C991" s="15"/>
      <c r="D991" s="15"/>
      <c r="E991" s="16"/>
      <c r="F991" s="15" t="s">
        <v>257</v>
      </c>
      <c r="G991" s="32"/>
      <c r="H991" s="27"/>
      <c r="I991" s="27"/>
      <c r="J991" s="27"/>
      <c r="K991" s="23" t="str">
        <f ca="1">IFERROR(__xludf.DUMMYFUNCTION("""COMPUTED_VALUE"""),"")</f>
        <v/>
      </c>
      <c r="L991" s="22"/>
      <c r="M991" s="23"/>
      <c r="N991" s="23"/>
      <c r="O991" s="23"/>
      <c r="P991" s="23"/>
      <c r="Q991" s="24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2"/>
      <c r="AD991" s="23"/>
      <c r="AE991" s="23"/>
      <c r="AF991" s="22"/>
      <c r="AG991" s="22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</row>
    <row r="992" spans="1:45" ht="27.75" customHeight="1" x14ac:dyDescent="0.35">
      <c r="A992" s="15" t="s">
        <v>257</v>
      </c>
      <c r="B992" s="15" t="s">
        <v>257</v>
      </c>
      <c r="C992" s="15"/>
      <c r="D992" s="15"/>
      <c r="E992" s="16"/>
      <c r="F992" s="15" t="s">
        <v>257</v>
      </c>
      <c r="G992" s="32"/>
      <c r="H992" s="27"/>
      <c r="I992" s="27"/>
      <c r="J992" s="27"/>
      <c r="K992" s="23" t="str">
        <f ca="1">IFERROR(__xludf.DUMMYFUNCTION("""COMPUTED_VALUE"""),"")</f>
        <v/>
      </c>
      <c r="L992" s="22"/>
      <c r="M992" s="23"/>
      <c r="N992" s="23"/>
      <c r="O992" s="23"/>
      <c r="P992" s="23"/>
      <c r="Q992" s="24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2"/>
      <c r="AD992" s="23"/>
      <c r="AE992" s="23"/>
      <c r="AF992" s="22"/>
      <c r="AG992" s="22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</row>
    <row r="993" spans="1:45" ht="27.75" customHeight="1" x14ac:dyDescent="0.35">
      <c r="A993" s="15" t="s">
        <v>257</v>
      </c>
      <c r="B993" s="15" t="s">
        <v>257</v>
      </c>
      <c r="C993" s="15"/>
      <c r="D993" s="15"/>
      <c r="E993" s="16"/>
      <c r="F993" s="15" t="s">
        <v>257</v>
      </c>
      <c r="G993" s="32"/>
      <c r="H993" s="27"/>
      <c r="I993" s="27"/>
      <c r="J993" s="27"/>
      <c r="K993" s="23" t="str">
        <f ca="1">IFERROR(__xludf.DUMMYFUNCTION("""COMPUTED_VALUE"""),"")</f>
        <v/>
      </c>
      <c r="L993" s="22"/>
      <c r="M993" s="23"/>
      <c r="N993" s="23"/>
      <c r="O993" s="23"/>
      <c r="P993" s="23"/>
      <c r="Q993" s="24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2"/>
      <c r="AD993" s="23"/>
      <c r="AE993" s="23"/>
      <c r="AF993" s="22"/>
      <c r="AG993" s="22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</row>
    <row r="994" spans="1:45" ht="27.75" customHeight="1" x14ac:dyDescent="0.35">
      <c r="A994" s="15" t="s">
        <v>257</v>
      </c>
      <c r="B994" s="15" t="s">
        <v>257</v>
      </c>
      <c r="C994" s="15"/>
      <c r="D994" s="15"/>
      <c r="E994" s="16"/>
      <c r="F994" s="15" t="s">
        <v>257</v>
      </c>
      <c r="G994" s="32"/>
      <c r="H994" s="27"/>
      <c r="I994" s="27"/>
      <c r="J994" s="27"/>
      <c r="K994" s="23" t="str">
        <f ca="1">IFERROR(__xludf.DUMMYFUNCTION("""COMPUTED_VALUE"""),"")</f>
        <v/>
      </c>
      <c r="L994" s="22"/>
      <c r="M994" s="23"/>
      <c r="N994" s="23"/>
      <c r="O994" s="23"/>
      <c r="P994" s="23"/>
      <c r="Q994" s="24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2"/>
      <c r="AD994" s="23"/>
      <c r="AE994" s="23"/>
      <c r="AF994" s="22"/>
      <c r="AG994" s="22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</row>
    <row r="995" spans="1:45" ht="27.75" customHeight="1" x14ac:dyDescent="0.35">
      <c r="A995" s="15" t="s">
        <v>257</v>
      </c>
      <c r="B995" s="15" t="s">
        <v>257</v>
      </c>
      <c r="C995" s="15"/>
      <c r="D995" s="15"/>
      <c r="E995" s="16"/>
      <c r="F995" s="15" t="s">
        <v>257</v>
      </c>
      <c r="G995" s="32"/>
      <c r="H995" s="27"/>
      <c r="I995" s="27"/>
      <c r="J995" s="27"/>
      <c r="K995" s="23" t="str">
        <f ca="1">IFERROR(__xludf.DUMMYFUNCTION("""COMPUTED_VALUE"""),"")</f>
        <v/>
      </c>
      <c r="L995" s="22"/>
      <c r="M995" s="23"/>
      <c r="N995" s="23"/>
      <c r="O995" s="23"/>
      <c r="P995" s="23"/>
      <c r="Q995" s="24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2"/>
      <c r="AD995" s="23"/>
      <c r="AE995" s="23"/>
      <c r="AF995" s="22"/>
      <c r="AG995" s="22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</row>
    <row r="996" spans="1:45" ht="27.75" customHeight="1" x14ac:dyDescent="0.35">
      <c r="A996" s="15" t="s">
        <v>257</v>
      </c>
      <c r="B996" s="15" t="s">
        <v>257</v>
      </c>
      <c r="C996" s="15"/>
      <c r="D996" s="15"/>
      <c r="E996" s="16"/>
      <c r="F996" s="15" t="s">
        <v>257</v>
      </c>
      <c r="G996" s="32"/>
      <c r="H996" s="27"/>
      <c r="I996" s="27"/>
      <c r="J996" s="27"/>
      <c r="K996" s="23" t="str">
        <f ca="1">IFERROR(__xludf.DUMMYFUNCTION("""COMPUTED_VALUE"""),"")</f>
        <v/>
      </c>
      <c r="L996" s="22"/>
      <c r="M996" s="23"/>
      <c r="N996" s="23"/>
      <c r="O996" s="23"/>
      <c r="P996" s="23"/>
      <c r="Q996" s="24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2"/>
      <c r="AD996" s="23"/>
      <c r="AE996" s="23"/>
      <c r="AF996" s="22"/>
      <c r="AG996" s="22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</row>
    <row r="997" spans="1:45" ht="27.75" customHeight="1" x14ac:dyDescent="0.35">
      <c r="A997" s="15" t="s">
        <v>257</v>
      </c>
      <c r="B997" s="15" t="s">
        <v>257</v>
      </c>
      <c r="C997" s="15"/>
      <c r="D997" s="15"/>
      <c r="E997" s="16"/>
      <c r="F997" s="15" t="s">
        <v>257</v>
      </c>
      <c r="G997" s="32"/>
      <c r="H997" s="27"/>
      <c r="I997" s="27"/>
      <c r="J997" s="27"/>
      <c r="K997" s="23" t="str">
        <f ca="1">IFERROR(__xludf.DUMMYFUNCTION("""COMPUTED_VALUE"""),"")</f>
        <v/>
      </c>
      <c r="L997" s="22"/>
      <c r="M997" s="23"/>
      <c r="N997" s="23"/>
      <c r="O997" s="23"/>
      <c r="P997" s="23"/>
      <c r="Q997" s="24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2"/>
      <c r="AD997" s="23"/>
      <c r="AE997" s="23"/>
      <c r="AF997" s="22"/>
      <c r="AG997" s="22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</row>
    <row r="998" spans="1:45" ht="27.75" customHeight="1" x14ac:dyDescent="0.35">
      <c r="A998" s="15" t="s">
        <v>257</v>
      </c>
      <c r="B998" s="15" t="s">
        <v>257</v>
      </c>
      <c r="C998" s="15"/>
      <c r="D998" s="15"/>
      <c r="E998" s="16"/>
      <c r="F998" s="15" t="s">
        <v>257</v>
      </c>
      <c r="G998" s="32"/>
      <c r="H998" s="27"/>
      <c r="I998" s="27"/>
      <c r="J998" s="27"/>
      <c r="K998" s="23" t="str">
        <f ca="1">IFERROR(__xludf.DUMMYFUNCTION("""COMPUTED_VALUE"""),"")</f>
        <v/>
      </c>
      <c r="L998" s="22"/>
      <c r="M998" s="23"/>
      <c r="N998" s="23"/>
      <c r="O998" s="23"/>
      <c r="P998" s="23"/>
      <c r="Q998" s="24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2"/>
      <c r="AD998" s="23"/>
      <c r="AE998" s="23"/>
      <c r="AF998" s="22"/>
      <c r="AG998" s="22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</row>
    <row r="999" spans="1:45" ht="27.75" customHeight="1" x14ac:dyDescent="0.35">
      <c r="A999" s="15" t="s">
        <v>257</v>
      </c>
      <c r="B999" s="15" t="s">
        <v>257</v>
      </c>
      <c r="C999" s="15"/>
      <c r="D999" s="15"/>
      <c r="E999" s="16"/>
      <c r="F999" s="15" t="s">
        <v>257</v>
      </c>
      <c r="G999" s="32"/>
      <c r="H999" s="27"/>
      <c r="I999" s="27"/>
      <c r="J999" s="27"/>
      <c r="K999" s="23" t="str">
        <f ca="1">IFERROR(__xludf.DUMMYFUNCTION("""COMPUTED_VALUE"""),"")</f>
        <v/>
      </c>
      <c r="L999" s="22"/>
      <c r="M999" s="23"/>
      <c r="N999" s="23"/>
      <c r="O999" s="23"/>
      <c r="P999" s="23"/>
      <c r="Q999" s="24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2"/>
      <c r="AD999" s="23"/>
      <c r="AE999" s="23"/>
      <c r="AF999" s="22"/>
      <c r="AG999" s="22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</row>
    <row r="1000" spans="1:45" ht="27.75" customHeight="1" x14ac:dyDescent="0.35">
      <c r="A1000" s="15" t="s">
        <v>257</v>
      </c>
      <c r="B1000" s="15" t="s">
        <v>257</v>
      </c>
      <c r="C1000" s="15"/>
      <c r="D1000" s="15"/>
      <c r="E1000" s="16"/>
      <c r="F1000" s="15" t="s">
        <v>257</v>
      </c>
      <c r="G1000" s="32"/>
      <c r="H1000" s="27"/>
      <c r="I1000" s="27"/>
      <c r="J1000" s="27"/>
      <c r="K1000" s="23" t="str">
        <f ca="1">IFERROR(__xludf.DUMMYFUNCTION("""COMPUTED_VALUE"""),"")</f>
        <v/>
      </c>
      <c r="L1000" s="22"/>
      <c r="M1000" s="23"/>
      <c r="N1000" s="23"/>
      <c r="O1000" s="23"/>
      <c r="P1000" s="23"/>
      <c r="Q1000" s="24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2"/>
      <c r="AD1000" s="23"/>
      <c r="AE1000" s="23"/>
      <c r="AF1000" s="22"/>
      <c r="AG1000" s="22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</row>
    <row r="1001" spans="1:45" ht="27.75" customHeight="1" x14ac:dyDescent="0.35">
      <c r="A1001" s="15" t="s">
        <v>257</v>
      </c>
      <c r="B1001" s="15" t="s">
        <v>257</v>
      </c>
      <c r="C1001" s="15"/>
      <c r="D1001" s="15"/>
      <c r="E1001" s="16"/>
      <c r="F1001" s="15" t="s">
        <v>257</v>
      </c>
      <c r="G1001" s="32"/>
      <c r="H1001" s="27"/>
      <c r="I1001" s="27"/>
      <c r="J1001" s="27"/>
      <c r="K1001" s="23" t="str">
        <f ca="1">IFERROR(__xludf.DUMMYFUNCTION("""COMPUTED_VALUE"""),"")</f>
        <v/>
      </c>
      <c r="L1001" s="22"/>
      <c r="M1001" s="23"/>
      <c r="N1001" s="23"/>
      <c r="O1001" s="23"/>
      <c r="P1001" s="23"/>
      <c r="Q1001" s="24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2"/>
      <c r="AD1001" s="23"/>
      <c r="AE1001" s="23"/>
      <c r="AF1001" s="22"/>
      <c r="AG1001" s="22"/>
      <c r="AH1001" s="23"/>
      <c r="AI1001" s="23"/>
      <c r="AJ1001" s="23"/>
      <c r="AK1001" s="23"/>
      <c r="AL1001" s="23"/>
      <c r="AM1001" s="23"/>
      <c r="AN1001" s="23"/>
      <c r="AO1001" s="23"/>
      <c r="AP1001" s="23"/>
      <c r="AQ1001" s="23"/>
      <c r="AR1001" s="23"/>
      <c r="AS1001" s="23"/>
    </row>
    <row r="1002" spans="1:45" ht="27.75" customHeight="1" x14ac:dyDescent="0.35">
      <c r="A1002" s="15" t="s">
        <v>257</v>
      </c>
      <c r="B1002" s="15" t="s">
        <v>257</v>
      </c>
      <c r="C1002" s="15"/>
      <c r="D1002" s="15"/>
      <c r="E1002" s="16"/>
      <c r="F1002" s="15" t="s">
        <v>257</v>
      </c>
      <c r="G1002" s="32"/>
      <c r="H1002" s="27"/>
      <c r="I1002" s="27"/>
      <c r="J1002" s="27"/>
      <c r="K1002" s="23" t="str">
        <f ca="1">IFERROR(__xludf.DUMMYFUNCTION("""COMPUTED_VALUE"""),"")</f>
        <v/>
      </c>
      <c r="L1002" s="22"/>
      <c r="M1002" s="23"/>
      <c r="N1002" s="23"/>
      <c r="O1002" s="23"/>
      <c r="P1002" s="23"/>
      <c r="Q1002" s="24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2"/>
      <c r="AD1002" s="23"/>
      <c r="AE1002" s="23"/>
      <c r="AF1002" s="22"/>
      <c r="AG1002" s="22"/>
      <c r="AH1002" s="23"/>
      <c r="AI1002" s="23"/>
      <c r="AJ1002" s="23"/>
      <c r="AK1002" s="23"/>
      <c r="AL1002" s="23"/>
      <c r="AM1002" s="23"/>
      <c r="AN1002" s="23"/>
      <c r="AO1002" s="23"/>
      <c r="AP1002" s="23"/>
      <c r="AQ1002" s="23"/>
      <c r="AR1002" s="23"/>
      <c r="AS1002" s="23"/>
    </row>
    <row r="1003" spans="1:45" ht="27.75" customHeight="1" x14ac:dyDescent="0.35">
      <c r="A1003" s="15" t="s">
        <v>257</v>
      </c>
      <c r="B1003" s="15" t="s">
        <v>257</v>
      </c>
      <c r="C1003" s="15"/>
      <c r="D1003" s="15"/>
      <c r="E1003" s="16"/>
      <c r="F1003" s="15" t="s">
        <v>257</v>
      </c>
      <c r="G1003" s="32"/>
      <c r="H1003" s="27"/>
      <c r="I1003" s="27"/>
      <c r="J1003" s="27"/>
      <c r="K1003" s="23" t="str">
        <f ca="1">IFERROR(__xludf.DUMMYFUNCTION("""COMPUTED_VALUE"""),"")</f>
        <v/>
      </c>
      <c r="L1003" s="22"/>
      <c r="M1003" s="23"/>
      <c r="N1003" s="23"/>
      <c r="O1003" s="23"/>
      <c r="P1003" s="23"/>
      <c r="Q1003" s="24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2"/>
      <c r="AD1003" s="23"/>
      <c r="AE1003" s="23"/>
      <c r="AF1003" s="22"/>
      <c r="AG1003" s="22"/>
      <c r="AH1003" s="23"/>
      <c r="AI1003" s="23"/>
      <c r="AJ1003" s="23"/>
      <c r="AK1003" s="23"/>
      <c r="AL1003" s="23"/>
      <c r="AM1003" s="23"/>
      <c r="AN1003" s="23"/>
      <c r="AO1003" s="23"/>
      <c r="AP1003" s="23"/>
      <c r="AQ1003" s="23"/>
      <c r="AR1003" s="23"/>
      <c r="AS1003" s="23"/>
    </row>
    <row r="1004" spans="1:45" ht="27.75" customHeight="1" x14ac:dyDescent="0.35">
      <c r="A1004" s="15" t="s">
        <v>257</v>
      </c>
      <c r="B1004" s="15" t="s">
        <v>257</v>
      </c>
      <c r="C1004" s="15"/>
      <c r="D1004" s="15"/>
      <c r="E1004" s="16"/>
      <c r="F1004" s="15" t="s">
        <v>257</v>
      </c>
      <c r="G1004" s="32"/>
      <c r="H1004" s="27"/>
      <c r="I1004" s="27"/>
      <c r="J1004" s="27"/>
      <c r="K1004" s="23" t="str">
        <f ca="1">IFERROR(__xludf.DUMMYFUNCTION("""COMPUTED_VALUE"""),"")</f>
        <v/>
      </c>
      <c r="L1004" s="22"/>
      <c r="M1004" s="23"/>
      <c r="N1004" s="23"/>
      <c r="O1004" s="23"/>
      <c r="P1004" s="23"/>
      <c r="Q1004" s="24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2"/>
      <c r="AD1004" s="23"/>
      <c r="AE1004" s="23"/>
      <c r="AF1004" s="22"/>
      <c r="AG1004" s="22"/>
      <c r="AH1004" s="23"/>
      <c r="AI1004" s="23"/>
      <c r="AJ1004" s="23"/>
      <c r="AK1004" s="23"/>
      <c r="AL1004" s="23"/>
      <c r="AM1004" s="23"/>
      <c r="AN1004" s="23"/>
      <c r="AO1004" s="23"/>
      <c r="AP1004" s="23"/>
      <c r="AQ1004" s="23"/>
      <c r="AR1004" s="23"/>
      <c r="AS1004" s="23"/>
    </row>
    <row r="1005" spans="1:45" ht="27.75" customHeight="1" x14ac:dyDescent="0.35">
      <c r="A1005" s="15" t="s">
        <v>257</v>
      </c>
      <c r="B1005" s="15" t="s">
        <v>257</v>
      </c>
      <c r="C1005" s="15"/>
      <c r="D1005" s="15"/>
      <c r="E1005" s="16"/>
      <c r="F1005" s="15" t="s">
        <v>257</v>
      </c>
      <c r="G1005" s="32"/>
      <c r="H1005" s="27"/>
      <c r="I1005" s="27"/>
      <c r="J1005" s="27"/>
      <c r="K1005" s="23" t="str">
        <f ca="1">IFERROR(__xludf.DUMMYFUNCTION("""COMPUTED_VALUE"""),"")</f>
        <v/>
      </c>
      <c r="L1005" s="22"/>
      <c r="M1005" s="23"/>
      <c r="N1005" s="23"/>
      <c r="O1005" s="23"/>
      <c r="P1005" s="23"/>
      <c r="Q1005" s="24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2"/>
      <c r="AD1005" s="23"/>
      <c r="AE1005" s="23"/>
      <c r="AF1005" s="22"/>
      <c r="AG1005" s="22"/>
      <c r="AH1005" s="23"/>
      <c r="AI1005" s="23"/>
      <c r="AJ1005" s="23"/>
      <c r="AK1005" s="23"/>
      <c r="AL1005" s="23"/>
      <c r="AM1005" s="23"/>
      <c r="AN1005" s="23"/>
      <c r="AO1005" s="23"/>
      <c r="AP1005" s="23"/>
      <c r="AQ1005" s="23"/>
      <c r="AR1005" s="23"/>
      <c r="AS1005" s="23"/>
    </row>
    <row r="1006" spans="1:45" ht="27.75" customHeight="1" x14ac:dyDescent="0.35">
      <c r="A1006" s="15" t="s">
        <v>257</v>
      </c>
      <c r="B1006" s="15" t="s">
        <v>257</v>
      </c>
      <c r="C1006" s="15"/>
      <c r="D1006" s="15"/>
      <c r="E1006" s="16"/>
      <c r="F1006" s="15" t="s">
        <v>257</v>
      </c>
      <c r="G1006" s="32"/>
      <c r="H1006" s="27"/>
      <c r="I1006" s="27"/>
      <c r="J1006" s="27"/>
      <c r="K1006" s="23" t="str">
        <f ca="1">IFERROR(__xludf.DUMMYFUNCTION("""COMPUTED_VALUE"""),"")</f>
        <v/>
      </c>
      <c r="L1006" s="22"/>
      <c r="M1006" s="23"/>
      <c r="N1006" s="23"/>
      <c r="O1006" s="23"/>
      <c r="P1006" s="23"/>
      <c r="Q1006" s="24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2"/>
      <c r="AD1006" s="23"/>
      <c r="AE1006" s="23"/>
      <c r="AF1006" s="22"/>
      <c r="AG1006" s="22"/>
      <c r="AH1006" s="23"/>
      <c r="AI1006" s="23"/>
      <c r="AJ1006" s="23"/>
      <c r="AK1006" s="23"/>
      <c r="AL1006" s="23"/>
      <c r="AM1006" s="23"/>
      <c r="AN1006" s="23"/>
      <c r="AO1006" s="23"/>
      <c r="AP1006" s="23"/>
      <c r="AQ1006" s="23"/>
      <c r="AR1006" s="23"/>
      <c r="AS1006" s="23"/>
    </row>
  </sheetData>
  <mergeCells count="1">
    <mergeCell ref="C7:F7"/>
  </mergeCells>
  <phoneticPr fontId="18"/>
  <conditionalFormatting sqref="L8:AS1006">
    <cfRule type="cellIs" dxfId="8" priority="1" operator="lessThanOrEqual">
      <formula>-0.5</formula>
    </cfRule>
  </conditionalFormatting>
  <conditionalFormatting sqref="L8:AS1006">
    <cfRule type="cellIs" dxfId="7" priority="2" operator="between">
      <formula>-0.5</formula>
      <formula>0</formula>
    </cfRule>
  </conditionalFormatting>
  <conditionalFormatting sqref="L8:AS1006">
    <cfRule type="cellIs" dxfId="6" priority="3" operator="between">
      <formula>0</formula>
      <formula>0.5</formula>
    </cfRule>
  </conditionalFormatting>
  <conditionalFormatting sqref="L8:AS1006">
    <cfRule type="cellIs" dxfId="5" priority="4" operator="between">
      <formula>0.5</formula>
      <formula>1</formula>
    </cfRule>
  </conditionalFormatting>
  <conditionalFormatting sqref="L8:AS1006">
    <cfRule type="cellIs" dxfId="4" priority="5" operator="between">
      <formula>1</formula>
      <formula>2</formula>
    </cfRule>
  </conditionalFormatting>
  <conditionalFormatting sqref="L8:AS1006">
    <cfRule type="cellIs" dxfId="3" priority="6" operator="greaterThanOrEqual">
      <formula>2</formula>
    </cfRule>
  </conditionalFormatting>
  <conditionalFormatting sqref="G9:G1006">
    <cfRule type="cellIs" dxfId="2" priority="7" operator="greaterThanOrEqual">
      <formula>0</formula>
    </cfRule>
  </conditionalFormatting>
  <conditionalFormatting sqref="G9:G1006">
    <cfRule type="cellIs" dxfId="1" priority="8" operator="equal">
      <formula>-1</formula>
    </cfRule>
  </conditionalFormatting>
  <conditionalFormatting sqref="G9:G1006">
    <cfRule type="containsBlanks" dxfId="0" priority="9">
      <formula>LEN(TRIM(G9))=0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34"/>
  <sheetViews>
    <sheetView workbookViewId="0"/>
  </sheetViews>
  <sheetFormatPr defaultColWidth="12.59765625" defaultRowHeight="15.75" customHeight="1" x14ac:dyDescent="0.35"/>
  <cols>
    <col min="1" max="1" width="6.73046875" customWidth="1"/>
    <col min="2" max="2" width="3.73046875" customWidth="1"/>
    <col min="3" max="3" width="10.265625" customWidth="1"/>
    <col min="4" max="50" width="5.73046875" customWidth="1"/>
  </cols>
  <sheetData>
    <row r="1" spans="1:22" ht="15.75" customHeight="1" x14ac:dyDescent="0.7">
      <c r="A1" s="47" t="str">
        <f ca="1">IFERROR(__xludf.DUMMYFUNCTION("QUERY('暫定シフト表'!A8:I908,""select A,B, D,count(D) where H is not null and H MATCHES '^(""&amp; JOIN(""|"",'オンコール名簿'!A2:A30)&amp;"")$' group by A, B ,D pivot H order by A desc, B desc"",1)"),"")</f>
        <v/>
      </c>
      <c r="B1" s="2" t="str">
        <f ca="1">IFERROR(__xludf.DUMMYFUNCTION("""COMPUTED_VALUE"""),"")</f>
        <v/>
      </c>
      <c r="C1" s="2" t="str">
        <f ca="1">IFERROR(__xludf.DUMMYFUNCTION("""COMPUTED_VALUE"""),"シフト種類")</f>
        <v>シフト種類</v>
      </c>
      <c r="D1" s="2" t="str">
        <f ca="1">IFERROR(__xludf.DUMMYFUNCTION("""COMPUTED_VALUE"""),"中瀬")</f>
        <v>中瀬</v>
      </c>
      <c r="E1" s="2" t="str">
        <f ca="1">IFERROR(__xludf.DUMMYFUNCTION("""COMPUTED_VALUE"""),"井上")</f>
        <v>井上</v>
      </c>
      <c r="F1" s="2" t="str">
        <f ca="1">IFERROR(__xludf.DUMMYFUNCTION("""COMPUTED_VALUE"""),"伊藤")</f>
        <v>伊藤</v>
      </c>
      <c r="G1" s="2" t="str">
        <f ca="1">IFERROR(__xludf.DUMMYFUNCTION("""COMPUTED_VALUE"""),"佐藤")</f>
        <v>佐藤</v>
      </c>
      <c r="H1" s="2" t="str">
        <f ca="1">IFERROR(__xludf.DUMMYFUNCTION("""COMPUTED_VALUE"""),"勝俣")</f>
        <v>勝俣</v>
      </c>
      <c r="I1" s="2" t="str">
        <f ca="1">IFERROR(__xludf.DUMMYFUNCTION("""COMPUTED_VALUE"""),"吉田")</f>
        <v>吉田</v>
      </c>
      <c r="J1" s="2" t="str">
        <f ca="1">IFERROR(__xludf.DUMMYFUNCTION("""COMPUTED_VALUE"""),"太良")</f>
        <v>太良</v>
      </c>
      <c r="K1" s="2" t="str">
        <f ca="1">IFERROR(__xludf.DUMMYFUNCTION("""COMPUTED_VALUE"""),"宗")</f>
        <v>宗</v>
      </c>
      <c r="L1" s="2" t="str">
        <f ca="1">IFERROR(__xludf.DUMMYFUNCTION("""COMPUTED_VALUE"""),"宮坂")</f>
        <v>宮坂</v>
      </c>
      <c r="M1" s="2" t="str">
        <f ca="1">IFERROR(__xludf.DUMMYFUNCTION("""COMPUTED_VALUE"""),"尾田")</f>
        <v>尾田</v>
      </c>
      <c r="N1" s="2" t="str">
        <f ca="1">IFERROR(__xludf.DUMMYFUNCTION("""COMPUTED_VALUE"""),"山口")</f>
        <v>山口</v>
      </c>
      <c r="O1" s="2" t="str">
        <f ca="1">IFERROR(__xludf.DUMMYFUNCTION("""COMPUTED_VALUE"""),"新美")</f>
        <v>新美</v>
      </c>
      <c r="P1" s="2" t="str">
        <f ca="1">IFERROR(__xludf.DUMMYFUNCTION("""COMPUTED_VALUE"""),"林哲")</f>
        <v>林哲</v>
      </c>
      <c r="Q1" s="2" t="str">
        <f ca="1">IFERROR(__xludf.DUMMYFUNCTION("""COMPUTED_VALUE"""),"林智")</f>
        <v>林智</v>
      </c>
      <c r="R1" s="2" t="str">
        <f ca="1">IFERROR(__xludf.DUMMYFUNCTION("""COMPUTED_VALUE"""),"福井")</f>
        <v>福井</v>
      </c>
      <c r="S1" s="2" t="str">
        <f ca="1">IFERROR(__xludf.DUMMYFUNCTION("""COMPUTED_VALUE"""),"竹藤")</f>
        <v>竹藤</v>
      </c>
      <c r="T1" s="2" t="str">
        <f ca="1">IFERROR(__xludf.DUMMYFUNCTION("""COMPUTED_VALUE"""),"菊野")</f>
        <v>菊野</v>
      </c>
      <c r="U1" s="2" t="str">
        <f ca="1">IFERROR(__xludf.DUMMYFUNCTION("""COMPUTED_VALUE"""),"西谷")</f>
        <v>西谷</v>
      </c>
      <c r="V1" s="2" t="str">
        <f ca="1">IFERROR(__xludf.DUMMYFUNCTION("""COMPUTED_VALUE"""),"高口")</f>
        <v>高口</v>
      </c>
    </row>
    <row r="2" spans="1:22" x14ac:dyDescent="0.35">
      <c r="A2" s="2" t="str">
        <f ca="1">IFERROR(__xludf.DUMMYFUNCTION("""COMPUTED_VALUE"""),"2023")</f>
        <v>2023</v>
      </c>
      <c r="B2" s="2" t="str">
        <f ca="1">IFERROR(__xludf.DUMMYFUNCTION("""COMPUTED_VALUE"""),"03")</f>
        <v>03</v>
      </c>
      <c r="C2" s="2" t="str">
        <f ca="1">IFERROR(__xludf.DUMMYFUNCTION("""COMPUTED_VALUE"""),"休日午前")</f>
        <v>休日午前</v>
      </c>
      <c r="D2" s="2">
        <f ca="1">IFERROR(__xludf.DUMMYFUNCTION("""COMPUTED_VALUE"""),1)</f>
        <v>1</v>
      </c>
      <c r="E2" s="2"/>
      <c r="F2" s="2">
        <f ca="1">IFERROR(__xludf.DUMMYFUNCTION("""COMPUTED_VALUE"""),2)</f>
        <v>2</v>
      </c>
      <c r="G2" s="2">
        <f ca="1">IFERROR(__xludf.DUMMYFUNCTION("""COMPUTED_VALUE"""),1)</f>
        <v>1</v>
      </c>
      <c r="H2" s="2"/>
      <c r="I2" s="2"/>
      <c r="J2" s="2"/>
      <c r="K2" s="2">
        <f ca="1">IFERROR(__xludf.DUMMYFUNCTION("""COMPUTED_VALUE"""),1)</f>
        <v>1</v>
      </c>
      <c r="L2" s="2"/>
      <c r="M2" s="2"/>
      <c r="N2" s="2">
        <f ca="1">IFERROR(__xludf.DUMMYFUNCTION("""COMPUTED_VALUE"""),1)</f>
        <v>1</v>
      </c>
      <c r="O2" s="2"/>
      <c r="P2" s="2"/>
      <c r="Q2" s="2"/>
      <c r="R2" s="2">
        <f ca="1">IFERROR(__xludf.DUMMYFUNCTION("""COMPUTED_VALUE"""),1)</f>
        <v>1</v>
      </c>
      <c r="S2" s="2">
        <f ca="1">IFERROR(__xludf.DUMMYFUNCTION("""COMPUTED_VALUE"""),1)</f>
        <v>1</v>
      </c>
      <c r="T2" s="2"/>
      <c r="U2" s="2">
        <f ca="1">IFERROR(__xludf.DUMMYFUNCTION("""COMPUTED_VALUE"""),1)</f>
        <v>1</v>
      </c>
      <c r="V2" s="2"/>
    </row>
    <row r="3" spans="1:22" x14ac:dyDescent="0.35">
      <c r="A3" s="2" t="str">
        <f ca="1">IFERROR(__xludf.DUMMYFUNCTION("""COMPUTED_VALUE"""),"2023")</f>
        <v>2023</v>
      </c>
      <c r="B3" s="2" t="str">
        <f ca="1">IFERROR(__xludf.DUMMYFUNCTION("""COMPUTED_VALUE"""),"03")</f>
        <v>03</v>
      </c>
      <c r="C3" s="2" t="str">
        <f ca="1">IFERROR(__xludf.DUMMYFUNCTION("""COMPUTED_VALUE"""),"休日午後")</f>
        <v>休日午後</v>
      </c>
      <c r="D3" s="2">
        <f ca="1">IFERROR(__xludf.DUMMYFUNCTION("""COMPUTED_VALUE"""),1)</f>
        <v>1</v>
      </c>
      <c r="E3" s="2">
        <f ca="1">IFERROR(__xludf.DUMMYFUNCTION("""COMPUTED_VALUE"""),1)</f>
        <v>1</v>
      </c>
      <c r="F3" s="2"/>
      <c r="G3" s="2"/>
      <c r="H3" s="2">
        <f ca="1">IFERROR(__xludf.DUMMYFUNCTION("""COMPUTED_VALUE"""),1)</f>
        <v>1</v>
      </c>
      <c r="I3" s="2"/>
      <c r="J3" s="2">
        <f ca="1">IFERROR(__xludf.DUMMYFUNCTION("""COMPUTED_VALUE"""),1)</f>
        <v>1</v>
      </c>
      <c r="K3" s="2">
        <f ca="1">IFERROR(__xludf.DUMMYFUNCTION("""COMPUTED_VALUE"""),1)</f>
        <v>1</v>
      </c>
      <c r="L3" s="2">
        <f ca="1">IFERROR(__xludf.DUMMYFUNCTION("""COMPUTED_VALUE"""),1)</f>
        <v>1</v>
      </c>
      <c r="M3" s="2"/>
      <c r="N3" s="2"/>
      <c r="O3" s="2"/>
      <c r="P3" s="2">
        <f ca="1">IFERROR(__xludf.DUMMYFUNCTION("""COMPUTED_VALUE"""),1)</f>
        <v>1</v>
      </c>
      <c r="Q3" s="2"/>
      <c r="R3" s="2"/>
      <c r="S3" s="2"/>
      <c r="T3" s="2">
        <f ca="1">IFERROR(__xludf.DUMMYFUNCTION("""COMPUTED_VALUE"""),1)</f>
        <v>1</v>
      </c>
      <c r="U3" s="2"/>
      <c r="V3" s="2">
        <f ca="1">IFERROR(__xludf.DUMMYFUNCTION("""COMPUTED_VALUE"""),1)</f>
        <v>1</v>
      </c>
    </row>
    <row r="4" spans="1:22" x14ac:dyDescent="0.35">
      <c r="A4" s="2" t="str">
        <f ca="1">IFERROR(__xludf.DUMMYFUNCTION("""COMPUTED_VALUE"""),"2023")</f>
        <v>2023</v>
      </c>
      <c r="B4" s="2" t="str">
        <f ca="1">IFERROR(__xludf.DUMMYFUNCTION("""COMPUTED_VALUE"""),"03")</f>
        <v>03</v>
      </c>
      <c r="C4" s="2" t="str">
        <f ca="1">IFERROR(__xludf.DUMMYFUNCTION("""COMPUTED_VALUE"""),"平日夜間")</f>
        <v>平日夜間</v>
      </c>
      <c r="D4" s="2"/>
      <c r="E4" s="2">
        <f ca="1">IFERROR(__xludf.DUMMYFUNCTION("""COMPUTED_VALUE"""),4)</f>
        <v>4</v>
      </c>
      <c r="F4" s="2"/>
      <c r="G4" s="2">
        <f ca="1">IFERROR(__xludf.DUMMYFUNCTION("""COMPUTED_VALUE"""),2)</f>
        <v>2</v>
      </c>
      <c r="H4" s="2">
        <f ca="1">IFERROR(__xludf.DUMMYFUNCTION("""COMPUTED_VALUE"""),2)</f>
        <v>2</v>
      </c>
      <c r="I4" s="2">
        <f ca="1">IFERROR(__xludf.DUMMYFUNCTION("""COMPUTED_VALUE"""),2)</f>
        <v>2</v>
      </c>
      <c r="J4" s="2"/>
      <c r="K4" s="2">
        <f ca="1">IFERROR(__xludf.DUMMYFUNCTION("""COMPUTED_VALUE"""),1)</f>
        <v>1</v>
      </c>
      <c r="L4" s="2">
        <f ca="1">IFERROR(__xludf.DUMMYFUNCTION("""COMPUTED_VALUE"""),1)</f>
        <v>1</v>
      </c>
      <c r="M4" s="2">
        <f ca="1">IFERROR(__xludf.DUMMYFUNCTION("""COMPUTED_VALUE"""),1)</f>
        <v>1</v>
      </c>
      <c r="N4" s="2">
        <f ca="1">IFERROR(__xludf.DUMMYFUNCTION("""COMPUTED_VALUE"""),2)</f>
        <v>2</v>
      </c>
      <c r="O4" s="2">
        <f ca="1">IFERROR(__xludf.DUMMYFUNCTION("""COMPUTED_VALUE"""),1)</f>
        <v>1</v>
      </c>
      <c r="P4" s="2"/>
      <c r="Q4" s="2">
        <f ca="1">IFERROR(__xludf.DUMMYFUNCTION("""COMPUTED_VALUE"""),2)</f>
        <v>2</v>
      </c>
      <c r="R4" s="2">
        <f ca="1">IFERROR(__xludf.DUMMYFUNCTION("""COMPUTED_VALUE"""),1)</f>
        <v>1</v>
      </c>
      <c r="S4" s="2"/>
      <c r="T4" s="2">
        <f ca="1">IFERROR(__xludf.DUMMYFUNCTION("""COMPUTED_VALUE"""),1)</f>
        <v>1</v>
      </c>
      <c r="U4" s="2">
        <f ca="1">IFERROR(__xludf.DUMMYFUNCTION("""COMPUTED_VALUE"""),1)</f>
        <v>1</v>
      </c>
      <c r="V4" s="2">
        <f ca="1">IFERROR(__xludf.DUMMYFUNCTION("""COMPUTED_VALUE"""),1)</f>
        <v>1</v>
      </c>
    </row>
    <row r="5" spans="1:22" x14ac:dyDescent="0.35">
      <c r="A5" s="2" t="str">
        <f ca="1">IFERROR(__xludf.DUMMYFUNCTION("""COMPUTED_VALUE"""),"2023")</f>
        <v>2023</v>
      </c>
      <c r="B5" s="2" t="str">
        <f ca="1">IFERROR(__xludf.DUMMYFUNCTION("""COMPUTED_VALUE"""),"02")</f>
        <v>02</v>
      </c>
      <c r="C5" s="2" t="str">
        <f ca="1">IFERROR(__xludf.DUMMYFUNCTION("""COMPUTED_VALUE"""),"休日午前")</f>
        <v>休日午前</v>
      </c>
      <c r="D5" s="2">
        <f ca="1">IFERROR(__xludf.DUMMYFUNCTION("""COMPUTED_VALUE"""),2)</f>
        <v>2</v>
      </c>
      <c r="E5" s="2">
        <f ca="1">IFERROR(__xludf.DUMMYFUNCTION("""COMPUTED_VALUE"""),1)</f>
        <v>1</v>
      </c>
      <c r="F5" s="2"/>
      <c r="G5" s="2">
        <f ca="1">IFERROR(__xludf.DUMMYFUNCTION("""COMPUTED_VALUE"""),1)</f>
        <v>1</v>
      </c>
      <c r="H5" s="2">
        <f ca="1">IFERROR(__xludf.DUMMYFUNCTION("""COMPUTED_VALUE"""),1)</f>
        <v>1</v>
      </c>
      <c r="I5" s="2">
        <f ca="1">IFERROR(__xludf.DUMMYFUNCTION("""COMPUTED_VALUE"""),1)</f>
        <v>1</v>
      </c>
      <c r="J5" s="2">
        <f ca="1">IFERROR(__xludf.DUMMYFUNCTION("""COMPUTED_VALUE"""),1)</f>
        <v>1</v>
      </c>
      <c r="K5" s="2"/>
      <c r="L5" s="2">
        <f ca="1">IFERROR(__xludf.DUMMYFUNCTION("""COMPUTED_VALUE"""),1)</f>
        <v>1</v>
      </c>
      <c r="M5" s="2"/>
      <c r="N5" s="2"/>
      <c r="O5" s="2"/>
      <c r="P5" s="2"/>
      <c r="Q5" s="2"/>
      <c r="R5" s="2"/>
      <c r="S5" s="2"/>
      <c r="T5" s="2"/>
      <c r="U5" s="2">
        <f ca="1">IFERROR(__xludf.DUMMYFUNCTION("""COMPUTED_VALUE"""),1)</f>
        <v>1</v>
      </c>
      <c r="V5" s="2"/>
    </row>
    <row r="6" spans="1:22" x14ac:dyDescent="0.35">
      <c r="A6" s="2" t="str">
        <f ca="1">IFERROR(__xludf.DUMMYFUNCTION("""COMPUTED_VALUE"""),"2023")</f>
        <v>2023</v>
      </c>
      <c r="B6" s="2" t="str">
        <f ca="1">IFERROR(__xludf.DUMMYFUNCTION("""COMPUTED_VALUE"""),"02")</f>
        <v>02</v>
      </c>
      <c r="C6" s="2" t="str">
        <f ca="1">IFERROR(__xludf.DUMMYFUNCTION("""COMPUTED_VALUE"""),"休日午後")</f>
        <v>休日午後</v>
      </c>
      <c r="D6" s="2"/>
      <c r="E6" s="2"/>
      <c r="F6" s="2">
        <f ca="1">IFERROR(__xludf.DUMMYFUNCTION("""COMPUTED_VALUE"""),1)</f>
        <v>1</v>
      </c>
      <c r="G6" s="2"/>
      <c r="H6" s="2"/>
      <c r="I6" s="2">
        <f ca="1">IFERROR(__xludf.DUMMYFUNCTION("""COMPUTED_VALUE"""),1)</f>
        <v>1</v>
      </c>
      <c r="J6" s="2"/>
      <c r="K6" s="2">
        <f ca="1">IFERROR(__xludf.DUMMYFUNCTION("""COMPUTED_VALUE"""),1)</f>
        <v>1</v>
      </c>
      <c r="L6" s="2"/>
      <c r="M6" s="2"/>
      <c r="N6" s="2"/>
      <c r="O6" s="2"/>
      <c r="P6" s="2">
        <f ca="1">IFERROR(__xludf.DUMMYFUNCTION("""COMPUTED_VALUE"""),1)</f>
        <v>1</v>
      </c>
      <c r="Q6" s="2"/>
      <c r="R6" s="2">
        <f ca="1">IFERROR(__xludf.DUMMYFUNCTION("""COMPUTED_VALUE"""),2)</f>
        <v>2</v>
      </c>
      <c r="S6" s="2">
        <f ca="1">IFERROR(__xludf.DUMMYFUNCTION("""COMPUTED_VALUE"""),2)</f>
        <v>2</v>
      </c>
      <c r="T6" s="2">
        <f ca="1">IFERROR(__xludf.DUMMYFUNCTION("""COMPUTED_VALUE"""),1)</f>
        <v>1</v>
      </c>
      <c r="U6" s="2"/>
      <c r="V6" s="2"/>
    </row>
    <row r="7" spans="1:22" x14ac:dyDescent="0.35">
      <c r="A7" s="2" t="str">
        <f ca="1">IFERROR(__xludf.DUMMYFUNCTION("""COMPUTED_VALUE"""),"2023")</f>
        <v>2023</v>
      </c>
      <c r="B7" s="2" t="str">
        <f ca="1">IFERROR(__xludf.DUMMYFUNCTION("""COMPUTED_VALUE"""),"02")</f>
        <v>02</v>
      </c>
      <c r="C7" s="2" t="str">
        <f ca="1">IFERROR(__xludf.DUMMYFUNCTION("""COMPUTED_VALUE"""),"平日夜間")</f>
        <v>平日夜間</v>
      </c>
      <c r="D7" s="2"/>
      <c r="E7" s="2">
        <f ca="1">IFERROR(__xludf.DUMMYFUNCTION("""COMPUTED_VALUE"""),2)</f>
        <v>2</v>
      </c>
      <c r="F7" s="2">
        <f ca="1">IFERROR(__xludf.DUMMYFUNCTION("""COMPUTED_VALUE"""),1)</f>
        <v>1</v>
      </c>
      <c r="G7" s="2">
        <f ca="1">IFERROR(__xludf.DUMMYFUNCTION("""COMPUTED_VALUE"""),1)</f>
        <v>1</v>
      </c>
      <c r="H7" s="2"/>
      <c r="I7" s="2"/>
      <c r="J7" s="2"/>
      <c r="K7" s="2">
        <f ca="1">IFERROR(__xludf.DUMMYFUNCTION("""COMPUTED_VALUE"""),1)</f>
        <v>1</v>
      </c>
      <c r="L7" s="2">
        <f ca="1">IFERROR(__xludf.DUMMYFUNCTION("""COMPUTED_VALUE"""),2)</f>
        <v>2</v>
      </c>
      <c r="M7" s="2">
        <f ca="1">IFERROR(__xludf.DUMMYFUNCTION("""COMPUTED_VALUE"""),1)</f>
        <v>1</v>
      </c>
      <c r="N7" s="2">
        <f ca="1">IFERROR(__xludf.DUMMYFUNCTION("""COMPUTED_VALUE"""),2)</f>
        <v>2</v>
      </c>
      <c r="O7" s="2">
        <f ca="1">IFERROR(__xludf.DUMMYFUNCTION("""COMPUTED_VALUE"""),2)</f>
        <v>2</v>
      </c>
      <c r="P7" s="2"/>
      <c r="Q7" s="2">
        <f ca="1">IFERROR(__xludf.DUMMYFUNCTION("""COMPUTED_VALUE"""),1)</f>
        <v>1</v>
      </c>
      <c r="R7" s="2">
        <f ca="1">IFERROR(__xludf.DUMMYFUNCTION("""COMPUTED_VALUE"""),2)</f>
        <v>2</v>
      </c>
      <c r="S7" s="2">
        <f ca="1">IFERROR(__xludf.DUMMYFUNCTION("""COMPUTED_VALUE"""),1)</f>
        <v>1</v>
      </c>
      <c r="T7" s="2">
        <f ca="1">IFERROR(__xludf.DUMMYFUNCTION("""COMPUTED_VALUE"""),1)</f>
        <v>1</v>
      </c>
      <c r="U7" s="2">
        <f ca="1">IFERROR(__xludf.DUMMYFUNCTION("""COMPUTED_VALUE"""),2)</f>
        <v>2</v>
      </c>
      <c r="V7" s="2"/>
    </row>
    <row r="8" spans="1:22" x14ac:dyDescent="0.35">
      <c r="A8" s="2" t="str">
        <f ca="1">IFERROR(__xludf.DUMMYFUNCTION("""COMPUTED_VALUE"""),"2023")</f>
        <v>2023</v>
      </c>
      <c r="B8" s="2" t="str">
        <f ca="1">IFERROR(__xludf.DUMMYFUNCTION("""COMPUTED_VALUE"""),"01")</f>
        <v>01</v>
      </c>
      <c r="C8" s="2" t="str">
        <f ca="1">IFERROR(__xludf.DUMMYFUNCTION("""COMPUTED_VALUE"""),"休日午前")</f>
        <v>休日午前</v>
      </c>
      <c r="D8" s="2">
        <f ca="1">IFERROR(__xludf.DUMMYFUNCTION("""COMPUTED_VALUE"""),1)</f>
        <v>1</v>
      </c>
      <c r="E8" s="2">
        <f ca="1">IFERROR(__xludf.DUMMYFUNCTION("""COMPUTED_VALUE"""),1)</f>
        <v>1</v>
      </c>
      <c r="F8" s="2">
        <f ca="1">IFERROR(__xludf.DUMMYFUNCTION("""COMPUTED_VALUE"""),1)</f>
        <v>1</v>
      </c>
      <c r="G8" s="2">
        <f ca="1">IFERROR(__xludf.DUMMYFUNCTION("""COMPUTED_VALUE"""),2)</f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>
        <f ca="1">IFERROR(__xludf.DUMMYFUNCTION("""COMPUTED_VALUE"""),1)</f>
        <v>1</v>
      </c>
      <c r="S8" s="2">
        <f ca="1">IFERROR(__xludf.DUMMYFUNCTION("""COMPUTED_VALUE"""),1)</f>
        <v>1</v>
      </c>
      <c r="T8" s="2">
        <f ca="1">IFERROR(__xludf.DUMMYFUNCTION("""COMPUTED_VALUE"""),1)</f>
        <v>1</v>
      </c>
      <c r="U8" s="2"/>
      <c r="V8" s="2"/>
    </row>
    <row r="9" spans="1:22" x14ac:dyDescent="0.35">
      <c r="A9" s="2" t="str">
        <f ca="1">IFERROR(__xludf.DUMMYFUNCTION("""COMPUTED_VALUE"""),"2023")</f>
        <v>2023</v>
      </c>
      <c r="B9" s="2" t="str">
        <f ca="1">IFERROR(__xludf.DUMMYFUNCTION("""COMPUTED_VALUE"""),"01")</f>
        <v>01</v>
      </c>
      <c r="C9" s="2" t="str">
        <f ca="1">IFERROR(__xludf.DUMMYFUNCTION("""COMPUTED_VALUE"""),"休日午後")</f>
        <v>休日午後</v>
      </c>
      <c r="D9" s="2"/>
      <c r="E9" s="2"/>
      <c r="F9" s="2"/>
      <c r="G9" s="2"/>
      <c r="H9" s="2">
        <f ca="1">IFERROR(__xludf.DUMMYFUNCTION("""COMPUTED_VALUE"""),1)</f>
        <v>1</v>
      </c>
      <c r="I9" s="2">
        <f ca="1">IFERROR(__xludf.DUMMYFUNCTION("""COMPUTED_VALUE"""),1)</f>
        <v>1</v>
      </c>
      <c r="J9" s="2">
        <f ca="1">IFERROR(__xludf.DUMMYFUNCTION("""COMPUTED_VALUE"""),1)</f>
        <v>1</v>
      </c>
      <c r="K9" s="2"/>
      <c r="L9" s="2"/>
      <c r="M9" s="2"/>
      <c r="N9" s="2">
        <f ca="1">IFERROR(__xludf.DUMMYFUNCTION("""COMPUTED_VALUE"""),1)</f>
        <v>1</v>
      </c>
      <c r="O9" s="2">
        <f ca="1">IFERROR(__xludf.DUMMYFUNCTION("""COMPUTED_VALUE"""),1)</f>
        <v>1</v>
      </c>
      <c r="P9" s="2">
        <f ca="1">IFERROR(__xludf.DUMMYFUNCTION("""COMPUTED_VALUE"""),1)</f>
        <v>1</v>
      </c>
      <c r="Q9" s="2">
        <f ca="1">IFERROR(__xludf.DUMMYFUNCTION("""COMPUTED_VALUE"""),1)</f>
        <v>1</v>
      </c>
      <c r="R9" s="2"/>
      <c r="S9" s="2"/>
      <c r="T9" s="2"/>
      <c r="U9" s="2">
        <f ca="1">IFERROR(__xludf.DUMMYFUNCTION("""COMPUTED_VALUE"""),1)</f>
        <v>1</v>
      </c>
      <c r="V9" s="2"/>
    </row>
    <row r="10" spans="1:22" x14ac:dyDescent="0.35">
      <c r="A10" s="2" t="str">
        <f ca="1">IFERROR(__xludf.DUMMYFUNCTION("""COMPUTED_VALUE"""),"2023")</f>
        <v>2023</v>
      </c>
      <c r="B10" s="2" t="str">
        <f ca="1">IFERROR(__xludf.DUMMYFUNCTION("""COMPUTED_VALUE"""),"01")</f>
        <v>01</v>
      </c>
      <c r="C10" s="2" t="str">
        <f ca="1">IFERROR(__xludf.DUMMYFUNCTION("""COMPUTED_VALUE"""),"平日夜間")</f>
        <v>平日夜間</v>
      </c>
      <c r="D10" s="2">
        <f ca="1">IFERROR(__xludf.DUMMYFUNCTION("""COMPUTED_VALUE"""),1)</f>
        <v>1</v>
      </c>
      <c r="E10" s="2">
        <f ca="1">IFERROR(__xludf.DUMMYFUNCTION("""COMPUTED_VALUE"""),2)</f>
        <v>2</v>
      </c>
      <c r="F10" s="2">
        <f ca="1">IFERROR(__xludf.DUMMYFUNCTION("""COMPUTED_VALUE"""),1)</f>
        <v>1</v>
      </c>
      <c r="G10" s="2">
        <f ca="1">IFERROR(__xludf.DUMMYFUNCTION("""COMPUTED_VALUE"""),1)</f>
        <v>1</v>
      </c>
      <c r="H10" s="2">
        <f ca="1">IFERROR(__xludf.DUMMYFUNCTION("""COMPUTED_VALUE"""),1)</f>
        <v>1</v>
      </c>
      <c r="I10" s="2"/>
      <c r="J10" s="2"/>
      <c r="K10" s="2"/>
      <c r="L10" s="2"/>
      <c r="M10" s="2">
        <f ca="1">IFERROR(__xludf.DUMMYFUNCTION("""COMPUTED_VALUE"""),1)</f>
        <v>1</v>
      </c>
      <c r="N10" s="2">
        <f ca="1">IFERROR(__xludf.DUMMYFUNCTION("""COMPUTED_VALUE"""),1)</f>
        <v>1</v>
      </c>
      <c r="O10" s="2"/>
      <c r="P10" s="2"/>
      <c r="Q10" s="2"/>
      <c r="R10" s="2">
        <f ca="1">IFERROR(__xludf.DUMMYFUNCTION("""COMPUTED_VALUE"""),2)</f>
        <v>2</v>
      </c>
      <c r="S10" s="2">
        <f ca="1">IFERROR(__xludf.DUMMYFUNCTION("""COMPUTED_VALUE"""),1)</f>
        <v>1</v>
      </c>
      <c r="T10" s="2">
        <f ca="1">IFERROR(__xludf.DUMMYFUNCTION("""COMPUTED_VALUE"""),1)</f>
        <v>1</v>
      </c>
      <c r="U10" s="2">
        <f ca="1">IFERROR(__xludf.DUMMYFUNCTION("""COMPUTED_VALUE"""),1)</f>
        <v>1</v>
      </c>
      <c r="V10" s="2"/>
    </row>
    <row r="11" spans="1:22" x14ac:dyDescent="0.35">
      <c r="A11" s="2" t="str">
        <f ca="1">IFERROR(__xludf.DUMMYFUNCTION("""COMPUTED_VALUE"""),"2022")</f>
        <v>2022</v>
      </c>
      <c r="B11" s="2" t="str">
        <f ca="1">IFERROR(__xludf.DUMMYFUNCTION("""COMPUTED_VALUE"""),"12")</f>
        <v>12</v>
      </c>
      <c r="C11" s="2" t="str">
        <f ca="1">IFERROR(__xludf.DUMMYFUNCTION("""COMPUTED_VALUE"""),"休日午前")</f>
        <v>休日午前</v>
      </c>
      <c r="D11" s="2">
        <f ca="1">IFERROR(__xludf.DUMMYFUNCTION("""COMPUTED_VALUE"""),1)</f>
        <v>1</v>
      </c>
      <c r="E11" s="2">
        <f ca="1">IFERROR(__xludf.DUMMYFUNCTION("""COMPUTED_VALUE"""),1)</f>
        <v>1</v>
      </c>
      <c r="F11" s="2"/>
      <c r="G11" s="2">
        <f ca="1">IFERROR(__xludf.DUMMYFUNCTION("""COMPUTED_VALUE"""),1)</f>
        <v>1</v>
      </c>
      <c r="H11" s="2">
        <f ca="1">IFERROR(__xludf.DUMMYFUNCTION("""COMPUTED_VALUE"""),1)</f>
        <v>1</v>
      </c>
      <c r="I11" s="2"/>
      <c r="J11" s="2"/>
      <c r="K11" s="2"/>
      <c r="L11" s="2"/>
      <c r="M11" s="2"/>
      <c r="N11" s="2">
        <f ca="1">IFERROR(__xludf.DUMMYFUNCTION("""COMPUTED_VALUE"""),1)</f>
        <v>1</v>
      </c>
      <c r="O11" s="2">
        <f ca="1">IFERROR(__xludf.DUMMYFUNCTION("""COMPUTED_VALUE"""),1)</f>
        <v>1</v>
      </c>
      <c r="P11" s="2"/>
      <c r="Q11" s="2"/>
      <c r="R11" s="2"/>
      <c r="S11" s="2"/>
      <c r="T11" s="2"/>
      <c r="U11" s="2">
        <f ca="1">IFERROR(__xludf.DUMMYFUNCTION("""COMPUTED_VALUE"""),1)</f>
        <v>1</v>
      </c>
      <c r="V11" s="2"/>
    </row>
    <row r="12" spans="1:22" x14ac:dyDescent="0.35">
      <c r="A12" s="2" t="str">
        <f ca="1">IFERROR(__xludf.DUMMYFUNCTION("""COMPUTED_VALUE"""),"2022")</f>
        <v>2022</v>
      </c>
      <c r="B12" s="2" t="str">
        <f ca="1">IFERROR(__xludf.DUMMYFUNCTION("""COMPUTED_VALUE"""),"12")</f>
        <v>12</v>
      </c>
      <c r="C12" s="2" t="str">
        <f ca="1">IFERROR(__xludf.DUMMYFUNCTION("""COMPUTED_VALUE"""),"休日午後")</f>
        <v>休日午後</v>
      </c>
      <c r="D12" s="2"/>
      <c r="E12" s="2"/>
      <c r="F12" s="2">
        <f ca="1">IFERROR(__xludf.DUMMYFUNCTION("""COMPUTED_VALUE"""),1)</f>
        <v>1</v>
      </c>
      <c r="G12" s="2"/>
      <c r="H12" s="2"/>
      <c r="I12" s="2"/>
      <c r="J12" s="2">
        <f ca="1">IFERROR(__xludf.DUMMYFUNCTION("""COMPUTED_VALUE"""),1)</f>
        <v>1</v>
      </c>
      <c r="K12" s="2"/>
      <c r="L12" s="2"/>
      <c r="M12" s="2"/>
      <c r="N12" s="2"/>
      <c r="O12" s="2"/>
      <c r="P12" s="2">
        <f ca="1">IFERROR(__xludf.DUMMYFUNCTION("""COMPUTED_VALUE"""),1)</f>
        <v>1</v>
      </c>
      <c r="Q12" s="2"/>
      <c r="R12" s="2"/>
      <c r="S12" s="2">
        <f ca="1">IFERROR(__xludf.DUMMYFUNCTION("""COMPUTED_VALUE"""),1)</f>
        <v>1</v>
      </c>
      <c r="T12" s="2">
        <f ca="1">IFERROR(__xludf.DUMMYFUNCTION("""COMPUTED_VALUE"""),1)</f>
        <v>1</v>
      </c>
      <c r="U12" s="2"/>
      <c r="V12" s="2"/>
    </row>
    <row r="13" spans="1:22" x14ac:dyDescent="0.35">
      <c r="A13" s="2" t="str">
        <f ca="1">IFERROR(__xludf.DUMMYFUNCTION("""COMPUTED_VALUE"""),"2022")</f>
        <v>2022</v>
      </c>
      <c r="B13" s="2" t="str">
        <f ca="1">IFERROR(__xludf.DUMMYFUNCTION("""COMPUTED_VALUE"""),"12")</f>
        <v>12</v>
      </c>
      <c r="C13" s="2" t="str">
        <f ca="1">IFERROR(__xludf.DUMMYFUNCTION("""COMPUTED_VALUE"""),"平日夜間")</f>
        <v>平日夜間</v>
      </c>
      <c r="D13" s="2">
        <f ca="1">IFERROR(__xludf.DUMMYFUNCTION("""COMPUTED_VALUE"""),1)</f>
        <v>1</v>
      </c>
      <c r="E13" s="2">
        <f ca="1">IFERROR(__xludf.DUMMYFUNCTION("""COMPUTED_VALUE"""),1)</f>
        <v>1</v>
      </c>
      <c r="F13" s="2">
        <f ca="1">IFERROR(__xludf.DUMMYFUNCTION("""COMPUTED_VALUE"""),1)</f>
        <v>1</v>
      </c>
      <c r="G13" s="2">
        <f ca="1">IFERROR(__xludf.DUMMYFUNCTION("""COMPUTED_VALUE"""),1)</f>
        <v>1</v>
      </c>
      <c r="H13" s="2">
        <f ca="1">IFERROR(__xludf.DUMMYFUNCTION("""COMPUTED_VALUE"""),1)</f>
        <v>1</v>
      </c>
      <c r="I13" s="2">
        <f ca="1">IFERROR(__xludf.DUMMYFUNCTION("""COMPUTED_VALUE"""),1)</f>
        <v>1</v>
      </c>
      <c r="J13" s="2"/>
      <c r="K13" s="2"/>
      <c r="L13" s="2"/>
      <c r="M13" s="2">
        <f ca="1">IFERROR(__xludf.DUMMYFUNCTION("""COMPUTED_VALUE"""),1)</f>
        <v>1</v>
      </c>
      <c r="N13" s="2">
        <f ca="1">IFERROR(__xludf.DUMMYFUNCTION("""COMPUTED_VALUE"""),2)</f>
        <v>2</v>
      </c>
      <c r="O13" s="2"/>
      <c r="P13" s="2"/>
      <c r="Q13" s="2">
        <f ca="1">IFERROR(__xludf.DUMMYFUNCTION("""COMPUTED_VALUE"""),2)</f>
        <v>2</v>
      </c>
      <c r="R13" s="2">
        <f ca="1">IFERROR(__xludf.DUMMYFUNCTION("""COMPUTED_VALUE"""),2)</f>
        <v>2</v>
      </c>
      <c r="S13" s="2">
        <f ca="1">IFERROR(__xludf.DUMMYFUNCTION("""COMPUTED_VALUE"""),1)</f>
        <v>1</v>
      </c>
      <c r="T13" s="2">
        <f ca="1">IFERROR(__xludf.DUMMYFUNCTION("""COMPUTED_VALUE"""),1)</f>
        <v>1</v>
      </c>
      <c r="U13" s="2">
        <f ca="1">IFERROR(__xludf.DUMMYFUNCTION("""COMPUTED_VALUE"""),2)</f>
        <v>2</v>
      </c>
      <c r="V13" s="2"/>
    </row>
    <row r="14" spans="1:22" x14ac:dyDescent="0.35">
      <c r="A14" s="2" t="str">
        <f ca="1">IFERROR(__xludf.DUMMYFUNCTION("""COMPUTED_VALUE"""),"2022")</f>
        <v>2022</v>
      </c>
      <c r="B14" s="2" t="str">
        <f ca="1">IFERROR(__xludf.DUMMYFUNCTION("""COMPUTED_VALUE"""),"11")</f>
        <v>11</v>
      </c>
      <c r="C14" s="2" t="str">
        <f ca="1">IFERROR(__xludf.DUMMYFUNCTION("""COMPUTED_VALUE"""),"休日午前")</f>
        <v>休日午前</v>
      </c>
      <c r="D14" s="2"/>
      <c r="E14" s="2">
        <f ca="1">IFERROR(__xludf.DUMMYFUNCTION("""COMPUTED_VALUE"""),1)</f>
        <v>1</v>
      </c>
      <c r="F14" s="2"/>
      <c r="G14" s="2"/>
      <c r="H14" s="2"/>
      <c r="I14" s="2"/>
      <c r="J14" s="2"/>
      <c r="K14" s="2"/>
      <c r="L14" s="2">
        <f ca="1">IFERROR(__xludf.DUMMYFUNCTION("""COMPUTED_VALUE"""),1)</f>
        <v>1</v>
      </c>
      <c r="M14" s="2"/>
      <c r="N14" s="2"/>
      <c r="O14" s="2"/>
      <c r="P14" s="2"/>
      <c r="Q14" s="2">
        <f ca="1">IFERROR(__xludf.DUMMYFUNCTION("""COMPUTED_VALUE"""),1)</f>
        <v>1</v>
      </c>
      <c r="R14" s="2">
        <f ca="1">IFERROR(__xludf.DUMMYFUNCTION("""COMPUTED_VALUE"""),1)</f>
        <v>1</v>
      </c>
      <c r="S14" s="2">
        <f ca="1">IFERROR(__xludf.DUMMYFUNCTION("""COMPUTED_VALUE"""),1)</f>
        <v>1</v>
      </c>
      <c r="T14" s="2"/>
      <c r="U14" s="2"/>
      <c r="V14" s="2"/>
    </row>
    <row r="15" spans="1:22" x14ac:dyDescent="0.35">
      <c r="A15" s="2" t="str">
        <f ca="1">IFERROR(__xludf.DUMMYFUNCTION("""COMPUTED_VALUE"""),"2022")</f>
        <v>2022</v>
      </c>
      <c r="B15" s="2" t="str">
        <f ca="1">IFERROR(__xludf.DUMMYFUNCTION("""COMPUTED_VALUE"""),"11")</f>
        <v>11</v>
      </c>
      <c r="C15" s="2" t="str">
        <f ca="1">IFERROR(__xludf.DUMMYFUNCTION("""COMPUTED_VALUE"""),"休日午後")</f>
        <v>休日午後</v>
      </c>
      <c r="D15" s="2"/>
      <c r="E15" s="2"/>
      <c r="F15" s="2"/>
      <c r="G15" s="2"/>
      <c r="H15" s="2"/>
      <c r="I15" s="2">
        <f ca="1">IFERROR(__xludf.DUMMYFUNCTION("""COMPUTED_VALUE"""),1)</f>
        <v>1</v>
      </c>
      <c r="J15" s="2">
        <f ca="1">IFERROR(__xludf.DUMMYFUNCTION("""COMPUTED_VALUE"""),1)</f>
        <v>1</v>
      </c>
      <c r="K15" s="2">
        <f ca="1">IFERROR(__xludf.DUMMYFUNCTION("""COMPUTED_VALUE"""),1)</f>
        <v>1</v>
      </c>
      <c r="L15" s="2"/>
      <c r="M15" s="2"/>
      <c r="N15" s="2"/>
      <c r="O15" s="2">
        <f ca="1">IFERROR(__xludf.DUMMYFUNCTION("""COMPUTED_VALUE"""),1)</f>
        <v>1</v>
      </c>
      <c r="P15" s="2">
        <f ca="1">IFERROR(__xludf.DUMMYFUNCTION("""COMPUTED_VALUE"""),1)</f>
        <v>1</v>
      </c>
      <c r="Q15" s="2"/>
      <c r="R15" s="2">
        <f ca="1">IFERROR(__xludf.DUMMYFUNCTION("""COMPUTED_VALUE"""),1)</f>
        <v>1</v>
      </c>
      <c r="S15" s="2"/>
      <c r="T15" s="2"/>
      <c r="U15" s="2">
        <f ca="1">IFERROR(__xludf.DUMMYFUNCTION("""COMPUTED_VALUE"""),1)</f>
        <v>1</v>
      </c>
      <c r="V15" s="2"/>
    </row>
    <row r="16" spans="1:22" x14ac:dyDescent="0.35">
      <c r="A16" s="2" t="str">
        <f ca="1">IFERROR(__xludf.DUMMYFUNCTION("""COMPUTED_VALUE"""),"2022")</f>
        <v>2022</v>
      </c>
      <c r="B16" s="2" t="str">
        <f ca="1">IFERROR(__xludf.DUMMYFUNCTION("""COMPUTED_VALUE"""),"11")</f>
        <v>11</v>
      </c>
      <c r="C16" s="2" t="str">
        <f ca="1">IFERROR(__xludf.DUMMYFUNCTION("""COMPUTED_VALUE"""),"平日夜間")</f>
        <v>平日夜間</v>
      </c>
      <c r="D16" s="2"/>
      <c r="E16" s="2">
        <f ca="1">IFERROR(__xludf.DUMMYFUNCTION("""COMPUTED_VALUE"""),1)</f>
        <v>1</v>
      </c>
      <c r="F16" s="2"/>
      <c r="G16" s="2"/>
      <c r="H16" s="2">
        <f ca="1">IFERROR(__xludf.DUMMYFUNCTION("""COMPUTED_VALUE"""),2)</f>
        <v>2</v>
      </c>
      <c r="I16" s="2"/>
      <c r="J16" s="2"/>
      <c r="K16" s="2">
        <f ca="1">IFERROR(__xludf.DUMMYFUNCTION("""COMPUTED_VALUE"""),1)</f>
        <v>1</v>
      </c>
      <c r="L16" s="2">
        <f ca="1">IFERROR(__xludf.DUMMYFUNCTION("""COMPUTED_VALUE"""),2)</f>
        <v>2</v>
      </c>
      <c r="M16" s="2">
        <f ca="1">IFERROR(__xludf.DUMMYFUNCTION("""COMPUTED_VALUE"""),2)</f>
        <v>2</v>
      </c>
      <c r="N16" s="2">
        <f ca="1">IFERROR(__xludf.DUMMYFUNCTION("""COMPUTED_VALUE"""),1)</f>
        <v>1</v>
      </c>
      <c r="O16" s="2"/>
      <c r="P16" s="2"/>
      <c r="Q16" s="2"/>
      <c r="R16" s="2">
        <f ca="1">IFERROR(__xludf.DUMMYFUNCTION("""COMPUTED_VALUE"""),1)</f>
        <v>1</v>
      </c>
      <c r="S16" s="2">
        <f ca="1">IFERROR(__xludf.DUMMYFUNCTION("""COMPUTED_VALUE"""),1)</f>
        <v>1</v>
      </c>
      <c r="T16" s="2">
        <f ca="1">IFERROR(__xludf.DUMMYFUNCTION("""COMPUTED_VALUE"""),2)</f>
        <v>2</v>
      </c>
      <c r="U16" s="2">
        <f ca="1">IFERROR(__xludf.DUMMYFUNCTION("""COMPUTED_VALUE"""),2)</f>
        <v>2</v>
      </c>
      <c r="V16" s="2"/>
    </row>
    <row r="17" spans="1:22" x14ac:dyDescent="0.35">
      <c r="A17" s="2" t="str">
        <f ca="1">IFERROR(__xludf.DUMMYFUNCTION("""COMPUTED_VALUE"""),"2022")</f>
        <v>2022</v>
      </c>
      <c r="B17" s="2" t="str">
        <f ca="1">IFERROR(__xludf.DUMMYFUNCTION("""COMPUTED_VALUE"""),"10")</f>
        <v>10</v>
      </c>
      <c r="C17" s="2" t="str">
        <f ca="1">IFERROR(__xludf.DUMMYFUNCTION("""COMPUTED_VALUE"""),"休日午前")</f>
        <v>休日午前</v>
      </c>
      <c r="D17" s="2"/>
      <c r="E17" s="2"/>
      <c r="F17" s="2"/>
      <c r="G17" s="2"/>
      <c r="H17" s="2"/>
      <c r="I17" s="2"/>
      <c r="J17" s="2">
        <f ca="1">IFERROR(__xludf.DUMMYFUNCTION("""COMPUTED_VALUE"""),1)</f>
        <v>1</v>
      </c>
      <c r="K17" s="2">
        <f ca="1">IFERROR(__xludf.DUMMYFUNCTION("""COMPUTED_VALUE"""),1)</f>
        <v>1</v>
      </c>
      <c r="L17" s="2">
        <f ca="1">IFERROR(__xludf.DUMMYFUNCTION("""COMPUTED_VALUE"""),1)</f>
        <v>1</v>
      </c>
      <c r="M17" s="2"/>
      <c r="N17" s="2"/>
      <c r="O17" s="2">
        <f ca="1">IFERROR(__xludf.DUMMYFUNCTION("""COMPUTED_VALUE"""),1)</f>
        <v>1</v>
      </c>
      <c r="P17" s="2"/>
      <c r="Q17" s="2"/>
      <c r="R17" s="2">
        <f ca="1">IFERROR(__xludf.DUMMYFUNCTION("""COMPUTED_VALUE"""),1)</f>
        <v>1</v>
      </c>
      <c r="S17" s="2"/>
      <c r="T17" s="2">
        <f ca="1">IFERROR(__xludf.DUMMYFUNCTION("""COMPUTED_VALUE"""),1)</f>
        <v>1</v>
      </c>
      <c r="U17" s="2"/>
      <c r="V17" s="2"/>
    </row>
    <row r="18" spans="1:22" x14ac:dyDescent="0.35">
      <c r="A18" s="2" t="str">
        <f ca="1">IFERROR(__xludf.DUMMYFUNCTION("""COMPUTED_VALUE"""),"2022")</f>
        <v>2022</v>
      </c>
      <c r="B18" s="2" t="str">
        <f ca="1">IFERROR(__xludf.DUMMYFUNCTION("""COMPUTED_VALUE"""),"10")</f>
        <v>10</v>
      </c>
      <c r="C18" s="2" t="str">
        <f ca="1">IFERROR(__xludf.DUMMYFUNCTION("""COMPUTED_VALUE"""),"休日午後")</f>
        <v>休日午後</v>
      </c>
      <c r="D18" s="2"/>
      <c r="E18" s="2">
        <f ca="1">IFERROR(__xludf.DUMMYFUNCTION("""COMPUTED_VALUE"""),1)</f>
        <v>1</v>
      </c>
      <c r="F18" s="2"/>
      <c r="G18" s="2"/>
      <c r="H18" s="2">
        <f ca="1">IFERROR(__xludf.DUMMYFUNCTION("""COMPUTED_VALUE"""),1)</f>
        <v>1</v>
      </c>
      <c r="I18" s="2">
        <f ca="1">IFERROR(__xludf.DUMMYFUNCTION("""COMPUTED_VALUE"""),1)</f>
        <v>1</v>
      </c>
      <c r="J18" s="2">
        <f ca="1">IFERROR(__xludf.DUMMYFUNCTION("""COMPUTED_VALUE"""),1)</f>
        <v>1</v>
      </c>
      <c r="K18" s="2">
        <f ca="1">IFERROR(__xludf.DUMMYFUNCTION("""COMPUTED_VALUE"""),1)</f>
        <v>1</v>
      </c>
      <c r="L18" s="2"/>
      <c r="M18" s="2"/>
      <c r="N18" s="2">
        <f ca="1">IFERROR(__xludf.DUMMYFUNCTION("""COMPUTED_VALUE"""),1)</f>
        <v>1</v>
      </c>
      <c r="O18" s="2"/>
      <c r="P18" s="2">
        <f ca="1">IFERROR(__xludf.DUMMYFUNCTION("""COMPUTED_VALUE"""),1)</f>
        <v>1</v>
      </c>
      <c r="Q18" s="2">
        <f ca="1">IFERROR(__xludf.DUMMYFUNCTION("""COMPUTED_VALUE"""),1)</f>
        <v>1</v>
      </c>
      <c r="R18" s="2"/>
      <c r="S18" s="2">
        <f ca="1">IFERROR(__xludf.DUMMYFUNCTION("""COMPUTED_VALUE"""),1)</f>
        <v>1</v>
      </c>
      <c r="T18" s="2"/>
      <c r="U18" s="2"/>
      <c r="V18" s="2"/>
    </row>
    <row r="19" spans="1:22" x14ac:dyDescent="0.35">
      <c r="A19" s="2" t="str">
        <f ca="1">IFERROR(__xludf.DUMMYFUNCTION("""COMPUTED_VALUE"""),"2022")</f>
        <v>2022</v>
      </c>
      <c r="B19" s="2" t="str">
        <f ca="1">IFERROR(__xludf.DUMMYFUNCTION("""COMPUTED_VALUE"""),"10")</f>
        <v>10</v>
      </c>
      <c r="C19" s="2" t="str">
        <f ca="1">IFERROR(__xludf.DUMMYFUNCTION("""COMPUTED_VALUE"""),"平日夜間")</f>
        <v>平日夜間</v>
      </c>
      <c r="D19" s="2"/>
      <c r="E19" s="2">
        <f ca="1">IFERROR(__xludf.DUMMYFUNCTION("""COMPUTED_VALUE"""),1)</f>
        <v>1</v>
      </c>
      <c r="F19" s="2"/>
      <c r="G19" s="2"/>
      <c r="H19" s="2"/>
      <c r="I19" s="2"/>
      <c r="J19" s="2">
        <f ca="1">IFERROR(__xludf.DUMMYFUNCTION("""COMPUTED_VALUE"""),1)</f>
        <v>1</v>
      </c>
      <c r="K19" s="2"/>
      <c r="L19" s="2">
        <f ca="1">IFERROR(__xludf.DUMMYFUNCTION("""COMPUTED_VALUE"""),1)</f>
        <v>1</v>
      </c>
      <c r="M19" s="2">
        <f ca="1">IFERROR(__xludf.DUMMYFUNCTION("""COMPUTED_VALUE"""),1)</f>
        <v>1</v>
      </c>
      <c r="N19" s="2">
        <f ca="1">IFERROR(__xludf.DUMMYFUNCTION("""COMPUTED_VALUE"""),1)</f>
        <v>1</v>
      </c>
      <c r="O19" s="2">
        <f ca="1">IFERROR(__xludf.DUMMYFUNCTION("""COMPUTED_VALUE"""),1)</f>
        <v>1</v>
      </c>
      <c r="P19" s="2"/>
      <c r="Q19" s="2"/>
      <c r="R19" s="2">
        <f ca="1">IFERROR(__xludf.DUMMYFUNCTION("""COMPUTED_VALUE"""),1)</f>
        <v>1</v>
      </c>
      <c r="S19" s="2">
        <f ca="1">IFERROR(__xludf.DUMMYFUNCTION("""COMPUTED_VALUE"""),1)</f>
        <v>1</v>
      </c>
      <c r="T19" s="2">
        <f ca="1">IFERROR(__xludf.DUMMYFUNCTION("""COMPUTED_VALUE"""),1)</f>
        <v>1</v>
      </c>
      <c r="U19" s="2">
        <f ca="1">IFERROR(__xludf.DUMMYFUNCTION("""COMPUTED_VALUE"""),2)</f>
        <v>2</v>
      </c>
      <c r="V19" s="2"/>
    </row>
    <row r="20" spans="1:22" x14ac:dyDescent="0.35">
      <c r="A20" s="2" t="str">
        <f ca="1">IFERROR(__xludf.DUMMYFUNCTION("""COMPUTED_VALUE"""),"2022")</f>
        <v>2022</v>
      </c>
      <c r="B20" s="2" t="str">
        <f ca="1">IFERROR(__xludf.DUMMYFUNCTION("""COMPUTED_VALUE"""),"09")</f>
        <v>09</v>
      </c>
      <c r="C20" s="2" t="str">
        <f ca="1">IFERROR(__xludf.DUMMYFUNCTION("""COMPUTED_VALUE"""),"休日午前")</f>
        <v>休日午前</v>
      </c>
      <c r="D20" s="2">
        <f ca="1">IFERROR(__xludf.DUMMYFUNCTION("""COMPUTED_VALUE"""),1)</f>
        <v>1</v>
      </c>
      <c r="E20" s="2">
        <f ca="1">IFERROR(__xludf.DUMMYFUNCTION("""COMPUTED_VALUE"""),1)</f>
        <v>1</v>
      </c>
      <c r="F20" s="2"/>
      <c r="G20" s="2"/>
      <c r="H20" s="2">
        <f ca="1">IFERROR(__xludf.DUMMYFUNCTION("""COMPUTED_VALUE"""),1)</f>
        <v>1</v>
      </c>
      <c r="I20" s="2"/>
      <c r="J20" s="2">
        <f ca="1">IFERROR(__xludf.DUMMYFUNCTION("""COMPUTED_VALUE"""),1)</f>
        <v>1</v>
      </c>
      <c r="K20" s="2">
        <f ca="1">IFERROR(__xludf.DUMMYFUNCTION("""COMPUTED_VALUE"""),1)</f>
        <v>1</v>
      </c>
      <c r="L20" s="2">
        <f ca="1">IFERROR(__xludf.DUMMYFUNCTION("""COMPUTED_VALUE"""),1)</f>
        <v>1</v>
      </c>
      <c r="M20" s="2"/>
      <c r="N20" s="2"/>
      <c r="O20" s="2">
        <f ca="1">IFERROR(__xludf.DUMMYFUNCTION("""COMPUTED_VALUE"""),1)</f>
        <v>1</v>
      </c>
      <c r="P20" s="2"/>
      <c r="Q20" s="2"/>
      <c r="R20" s="2"/>
      <c r="S20" s="2"/>
      <c r="T20" s="2"/>
      <c r="U20" s="2"/>
      <c r="V20" s="2"/>
    </row>
    <row r="21" spans="1:22" x14ac:dyDescent="0.35">
      <c r="A21" s="2" t="str">
        <f ca="1">IFERROR(__xludf.DUMMYFUNCTION("""COMPUTED_VALUE"""),"2022")</f>
        <v>2022</v>
      </c>
      <c r="B21" s="2" t="str">
        <f ca="1">IFERROR(__xludf.DUMMYFUNCTION("""COMPUTED_VALUE"""),"09")</f>
        <v>09</v>
      </c>
      <c r="C21" s="2" t="str">
        <f ca="1">IFERROR(__xludf.DUMMYFUNCTION("""COMPUTED_VALUE"""),"休日午後")</f>
        <v>休日午後</v>
      </c>
      <c r="D21" s="2"/>
      <c r="E21" s="2"/>
      <c r="F21" s="2"/>
      <c r="G21" s="2"/>
      <c r="H21" s="2"/>
      <c r="I21" s="2">
        <f ca="1">IFERROR(__xludf.DUMMYFUNCTION("""COMPUTED_VALUE"""),1)</f>
        <v>1</v>
      </c>
      <c r="J21" s="2"/>
      <c r="K21" s="2"/>
      <c r="L21" s="2"/>
      <c r="M21" s="2"/>
      <c r="N21" s="2"/>
      <c r="O21" s="2">
        <f ca="1">IFERROR(__xludf.DUMMYFUNCTION("""COMPUTED_VALUE"""),1)</f>
        <v>1</v>
      </c>
      <c r="P21" s="2">
        <f ca="1">IFERROR(__xludf.DUMMYFUNCTION("""COMPUTED_VALUE"""),1)</f>
        <v>1</v>
      </c>
      <c r="Q21" s="2">
        <f ca="1">IFERROR(__xludf.DUMMYFUNCTION("""COMPUTED_VALUE"""),1)</f>
        <v>1</v>
      </c>
      <c r="R21" s="2"/>
      <c r="S21" s="2"/>
      <c r="T21" s="2"/>
      <c r="U21" s="2"/>
      <c r="V21" s="2"/>
    </row>
    <row r="22" spans="1:22" x14ac:dyDescent="0.35">
      <c r="A22" s="2" t="str">
        <f ca="1">IFERROR(__xludf.DUMMYFUNCTION("""COMPUTED_VALUE"""),"2022")</f>
        <v>2022</v>
      </c>
      <c r="B22" s="2" t="str">
        <f ca="1">IFERROR(__xludf.DUMMYFUNCTION("""COMPUTED_VALUE"""),"09")</f>
        <v>09</v>
      </c>
      <c r="C22" s="2" t="str">
        <f ca="1">IFERROR(__xludf.DUMMYFUNCTION("""COMPUTED_VALUE"""),"平日夜間")</f>
        <v>平日夜間</v>
      </c>
      <c r="D22" s="2">
        <f ca="1">IFERROR(__xludf.DUMMYFUNCTION("""COMPUTED_VALUE"""),1)</f>
        <v>1</v>
      </c>
      <c r="E22" s="2">
        <f ca="1">IFERROR(__xludf.DUMMYFUNCTION("""COMPUTED_VALUE"""),1)</f>
        <v>1</v>
      </c>
      <c r="F22" s="2">
        <f ca="1">IFERROR(__xludf.DUMMYFUNCTION("""COMPUTED_VALUE"""),2)</f>
        <v>2</v>
      </c>
      <c r="G22" s="2"/>
      <c r="H22" s="2">
        <f ca="1">IFERROR(__xludf.DUMMYFUNCTION("""COMPUTED_VALUE"""),1)</f>
        <v>1</v>
      </c>
      <c r="I22" s="2"/>
      <c r="J22" s="2"/>
      <c r="K22" s="2"/>
      <c r="L22" s="2">
        <f ca="1">IFERROR(__xludf.DUMMYFUNCTION("""COMPUTED_VALUE"""),1)</f>
        <v>1</v>
      </c>
      <c r="M22" s="2">
        <f ca="1">IFERROR(__xludf.DUMMYFUNCTION("""COMPUTED_VALUE"""),1)</f>
        <v>1</v>
      </c>
      <c r="N22" s="2"/>
      <c r="O22" s="2"/>
      <c r="P22" s="2"/>
      <c r="Q22" s="2"/>
      <c r="R22" s="2">
        <f ca="1">IFERROR(__xludf.DUMMYFUNCTION("""COMPUTED_VALUE"""),1)</f>
        <v>1</v>
      </c>
      <c r="S22" s="2"/>
      <c r="T22" s="2">
        <f ca="1">IFERROR(__xludf.DUMMYFUNCTION("""COMPUTED_VALUE"""),2)</f>
        <v>2</v>
      </c>
      <c r="U22" s="2"/>
      <c r="V22" s="2"/>
    </row>
    <row r="23" spans="1:22" x14ac:dyDescent="0.35">
      <c r="A23" s="2" t="str">
        <f ca="1">IFERROR(__xludf.DUMMYFUNCTION("""COMPUTED_VALUE"""),"2022")</f>
        <v>2022</v>
      </c>
      <c r="B23" s="2" t="str">
        <f ca="1">IFERROR(__xludf.DUMMYFUNCTION("""COMPUTED_VALUE"""),"08")</f>
        <v>08</v>
      </c>
      <c r="C23" s="2" t="str">
        <f ca="1">IFERROR(__xludf.DUMMYFUNCTION("""COMPUTED_VALUE"""),"休日午前")</f>
        <v>休日午前</v>
      </c>
      <c r="D23" s="2"/>
      <c r="E23" s="2">
        <f ca="1">IFERROR(__xludf.DUMMYFUNCTION("""COMPUTED_VALUE"""),1)</f>
        <v>1</v>
      </c>
      <c r="F23" s="2"/>
      <c r="G23" s="2"/>
      <c r="H23" s="2">
        <f ca="1">IFERROR(__xludf.DUMMYFUNCTION("""COMPUTED_VALUE"""),1)</f>
        <v>1</v>
      </c>
      <c r="I23" s="2">
        <f ca="1">IFERROR(__xludf.DUMMYFUNCTION("""COMPUTED_VALUE"""),1)</f>
        <v>1</v>
      </c>
      <c r="J23" s="2"/>
      <c r="K23" s="2">
        <f ca="1">IFERROR(__xludf.DUMMYFUNCTION("""COMPUTED_VALUE"""),1)</f>
        <v>1</v>
      </c>
      <c r="L23" s="2">
        <f ca="1">IFERROR(__xludf.DUMMYFUNCTION("""COMPUTED_VALUE"""),1)</f>
        <v>1</v>
      </c>
      <c r="M23" s="2"/>
      <c r="N23" s="2"/>
      <c r="O23" s="2">
        <f ca="1">IFERROR(__xludf.DUMMYFUNCTION("""COMPUTED_VALUE"""),1)</f>
        <v>1</v>
      </c>
      <c r="P23" s="2"/>
      <c r="Q23" s="2">
        <f ca="1">IFERROR(__xludf.DUMMYFUNCTION("""COMPUTED_VALUE"""),1)</f>
        <v>1</v>
      </c>
      <c r="R23" s="2">
        <f ca="1">IFERROR(__xludf.DUMMYFUNCTION("""COMPUTED_VALUE"""),1)</f>
        <v>1</v>
      </c>
      <c r="S23" s="2"/>
      <c r="T23" s="2"/>
      <c r="U23" s="2"/>
      <c r="V23" s="2"/>
    </row>
    <row r="24" spans="1:22" x14ac:dyDescent="0.35">
      <c r="A24" s="2" t="str">
        <f ca="1">IFERROR(__xludf.DUMMYFUNCTION("""COMPUTED_VALUE"""),"2022")</f>
        <v>2022</v>
      </c>
      <c r="B24" s="2" t="str">
        <f ca="1">IFERROR(__xludf.DUMMYFUNCTION("""COMPUTED_VALUE"""),"08")</f>
        <v>08</v>
      </c>
      <c r="C24" s="2" t="str">
        <f ca="1">IFERROR(__xludf.DUMMYFUNCTION("""COMPUTED_VALUE"""),"休日午後")</f>
        <v>休日午後</v>
      </c>
      <c r="D24" s="2">
        <f ca="1">IFERROR(__xludf.DUMMYFUNCTION("""COMPUTED_VALUE"""),2)</f>
        <v>2</v>
      </c>
      <c r="E24" s="2"/>
      <c r="F24" s="2"/>
      <c r="G24" s="2">
        <f ca="1">IFERROR(__xludf.DUMMYFUNCTION("""COMPUTED_VALUE"""),1)</f>
        <v>1</v>
      </c>
      <c r="H24" s="2"/>
      <c r="I24" s="2"/>
      <c r="J24" s="2">
        <f ca="1">IFERROR(__xludf.DUMMYFUNCTION("""COMPUTED_VALUE"""),1)</f>
        <v>1</v>
      </c>
      <c r="K24" s="2"/>
      <c r="L24" s="2"/>
      <c r="M24" s="2"/>
      <c r="N24" s="2"/>
      <c r="O24" s="2"/>
      <c r="P24" s="2">
        <f ca="1">IFERROR(__xludf.DUMMYFUNCTION("""COMPUTED_VALUE"""),1)</f>
        <v>1</v>
      </c>
      <c r="Q24" s="2"/>
      <c r="R24" s="2">
        <f ca="1">IFERROR(__xludf.DUMMYFUNCTION("""COMPUTED_VALUE"""),1)</f>
        <v>1</v>
      </c>
      <c r="S24" s="2"/>
      <c r="T24" s="2"/>
      <c r="U24" s="2"/>
      <c r="V24" s="2"/>
    </row>
    <row r="25" spans="1:22" x14ac:dyDescent="0.35">
      <c r="A25" s="2" t="str">
        <f ca="1">IFERROR(__xludf.DUMMYFUNCTION("""COMPUTED_VALUE"""),"2022")</f>
        <v>2022</v>
      </c>
      <c r="B25" s="2" t="str">
        <f ca="1">IFERROR(__xludf.DUMMYFUNCTION("""COMPUTED_VALUE"""),"08")</f>
        <v>08</v>
      </c>
      <c r="C25" s="2" t="str">
        <f ca="1">IFERROR(__xludf.DUMMYFUNCTION("""COMPUTED_VALUE"""),"平日夜間")</f>
        <v>平日夜間</v>
      </c>
      <c r="D25" s="2">
        <f ca="1">IFERROR(__xludf.DUMMYFUNCTION("""COMPUTED_VALUE"""),1)</f>
        <v>1</v>
      </c>
      <c r="E25" s="2">
        <f ca="1">IFERROR(__xludf.DUMMYFUNCTION("""COMPUTED_VALUE"""),2)</f>
        <v>2</v>
      </c>
      <c r="F25" s="2">
        <f ca="1">IFERROR(__xludf.DUMMYFUNCTION("""COMPUTED_VALUE"""),2)</f>
        <v>2</v>
      </c>
      <c r="G25" s="2"/>
      <c r="H25" s="2">
        <f ca="1">IFERROR(__xludf.DUMMYFUNCTION("""COMPUTED_VALUE"""),2)</f>
        <v>2</v>
      </c>
      <c r="I25" s="2">
        <f ca="1">IFERROR(__xludf.DUMMYFUNCTION("""COMPUTED_VALUE"""),1)</f>
        <v>1</v>
      </c>
      <c r="J25" s="2"/>
      <c r="K25" s="2">
        <f ca="1">IFERROR(__xludf.DUMMYFUNCTION("""COMPUTED_VALUE"""),1)</f>
        <v>1</v>
      </c>
      <c r="L25" s="2">
        <f ca="1">IFERROR(__xludf.DUMMYFUNCTION("""COMPUTED_VALUE"""),1)</f>
        <v>1</v>
      </c>
      <c r="M25" s="2">
        <f ca="1">IFERROR(__xludf.DUMMYFUNCTION("""COMPUTED_VALUE"""),2)</f>
        <v>2</v>
      </c>
      <c r="N25" s="2"/>
      <c r="O25" s="2"/>
      <c r="P25" s="2"/>
      <c r="Q25" s="2">
        <f ca="1">IFERROR(__xludf.DUMMYFUNCTION("""COMPUTED_VALUE"""),1)</f>
        <v>1</v>
      </c>
      <c r="R25" s="2">
        <f ca="1">IFERROR(__xludf.DUMMYFUNCTION("""COMPUTED_VALUE"""),1)</f>
        <v>1</v>
      </c>
      <c r="S25" s="2"/>
      <c r="T25" s="2">
        <f ca="1">IFERROR(__xludf.DUMMYFUNCTION("""COMPUTED_VALUE"""),2)</f>
        <v>2</v>
      </c>
      <c r="U25" s="2"/>
      <c r="V25" s="2"/>
    </row>
    <row r="26" spans="1:22" x14ac:dyDescent="0.35">
      <c r="A26" s="2" t="str">
        <f ca="1">IFERROR(__xludf.DUMMYFUNCTION("""COMPUTED_VALUE"""),"2022")</f>
        <v>2022</v>
      </c>
      <c r="B26" s="2" t="str">
        <f ca="1">IFERROR(__xludf.DUMMYFUNCTION("""COMPUTED_VALUE"""),"07")</f>
        <v>07</v>
      </c>
      <c r="C26" s="2" t="str">
        <f ca="1">IFERROR(__xludf.DUMMYFUNCTION("""COMPUTED_VALUE"""),"休日午前")</f>
        <v>休日午前</v>
      </c>
      <c r="D26" s="2">
        <f ca="1">IFERROR(__xludf.DUMMYFUNCTION("""COMPUTED_VALUE"""),1)</f>
        <v>1</v>
      </c>
      <c r="E26" s="2"/>
      <c r="F26" s="2">
        <f ca="1">IFERROR(__xludf.DUMMYFUNCTION("""COMPUTED_VALUE"""),1)</f>
        <v>1</v>
      </c>
      <c r="G26" s="2">
        <f ca="1">IFERROR(__xludf.DUMMYFUNCTION("""COMPUTED_VALUE"""),1)</f>
        <v>1</v>
      </c>
      <c r="H26" s="2"/>
      <c r="I26" s="2"/>
      <c r="J26" s="2"/>
      <c r="K26" s="2"/>
      <c r="L26" s="2">
        <f ca="1">IFERROR(__xludf.DUMMYFUNCTION("""COMPUTED_VALUE"""),1)</f>
        <v>1</v>
      </c>
      <c r="M26" s="2"/>
      <c r="N26" s="2"/>
      <c r="O26" s="2"/>
      <c r="P26" s="2"/>
      <c r="Q26" s="2"/>
      <c r="R26" s="2">
        <f ca="1">IFERROR(__xludf.DUMMYFUNCTION("""COMPUTED_VALUE"""),2)</f>
        <v>2</v>
      </c>
      <c r="S26" s="2"/>
      <c r="T26" s="2">
        <f ca="1">IFERROR(__xludf.DUMMYFUNCTION("""COMPUTED_VALUE"""),1)</f>
        <v>1</v>
      </c>
      <c r="U26" s="2"/>
      <c r="V26" s="2"/>
    </row>
    <row r="27" spans="1:22" x14ac:dyDescent="0.35">
      <c r="A27" s="2" t="str">
        <f ca="1">IFERROR(__xludf.DUMMYFUNCTION("""COMPUTED_VALUE"""),"2022")</f>
        <v>2022</v>
      </c>
      <c r="B27" s="2" t="str">
        <f ca="1">IFERROR(__xludf.DUMMYFUNCTION("""COMPUTED_VALUE"""),"07")</f>
        <v>07</v>
      </c>
      <c r="C27" s="2" t="str">
        <f ca="1">IFERROR(__xludf.DUMMYFUNCTION("""COMPUTED_VALUE"""),"休日午後")</f>
        <v>休日午後</v>
      </c>
      <c r="D27" s="2"/>
      <c r="E27" s="2"/>
      <c r="F27" s="2"/>
      <c r="G27" s="2"/>
      <c r="H27" s="2">
        <f ca="1">IFERROR(__xludf.DUMMYFUNCTION("""COMPUTED_VALUE"""),1)</f>
        <v>1</v>
      </c>
      <c r="I27" s="2">
        <f ca="1">IFERROR(__xludf.DUMMYFUNCTION("""COMPUTED_VALUE"""),1)</f>
        <v>1</v>
      </c>
      <c r="J27" s="2">
        <f ca="1">IFERROR(__xludf.DUMMYFUNCTION("""COMPUTED_VALUE"""),1)</f>
        <v>1</v>
      </c>
      <c r="K27" s="2">
        <f ca="1">IFERROR(__xludf.DUMMYFUNCTION("""COMPUTED_VALUE"""),1)</f>
        <v>1</v>
      </c>
      <c r="L27" s="2">
        <f ca="1">IFERROR(__xludf.DUMMYFUNCTION("""COMPUTED_VALUE"""),1)</f>
        <v>1</v>
      </c>
      <c r="M27" s="2">
        <f ca="1">IFERROR(__xludf.DUMMYFUNCTION("""COMPUTED_VALUE"""),1)</f>
        <v>1</v>
      </c>
      <c r="N27" s="2"/>
      <c r="O27" s="2"/>
      <c r="P27" s="2">
        <f ca="1">IFERROR(__xludf.DUMMYFUNCTION("""COMPUTED_VALUE"""),1)</f>
        <v>1</v>
      </c>
      <c r="Q27" s="2"/>
      <c r="R27" s="2"/>
      <c r="S27" s="2"/>
      <c r="T27" s="2">
        <f ca="1">IFERROR(__xludf.DUMMYFUNCTION("""COMPUTED_VALUE"""),1)</f>
        <v>1</v>
      </c>
      <c r="U27" s="2"/>
      <c r="V27" s="2"/>
    </row>
    <row r="28" spans="1:22" x14ac:dyDescent="0.35">
      <c r="A28" s="2" t="str">
        <f ca="1">IFERROR(__xludf.DUMMYFUNCTION("""COMPUTED_VALUE"""),"2022")</f>
        <v>2022</v>
      </c>
      <c r="B28" s="2" t="str">
        <f ca="1">IFERROR(__xludf.DUMMYFUNCTION("""COMPUTED_VALUE"""),"07")</f>
        <v>07</v>
      </c>
      <c r="C28" s="2" t="str">
        <f ca="1">IFERROR(__xludf.DUMMYFUNCTION("""COMPUTED_VALUE"""),"平日夜間")</f>
        <v>平日夜間</v>
      </c>
      <c r="D28" s="2">
        <f ca="1">IFERROR(__xludf.DUMMYFUNCTION("""COMPUTED_VALUE"""),1)</f>
        <v>1</v>
      </c>
      <c r="E28" s="2">
        <f ca="1">IFERROR(__xludf.DUMMYFUNCTION("""COMPUTED_VALUE"""),1)</f>
        <v>1</v>
      </c>
      <c r="F28" s="2"/>
      <c r="G28" s="2">
        <f ca="1">IFERROR(__xludf.DUMMYFUNCTION("""COMPUTED_VALUE"""),1)</f>
        <v>1</v>
      </c>
      <c r="H28" s="2"/>
      <c r="I28" s="2"/>
      <c r="J28" s="2"/>
      <c r="K28" s="2">
        <f ca="1">IFERROR(__xludf.DUMMYFUNCTION("""COMPUTED_VALUE"""),2)</f>
        <v>2</v>
      </c>
      <c r="L28" s="2">
        <f ca="1">IFERROR(__xludf.DUMMYFUNCTION("""COMPUTED_VALUE"""),1)</f>
        <v>1</v>
      </c>
      <c r="M28" s="2"/>
      <c r="N28" s="2"/>
      <c r="O28" s="2">
        <f ca="1">IFERROR(__xludf.DUMMYFUNCTION("""COMPUTED_VALUE"""),1)</f>
        <v>1</v>
      </c>
      <c r="P28" s="2"/>
      <c r="Q28" s="2">
        <f ca="1">IFERROR(__xludf.DUMMYFUNCTION("""COMPUTED_VALUE"""),2)</f>
        <v>2</v>
      </c>
      <c r="R28" s="2">
        <f ca="1">IFERROR(__xludf.DUMMYFUNCTION("""COMPUTED_VALUE"""),1)</f>
        <v>1</v>
      </c>
      <c r="S28" s="2"/>
      <c r="T28" s="2">
        <f ca="1">IFERROR(__xludf.DUMMYFUNCTION("""COMPUTED_VALUE"""),1)</f>
        <v>1</v>
      </c>
      <c r="U28" s="2"/>
      <c r="V28" s="2"/>
    </row>
    <row r="29" spans="1:22" x14ac:dyDescent="0.35">
      <c r="A29" s="2" t="str">
        <f ca="1">IFERROR(__xludf.DUMMYFUNCTION("""COMPUTED_VALUE"""),"2022")</f>
        <v>2022</v>
      </c>
      <c r="B29" s="2" t="str">
        <f ca="1">IFERROR(__xludf.DUMMYFUNCTION("""COMPUTED_VALUE"""),"06")</f>
        <v>06</v>
      </c>
      <c r="C29" s="2" t="str">
        <f ca="1">IFERROR(__xludf.DUMMYFUNCTION("""COMPUTED_VALUE"""),"休日午前")</f>
        <v>休日午前</v>
      </c>
      <c r="D29" s="2"/>
      <c r="E29" s="2">
        <f ca="1">IFERROR(__xludf.DUMMYFUNCTION("""COMPUTED_VALUE"""),1)</f>
        <v>1</v>
      </c>
      <c r="F29" s="2"/>
      <c r="G29" s="2">
        <f ca="1">IFERROR(__xludf.DUMMYFUNCTION("""COMPUTED_VALUE"""),1)</f>
        <v>1</v>
      </c>
      <c r="H29" s="2">
        <f ca="1">IFERROR(__xludf.DUMMYFUNCTION("""COMPUTED_VALUE"""),1)</f>
        <v>1</v>
      </c>
      <c r="I29" s="2">
        <f ca="1">IFERROR(__xludf.DUMMYFUNCTION("""COMPUTED_VALUE"""),1)</f>
        <v>1</v>
      </c>
      <c r="J29" s="2"/>
      <c r="K29" s="2"/>
      <c r="L29" s="2"/>
      <c r="M29" s="2"/>
      <c r="N29" s="2"/>
      <c r="O29" s="2">
        <f ca="1">IFERROR(__xludf.DUMMYFUNCTION("""COMPUTED_VALUE"""),1)</f>
        <v>1</v>
      </c>
      <c r="P29" s="2"/>
      <c r="Q29" s="2"/>
      <c r="R29" s="2"/>
      <c r="S29" s="2"/>
      <c r="T29" s="2">
        <f ca="1">IFERROR(__xludf.DUMMYFUNCTION("""COMPUTED_VALUE"""),1)</f>
        <v>1</v>
      </c>
      <c r="U29" s="2"/>
      <c r="V29" s="2"/>
    </row>
    <row r="30" spans="1:22" x14ac:dyDescent="0.35">
      <c r="A30" s="2" t="str">
        <f ca="1">IFERROR(__xludf.DUMMYFUNCTION("""COMPUTED_VALUE"""),"2022")</f>
        <v>2022</v>
      </c>
      <c r="B30" s="2" t="str">
        <f ca="1">IFERROR(__xludf.DUMMYFUNCTION("""COMPUTED_VALUE"""),"06")</f>
        <v>06</v>
      </c>
      <c r="C30" s="2" t="str">
        <f ca="1">IFERROR(__xludf.DUMMYFUNCTION("""COMPUTED_VALUE"""),"休日午後")</f>
        <v>休日午後</v>
      </c>
      <c r="D30" s="2"/>
      <c r="E30" s="2"/>
      <c r="F30" s="2">
        <f ca="1">IFERROR(__xludf.DUMMYFUNCTION("""COMPUTED_VALUE"""),1)</f>
        <v>1</v>
      </c>
      <c r="G30" s="2"/>
      <c r="H30" s="2"/>
      <c r="I30" s="2"/>
      <c r="J30" s="2">
        <f ca="1">IFERROR(__xludf.DUMMYFUNCTION("""COMPUTED_VALUE"""),1)</f>
        <v>1</v>
      </c>
      <c r="K30" s="2"/>
      <c r="L30" s="2"/>
      <c r="M30" s="2"/>
      <c r="N30" s="2"/>
      <c r="O30" s="2"/>
      <c r="P30" s="2">
        <f ca="1">IFERROR(__xludf.DUMMYFUNCTION("""COMPUTED_VALUE"""),1)</f>
        <v>1</v>
      </c>
      <c r="Q30" s="2">
        <f ca="1">IFERROR(__xludf.DUMMYFUNCTION("""COMPUTED_VALUE"""),1)</f>
        <v>1</v>
      </c>
      <c r="R30" s="2">
        <f ca="1">IFERROR(__xludf.DUMMYFUNCTION("""COMPUTED_VALUE"""),1)</f>
        <v>1</v>
      </c>
      <c r="S30" s="2"/>
      <c r="T30" s="2"/>
      <c r="U30" s="2"/>
      <c r="V30" s="2"/>
    </row>
    <row r="31" spans="1:22" ht="12.75" x14ac:dyDescent="0.35">
      <c r="A31" s="2" t="str">
        <f ca="1">IFERROR(__xludf.DUMMYFUNCTION("""COMPUTED_VALUE"""),"2022")</f>
        <v>2022</v>
      </c>
      <c r="B31" s="2" t="str">
        <f ca="1">IFERROR(__xludf.DUMMYFUNCTION("""COMPUTED_VALUE"""),"06")</f>
        <v>06</v>
      </c>
      <c r="C31" s="2" t="str">
        <f ca="1">IFERROR(__xludf.DUMMYFUNCTION("""COMPUTED_VALUE"""),"平日夜間")</f>
        <v>平日夜間</v>
      </c>
      <c r="D31" s="2">
        <f ca="1">IFERROR(__xludf.DUMMYFUNCTION("""COMPUTED_VALUE"""),2)</f>
        <v>2</v>
      </c>
      <c r="E31" s="2">
        <f ca="1">IFERROR(__xludf.DUMMYFUNCTION("""COMPUTED_VALUE"""),1)</f>
        <v>1</v>
      </c>
      <c r="F31" s="2">
        <f ca="1">IFERROR(__xludf.DUMMYFUNCTION("""COMPUTED_VALUE"""),1)</f>
        <v>1</v>
      </c>
      <c r="G31" s="2">
        <f ca="1">IFERROR(__xludf.DUMMYFUNCTION("""COMPUTED_VALUE"""),1)</f>
        <v>1</v>
      </c>
      <c r="H31" s="2">
        <f ca="1">IFERROR(__xludf.DUMMYFUNCTION("""COMPUTED_VALUE"""),1)</f>
        <v>1</v>
      </c>
      <c r="I31" s="2"/>
      <c r="J31" s="2"/>
      <c r="K31" s="2">
        <f ca="1">IFERROR(__xludf.DUMMYFUNCTION("""COMPUTED_VALUE"""),1)</f>
        <v>1</v>
      </c>
      <c r="L31" s="2">
        <f ca="1">IFERROR(__xludf.DUMMYFUNCTION("""COMPUTED_VALUE"""),2)</f>
        <v>2</v>
      </c>
      <c r="M31" s="2">
        <f ca="1">IFERROR(__xludf.DUMMYFUNCTION("""COMPUTED_VALUE"""),1)</f>
        <v>1</v>
      </c>
      <c r="N31" s="2"/>
      <c r="O31" s="2">
        <f ca="1">IFERROR(__xludf.DUMMYFUNCTION("""COMPUTED_VALUE"""),1)</f>
        <v>1</v>
      </c>
      <c r="P31" s="2"/>
      <c r="Q31" s="2"/>
      <c r="R31" s="2">
        <f ca="1">IFERROR(__xludf.DUMMYFUNCTION("""COMPUTED_VALUE"""),1)</f>
        <v>1</v>
      </c>
      <c r="S31" s="2"/>
      <c r="T31" s="2">
        <f ca="1">IFERROR(__xludf.DUMMYFUNCTION("""COMPUTED_VALUE"""),2)</f>
        <v>2</v>
      </c>
      <c r="U31" s="2"/>
      <c r="V31" s="2"/>
    </row>
    <row r="32" spans="1:22" ht="12.75" x14ac:dyDescent="0.35">
      <c r="A32" s="2" t="str">
        <f ca="1">IFERROR(__xludf.DUMMYFUNCTION("""COMPUTED_VALUE"""),"2022")</f>
        <v>2022</v>
      </c>
      <c r="B32" s="2" t="str">
        <f ca="1">IFERROR(__xludf.DUMMYFUNCTION("""COMPUTED_VALUE"""),"05")</f>
        <v>05</v>
      </c>
      <c r="C32" s="2" t="str">
        <f ca="1">IFERROR(__xludf.DUMMYFUNCTION("""COMPUTED_VALUE"""),"休日午前")</f>
        <v>休日午前</v>
      </c>
      <c r="D32" s="2"/>
      <c r="E32" s="2">
        <f ca="1">IFERROR(__xludf.DUMMYFUNCTION("""COMPUTED_VALUE"""),1)</f>
        <v>1</v>
      </c>
      <c r="F32" s="2"/>
      <c r="G32" s="2"/>
      <c r="H32" s="2">
        <f ca="1">IFERROR(__xludf.DUMMYFUNCTION("""COMPUTED_VALUE"""),1)</f>
        <v>1</v>
      </c>
      <c r="I32" s="2"/>
      <c r="J32" s="2">
        <f ca="1">IFERROR(__xludf.DUMMYFUNCTION("""COMPUTED_VALUE"""),1)</f>
        <v>1</v>
      </c>
      <c r="K32" s="2"/>
      <c r="L32" s="2"/>
      <c r="M32" s="2"/>
      <c r="N32" s="2"/>
      <c r="O32" s="2">
        <f ca="1">IFERROR(__xludf.DUMMYFUNCTION("""COMPUTED_VALUE"""),1)</f>
        <v>1</v>
      </c>
      <c r="P32" s="2"/>
      <c r="Q32" s="2">
        <f ca="1">IFERROR(__xludf.DUMMYFUNCTION("""COMPUTED_VALUE"""),1)</f>
        <v>1</v>
      </c>
      <c r="R32" s="2"/>
      <c r="S32" s="2"/>
      <c r="T32" s="2"/>
      <c r="U32" s="2"/>
      <c r="V32" s="2"/>
    </row>
    <row r="33" spans="1:22" ht="12.75" x14ac:dyDescent="0.35">
      <c r="A33" s="2" t="str">
        <f ca="1">IFERROR(__xludf.DUMMYFUNCTION("""COMPUTED_VALUE"""),"2022")</f>
        <v>2022</v>
      </c>
      <c r="B33" s="2" t="str">
        <f ca="1">IFERROR(__xludf.DUMMYFUNCTION("""COMPUTED_VALUE"""),"05")</f>
        <v>05</v>
      </c>
      <c r="C33" s="2" t="str">
        <f ca="1">IFERROR(__xludf.DUMMYFUNCTION("""COMPUTED_VALUE"""),"休日午後")</f>
        <v>休日午後</v>
      </c>
      <c r="D33" s="2"/>
      <c r="E33" s="2"/>
      <c r="F33" s="2"/>
      <c r="G33" s="2"/>
      <c r="H33" s="2"/>
      <c r="I33" s="2">
        <f ca="1">IFERROR(__xludf.DUMMYFUNCTION("""COMPUTED_VALUE"""),1)</f>
        <v>1</v>
      </c>
      <c r="J33" s="2"/>
      <c r="K33" s="2"/>
      <c r="L33" s="2"/>
      <c r="M33" s="2"/>
      <c r="N33" s="2"/>
      <c r="O33" s="2"/>
      <c r="P33" s="2">
        <f ca="1">IFERROR(__xludf.DUMMYFUNCTION("""COMPUTED_VALUE"""),1)</f>
        <v>1</v>
      </c>
      <c r="Q33" s="2"/>
      <c r="R33" s="2">
        <f ca="1">IFERROR(__xludf.DUMMYFUNCTION("""COMPUTED_VALUE"""),1)</f>
        <v>1</v>
      </c>
      <c r="S33" s="2"/>
      <c r="T33" s="2">
        <f ca="1">IFERROR(__xludf.DUMMYFUNCTION("""COMPUTED_VALUE"""),1)</f>
        <v>1</v>
      </c>
      <c r="U33" s="2"/>
      <c r="V33" s="2"/>
    </row>
    <row r="34" spans="1:22" ht="12.75" x14ac:dyDescent="0.35">
      <c r="A34" s="2" t="str">
        <f ca="1">IFERROR(__xludf.DUMMYFUNCTION("""COMPUTED_VALUE"""),"2022")</f>
        <v>2022</v>
      </c>
      <c r="B34" s="2" t="str">
        <f ca="1">IFERROR(__xludf.DUMMYFUNCTION("""COMPUTED_VALUE"""),"05")</f>
        <v>05</v>
      </c>
      <c r="C34" s="2" t="str">
        <f ca="1">IFERROR(__xludf.DUMMYFUNCTION("""COMPUTED_VALUE"""),"平日夜間")</f>
        <v>平日夜間</v>
      </c>
      <c r="D34" s="2"/>
      <c r="E34" s="2">
        <f ca="1">IFERROR(__xludf.DUMMYFUNCTION("""COMPUTED_VALUE"""),2)</f>
        <v>2</v>
      </c>
      <c r="F34" s="2"/>
      <c r="G34" s="2">
        <f ca="1">IFERROR(__xludf.DUMMYFUNCTION("""COMPUTED_VALUE"""),2)</f>
        <v>2</v>
      </c>
      <c r="H34" s="2">
        <f ca="1">IFERROR(__xludf.DUMMYFUNCTION("""COMPUTED_VALUE"""),3)</f>
        <v>3</v>
      </c>
      <c r="I34" s="2">
        <f ca="1">IFERROR(__xludf.DUMMYFUNCTION("""COMPUTED_VALUE"""),1)</f>
        <v>1</v>
      </c>
      <c r="J34" s="2">
        <f ca="1">IFERROR(__xludf.DUMMYFUNCTION("""COMPUTED_VALUE"""),1)</f>
        <v>1</v>
      </c>
      <c r="K34" s="2"/>
      <c r="L34" s="2"/>
      <c r="M34" s="2"/>
      <c r="N34" s="2"/>
      <c r="O34" s="2">
        <f ca="1">IFERROR(__xludf.DUMMYFUNCTION("""COMPUTED_VALUE"""),1)</f>
        <v>1</v>
      </c>
      <c r="P34" s="2"/>
      <c r="Q34" s="2">
        <f ca="1">IFERROR(__xludf.DUMMYFUNCTION("""COMPUTED_VALUE"""),1)</f>
        <v>1</v>
      </c>
      <c r="R34" s="2">
        <f ca="1">IFERROR(__xludf.DUMMYFUNCTION("""COMPUTED_VALUE"""),1)</f>
        <v>1</v>
      </c>
      <c r="S34" s="2"/>
      <c r="T34" s="2"/>
      <c r="U34" s="2"/>
      <c r="V34" s="2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L61"/>
  <sheetViews>
    <sheetView workbookViewId="0"/>
  </sheetViews>
  <sheetFormatPr defaultColWidth="12.59765625" defaultRowHeight="15.75" customHeight="1" x14ac:dyDescent="0.35"/>
  <cols>
    <col min="1" max="1" width="11" customWidth="1"/>
    <col min="2" max="2" width="9" customWidth="1"/>
    <col min="3" max="3" width="12.265625" customWidth="1"/>
    <col min="4" max="35" width="6.46484375" customWidth="1"/>
    <col min="36" max="51" width="11" customWidth="1"/>
  </cols>
  <sheetData>
    <row r="1" spans="1:38" ht="15.75" customHeight="1" x14ac:dyDescent="0.7">
      <c r="A1" s="47" t="str">
        <f ca="1">IFERROR(__xludf.DUMMYFUNCTION("QUERY('暫定シフト表'!A8:I512,""select A,B, D,count(D) where H is not null group by A, B ,D pivot H order by A desc, B desc"",1)"),"")</f>
        <v/>
      </c>
      <c r="B1" s="28" t="str">
        <f ca="1">IFERROR(__xludf.DUMMYFUNCTION("""COMPUTED_VALUE"""),"")</f>
        <v/>
      </c>
      <c r="C1" s="2" t="str">
        <f ca="1">IFERROR(__xludf.DUMMYFUNCTION("""COMPUTED_VALUE"""),"シフト種類")</f>
        <v>シフト種類</v>
      </c>
      <c r="D1" s="2" t="str">
        <f ca="1">IFERROR(__xludf.DUMMYFUNCTION("""COMPUTED_VALUE"""),"NAN")</f>
        <v>NAN</v>
      </c>
      <c r="E1" s="2" t="str">
        <f ca="1">IFERROR(__xludf.DUMMYFUNCTION("""COMPUTED_VALUE"""),"中村")</f>
        <v>中村</v>
      </c>
      <c r="F1" s="2" t="str">
        <f ca="1">IFERROR(__xludf.DUMMYFUNCTION("""COMPUTED_VALUE"""),"中瀬")</f>
        <v>中瀬</v>
      </c>
      <c r="G1" s="2" t="str">
        <f ca="1">IFERROR(__xludf.DUMMYFUNCTION("""COMPUTED_VALUE"""),"中野")</f>
        <v>中野</v>
      </c>
      <c r="H1" s="2" t="str">
        <f ca="1">IFERROR(__xludf.DUMMYFUNCTION("""COMPUTED_VALUE"""),"井上")</f>
        <v>井上</v>
      </c>
      <c r="I1" s="2" t="str">
        <f ca="1">IFERROR(__xludf.DUMMYFUNCTION("""COMPUTED_VALUE"""),"伊藤")</f>
        <v>伊藤</v>
      </c>
      <c r="J1" s="2" t="str">
        <f ca="1">IFERROR(__xludf.DUMMYFUNCTION("""COMPUTED_VALUE"""),"佐藤")</f>
        <v>佐藤</v>
      </c>
      <c r="K1" s="2" t="str">
        <f ca="1">IFERROR(__xludf.DUMMYFUNCTION("""COMPUTED_VALUE"""),"勝俣")</f>
        <v>勝俣</v>
      </c>
      <c r="L1" s="2" t="str">
        <f ca="1">IFERROR(__xludf.DUMMYFUNCTION("""COMPUTED_VALUE"""),"吉田")</f>
        <v>吉田</v>
      </c>
      <c r="M1" s="2" t="str">
        <f ca="1">IFERROR(__xludf.DUMMYFUNCTION("""COMPUTED_VALUE"""),"太良")</f>
        <v>太良</v>
      </c>
      <c r="N1" s="2" t="str">
        <f ca="1">IFERROR(__xludf.DUMMYFUNCTION("""COMPUTED_VALUE"""),"宗")</f>
        <v>宗</v>
      </c>
      <c r="O1" s="2" t="str">
        <f ca="1">IFERROR(__xludf.DUMMYFUNCTION("""COMPUTED_VALUE"""),"宮坂")</f>
        <v>宮坂</v>
      </c>
      <c r="P1" s="2" t="str">
        <f ca="1">IFERROR(__xludf.DUMMYFUNCTION("""COMPUTED_VALUE"""),"尾田")</f>
        <v>尾田</v>
      </c>
      <c r="Q1" s="2" t="str">
        <f ca="1">IFERROR(__xludf.DUMMYFUNCTION("""COMPUTED_VALUE"""),"山口")</f>
        <v>山口</v>
      </c>
      <c r="R1" s="2" t="str">
        <f ca="1">IFERROR(__xludf.DUMMYFUNCTION("""COMPUTED_VALUE"""),"新美")</f>
        <v>新美</v>
      </c>
      <c r="S1" s="2" t="str">
        <f ca="1">IFERROR(__xludf.DUMMYFUNCTION("""COMPUTED_VALUE"""),"松井")</f>
        <v>松井</v>
      </c>
      <c r="T1" s="2" t="str">
        <f ca="1">IFERROR(__xludf.DUMMYFUNCTION("""COMPUTED_VALUE"""),"林哲")</f>
        <v>林哲</v>
      </c>
      <c r="U1" s="2" t="str">
        <f ca="1">IFERROR(__xludf.DUMMYFUNCTION("""COMPUTED_VALUE"""),"林智")</f>
        <v>林智</v>
      </c>
      <c r="V1" s="2" t="str">
        <f ca="1">IFERROR(__xludf.DUMMYFUNCTION("""COMPUTED_VALUE"""),"柴山")</f>
        <v>柴山</v>
      </c>
      <c r="W1" s="2" t="str">
        <f ca="1">IFERROR(__xludf.DUMMYFUNCTION("""COMPUTED_VALUE"""),"森")</f>
        <v>森</v>
      </c>
      <c r="X1" s="2" t="str">
        <f ca="1">IFERROR(__xludf.DUMMYFUNCTION("""COMPUTED_VALUE"""),"森岳")</f>
        <v>森岳</v>
      </c>
      <c r="Y1" s="2" t="str">
        <f ca="1">IFERROR(__xludf.DUMMYFUNCTION("""COMPUTED_VALUE"""),"橋元")</f>
        <v>橋元</v>
      </c>
      <c r="Z1" s="2" t="str">
        <f ca="1">IFERROR(__xludf.DUMMYFUNCTION("""COMPUTED_VALUE"""),"河瀬")</f>
        <v>河瀬</v>
      </c>
      <c r="AA1" s="2" t="str">
        <f ca="1">IFERROR(__xludf.DUMMYFUNCTION("""COMPUTED_VALUE"""),"湯川")</f>
        <v>湯川</v>
      </c>
      <c r="AB1" s="2" t="str">
        <f ca="1">IFERROR(__xludf.DUMMYFUNCTION("""COMPUTED_VALUE"""),"石田")</f>
        <v>石田</v>
      </c>
      <c r="AC1" s="2" t="str">
        <f ca="1">IFERROR(__xludf.DUMMYFUNCTION("""COMPUTED_VALUE"""),"福井")</f>
        <v>福井</v>
      </c>
      <c r="AD1" s="2" t="str">
        <f ca="1">IFERROR(__xludf.DUMMYFUNCTION("""COMPUTED_VALUE"""),"福里")</f>
        <v>福里</v>
      </c>
      <c r="AE1" s="2" t="str">
        <f ca="1">IFERROR(__xludf.DUMMYFUNCTION("""COMPUTED_VALUE"""),"稲葉")</f>
        <v>稲葉</v>
      </c>
      <c r="AF1" s="2" t="str">
        <f ca="1">IFERROR(__xludf.DUMMYFUNCTION("""COMPUTED_VALUE"""),"竹藤")</f>
        <v>竹藤</v>
      </c>
      <c r="AG1" s="2" t="str">
        <f ca="1">IFERROR(__xludf.DUMMYFUNCTION("""COMPUTED_VALUE"""),"笠原")</f>
        <v>笠原</v>
      </c>
      <c r="AH1" s="2" t="str">
        <f ca="1">IFERROR(__xludf.DUMMYFUNCTION("""COMPUTED_VALUE"""),"菊野")</f>
        <v>菊野</v>
      </c>
      <c r="AI1" s="2" t="str">
        <f ca="1">IFERROR(__xludf.DUMMYFUNCTION("""COMPUTED_VALUE"""),"西堂")</f>
        <v>西堂</v>
      </c>
      <c r="AJ1" s="2" t="str">
        <f ca="1">IFERROR(__xludf.DUMMYFUNCTION("""COMPUTED_VALUE"""),"西谷")</f>
        <v>西谷</v>
      </c>
      <c r="AK1" s="2" t="str">
        <f ca="1">IFERROR(__xludf.DUMMYFUNCTION("""COMPUTED_VALUE"""),"鈴木")</f>
        <v>鈴木</v>
      </c>
      <c r="AL1" s="2" t="str">
        <f ca="1">IFERROR(__xludf.DUMMYFUNCTION("""COMPUTED_VALUE"""),"高口")</f>
        <v>高口</v>
      </c>
    </row>
    <row r="2" spans="1:38" x14ac:dyDescent="0.35">
      <c r="A2" s="2" t="str">
        <f ca="1">IFERROR(__xludf.DUMMYFUNCTION("""COMPUTED_VALUE"""),"2023")</f>
        <v>2023</v>
      </c>
      <c r="B2" s="2" t="str">
        <f ca="1">IFERROR(__xludf.DUMMYFUNCTION("""COMPUTED_VALUE"""),"03")</f>
        <v>03</v>
      </c>
      <c r="C2" s="2" t="str">
        <f ca="1">IFERROR(__xludf.DUMMYFUNCTION("""COMPUTED_VALUE"""),"休日午前")</f>
        <v>休日午前</v>
      </c>
      <c r="D2" s="2"/>
      <c r="E2" s="2"/>
      <c r="F2" s="2">
        <f ca="1">IFERROR(__xludf.DUMMYFUNCTION("""COMPUTED_VALUE"""),1)</f>
        <v>1</v>
      </c>
      <c r="G2" s="2"/>
      <c r="H2" s="2"/>
      <c r="I2" s="2">
        <f ca="1">IFERROR(__xludf.DUMMYFUNCTION("""COMPUTED_VALUE"""),2)</f>
        <v>2</v>
      </c>
      <c r="J2" s="2">
        <f ca="1">IFERROR(__xludf.DUMMYFUNCTION("""COMPUTED_VALUE"""),1)</f>
        <v>1</v>
      </c>
      <c r="K2" s="2"/>
      <c r="L2" s="2"/>
      <c r="M2" s="2"/>
      <c r="N2" s="2">
        <f ca="1">IFERROR(__xludf.DUMMYFUNCTION("""COMPUTED_VALUE"""),1)</f>
        <v>1</v>
      </c>
      <c r="O2" s="2"/>
      <c r="P2" s="2"/>
      <c r="Q2" s="2">
        <f ca="1">IFERROR(__xludf.DUMMYFUNCTION("""COMPUTED_VALUE"""),1)</f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>
        <f ca="1">IFERROR(__xludf.DUMMYFUNCTION("""COMPUTED_VALUE"""),1)</f>
        <v>1</v>
      </c>
      <c r="AD2" s="2"/>
      <c r="AE2" s="2"/>
      <c r="AF2" s="2">
        <f ca="1">IFERROR(__xludf.DUMMYFUNCTION("""COMPUTED_VALUE"""),1)</f>
        <v>1</v>
      </c>
      <c r="AG2" s="2"/>
      <c r="AH2" s="2"/>
      <c r="AI2" s="2"/>
      <c r="AJ2" s="2">
        <f ca="1">IFERROR(__xludf.DUMMYFUNCTION("""COMPUTED_VALUE"""),1)</f>
        <v>1</v>
      </c>
      <c r="AK2" s="2"/>
      <c r="AL2" s="2"/>
    </row>
    <row r="3" spans="1:38" x14ac:dyDescent="0.35">
      <c r="A3" s="2" t="str">
        <f ca="1">IFERROR(__xludf.DUMMYFUNCTION("""COMPUTED_VALUE"""),"2023")</f>
        <v>2023</v>
      </c>
      <c r="B3" s="2" t="str">
        <f ca="1">IFERROR(__xludf.DUMMYFUNCTION("""COMPUTED_VALUE"""),"03")</f>
        <v>03</v>
      </c>
      <c r="C3" s="2" t="str">
        <f ca="1">IFERROR(__xludf.DUMMYFUNCTION("""COMPUTED_VALUE"""),"休日午後")</f>
        <v>休日午後</v>
      </c>
      <c r="D3" s="2"/>
      <c r="E3" s="2"/>
      <c r="F3" s="2">
        <f ca="1">IFERROR(__xludf.DUMMYFUNCTION("""COMPUTED_VALUE"""),1)</f>
        <v>1</v>
      </c>
      <c r="G3" s="2"/>
      <c r="H3" s="2">
        <f ca="1">IFERROR(__xludf.DUMMYFUNCTION("""COMPUTED_VALUE"""),1)</f>
        <v>1</v>
      </c>
      <c r="I3" s="2"/>
      <c r="J3" s="2"/>
      <c r="K3" s="2">
        <f ca="1">IFERROR(__xludf.DUMMYFUNCTION("""COMPUTED_VALUE"""),1)</f>
        <v>1</v>
      </c>
      <c r="L3" s="2"/>
      <c r="M3" s="2">
        <f ca="1">IFERROR(__xludf.DUMMYFUNCTION("""COMPUTED_VALUE"""),1)</f>
        <v>1</v>
      </c>
      <c r="N3" s="2">
        <f ca="1">IFERROR(__xludf.DUMMYFUNCTION("""COMPUTED_VALUE"""),1)</f>
        <v>1</v>
      </c>
      <c r="O3" s="2">
        <f ca="1">IFERROR(__xludf.DUMMYFUNCTION("""COMPUTED_VALUE"""),1)</f>
        <v>1</v>
      </c>
      <c r="P3" s="2"/>
      <c r="Q3" s="2"/>
      <c r="R3" s="2"/>
      <c r="S3" s="2"/>
      <c r="T3" s="2">
        <f ca="1">IFERROR(__xludf.DUMMYFUNCTION("""COMPUTED_VALUE"""),1)</f>
        <v>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>
        <f ca="1">IFERROR(__xludf.DUMMYFUNCTION("""COMPUTED_VALUE"""),1)</f>
        <v>1</v>
      </c>
      <c r="AI3" s="2"/>
      <c r="AJ3" s="2"/>
      <c r="AK3" s="2"/>
      <c r="AL3" s="2">
        <f ca="1">IFERROR(__xludf.DUMMYFUNCTION("""COMPUTED_VALUE"""),1)</f>
        <v>1</v>
      </c>
    </row>
    <row r="4" spans="1:38" x14ac:dyDescent="0.35">
      <c r="A4" s="2" t="str">
        <f ca="1">IFERROR(__xludf.DUMMYFUNCTION("""COMPUTED_VALUE"""),"2023")</f>
        <v>2023</v>
      </c>
      <c r="B4" s="2" t="str">
        <f ca="1">IFERROR(__xludf.DUMMYFUNCTION("""COMPUTED_VALUE"""),"03")</f>
        <v>03</v>
      </c>
      <c r="C4" s="2" t="str">
        <f ca="1">IFERROR(__xludf.DUMMYFUNCTION("""COMPUTED_VALUE"""),"平日夜間")</f>
        <v>平日夜間</v>
      </c>
      <c r="D4" s="2"/>
      <c r="E4" s="2"/>
      <c r="F4" s="2"/>
      <c r="G4" s="2"/>
      <c r="H4" s="2">
        <f ca="1">IFERROR(__xludf.DUMMYFUNCTION("""COMPUTED_VALUE"""),4)</f>
        <v>4</v>
      </c>
      <c r="I4" s="2"/>
      <c r="J4" s="2">
        <f ca="1">IFERROR(__xludf.DUMMYFUNCTION("""COMPUTED_VALUE"""),2)</f>
        <v>2</v>
      </c>
      <c r="K4" s="2">
        <f ca="1">IFERROR(__xludf.DUMMYFUNCTION("""COMPUTED_VALUE"""),2)</f>
        <v>2</v>
      </c>
      <c r="L4" s="2">
        <f ca="1">IFERROR(__xludf.DUMMYFUNCTION("""COMPUTED_VALUE"""),2)</f>
        <v>2</v>
      </c>
      <c r="M4" s="2"/>
      <c r="N4" s="2">
        <f ca="1">IFERROR(__xludf.DUMMYFUNCTION("""COMPUTED_VALUE"""),1)</f>
        <v>1</v>
      </c>
      <c r="O4" s="2">
        <f ca="1">IFERROR(__xludf.DUMMYFUNCTION("""COMPUTED_VALUE"""),1)</f>
        <v>1</v>
      </c>
      <c r="P4" s="2">
        <f ca="1">IFERROR(__xludf.DUMMYFUNCTION("""COMPUTED_VALUE"""),1)</f>
        <v>1</v>
      </c>
      <c r="Q4" s="2">
        <f ca="1">IFERROR(__xludf.DUMMYFUNCTION("""COMPUTED_VALUE"""),2)</f>
        <v>2</v>
      </c>
      <c r="R4" s="2">
        <f ca="1">IFERROR(__xludf.DUMMYFUNCTION("""COMPUTED_VALUE"""),1)</f>
        <v>1</v>
      </c>
      <c r="S4" s="2"/>
      <c r="T4" s="2"/>
      <c r="U4" s="2">
        <f ca="1">IFERROR(__xludf.DUMMYFUNCTION("""COMPUTED_VALUE"""),2)</f>
        <v>2</v>
      </c>
      <c r="V4" s="2"/>
      <c r="W4" s="2"/>
      <c r="X4" s="2"/>
      <c r="Y4" s="2"/>
      <c r="Z4" s="2"/>
      <c r="AA4" s="2"/>
      <c r="AB4" s="2"/>
      <c r="AC4" s="2">
        <f ca="1">IFERROR(__xludf.DUMMYFUNCTION("""COMPUTED_VALUE"""),1)</f>
        <v>1</v>
      </c>
      <c r="AD4" s="2"/>
      <c r="AE4" s="2"/>
      <c r="AF4" s="2"/>
      <c r="AG4" s="2"/>
      <c r="AH4" s="2">
        <f ca="1">IFERROR(__xludf.DUMMYFUNCTION("""COMPUTED_VALUE"""),1)</f>
        <v>1</v>
      </c>
      <c r="AI4" s="2"/>
      <c r="AJ4" s="2">
        <f ca="1">IFERROR(__xludf.DUMMYFUNCTION("""COMPUTED_VALUE"""),1)</f>
        <v>1</v>
      </c>
      <c r="AK4" s="2"/>
      <c r="AL4" s="2">
        <f ca="1">IFERROR(__xludf.DUMMYFUNCTION("""COMPUTED_VALUE"""),1)</f>
        <v>1</v>
      </c>
    </row>
    <row r="5" spans="1:38" x14ac:dyDescent="0.35">
      <c r="A5" s="2" t="str">
        <f ca="1">IFERROR(__xludf.DUMMYFUNCTION("""COMPUTED_VALUE"""),"2023")</f>
        <v>2023</v>
      </c>
      <c r="B5" s="28" t="str">
        <f ca="1">IFERROR(__xludf.DUMMYFUNCTION("""COMPUTED_VALUE"""),"02")</f>
        <v>02</v>
      </c>
      <c r="C5" s="2" t="str">
        <f ca="1">IFERROR(__xludf.DUMMYFUNCTION("""COMPUTED_VALUE"""),"休日午前")</f>
        <v>休日午前</v>
      </c>
      <c r="D5" s="2"/>
      <c r="E5" s="2"/>
      <c r="F5" s="2">
        <f ca="1">IFERROR(__xludf.DUMMYFUNCTION("""COMPUTED_VALUE"""),2)</f>
        <v>2</v>
      </c>
      <c r="G5" s="2"/>
      <c r="H5" s="2">
        <f ca="1">IFERROR(__xludf.DUMMYFUNCTION("""COMPUTED_VALUE"""),1)</f>
        <v>1</v>
      </c>
      <c r="I5" s="2"/>
      <c r="J5" s="2">
        <f ca="1">IFERROR(__xludf.DUMMYFUNCTION("""COMPUTED_VALUE"""),1)</f>
        <v>1</v>
      </c>
      <c r="K5" s="2">
        <f ca="1">IFERROR(__xludf.DUMMYFUNCTION("""COMPUTED_VALUE"""),1)</f>
        <v>1</v>
      </c>
      <c r="L5" s="2">
        <f ca="1">IFERROR(__xludf.DUMMYFUNCTION("""COMPUTED_VALUE"""),1)</f>
        <v>1</v>
      </c>
      <c r="M5" s="2">
        <f ca="1">IFERROR(__xludf.DUMMYFUNCTION("""COMPUTED_VALUE"""),1)</f>
        <v>1</v>
      </c>
      <c r="N5" s="2"/>
      <c r="O5" s="2">
        <f ca="1">IFERROR(__xludf.DUMMYFUNCTION("""COMPUTED_VALUE"""),1)</f>
        <v>1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>
        <f ca="1">IFERROR(__xludf.DUMMYFUNCTION("""COMPUTED_VALUE"""),1)</f>
        <v>1</v>
      </c>
      <c r="AK5" s="2"/>
      <c r="AL5" s="2"/>
    </row>
    <row r="6" spans="1:38" x14ac:dyDescent="0.35">
      <c r="A6" s="2" t="str">
        <f ca="1">IFERROR(__xludf.DUMMYFUNCTION("""COMPUTED_VALUE"""),"2023")</f>
        <v>2023</v>
      </c>
      <c r="B6" s="2" t="str">
        <f ca="1">IFERROR(__xludf.DUMMYFUNCTION("""COMPUTED_VALUE"""),"02")</f>
        <v>02</v>
      </c>
      <c r="C6" s="2" t="str">
        <f ca="1">IFERROR(__xludf.DUMMYFUNCTION("""COMPUTED_VALUE"""),"休日午後")</f>
        <v>休日午後</v>
      </c>
      <c r="D6" s="2"/>
      <c r="E6" s="2"/>
      <c r="F6" s="2"/>
      <c r="G6" s="2"/>
      <c r="H6" s="2"/>
      <c r="I6" s="2">
        <f ca="1">IFERROR(__xludf.DUMMYFUNCTION("""COMPUTED_VALUE"""),1)</f>
        <v>1</v>
      </c>
      <c r="J6" s="2"/>
      <c r="K6" s="2"/>
      <c r="L6" s="2">
        <f ca="1">IFERROR(__xludf.DUMMYFUNCTION("""COMPUTED_VALUE"""),1)</f>
        <v>1</v>
      </c>
      <c r="M6" s="2"/>
      <c r="N6" s="2">
        <f ca="1">IFERROR(__xludf.DUMMYFUNCTION("""COMPUTED_VALUE"""),1)</f>
        <v>1</v>
      </c>
      <c r="O6" s="2"/>
      <c r="P6" s="2"/>
      <c r="Q6" s="2"/>
      <c r="R6" s="2"/>
      <c r="S6" s="2"/>
      <c r="T6" s="2">
        <f ca="1">IFERROR(__xludf.DUMMYFUNCTION("""COMPUTED_VALUE"""),1)</f>
        <v>1</v>
      </c>
      <c r="U6" s="2"/>
      <c r="V6" s="2"/>
      <c r="W6" s="2"/>
      <c r="X6" s="2"/>
      <c r="Y6" s="2"/>
      <c r="Z6" s="2"/>
      <c r="AA6" s="2"/>
      <c r="AB6" s="2"/>
      <c r="AC6" s="2">
        <f ca="1">IFERROR(__xludf.DUMMYFUNCTION("""COMPUTED_VALUE"""),2)</f>
        <v>2</v>
      </c>
      <c r="AD6" s="2"/>
      <c r="AE6" s="2"/>
      <c r="AF6" s="2">
        <f ca="1">IFERROR(__xludf.DUMMYFUNCTION("""COMPUTED_VALUE"""),2)</f>
        <v>2</v>
      </c>
      <c r="AG6" s="2"/>
      <c r="AH6" s="2">
        <f ca="1">IFERROR(__xludf.DUMMYFUNCTION("""COMPUTED_VALUE"""),1)</f>
        <v>1</v>
      </c>
      <c r="AI6" s="2"/>
      <c r="AJ6" s="2"/>
      <c r="AK6" s="2"/>
      <c r="AL6" s="2"/>
    </row>
    <row r="7" spans="1:38" x14ac:dyDescent="0.35">
      <c r="A7" s="48" t="str">
        <f ca="1">IFERROR(__xludf.DUMMYFUNCTION("""COMPUTED_VALUE"""),"2023")</f>
        <v>2023</v>
      </c>
      <c r="B7" s="28" t="str">
        <f ca="1">IFERROR(__xludf.DUMMYFUNCTION("""COMPUTED_VALUE"""),"02")</f>
        <v>02</v>
      </c>
      <c r="C7" s="28" t="str">
        <f ca="1">IFERROR(__xludf.DUMMYFUNCTION("""COMPUTED_VALUE"""),"平日夜間")</f>
        <v>平日夜間</v>
      </c>
      <c r="D7" s="2"/>
      <c r="E7" s="2"/>
      <c r="F7" s="2"/>
      <c r="G7" s="2"/>
      <c r="H7" s="2">
        <f ca="1">IFERROR(__xludf.DUMMYFUNCTION("""COMPUTED_VALUE"""),2)</f>
        <v>2</v>
      </c>
      <c r="I7" s="2">
        <f ca="1">IFERROR(__xludf.DUMMYFUNCTION("""COMPUTED_VALUE"""),1)</f>
        <v>1</v>
      </c>
      <c r="J7" s="2">
        <f ca="1">IFERROR(__xludf.DUMMYFUNCTION("""COMPUTED_VALUE"""),1)</f>
        <v>1</v>
      </c>
      <c r="K7" s="2"/>
      <c r="L7" s="2"/>
      <c r="M7" s="2"/>
      <c r="N7" s="2">
        <f ca="1">IFERROR(__xludf.DUMMYFUNCTION("""COMPUTED_VALUE"""),1)</f>
        <v>1</v>
      </c>
      <c r="O7" s="2">
        <f ca="1">IFERROR(__xludf.DUMMYFUNCTION("""COMPUTED_VALUE"""),2)</f>
        <v>2</v>
      </c>
      <c r="P7" s="2">
        <f ca="1">IFERROR(__xludf.DUMMYFUNCTION("""COMPUTED_VALUE"""),1)</f>
        <v>1</v>
      </c>
      <c r="Q7" s="2">
        <f ca="1">IFERROR(__xludf.DUMMYFUNCTION("""COMPUTED_VALUE"""),2)</f>
        <v>2</v>
      </c>
      <c r="R7" s="2">
        <f ca="1">IFERROR(__xludf.DUMMYFUNCTION("""COMPUTED_VALUE"""),2)</f>
        <v>2</v>
      </c>
      <c r="S7" s="2"/>
      <c r="T7" s="2"/>
      <c r="U7" s="2">
        <f ca="1">IFERROR(__xludf.DUMMYFUNCTION("""COMPUTED_VALUE"""),1)</f>
        <v>1</v>
      </c>
      <c r="V7" s="2"/>
      <c r="W7" s="2"/>
      <c r="X7" s="2"/>
      <c r="Y7" s="2"/>
      <c r="Z7" s="2"/>
      <c r="AA7" s="2"/>
      <c r="AB7" s="2"/>
      <c r="AC7" s="2">
        <f ca="1">IFERROR(__xludf.DUMMYFUNCTION("""COMPUTED_VALUE"""),2)</f>
        <v>2</v>
      </c>
      <c r="AD7" s="2"/>
      <c r="AE7" s="2"/>
      <c r="AF7" s="2">
        <f ca="1">IFERROR(__xludf.DUMMYFUNCTION("""COMPUTED_VALUE"""),1)</f>
        <v>1</v>
      </c>
      <c r="AG7" s="2"/>
      <c r="AH7" s="2">
        <f ca="1">IFERROR(__xludf.DUMMYFUNCTION("""COMPUTED_VALUE"""),1)</f>
        <v>1</v>
      </c>
      <c r="AI7" s="2"/>
      <c r="AJ7" s="2">
        <f ca="1">IFERROR(__xludf.DUMMYFUNCTION("""COMPUTED_VALUE"""),2)</f>
        <v>2</v>
      </c>
      <c r="AK7" s="2"/>
      <c r="AL7" s="2"/>
    </row>
    <row r="8" spans="1:38" x14ac:dyDescent="0.35">
      <c r="A8" s="2" t="str">
        <f ca="1">IFERROR(__xludf.DUMMYFUNCTION("""COMPUTED_VALUE"""),"2023")</f>
        <v>2023</v>
      </c>
      <c r="B8" s="2" t="str">
        <f ca="1">IFERROR(__xludf.DUMMYFUNCTION("""COMPUTED_VALUE"""),"01")</f>
        <v>01</v>
      </c>
      <c r="C8" s="2" t="str">
        <f ca="1">IFERROR(__xludf.DUMMYFUNCTION("""COMPUTED_VALUE"""),"休日午前")</f>
        <v>休日午前</v>
      </c>
      <c r="D8" s="2"/>
      <c r="E8" s="2"/>
      <c r="F8" s="2">
        <f ca="1">IFERROR(__xludf.DUMMYFUNCTION("""COMPUTED_VALUE"""),1)</f>
        <v>1</v>
      </c>
      <c r="G8" s="2"/>
      <c r="H8" s="2">
        <f ca="1">IFERROR(__xludf.DUMMYFUNCTION("""COMPUTED_VALUE"""),1)</f>
        <v>1</v>
      </c>
      <c r="I8" s="2">
        <f ca="1">IFERROR(__xludf.DUMMYFUNCTION("""COMPUTED_VALUE"""),1)</f>
        <v>1</v>
      </c>
      <c r="J8" s="2">
        <f ca="1">IFERROR(__xludf.DUMMYFUNCTION("""COMPUTED_VALUE"""),2)</f>
        <v>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>
        <f ca="1">IFERROR(__xludf.DUMMYFUNCTION("""COMPUTED_VALUE"""),1)</f>
        <v>1</v>
      </c>
      <c r="AD8" s="2"/>
      <c r="AE8" s="2">
        <f ca="1">IFERROR(__xludf.DUMMYFUNCTION("""COMPUTED_VALUE"""),1)</f>
        <v>1</v>
      </c>
      <c r="AF8" s="2">
        <f ca="1">IFERROR(__xludf.DUMMYFUNCTION("""COMPUTED_VALUE"""),1)</f>
        <v>1</v>
      </c>
      <c r="AG8" s="2"/>
      <c r="AH8" s="2">
        <f ca="1">IFERROR(__xludf.DUMMYFUNCTION("""COMPUTED_VALUE"""),1)</f>
        <v>1</v>
      </c>
      <c r="AI8" s="2"/>
      <c r="AJ8" s="2"/>
      <c r="AK8" s="2"/>
      <c r="AL8" s="2"/>
    </row>
    <row r="9" spans="1:38" x14ac:dyDescent="0.35">
      <c r="A9" s="2" t="str">
        <f ca="1">IFERROR(__xludf.DUMMYFUNCTION("""COMPUTED_VALUE"""),"2023")</f>
        <v>2023</v>
      </c>
      <c r="B9" s="2" t="str">
        <f ca="1">IFERROR(__xludf.DUMMYFUNCTION("""COMPUTED_VALUE"""),"01")</f>
        <v>01</v>
      </c>
      <c r="C9" s="2" t="str">
        <f ca="1">IFERROR(__xludf.DUMMYFUNCTION("""COMPUTED_VALUE"""),"休日午後")</f>
        <v>休日午後</v>
      </c>
      <c r="D9" s="2"/>
      <c r="E9" s="2"/>
      <c r="F9" s="2"/>
      <c r="G9" s="2"/>
      <c r="H9" s="2"/>
      <c r="I9" s="2"/>
      <c r="J9" s="2"/>
      <c r="K9" s="2">
        <f ca="1">IFERROR(__xludf.DUMMYFUNCTION("""COMPUTED_VALUE"""),1)</f>
        <v>1</v>
      </c>
      <c r="L9" s="2">
        <f ca="1">IFERROR(__xludf.DUMMYFUNCTION("""COMPUTED_VALUE"""),1)</f>
        <v>1</v>
      </c>
      <c r="M9" s="2">
        <f ca="1">IFERROR(__xludf.DUMMYFUNCTION("""COMPUTED_VALUE"""),1)</f>
        <v>1</v>
      </c>
      <c r="N9" s="2"/>
      <c r="O9" s="2"/>
      <c r="P9" s="2"/>
      <c r="Q9" s="2">
        <f ca="1">IFERROR(__xludf.DUMMYFUNCTION("""COMPUTED_VALUE"""),1)</f>
        <v>1</v>
      </c>
      <c r="R9" s="2">
        <f ca="1">IFERROR(__xludf.DUMMYFUNCTION("""COMPUTED_VALUE"""),1)</f>
        <v>1</v>
      </c>
      <c r="S9" s="2"/>
      <c r="T9" s="2">
        <f ca="1">IFERROR(__xludf.DUMMYFUNCTION("""COMPUTED_VALUE"""),1)</f>
        <v>1</v>
      </c>
      <c r="U9" s="2">
        <f ca="1">IFERROR(__xludf.DUMMYFUNCTION("""COMPUTED_VALUE"""),1)</f>
        <v>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f ca="1">IFERROR(__xludf.DUMMYFUNCTION("""COMPUTED_VALUE"""),1)</f>
        <v>1</v>
      </c>
      <c r="AJ9" s="2">
        <f ca="1">IFERROR(__xludf.DUMMYFUNCTION("""COMPUTED_VALUE"""),1)</f>
        <v>1</v>
      </c>
      <c r="AK9" s="2"/>
      <c r="AL9" s="2"/>
    </row>
    <row r="10" spans="1:38" x14ac:dyDescent="0.35">
      <c r="A10" s="2" t="str">
        <f ca="1">IFERROR(__xludf.DUMMYFUNCTION("""COMPUTED_VALUE"""),"2023")</f>
        <v>2023</v>
      </c>
      <c r="B10" s="2" t="str">
        <f ca="1">IFERROR(__xludf.DUMMYFUNCTION("""COMPUTED_VALUE"""),"01")</f>
        <v>01</v>
      </c>
      <c r="C10" s="2" t="str">
        <f ca="1">IFERROR(__xludf.DUMMYFUNCTION("""COMPUTED_VALUE"""),"平日夜間")</f>
        <v>平日夜間</v>
      </c>
      <c r="D10" s="2"/>
      <c r="E10" s="2"/>
      <c r="F10" s="2">
        <f ca="1">IFERROR(__xludf.DUMMYFUNCTION("""COMPUTED_VALUE"""),1)</f>
        <v>1</v>
      </c>
      <c r="G10" s="2">
        <f ca="1">IFERROR(__xludf.DUMMYFUNCTION("""COMPUTED_VALUE"""),1)</f>
        <v>1</v>
      </c>
      <c r="H10" s="2">
        <f ca="1">IFERROR(__xludf.DUMMYFUNCTION("""COMPUTED_VALUE"""),2)</f>
        <v>2</v>
      </c>
      <c r="I10" s="2">
        <f ca="1">IFERROR(__xludf.DUMMYFUNCTION("""COMPUTED_VALUE"""),1)</f>
        <v>1</v>
      </c>
      <c r="J10" s="2">
        <f ca="1">IFERROR(__xludf.DUMMYFUNCTION("""COMPUTED_VALUE"""),1)</f>
        <v>1</v>
      </c>
      <c r="K10" s="2">
        <f ca="1">IFERROR(__xludf.DUMMYFUNCTION("""COMPUTED_VALUE"""),1)</f>
        <v>1</v>
      </c>
      <c r="L10" s="2"/>
      <c r="M10" s="2"/>
      <c r="N10" s="2"/>
      <c r="O10" s="2"/>
      <c r="P10" s="2">
        <f ca="1">IFERROR(__xludf.DUMMYFUNCTION("""COMPUTED_VALUE"""),1)</f>
        <v>1</v>
      </c>
      <c r="Q10" s="2">
        <f ca="1">IFERROR(__xludf.DUMMYFUNCTION("""COMPUTED_VALUE"""),1)</f>
        <v>1</v>
      </c>
      <c r="R10" s="2"/>
      <c r="S10" s="2">
        <f ca="1">IFERROR(__xludf.DUMMYFUNCTION("""COMPUTED_VALUE"""),2)</f>
        <v>2</v>
      </c>
      <c r="T10" s="2"/>
      <c r="U10" s="2"/>
      <c r="V10" s="2"/>
      <c r="W10" s="2">
        <f ca="1">IFERROR(__xludf.DUMMYFUNCTION("""COMPUTED_VALUE"""),1)</f>
        <v>1</v>
      </c>
      <c r="X10" s="2"/>
      <c r="Y10" s="2"/>
      <c r="Z10" s="2"/>
      <c r="AA10" s="2"/>
      <c r="AB10" s="2"/>
      <c r="AC10" s="2">
        <f ca="1">IFERROR(__xludf.DUMMYFUNCTION("""COMPUTED_VALUE"""),2)</f>
        <v>2</v>
      </c>
      <c r="AD10" s="2"/>
      <c r="AE10" s="2">
        <f ca="1">IFERROR(__xludf.DUMMYFUNCTION("""COMPUTED_VALUE"""),1)</f>
        <v>1</v>
      </c>
      <c r="AF10" s="2">
        <f ca="1">IFERROR(__xludf.DUMMYFUNCTION("""COMPUTED_VALUE"""),1)</f>
        <v>1</v>
      </c>
      <c r="AG10" s="2"/>
      <c r="AH10" s="2">
        <f ca="1">IFERROR(__xludf.DUMMYFUNCTION("""COMPUTED_VALUE"""),1)</f>
        <v>1</v>
      </c>
      <c r="AI10" s="2">
        <f ca="1">IFERROR(__xludf.DUMMYFUNCTION("""COMPUTED_VALUE"""),1)</f>
        <v>1</v>
      </c>
      <c r="AJ10" s="2">
        <f ca="1">IFERROR(__xludf.DUMMYFUNCTION("""COMPUTED_VALUE"""),1)</f>
        <v>1</v>
      </c>
      <c r="AK10" s="2"/>
      <c r="AL10" s="2"/>
    </row>
    <row r="11" spans="1:38" x14ac:dyDescent="0.35">
      <c r="A11" s="2" t="str">
        <f ca="1">IFERROR(__xludf.DUMMYFUNCTION("""COMPUTED_VALUE"""),"2022")</f>
        <v>2022</v>
      </c>
      <c r="B11" s="2" t="str">
        <f ca="1">IFERROR(__xludf.DUMMYFUNCTION("""COMPUTED_VALUE"""),"12")</f>
        <v>12</v>
      </c>
      <c r="C11" s="2" t="str">
        <f ca="1">IFERROR(__xludf.DUMMYFUNCTION("""COMPUTED_VALUE"""),"休日午前")</f>
        <v>休日午前</v>
      </c>
      <c r="D11" s="2"/>
      <c r="E11" s="2"/>
      <c r="F11" s="2">
        <f ca="1">IFERROR(__xludf.DUMMYFUNCTION("""COMPUTED_VALUE"""),1)</f>
        <v>1</v>
      </c>
      <c r="G11" s="2">
        <f ca="1">IFERROR(__xludf.DUMMYFUNCTION("""COMPUTED_VALUE"""),1)</f>
        <v>1</v>
      </c>
      <c r="H11" s="2">
        <f ca="1">IFERROR(__xludf.DUMMYFUNCTION("""COMPUTED_VALUE"""),1)</f>
        <v>1</v>
      </c>
      <c r="I11" s="2"/>
      <c r="J11" s="2">
        <f ca="1">IFERROR(__xludf.DUMMYFUNCTION("""COMPUTED_VALUE"""),1)</f>
        <v>1</v>
      </c>
      <c r="K11" s="2">
        <f ca="1">IFERROR(__xludf.DUMMYFUNCTION("""COMPUTED_VALUE"""),1)</f>
        <v>1</v>
      </c>
      <c r="L11" s="2"/>
      <c r="M11" s="2"/>
      <c r="N11" s="2"/>
      <c r="O11" s="2"/>
      <c r="P11" s="2"/>
      <c r="Q11" s="2">
        <f ca="1">IFERROR(__xludf.DUMMYFUNCTION("""COMPUTED_VALUE"""),1)</f>
        <v>1</v>
      </c>
      <c r="R11" s="2">
        <f ca="1">IFERROR(__xludf.DUMMYFUNCTION("""COMPUTED_VALUE"""),1)</f>
        <v>1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>
        <f ca="1">IFERROR(__xludf.DUMMYFUNCTION("""COMPUTED_VALUE"""),1)</f>
        <v>1</v>
      </c>
      <c r="AK11" s="2"/>
      <c r="AL11" s="2"/>
    </row>
    <row r="12" spans="1:38" x14ac:dyDescent="0.35">
      <c r="A12" s="2" t="str">
        <f ca="1">IFERROR(__xludf.DUMMYFUNCTION("""COMPUTED_VALUE"""),"2022")</f>
        <v>2022</v>
      </c>
      <c r="B12" s="2" t="str">
        <f ca="1">IFERROR(__xludf.DUMMYFUNCTION("""COMPUTED_VALUE"""),"12")</f>
        <v>12</v>
      </c>
      <c r="C12" s="2" t="str">
        <f ca="1">IFERROR(__xludf.DUMMYFUNCTION("""COMPUTED_VALUE"""),"休日午後")</f>
        <v>休日午後</v>
      </c>
      <c r="D12" s="2"/>
      <c r="E12" s="2"/>
      <c r="F12" s="2"/>
      <c r="G12" s="2"/>
      <c r="H12" s="2"/>
      <c r="I12" s="2">
        <f ca="1">IFERROR(__xludf.DUMMYFUNCTION("""COMPUTED_VALUE"""),1)</f>
        <v>1</v>
      </c>
      <c r="J12" s="2"/>
      <c r="K12" s="2"/>
      <c r="L12" s="2"/>
      <c r="M12" s="2">
        <f ca="1">IFERROR(__xludf.DUMMYFUNCTION("""COMPUTED_VALUE"""),1)</f>
        <v>1</v>
      </c>
      <c r="N12" s="2"/>
      <c r="O12" s="2"/>
      <c r="P12" s="2"/>
      <c r="Q12" s="2"/>
      <c r="R12" s="2"/>
      <c r="S12" s="2">
        <f ca="1">IFERROR(__xludf.DUMMYFUNCTION("""COMPUTED_VALUE"""),1)</f>
        <v>1</v>
      </c>
      <c r="T12" s="2">
        <f ca="1">IFERROR(__xludf.DUMMYFUNCTION("""COMPUTED_VALUE"""),1)</f>
        <v>1</v>
      </c>
      <c r="U12" s="2"/>
      <c r="V12" s="2"/>
      <c r="W12" s="2"/>
      <c r="X12" s="2">
        <f ca="1">IFERROR(__xludf.DUMMYFUNCTION("""COMPUTED_VALUE"""),1)</f>
        <v>1</v>
      </c>
      <c r="Y12" s="2"/>
      <c r="Z12" s="2"/>
      <c r="AA12" s="2"/>
      <c r="AB12" s="2"/>
      <c r="AC12" s="2"/>
      <c r="AD12" s="2"/>
      <c r="AE12" s="2">
        <f ca="1">IFERROR(__xludf.DUMMYFUNCTION("""COMPUTED_VALUE"""),1)</f>
        <v>1</v>
      </c>
      <c r="AF12" s="2">
        <f ca="1">IFERROR(__xludf.DUMMYFUNCTION("""COMPUTED_VALUE"""),1)</f>
        <v>1</v>
      </c>
      <c r="AG12" s="2"/>
      <c r="AH12" s="2">
        <f ca="1">IFERROR(__xludf.DUMMYFUNCTION("""COMPUTED_VALUE"""),1)</f>
        <v>1</v>
      </c>
      <c r="AI12" s="2"/>
      <c r="AJ12" s="2"/>
      <c r="AK12" s="2"/>
      <c r="AL12" s="2"/>
    </row>
    <row r="13" spans="1:38" x14ac:dyDescent="0.35">
      <c r="A13" s="2" t="str">
        <f ca="1">IFERROR(__xludf.DUMMYFUNCTION("""COMPUTED_VALUE"""),"2022")</f>
        <v>2022</v>
      </c>
      <c r="B13" s="28" t="str">
        <f ca="1">IFERROR(__xludf.DUMMYFUNCTION("""COMPUTED_VALUE"""),"12")</f>
        <v>12</v>
      </c>
      <c r="C13" s="2" t="str">
        <f ca="1">IFERROR(__xludf.DUMMYFUNCTION("""COMPUTED_VALUE"""),"平日夜間")</f>
        <v>平日夜間</v>
      </c>
      <c r="D13" s="2"/>
      <c r="E13" s="2"/>
      <c r="F13" s="2">
        <f ca="1">IFERROR(__xludf.DUMMYFUNCTION("""COMPUTED_VALUE"""),1)</f>
        <v>1</v>
      </c>
      <c r="G13" s="2">
        <f ca="1">IFERROR(__xludf.DUMMYFUNCTION("""COMPUTED_VALUE"""),1)</f>
        <v>1</v>
      </c>
      <c r="H13" s="2">
        <f ca="1">IFERROR(__xludf.DUMMYFUNCTION("""COMPUTED_VALUE"""),1)</f>
        <v>1</v>
      </c>
      <c r="I13" s="2">
        <f ca="1">IFERROR(__xludf.DUMMYFUNCTION("""COMPUTED_VALUE"""),1)</f>
        <v>1</v>
      </c>
      <c r="J13" s="2">
        <f ca="1">IFERROR(__xludf.DUMMYFUNCTION("""COMPUTED_VALUE"""),1)</f>
        <v>1</v>
      </c>
      <c r="K13" s="2">
        <f ca="1">IFERROR(__xludf.DUMMYFUNCTION("""COMPUTED_VALUE"""),1)</f>
        <v>1</v>
      </c>
      <c r="L13" s="2">
        <f ca="1">IFERROR(__xludf.DUMMYFUNCTION("""COMPUTED_VALUE"""),1)</f>
        <v>1</v>
      </c>
      <c r="M13" s="2"/>
      <c r="N13" s="2"/>
      <c r="O13" s="2"/>
      <c r="P13" s="2">
        <f ca="1">IFERROR(__xludf.DUMMYFUNCTION("""COMPUTED_VALUE"""),1)</f>
        <v>1</v>
      </c>
      <c r="Q13" s="2">
        <f ca="1">IFERROR(__xludf.DUMMYFUNCTION("""COMPUTED_VALUE"""),2)</f>
        <v>2</v>
      </c>
      <c r="R13" s="2"/>
      <c r="S13" s="2">
        <f ca="1">IFERROR(__xludf.DUMMYFUNCTION("""COMPUTED_VALUE"""),1)</f>
        <v>1</v>
      </c>
      <c r="T13" s="2"/>
      <c r="U13" s="2">
        <f ca="1">IFERROR(__xludf.DUMMYFUNCTION("""COMPUTED_VALUE"""),2)</f>
        <v>2</v>
      </c>
      <c r="V13" s="2"/>
      <c r="W13" s="2"/>
      <c r="X13" s="2"/>
      <c r="Y13" s="2"/>
      <c r="Z13" s="2"/>
      <c r="AA13" s="2"/>
      <c r="AB13" s="2"/>
      <c r="AC13" s="2">
        <f ca="1">IFERROR(__xludf.DUMMYFUNCTION("""COMPUTED_VALUE"""),2)</f>
        <v>2</v>
      </c>
      <c r="AD13" s="2"/>
      <c r="AE13" s="2">
        <f ca="1">IFERROR(__xludf.DUMMYFUNCTION("""COMPUTED_VALUE"""),1)</f>
        <v>1</v>
      </c>
      <c r="AF13" s="2">
        <f ca="1">IFERROR(__xludf.DUMMYFUNCTION("""COMPUTED_VALUE"""),1)</f>
        <v>1</v>
      </c>
      <c r="AG13" s="2"/>
      <c r="AH13" s="2">
        <f ca="1">IFERROR(__xludf.DUMMYFUNCTION("""COMPUTED_VALUE"""),1)</f>
        <v>1</v>
      </c>
      <c r="AI13" s="2"/>
      <c r="AJ13" s="2">
        <f ca="1">IFERROR(__xludf.DUMMYFUNCTION("""COMPUTED_VALUE"""),2)</f>
        <v>2</v>
      </c>
      <c r="AK13" s="2"/>
      <c r="AL13" s="2"/>
    </row>
    <row r="14" spans="1:38" x14ac:dyDescent="0.35">
      <c r="A14" s="2" t="str">
        <f ca="1">IFERROR(__xludf.DUMMYFUNCTION("""COMPUTED_VALUE"""),"2022")</f>
        <v>2022</v>
      </c>
      <c r="B14" s="2" t="str">
        <f ca="1">IFERROR(__xludf.DUMMYFUNCTION("""COMPUTED_VALUE"""),"11")</f>
        <v>11</v>
      </c>
      <c r="C14" s="2" t="str">
        <f ca="1">IFERROR(__xludf.DUMMYFUNCTION("""COMPUTED_VALUE"""),"休日午前")</f>
        <v>休日午前</v>
      </c>
      <c r="D14" s="2"/>
      <c r="E14" s="2"/>
      <c r="F14" s="2"/>
      <c r="G14" s="2"/>
      <c r="H14" s="2">
        <f ca="1">IFERROR(__xludf.DUMMYFUNCTION("""COMPUTED_VALUE"""),1)</f>
        <v>1</v>
      </c>
      <c r="I14" s="2"/>
      <c r="J14" s="2"/>
      <c r="K14" s="2"/>
      <c r="L14" s="2"/>
      <c r="M14" s="2"/>
      <c r="N14" s="2"/>
      <c r="O14" s="2">
        <f ca="1">IFERROR(__xludf.DUMMYFUNCTION("""COMPUTED_VALUE"""),1)</f>
        <v>1</v>
      </c>
      <c r="P14" s="2"/>
      <c r="Q14" s="2"/>
      <c r="R14" s="2"/>
      <c r="S14" s="2">
        <f ca="1">IFERROR(__xludf.DUMMYFUNCTION("""COMPUTED_VALUE"""),1)</f>
        <v>1</v>
      </c>
      <c r="T14" s="2"/>
      <c r="U14" s="2">
        <f ca="1">IFERROR(__xludf.DUMMYFUNCTION("""COMPUTED_VALUE"""),1)</f>
        <v>1</v>
      </c>
      <c r="V14" s="2"/>
      <c r="W14" s="2"/>
      <c r="X14" s="2"/>
      <c r="Y14" s="2">
        <f ca="1">IFERROR(__xludf.DUMMYFUNCTION("""COMPUTED_VALUE"""),1)</f>
        <v>1</v>
      </c>
      <c r="Z14" s="2"/>
      <c r="AA14" s="2"/>
      <c r="AB14" s="2">
        <f ca="1">IFERROR(__xludf.DUMMYFUNCTION("""COMPUTED_VALUE"""),1)</f>
        <v>1</v>
      </c>
      <c r="AC14" s="2">
        <f ca="1">IFERROR(__xludf.DUMMYFUNCTION("""COMPUTED_VALUE"""),1)</f>
        <v>1</v>
      </c>
      <c r="AD14" s="2"/>
      <c r="AE14" s="2">
        <f ca="1">IFERROR(__xludf.DUMMYFUNCTION("""COMPUTED_VALUE"""),1)</f>
        <v>1</v>
      </c>
      <c r="AF14" s="2">
        <f ca="1">IFERROR(__xludf.DUMMYFUNCTION("""COMPUTED_VALUE"""),1)</f>
        <v>1</v>
      </c>
      <c r="AG14" s="2">
        <f ca="1">IFERROR(__xludf.DUMMYFUNCTION("""COMPUTED_VALUE"""),1)</f>
        <v>1</v>
      </c>
      <c r="AH14" s="2"/>
      <c r="AI14" s="2"/>
      <c r="AJ14" s="2"/>
      <c r="AK14" s="2"/>
      <c r="AL14" s="2"/>
    </row>
    <row r="15" spans="1:38" x14ac:dyDescent="0.35">
      <c r="A15" s="2" t="str">
        <f ca="1">IFERROR(__xludf.DUMMYFUNCTION("""COMPUTED_VALUE"""),"2022")</f>
        <v>2022</v>
      </c>
      <c r="B15" s="2" t="str">
        <f ca="1">IFERROR(__xludf.DUMMYFUNCTION("""COMPUTED_VALUE"""),"11")</f>
        <v>11</v>
      </c>
      <c r="C15" s="2" t="str">
        <f ca="1">IFERROR(__xludf.DUMMYFUNCTION("""COMPUTED_VALUE"""),"休日午後")</f>
        <v>休日午後</v>
      </c>
      <c r="D15" s="2"/>
      <c r="E15" s="2"/>
      <c r="F15" s="2"/>
      <c r="G15" s="2">
        <f ca="1">IFERROR(__xludf.DUMMYFUNCTION("""COMPUTED_VALUE"""),1)</f>
        <v>1</v>
      </c>
      <c r="H15" s="2"/>
      <c r="I15" s="2"/>
      <c r="J15" s="2"/>
      <c r="K15" s="2"/>
      <c r="L15" s="2">
        <f ca="1">IFERROR(__xludf.DUMMYFUNCTION("""COMPUTED_VALUE"""),1)</f>
        <v>1</v>
      </c>
      <c r="M15" s="2">
        <f ca="1">IFERROR(__xludf.DUMMYFUNCTION("""COMPUTED_VALUE"""),1)</f>
        <v>1</v>
      </c>
      <c r="N15" s="2">
        <f ca="1">IFERROR(__xludf.DUMMYFUNCTION("""COMPUTED_VALUE"""),1)</f>
        <v>1</v>
      </c>
      <c r="O15" s="2"/>
      <c r="P15" s="2"/>
      <c r="Q15" s="2"/>
      <c r="R15" s="2">
        <f ca="1">IFERROR(__xludf.DUMMYFUNCTION("""COMPUTED_VALUE"""),1)</f>
        <v>1</v>
      </c>
      <c r="S15" s="2"/>
      <c r="T15" s="2">
        <f ca="1">IFERROR(__xludf.DUMMYFUNCTION("""COMPUTED_VALUE"""),1)</f>
        <v>1</v>
      </c>
      <c r="U15" s="2"/>
      <c r="V15" s="2"/>
      <c r="W15" s="2"/>
      <c r="X15" s="2"/>
      <c r="Y15" s="2"/>
      <c r="Z15" s="2"/>
      <c r="AA15" s="2"/>
      <c r="AB15" s="2"/>
      <c r="AC15" s="2">
        <f ca="1">IFERROR(__xludf.DUMMYFUNCTION("""COMPUTED_VALUE"""),1)</f>
        <v>1</v>
      </c>
      <c r="AD15" s="2"/>
      <c r="AE15" s="2">
        <f ca="1">IFERROR(__xludf.DUMMYFUNCTION("""COMPUTED_VALUE"""),1)</f>
        <v>1</v>
      </c>
      <c r="AF15" s="2"/>
      <c r="AG15" s="2">
        <f ca="1">IFERROR(__xludf.DUMMYFUNCTION("""COMPUTED_VALUE"""),1)</f>
        <v>1</v>
      </c>
      <c r="AH15" s="2"/>
      <c r="AI15" s="2"/>
      <c r="AJ15" s="2">
        <f ca="1">IFERROR(__xludf.DUMMYFUNCTION("""COMPUTED_VALUE"""),1)</f>
        <v>1</v>
      </c>
      <c r="AK15" s="2"/>
      <c r="AL15" s="2"/>
    </row>
    <row r="16" spans="1:38" x14ac:dyDescent="0.35">
      <c r="A16" s="2" t="str">
        <f ca="1">IFERROR(__xludf.DUMMYFUNCTION("""COMPUTED_VALUE"""),"2022")</f>
        <v>2022</v>
      </c>
      <c r="B16" s="2" t="str">
        <f ca="1">IFERROR(__xludf.DUMMYFUNCTION("""COMPUTED_VALUE"""),"11")</f>
        <v>11</v>
      </c>
      <c r="C16" s="2" t="str">
        <f ca="1">IFERROR(__xludf.DUMMYFUNCTION("""COMPUTED_VALUE"""),"平日夜間")</f>
        <v>平日夜間</v>
      </c>
      <c r="D16" s="2">
        <f ca="1">IFERROR(__xludf.DUMMYFUNCTION("""COMPUTED_VALUE"""),2)</f>
        <v>2</v>
      </c>
      <c r="E16" s="2"/>
      <c r="F16" s="2"/>
      <c r="G16" s="2">
        <f ca="1">IFERROR(__xludf.DUMMYFUNCTION("""COMPUTED_VALUE"""),1)</f>
        <v>1</v>
      </c>
      <c r="H16" s="2">
        <f ca="1">IFERROR(__xludf.DUMMYFUNCTION("""COMPUTED_VALUE"""),1)</f>
        <v>1</v>
      </c>
      <c r="I16" s="2"/>
      <c r="J16" s="2"/>
      <c r="K16" s="2">
        <f ca="1">IFERROR(__xludf.DUMMYFUNCTION("""COMPUTED_VALUE"""),2)</f>
        <v>2</v>
      </c>
      <c r="L16" s="2"/>
      <c r="M16" s="2"/>
      <c r="N16" s="2">
        <f ca="1">IFERROR(__xludf.DUMMYFUNCTION("""COMPUTED_VALUE"""),1)</f>
        <v>1</v>
      </c>
      <c r="O16" s="2">
        <f ca="1">IFERROR(__xludf.DUMMYFUNCTION("""COMPUTED_VALUE"""),2)</f>
        <v>2</v>
      </c>
      <c r="P16" s="2">
        <f ca="1">IFERROR(__xludf.DUMMYFUNCTION("""COMPUTED_VALUE"""),2)</f>
        <v>2</v>
      </c>
      <c r="Q16" s="2">
        <f ca="1">IFERROR(__xludf.DUMMYFUNCTION("""COMPUTED_VALUE"""),1)</f>
        <v>1</v>
      </c>
      <c r="R16" s="2"/>
      <c r="S16" s="2"/>
      <c r="T16" s="2"/>
      <c r="U16" s="2"/>
      <c r="V16" s="2"/>
      <c r="W16" s="2"/>
      <c r="X16" s="2">
        <f ca="1">IFERROR(__xludf.DUMMYFUNCTION("""COMPUTED_VALUE"""),1)</f>
        <v>1</v>
      </c>
      <c r="Y16" s="2">
        <f ca="1">IFERROR(__xludf.DUMMYFUNCTION("""COMPUTED_VALUE"""),1)</f>
        <v>1</v>
      </c>
      <c r="Z16" s="2"/>
      <c r="AA16" s="2"/>
      <c r="AB16" s="2">
        <f ca="1">IFERROR(__xludf.DUMMYFUNCTION("""COMPUTED_VALUE"""),2)</f>
        <v>2</v>
      </c>
      <c r="AC16" s="2">
        <f ca="1">IFERROR(__xludf.DUMMYFUNCTION("""COMPUTED_VALUE"""),1)</f>
        <v>1</v>
      </c>
      <c r="AD16" s="2"/>
      <c r="AE16" s="2"/>
      <c r="AF16" s="2">
        <f ca="1">IFERROR(__xludf.DUMMYFUNCTION("""COMPUTED_VALUE"""),1)</f>
        <v>1</v>
      </c>
      <c r="AG16" s="2"/>
      <c r="AH16" s="2">
        <f ca="1">IFERROR(__xludf.DUMMYFUNCTION("""COMPUTED_VALUE"""),2)</f>
        <v>2</v>
      </c>
      <c r="AI16" s="2"/>
      <c r="AJ16" s="2">
        <f ca="1">IFERROR(__xludf.DUMMYFUNCTION("""COMPUTED_VALUE"""),2)</f>
        <v>2</v>
      </c>
      <c r="AK16" s="2"/>
      <c r="AL16" s="2"/>
    </row>
    <row r="17" spans="1:38" x14ac:dyDescent="0.35">
      <c r="A17" s="2" t="str">
        <f ca="1">IFERROR(__xludf.DUMMYFUNCTION("""COMPUTED_VALUE"""),"2022")</f>
        <v>2022</v>
      </c>
      <c r="B17" s="2" t="str">
        <f ca="1">IFERROR(__xludf.DUMMYFUNCTION("""COMPUTED_VALUE"""),"10")</f>
        <v>10</v>
      </c>
      <c r="C17" s="2" t="str">
        <f ca="1">IFERROR(__xludf.DUMMYFUNCTION("""COMPUTED_VALUE"""),"休日午前")</f>
        <v>休日午前</v>
      </c>
      <c r="D17" s="2"/>
      <c r="E17" s="2"/>
      <c r="F17" s="2"/>
      <c r="G17" s="2"/>
      <c r="H17" s="2"/>
      <c r="I17" s="2"/>
      <c r="J17" s="2"/>
      <c r="K17" s="2"/>
      <c r="L17" s="2"/>
      <c r="M17" s="2">
        <f ca="1">IFERROR(__xludf.DUMMYFUNCTION("""COMPUTED_VALUE"""),1)</f>
        <v>1</v>
      </c>
      <c r="N17" s="2">
        <f ca="1">IFERROR(__xludf.DUMMYFUNCTION("""COMPUTED_VALUE"""),1)</f>
        <v>1</v>
      </c>
      <c r="O17" s="2">
        <f ca="1">IFERROR(__xludf.DUMMYFUNCTION("""COMPUTED_VALUE"""),1)</f>
        <v>1</v>
      </c>
      <c r="P17" s="2"/>
      <c r="Q17" s="2"/>
      <c r="R17" s="2">
        <f ca="1">IFERROR(__xludf.DUMMYFUNCTION("""COMPUTED_VALUE"""),1)</f>
        <v>1</v>
      </c>
      <c r="S17" s="2">
        <f ca="1">IFERROR(__xludf.DUMMYFUNCTION("""COMPUTED_VALUE"""),1)</f>
        <v>1</v>
      </c>
      <c r="T17" s="2"/>
      <c r="U17" s="2"/>
      <c r="V17" s="2"/>
      <c r="W17" s="2"/>
      <c r="X17" s="2">
        <f ca="1">IFERROR(__xludf.DUMMYFUNCTION("""COMPUTED_VALUE"""),1)</f>
        <v>1</v>
      </c>
      <c r="Y17" s="2"/>
      <c r="Z17" s="2"/>
      <c r="AA17" s="2"/>
      <c r="AB17" s="2">
        <f ca="1">IFERROR(__xludf.DUMMYFUNCTION("""COMPUTED_VALUE"""),1)</f>
        <v>1</v>
      </c>
      <c r="AC17" s="2">
        <f ca="1">IFERROR(__xludf.DUMMYFUNCTION("""COMPUTED_VALUE"""),1)</f>
        <v>1</v>
      </c>
      <c r="AD17" s="2"/>
      <c r="AE17" s="2">
        <f ca="1">IFERROR(__xludf.DUMMYFUNCTION("""COMPUTED_VALUE"""),1)</f>
        <v>1</v>
      </c>
      <c r="AF17" s="2"/>
      <c r="AG17" s="2">
        <f ca="1">IFERROR(__xludf.DUMMYFUNCTION("""COMPUTED_VALUE"""),1)</f>
        <v>1</v>
      </c>
      <c r="AH17" s="2">
        <f ca="1">IFERROR(__xludf.DUMMYFUNCTION("""COMPUTED_VALUE"""),1)</f>
        <v>1</v>
      </c>
      <c r="AI17" s="2"/>
      <c r="AJ17" s="2"/>
      <c r="AK17" s="2"/>
      <c r="AL17" s="2"/>
    </row>
    <row r="18" spans="1:38" x14ac:dyDescent="0.35">
      <c r="A18" s="2" t="str">
        <f ca="1">IFERROR(__xludf.DUMMYFUNCTION("""COMPUTED_VALUE"""),"2022")</f>
        <v>2022</v>
      </c>
      <c r="B18" s="28" t="str">
        <f ca="1">IFERROR(__xludf.DUMMYFUNCTION("""COMPUTED_VALUE"""),"10")</f>
        <v>10</v>
      </c>
      <c r="C18" s="2" t="str">
        <f ca="1">IFERROR(__xludf.DUMMYFUNCTION("""COMPUTED_VALUE"""),"休日午後")</f>
        <v>休日午後</v>
      </c>
      <c r="D18" s="2"/>
      <c r="E18" s="2"/>
      <c r="F18" s="2"/>
      <c r="G18" s="2"/>
      <c r="H18" s="2">
        <f ca="1">IFERROR(__xludf.DUMMYFUNCTION("""COMPUTED_VALUE"""),1)</f>
        <v>1</v>
      </c>
      <c r="I18" s="2"/>
      <c r="J18" s="2"/>
      <c r="K18" s="2">
        <f ca="1">IFERROR(__xludf.DUMMYFUNCTION("""COMPUTED_VALUE"""),1)</f>
        <v>1</v>
      </c>
      <c r="L18" s="2">
        <f ca="1">IFERROR(__xludf.DUMMYFUNCTION("""COMPUTED_VALUE"""),1)</f>
        <v>1</v>
      </c>
      <c r="M18" s="2">
        <f ca="1">IFERROR(__xludf.DUMMYFUNCTION("""COMPUTED_VALUE"""),1)</f>
        <v>1</v>
      </c>
      <c r="N18" s="2">
        <f ca="1">IFERROR(__xludf.DUMMYFUNCTION("""COMPUTED_VALUE"""),1)</f>
        <v>1</v>
      </c>
      <c r="O18" s="2"/>
      <c r="P18" s="2"/>
      <c r="Q18" s="2">
        <f ca="1">IFERROR(__xludf.DUMMYFUNCTION("""COMPUTED_VALUE"""),1)</f>
        <v>1</v>
      </c>
      <c r="R18" s="2"/>
      <c r="S18" s="2"/>
      <c r="T18" s="2">
        <f ca="1">IFERROR(__xludf.DUMMYFUNCTION("""COMPUTED_VALUE"""),1)</f>
        <v>1</v>
      </c>
      <c r="U18" s="2">
        <f ca="1">IFERROR(__xludf.DUMMYFUNCTION("""COMPUTED_VALUE"""),1)</f>
        <v>1</v>
      </c>
      <c r="V18" s="2"/>
      <c r="W18" s="2"/>
      <c r="X18" s="2"/>
      <c r="Y18" s="2">
        <f ca="1">IFERROR(__xludf.DUMMYFUNCTION("""COMPUTED_VALUE"""),1)</f>
        <v>1</v>
      </c>
      <c r="Z18" s="2"/>
      <c r="AA18" s="2"/>
      <c r="AB18" s="2"/>
      <c r="AC18" s="2"/>
      <c r="AD18" s="2"/>
      <c r="AE18" s="2"/>
      <c r="AF18" s="2">
        <f ca="1">IFERROR(__xludf.DUMMYFUNCTION("""COMPUTED_VALUE"""),1)</f>
        <v>1</v>
      </c>
      <c r="AG18" s="2"/>
      <c r="AH18" s="2"/>
      <c r="AI18" s="2"/>
      <c r="AJ18" s="2"/>
      <c r="AK18" s="2">
        <f ca="1">IFERROR(__xludf.DUMMYFUNCTION("""COMPUTED_VALUE"""),1)</f>
        <v>1</v>
      </c>
      <c r="AL18" s="2"/>
    </row>
    <row r="19" spans="1:38" x14ac:dyDescent="0.35">
      <c r="A19" s="2" t="str">
        <f ca="1">IFERROR(__xludf.DUMMYFUNCTION("""COMPUTED_VALUE"""),"2022")</f>
        <v>2022</v>
      </c>
      <c r="B19" s="2" t="str">
        <f ca="1">IFERROR(__xludf.DUMMYFUNCTION("""COMPUTED_VALUE"""),"10")</f>
        <v>10</v>
      </c>
      <c r="C19" s="2" t="str">
        <f ca="1">IFERROR(__xludf.DUMMYFUNCTION("""COMPUTED_VALUE"""),"平日夜間")</f>
        <v>平日夜間</v>
      </c>
      <c r="D19" s="2"/>
      <c r="E19" s="2"/>
      <c r="F19" s="2"/>
      <c r="G19" s="2">
        <f ca="1">IFERROR(__xludf.DUMMYFUNCTION("""COMPUTED_VALUE"""),1)</f>
        <v>1</v>
      </c>
      <c r="H19" s="2">
        <f ca="1">IFERROR(__xludf.DUMMYFUNCTION("""COMPUTED_VALUE"""),1)</f>
        <v>1</v>
      </c>
      <c r="I19" s="2"/>
      <c r="J19" s="2"/>
      <c r="K19" s="2"/>
      <c r="L19" s="2"/>
      <c r="M19" s="2">
        <f ca="1">IFERROR(__xludf.DUMMYFUNCTION("""COMPUTED_VALUE"""),1)</f>
        <v>1</v>
      </c>
      <c r="N19" s="2"/>
      <c r="O19" s="2">
        <f ca="1">IFERROR(__xludf.DUMMYFUNCTION("""COMPUTED_VALUE"""),1)</f>
        <v>1</v>
      </c>
      <c r="P19" s="2">
        <f ca="1">IFERROR(__xludf.DUMMYFUNCTION("""COMPUTED_VALUE"""),1)</f>
        <v>1</v>
      </c>
      <c r="Q19" s="2">
        <f ca="1">IFERROR(__xludf.DUMMYFUNCTION("""COMPUTED_VALUE"""),1)</f>
        <v>1</v>
      </c>
      <c r="R19" s="2">
        <f ca="1">IFERROR(__xludf.DUMMYFUNCTION("""COMPUTED_VALUE"""),1)</f>
        <v>1</v>
      </c>
      <c r="S19" s="2">
        <f ca="1">IFERROR(__xludf.DUMMYFUNCTION("""COMPUTED_VALUE"""),1)</f>
        <v>1</v>
      </c>
      <c r="T19" s="2"/>
      <c r="U19" s="2"/>
      <c r="V19" s="2"/>
      <c r="W19" s="2"/>
      <c r="X19" s="2">
        <f ca="1">IFERROR(__xludf.DUMMYFUNCTION("""COMPUTED_VALUE"""),1)</f>
        <v>1</v>
      </c>
      <c r="Y19" s="2">
        <f ca="1">IFERROR(__xludf.DUMMYFUNCTION("""COMPUTED_VALUE"""),2)</f>
        <v>2</v>
      </c>
      <c r="Z19" s="2"/>
      <c r="AA19" s="2"/>
      <c r="AB19" s="2">
        <f ca="1">IFERROR(__xludf.DUMMYFUNCTION("""COMPUTED_VALUE"""),1)</f>
        <v>1</v>
      </c>
      <c r="AC19" s="2">
        <f ca="1">IFERROR(__xludf.DUMMYFUNCTION("""COMPUTED_VALUE"""),1)</f>
        <v>1</v>
      </c>
      <c r="AD19" s="2"/>
      <c r="AE19" s="2">
        <f ca="1">IFERROR(__xludf.DUMMYFUNCTION("""COMPUTED_VALUE"""),1)</f>
        <v>1</v>
      </c>
      <c r="AF19" s="2">
        <f ca="1">IFERROR(__xludf.DUMMYFUNCTION("""COMPUTED_VALUE"""),1)</f>
        <v>1</v>
      </c>
      <c r="AG19" s="2">
        <f ca="1">IFERROR(__xludf.DUMMYFUNCTION("""COMPUTED_VALUE"""),1)</f>
        <v>1</v>
      </c>
      <c r="AH19" s="2">
        <f ca="1">IFERROR(__xludf.DUMMYFUNCTION("""COMPUTED_VALUE"""),1)</f>
        <v>1</v>
      </c>
      <c r="AI19" s="2"/>
      <c r="AJ19" s="2">
        <f ca="1">IFERROR(__xludf.DUMMYFUNCTION("""COMPUTED_VALUE"""),2)</f>
        <v>2</v>
      </c>
      <c r="AK19" s="2">
        <f ca="1">IFERROR(__xludf.DUMMYFUNCTION("""COMPUTED_VALUE"""),1)</f>
        <v>1</v>
      </c>
      <c r="AL19" s="2"/>
    </row>
    <row r="20" spans="1:38" x14ac:dyDescent="0.35">
      <c r="A20" s="2" t="str">
        <f ca="1">IFERROR(__xludf.DUMMYFUNCTION("""COMPUTED_VALUE"""),"2022")</f>
        <v>2022</v>
      </c>
      <c r="B20" s="2" t="str">
        <f ca="1">IFERROR(__xludf.DUMMYFUNCTION("""COMPUTED_VALUE"""),"09")</f>
        <v>09</v>
      </c>
      <c r="C20" s="2" t="str">
        <f ca="1">IFERROR(__xludf.DUMMYFUNCTION("""COMPUTED_VALUE"""),"休日午前")</f>
        <v>休日午前</v>
      </c>
      <c r="D20" s="2"/>
      <c r="E20" s="2"/>
      <c r="F20" s="2">
        <f ca="1">IFERROR(__xludf.DUMMYFUNCTION("""COMPUTED_VALUE"""),1)</f>
        <v>1</v>
      </c>
      <c r="G20" s="2"/>
      <c r="H20" s="2">
        <f ca="1">IFERROR(__xludf.DUMMYFUNCTION("""COMPUTED_VALUE"""),1)</f>
        <v>1</v>
      </c>
      <c r="I20" s="2"/>
      <c r="J20" s="2"/>
      <c r="K20" s="2">
        <f ca="1">IFERROR(__xludf.DUMMYFUNCTION("""COMPUTED_VALUE"""),1)</f>
        <v>1</v>
      </c>
      <c r="L20" s="2"/>
      <c r="M20" s="2">
        <f ca="1">IFERROR(__xludf.DUMMYFUNCTION("""COMPUTED_VALUE"""),1)</f>
        <v>1</v>
      </c>
      <c r="N20" s="2">
        <f ca="1">IFERROR(__xludf.DUMMYFUNCTION("""COMPUTED_VALUE"""),1)</f>
        <v>1</v>
      </c>
      <c r="O20" s="2">
        <f ca="1">IFERROR(__xludf.DUMMYFUNCTION("""COMPUTED_VALUE"""),1)</f>
        <v>1</v>
      </c>
      <c r="P20" s="2"/>
      <c r="Q20" s="2"/>
      <c r="R20" s="2">
        <f ca="1">IFERROR(__xludf.DUMMYFUNCTION("""COMPUTED_VALUE"""),1)</f>
        <v>1</v>
      </c>
      <c r="S20" s="2"/>
      <c r="T20" s="2"/>
      <c r="U20" s="2"/>
      <c r="V20" s="2">
        <f ca="1">IFERROR(__xludf.DUMMYFUNCTION("""COMPUTED_VALUE"""),1)</f>
        <v>1</v>
      </c>
      <c r="W20" s="2"/>
      <c r="X20" s="2">
        <f ca="1">IFERROR(__xludf.DUMMYFUNCTION("""COMPUTED_VALUE"""),1)</f>
        <v>1</v>
      </c>
      <c r="Y20" s="2"/>
      <c r="Z20" s="2"/>
      <c r="AA20" s="2">
        <f ca="1">IFERROR(__xludf.DUMMYFUNCTION("""COMPUTED_VALUE"""),1)</f>
        <v>1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35">
      <c r="A21" s="2" t="str">
        <f ca="1">IFERROR(__xludf.DUMMYFUNCTION("""COMPUTED_VALUE"""),"2022")</f>
        <v>2022</v>
      </c>
      <c r="B21" s="2" t="str">
        <f ca="1">IFERROR(__xludf.DUMMYFUNCTION("""COMPUTED_VALUE"""),"09")</f>
        <v>09</v>
      </c>
      <c r="C21" s="2" t="str">
        <f ca="1">IFERROR(__xludf.DUMMYFUNCTION("""COMPUTED_VALUE"""),"休日午後")</f>
        <v>休日午後</v>
      </c>
      <c r="D21" s="2"/>
      <c r="E21" s="2"/>
      <c r="F21" s="2"/>
      <c r="G21" s="2"/>
      <c r="H21" s="2"/>
      <c r="I21" s="2"/>
      <c r="J21" s="2"/>
      <c r="K21" s="2"/>
      <c r="L21" s="2">
        <f ca="1">IFERROR(__xludf.DUMMYFUNCTION("""COMPUTED_VALUE"""),1)</f>
        <v>1</v>
      </c>
      <c r="M21" s="2"/>
      <c r="N21" s="2"/>
      <c r="O21" s="2"/>
      <c r="P21" s="2"/>
      <c r="Q21" s="2"/>
      <c r="R21" s="2">
        <f ca="1">IFERROR(__xludf.DUMMYFUNCTION("""COMPUTED_VALUE"""),1)</f>
        <v>1</v>
      </c>
      <c r="S21" s="2">
        <f ca="1">IFERROR(__xludf.DUMMYFUNCTION("""COMPUTED_VALUE"""),1)</f>
        <v>1</v>
      </c>
      <c r="T21" s="2">
        <f ca="1">IFERROR(__xludf.DUMMYFUNCTION("""COMPUTED_VALUE"""),1)</f>
        <v>1</v>
      </c>
      <c r="U21" s="2">
        <f ca="1">IFERROR(__xludf.DUMMYFUNCTION("""COMPUTED_VALUE"""),1)</f>
        <v>1</v>
      </c>
      <c r="V21" s="2"/>
      <c r="W21" s="2"/>
      <c r="X21" s="2"/>
      <c r="Y21" s="2"/>
      <c r="Z21" s="2"/>
      <c r="AA21" s="2">
        <f ca="1">IFERROR(__xludf.DUMMYFUNCTION("""COMPUTED_VALUE"""),1)</f>
        <v>1</v>
      </c>
      <c r="AB21" s="2"/>
      <c r="AC21" s="2"/>
      <c r="AD21" s="2">
        <f ca="1">IFERROR(__xludf.DUMMYFUNCTION("""COMPUTED_VALUE"""),1)</f>
        <v>1</v>
      </c>
      <c r="AE21" s="2">
        <f ca="1">IFERROR(__xludf.DUMMYFUNCTION("""COMPUTED_VALUE"""),1)</f>
        <v>1</v>
      </c>
      <c r="AF21" s="2"/>
      <c r="AG21" s="2">
        <f ca="1">IFERROR(__xludf.DUMMYFUNCTION("""COMPUTED_VALUE"""),1)</f>
        <v>1</v>
      </c>
      <c r="AH21" s="2"/>
      <c r="AI21" s="2"/>
      <c r="AJ21" s="2"/>
      <c r="AK21" s="2">
        <f ca="1">IFERROR(__xludf.DUMMYFUNCTION("""COMPUTED_VALUE"""),1)</f>
        <v>1</v>
      </c>
      <c r="AL21" s="2"/>
    </row>
    <row r="22" spans="1:38" x14ac:dyDescent="0.35">
      <c r="A22" s="2" t="str">
        <f ca="1">IFERROR(__xludf.DUMMYFUNCTION("""COMPUTED_VALUE"""),"2022")</f>
        <v>2022</v>
      </c>
      <c r="B22" s="2" t="str">
        <f ca="1">IFERROR(__xludf.DUMMYFUNCTION("""COMPUTED_VALUE"""),"09")</f>
        <v>09</v>
      </c>
      <c r="C22" s="2" t="str">
        <f ca="1">IFERROR(__xludf.DUMMYFUNCTION("""COMPUTED_VALUE"""),"平日夜間")</f>
        <v>平日夜間</v>
      </c>
      <c r="D22" s="2"/>
      <c r="E22" s="2"/>
      <c r="F22" s="2">
        <f ca="1">IFERROR(__xludf.DUMMYFUNCTION("""COMPUTED_VALUE"""),1)</f>
        <v>1</v>
      </c>
      <c r="G22" s="2"/>
      <c r="H22" s="2">
        <f ca="1">IFERROR(__xludf.DUMMYFUNCTION("""COMPUTED_VALUE"""),1)</f>
        <v>1</v>
      </c>
      <c r="I22" s="2">
        <f ca="1">IFERROR(__xludf.DUMMYFUNCTION("""COMPUTED_VALUE"""),2)</f>
        <v>2</v>
      </c>
      <c r="J22" s="2"/>
      <c r="K22" s="2">
        <f ca="1">IFERROR(__xludf.DUMMYFUNCTION("""COMPUTED_VALUE"""),1)</f>
        <v>1</v>
      </c>
      <c r="L22" s="2"/>
      <c r="M22" s="2"/>
      <c r="N22" s="2"/>
      <c r="O22" s="2">
        <f ca="1">IFERROR(__xludf.DUMMYFUNCTION("""COMPUTED_VALUE"""),1)</f>
        <v>1</v>
      </c>
      <c r="P22" s="2">
        <f ca="1">IFERROR(__xludf.DUMMYFUNCTION("""COMPUTED_VALUE"""),1)</f>
        <v>1</v>
      </c>
      <c r="Q22" s="2"/>
      <c r="R22" s="2"/>
      <c r="S22" s="2">
        <f ca="1">IFERROR(__xludf.DUMMYFUNCTION("""COMPUTED_VALUE"""),1)</f>
        <v>1</v>
      </c>
      <c r="T22" s="2"/>
      <c r="U22" s="2"/>
      <c r="V22" s="2">
        <f ca="1">IFERROR(__xludf.DUMMYFUNCTION("""COMPUTED_VALUE"""),2)</f>
        <v>2</v>
      </c>
      <c r="W22" s="2"/>
      <c r="X22" s="2"/>
      <c r="Y22" s="2"/>
      <c r="Z22" s="2"/>
      <c r="AA22" s="2">
        <f ca="1">IFERROR(__xludf.DUMMYFUNCTION("""COMPUTED_VALUE"""),1)</f>
        <v>1</v>
      </c>
      <c r="AB22" s="2"/>
      <c r="AC22" s="2">
        <f ca="1">IFERROR(__xludf.DUMMYFUNCTION("""COMPUTED_VALUE"""),1)</f>
        <v>1</v>
      </c>
      <c r="AD22" s="2">
        <f ca="1">IFERROR(__xludf.DUMMYFUNCTION("""COMPUTED_VALUE"""),2)</f>
        <v>2</v>
      </c>
      <c r="AE22" s="2">
        <f ca="1">IFERROR(__xludf.DUMMYFUNCTION("""COMPUTED_VALUE"""),1)</f>
        <v>1</v>
      </c>
      <c r="AF22" s="2"/>
      <c r="AG22" s="2">
        <f ca="1">IFERROR(__xludf.DUMMYFUNCTION("""COMPUTED_VALUE"""),1)</f>
        <v>1</v>
      </c>
      <c r="AH22" s="2">
        <f ca="1">IFERROR(__xludf.DUMMYFUNCTION("""COMPUTED_VALUE"""),2)</f>
        <v>2</v>
      </c>
      <c r="AI22" s="2"/>
      <c r="AJ22" s="2"/>
      <c r="AK22" s="2">
        <f ca="1">IFERROR(__xludf.DUMMYFUNCTION("""COMPUTED_VALUE"""),2)</f>
        <v>2</v>
      </c>
      <c r="AL22" s="2"/>
    </row>
    <row r="23" spans="1:38" x14ac:dyDescent="0.35">
      <c r="A23" s="2" t="str">
        <f ca="1">IFERROR(__xludf.DUMMYFUNCTION("""COMPUTED_VALUE"""),"2022")</f>
        <v>2022</v>
      </c>
      <c r="B23" s="28" t="str">
        <f ca="1">IFERROR(__xludf.DUMMYFUNCTION("""COMPUTED_VALUE"""),"08")</f>
        <v>08</v>
      </c>
      <c r="C23" s="2" t="str">
        <f ca="1">IFERROR(__xludf.DUMMYFUNCTION("""COMPUTED_VALUE"""),"休日午前")</f>
        <v>休日午前</v>
      </c>
      <c r="D23" s="2"/>
      <c r="E23" s="2"/>
      <c r="F23" s="2"/>
      <c r="G23" s="2"/>
      <c r="H23" s="2">
        <f ca="1">IFERROR(__xludf.DUMMYFUNCTION("""COMPUTED_VALUE"""),1)</f>
        <v>1</v>
      </c>
      <c r="I23" s="2"/>
      <c r="J23" s="2"/>
      <c r="K23" s="2">
        <f ca="1">IFERROR(__xludf.DUMMYFUNCTION("""COMPUTED_VALUE"""),1)</f>
        <v>1</v>
      </c>
      <c r="L23" s="2">
        <f ca="1">IFERROR(__xludf.DUMMYFUNCTION("""COMPUTED_VALUE"""),1)</f>
        <v>1</v>
      </c>
      <c r="M23" s="2"/>
      <c r="N23" s="2">
        <f ca="1">IFERROR(__xludf.DUMMYFUNCTION("""COMPUTED_VALUE"""),1)</f>
        <v>1</v>
      </c>
      <c r="O23" s="2">
        <f ca="1">IFERROR(__xludf.DUMMYFUNCTION("""COMPUTED_VALUE"""),1)</f>
        <v>1</v>
      </c>
      <c r="P23" s="2"/>
      <c r="Q23" s="2"/>
      <c r="R23" s="2">
        <f ca="1">IFERROR(__xludf.DUMMYFUNCTION("""COMPUTED_VALUE"""),1)</f>
        <v>1</v>
      </c>
      <c r="S23" s="2"/>
      <c r="T23" s="2"/>
      <c r="U23" s="2">
        <f ca="1">IFERROR(__xludf.DUMMYFUNCTION("""COMPUTED_VALUE"""),1)</f>
        <v>1</v>
      </c>
      <c r="V23" s="2"/>
      <c r="W23" s="2"/>
      <c r="X23" s="2">
        <f ca="1">IFERROR(__xludf.DUMMYFUNCTION("""COMPUTED_VALUE"""),1)</f>
        <v>1</v>
      </c>
      <c r="Y23" s="2"/>
      <c r="Z23" s="2"/>
      <c r="AA23" s="2"/>
      <c r="AB23" s="2"/>
      <c r="AC23" s="2">
        <f ca="1">IFERROR(__xludf.DUMMYFUNCTION("""COMPUTED_VALUE"""),1)</f>
        <v>1</v>
      </c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35">
      <c r="A24" s="2" t="str">
        <f ca="1">IFERROR(__xludf.DUMMYFUNCTION("""COMPUTED_VALUE"""),"2022")</f>
        <v>2022</v>
      </c>
      <c r="B24" s="2" t="str">
        <f ca="1">IFERROR(__xludf.DUMMYFUNCTION("""COMPUTED_VALUE"""),"08")</f>
        <v>08</v>
      </c>
      <c r="C24" s="2" t="str">
        <f ca="1">IFERROR(__xludf.DUMMYFUNCTION("""COMPUTED_VALUE"""),"休日午後")</f>
        <v>休日午後</v>
      </c>
      <c r="D24" s="2"/>
      <c r="E24" s="2"/>
      <c r="F24" s="2">
        <f ca="1">IFERROR(__xludf.DUMMYFUNCTION("""COMPUTED_VALUE"""),2)</f>
        <v>2</v>
      </c>
      <c r="G24" s="2"/>
      <c r="H24" s="2"/>
      <c r="I24" s="2"/>
      <c r="J24" s="2">
        <f ca="1">IFERROR(__xludf.DUMMYFUNCTION("""COMPUTED_VALUE"""),1)</f>
        <v>1</v>
      </c>
      <c r="K24" s="2"/>
      <c r="L24" s="2"/>
      <c r="M24" s="2">
        <f ca="1">IFERROR(__xludf.DUMMYFUNCTION("""COMPUTED_VALUE"""),1)</f>
        <v>1</v>
      </c>
      <c r="N24" s="2"/>
      <c r="O24" s="2"/>
      <c r="P24" s="2"/>
      <c r="Q24" s="2"/>
      <c r="R24" s="2"/>
      <c r="S24" s="2">
        <f ca="1">IFERROR(__xludf.DUMMYFUNCTION("""COMPUTED_VALUE"""),1)</f>
        <v>1</v>
      </c>
      <c r="T24" s="2">
        <f ca="1">IFERROR(__xludf.DUMMYFUNCTION("""COMPUTED_VALUE"""),1)</f>
        <v>1</v>
      </c>
      <c r="U24" s="2"/>
      <c r="V24" s="2"/>
      <c r="W24" s="2"/>
      <c r="X24" s="2"/>
      <c r="Y24" s="2"/>
      <c r="Z24" s="2"/>
      <c r="AA24" s="2">
        <f ca="1">IFERROR(__xludf.DUMMYFUNCTION("""COMPUTED_VALUE"""),1)</f>
        <v>1</v>
      </c>
      <c r="AB24" s="2"/>
      <c r="AC24" s="2">
        <f ca="1">IFERROR(__xludf.DUMMYFUNCTION("""COMPUTED_VALUE"""),1)</f>
        <v>1</v>
      </c>
      <c r="AD24" s="2">
        <f ca="1">IFERROR(__xludf.DUMMYFUNCTION("""COMPUTED_VALUE"""),1)</f>
        <v>1</v>
      </c>
      <c r="AE24" s="2"/>
      <c r="AF24" s="2"/>
      <c r="AG24" s="2"/>
      <c r="AH24" s="2"/>
      <c r="AI24" s="2"/>
      <c r="AJ24" s="2"/>
      <c r="AK24" s="2"/>
      <c r="AL24" s="2"/>
    </row>
    <row r="25" spans="1:38" x14ac:dyDescent="0.35">
      <c r="A25" s="2" t="str">
        <f ca="1">IFERROR(__xludf.DUMMYFUNCTION("""COMPUTED_VALUE"""),"2022")</f>
        <v>2022</v>
      </c>
      <c r="B25" s="2" t="str">
        <f ca="1">IFERROR(__xludf.DUMMYFUNCTION("""COMPUTED_VALUE"""),"08")</f>
        <v>08</v>
      </c>
      <c r="C25" s="2" t="str">
        <f ca="1">IFERROR(__xludf.DUMMYFUNCTION("""COMPUTED_VALUE"""),"平日夜間")</f>
        <v>平日夜間</v>
      </c>
      <c r="D25" s="2"/>
      <c r="E25" s="2"/>
      <c r="F25" s="2">
        <f ca="1">IFERROR(__xludf.DUMMYFUNCTION("""COMPUTED_VALUE"""),1)</f>
        <v>1</v>
      </c>
      <c r="G25" s="2"/>
      <c r="H25" s="2">
        <f ca="1">IFERROR(__xludf.DUMMYFUNCTION("""COMPUTED_VALUE"""),2)</f>
        <v>2</v>
      </c>
      <c r="I25" s="2">
        <f ca="1">IFERROR(__xludf.DUMMYFUNCTION("""COMPUTED_VALUE"""),2)</f>
        <v>2</v>
      </c>
      <c r="J25" s="2"/>
      <c r="K25" s="2">
        <f ca="1">IFERROR(__xludf.DUMMYFUNCTION("""COMPUTED_VALUE"""),2)</f>
        <v>2</v>
      </c>
      <c r="L25" s="2">
        <f ca="1">IFERROR(__xludf.DUMMYFUNCTION("""COMPUTED_VALUE"""),1)</f>
        <v>1</v>
      </c>
      <c r="M25" s="2"/>
      <c r="N25" s="2">
        <f ca="1">IFERROR(__xludf.DUMMYFUNCTION("""COMPUTED_VALUE"""),1)</f>
        <v>1</v>
      </c>
      <c r="O25" s="2">
        <f ca="1">IFERROR(__xludf.DUMMYFUNCTION("""COMPUTED_VALUE"""),1)</f>
        <v>1</v>
      </c>
      <c r="P25" s="2">
        <f ca="1">IFERROR(__xludf.DUMMYFUNCTION("""COMPUTED_VALUE"""),2)</f>
        <v>2</v>
      </c>
      <c r="Q25" s="2"/>
      <c r="R25" s="2"/>
      <c r="S25" s="2">
        <f ca="1">IFERROR(__xludf.DUMMYFUNCTION("""COMPUTED_VALUE"""),1)</f>
        <v>1</v>
      </c>
      <c r="T25" s="2"/>
      <c r="U25" s="2">
        <f ca="1">IFERROR(__xludf.DUMMYFUNCTION("""COMPUTED_VALUE"""),1)</f>
        <v>1</v>
      </c>
      <c r="V25" s="2">
        <f ca="1">IFERROR(__xludf.DUMMYFUNCTION("""COMPUTED_VALUE"""),2)</f>
        <v>2</v>
      </c>
      <c r="W25" s="2"/>
      <c r="X25" s="2">
        <f ca="1">IFERROR(__xludf.DUMMYFUNCTION("""COMPUTED_VALUE"""),1)</f>
        <v>1</v>
      </c>
      <c r="Y25" s="2"/>
      <c r="Z25" s="2"/>
      <c r="AA25" s="2">
        <f ca="1">IFERROR(__xludf.DUMMYFUNCTION("""COMPUTED_VALUE"""),1)</f>
        <v>1</v>
      </c>
      <c r="AB25" s="2"/>
      <c r="AC25" s="2">
        <f ca="1">IFERROR(__xludf.DUMMYFUNCTION("""COMPUTED_VALUE"""),1)</f>
        <v>1</v>
      </c>
      <c r="AD25" s="2">
        <f ca="1">IFERROR(__xludf.DUMMYFUNCTION("""COMPUTED_VALUE"""),1)</f>
        <v>1</v>
      </c>
      <c r="AE25" s="2"/>
      <c r="AF25" s="2"/>
      <c r="AG25" s="2"/>
      <c r="AH25" s="2">
        <f ca="1">IFERROR(__xludf.DUMMYFUNCTION("""COMPUTED_VALUE"""),2)</f>
        <v>2</v>
      </c>
      <c r="AI25" s="2"/>
      <c r="AJ25" s="2"/>
      <c r="AK25" s="2"/>
      <c r="AL25" s="2"/>
    </row>
    <row r="26" spans="1:38" x14ac:dyDescent="0.35">
      <c r="A26" s="2" t="str">
        <f ca="1">IFERROR(__xludf.DUMMYFUNCTION("""COMPUTED_VALUE"""),"2022")</f>
        <v>2022</v>
      </c>
      <c r="B26" s="2" t="str">
        <f ca="1">IFERROR(__xludf.DUMMYFUNCTION("""COMPUTED_VALUE"""),"07")</f>
        <v>07</v>
      </c>
      <c r="C26" s="2" t="str">
        <f ca="1">IFERROR(__xludf.DUMMYFUNCTION("""COMPUTED_VALUE"""),"休日午前")</f>
        <v>休日午前</v>
      </c>
      <c r="D26" s="2"/>
      <c r="E26" s="2">
        <f ca="1">IFERROR(__xludf.DUMMYFUNCTION("""COMPUTED_VALUE"""),1)</f>
        <v>1</v>
      </c>
      <c r="F26" s="2">
        <f ca="1">IFERROR(__xludf.DUMMYFUNCTION("""COMPUTED_VALUE"""),1)</f>
        <v>1</v>
      </c>
      <c r="G26" s="2"/>
      <c r="H26" s="2"/>
      <c r="I26" s="2">
        <f ca="1">IFERROR(__xludf.DUMMYFUNCTION("""COMPUTED_VALUE"""),1)</f>
        <v>1</v>
      </c>
      <c r="J26" s="2">
        <f ca="1">IFERROR(__xludf.DUMMYFUNCTION("""COMPUTED_VALUE"""),1)</f>
        <v>1</v>
      </c>
      <c r="K26" s="2"/>
      <c r="L26" s="2"/>
      <c r="M26" s="2"/>
      <c r="N26" s="2"/>
      <c r="O26" s="2">
        <f ca="1">IFERROR(__xludf.DUMMYFUNCTION("""COMPUTED_VALUE"""),1)</f>
        <v>1</v>
      </c>
      <c r="P26" s="2"/>
      <c r="Q26" s="2"/>
      <c r="R26" s="2"/>
      <c r="S26" s="2"/>
      <c r="T26" s="2"/>
      <c r="U26" s="2"/>
      <c r="V26" s="2">
        <f ca="1">IFERROR(__xludf.DUMMYFUNCTION("""COMPUTED_VALUE"""),1)</f>
        <v>1</v>
      </c>
      <c r="W26" s="2"/>
      <c r="X26" s="2"/>
      <c r="Y26" s="2"/>
      <c r="Z26" s="2">
        <f ca="1">IFERROR(__xludf.DUMMYFUNCTION("""COMPUTED_VALUE"""),1)</f>
        <v>1</v>
      </c>
      <c r="AA26" s="2"/>
      <c r="AB26" s="2"/>
      <c r="AC26" s="2">
        <f ca="1">IFERROR(__xludf.DUMMYFUNCTION("""COMPUTED_VALUE"""),2)</f>
        <v>2</v>
      </c>
      <c r="AD26" s="2">
        <f ca="1">IFERROR(__xludf.DUMMYFUNCTION("""COMPUTED_VALUE"""),1)</f>
        <v>1</v>
      </c>
      <c r="AE26" s="2"/>
      <c r="AF26" s="2"/>
      <c r="AG26" s="2"/>
      <c r="AH26" s="2">
        <f ca="1">IFERROR(__xludf.DUMMYFUNCTION("""COMPUTED_VALUE"""),1)</f>
        <v>1</v>
      </c>
      <c r="AI26" s="2"/>
      <c r="AJ26" s="2"/>
      <c r="AK26" s="2"/>
      <c r="AL26" s="2"/>
    </row>
    <row r="27" spans="1:38" x14ac:dyDescent="0.35">
      <c r="A27" s="2" t="str">
        <f ca="1">IFERROR(__xludf.DUMMYFUNCTION("""COMPUTED_VALUE"""),"2022")</f>
        <v>2022</v>
      </c>
      <c r="B27" s="2" t="str">
        <f ca="1">IFERROR(__xludf.DUMMYFUNCTION("""COMPUTED_VALUE"""),"07")</f>
        <v>07</v>
      </c>
      <c r="C27" s="2" t="str">
        <f ca="1">IFERROR(__xludf.DUMMYFUNCTION("""COMPUTED_VALUE"""),"休日午後")</f>
        <v>休日午後</v>
      </c>
      <c r="D27" s="2"/>
      <c r="E27" s="2"/>
      <c r="F27" s="2"/>
      <c r="G27" s="2"/>
      <c r="H27" s="2"/>
      <c r="I27" s="2"/>
      <c r="J27" s="2"/>
      <c r="K27" s="2">
        <f ca="1">IFERROR(__xludf.DUMMYFUNCTION("""COMPUTED_VALUE"""),1)</f>
        <v>1</v>
      </c>
      <c r="L27" s="2">
        <f ca="1">IFERROR(__xludf.DUMMYFUNCTION("""COMPUTED_VALUE"""),1)</f>
        <v>1</v>
      </c>
      <c r="M27" s="2">
        <f ca="1">IFERROR(__xludf.DUMMYFUNCTION("""COMPUTED_VALUE"""),1)</f>
        <v>1</v>
      </c>
      <c r="N27" s="2">
        <f ca="1">IFERROR(__xludf.DUMMYFUNCTION("""COMPUTED_VALUE"""),1)</f>
        <v>1</v>
      </c>
      <c r="O27" s="2">
        <f ca="1">IFERROR(__xludf.DUMMYFUNCTION("""COMPUTED_VALUE"""),1)</f>
        <v>1</v>
      </c>
      <c r="P27" s="2">
        <f ca="1">IFERROR(__xludf.DUMMYFUNCTION("""COMPUTED_VALUE"""),1)</f>
        <v>1</v>
      </c>
      <c r="Q27" s="2"/>
      <c r="R27" s="2"/>
      <c r="S27" s="2">
        <f ca="1">IFERROR(__xludf.DUMMYFUNCTION("""COMPUTED_VALUE"""),1)</f>
        <v>1</v>
      </c>
      <c r="T27" s="2">
        <f ca="1">IFERROR(__xludf.DUMMYFUNCTION("""COMPUTED_VALUE"""),1)</f>
        <v>1</v>
      </c>
      <c r="U27" s="2"/>
      <c r="V27" s="2"/>
      <c r="W27" s="2"/>
      <c r="X27" s="2">
        <f ca="1">IFERROR(__xludf.DUMMYFUNCTION("""COMPUTED_VALUE"""),1)</f>
        <v>1</v>
      </c>
      <c r="Y27" s="2"/>
      <c r="Z27" s="2"/>
      <c r="AA27" s="2">
        <f ca="1">IFERROR(__xludf.DUMMYFUNCTION("""COMPUTED_VALUE"""),1)</f>
        <v>1</v>
      </c>
      <c r="AB27" s="2"/>
      <c r="AC27" s="2"/>
      <c r="AD27" s="2"/>
      <c r="AE27" s="2"/>
      <c r="AF27" s="2"/>
      <c r="AG27" s="2"/>
      <c r="AH27" s="2">
        <f ca="1">IFERROR(__xludf.DUMMYFUNCTION("""COMPUTED_VALUE"""),1)</f>
        <v>1</v>
      </c>
      <c r="AI27" s="2"/>
      <c r="AJ27" s="2"/>
      <c r="AK27" s="2"/>
      <c r="AL27" s="2"/>
    </row>
    <row r="28" spans="1:38" x14ac:dyDescent="0.35">
      <c r="A28" s="2" t="str">
        <f ca="1">IFERROR(__xludf.DUMMYFUNCTION("""COMPUTED_VALUE"""),"2022")</f>
        <v>2022</v>
      </c>
      <c r="B28" s="28" t="str">
        <f ca="1">IFERROR(__xludf.DUMMYFUNCTION("""COMPUTED_VALUE"""),"07")</f>
        <v>07</v>
      </c>
      <c r="C28" s="2" t="str">
        <f ca="1">IFERROR(__xludf.DUMMYFUNCTION("""COMPUTED_VALUE"""),"平日夜間")</f>
        <v>平日夜間</v>
      </c>
      <c r="D28" s="2"/>
      <c r="E28" s="2">
        <f ca="1">IFERROR(__xludf.DUMMYFUNCTION("""COMPUTED_VALUE"""),1)</f>
        <v>1</v>
      </c>
      <c r="F28" s="2">
        <f ca="1">IFERROR(__xludf.DUMMYFUNCTION("""COMPUTED_VALUE"""),1)</f>
        <v>1</v>
      </c>
      <c r="G28" s="2"/>
      <c r="H28" s="2">
        <f ca="1">IFERROR(__xludf.DUMMYFUNCTION("""COMPUTED_VALUE"""),1)</f>
        <v>1</v>
      </c>
      <c r="I28" s="2"/>
      <c r="J28" s="2">
        <f ca="1">IFERROR(__xludf.DUMMYFUNCTION("""COMPUTED_VALUE"""),1)</f>
        <v>1</v>
      </c>
      <c r="K28" s="2"/>
      <c r="L28" s="2"/>
      <c r="M28" s="2"/>
      <c r="N28" s="2">
        <f ca="1">IFERROR(__xludf.DUMMYFUNCTION("""COMPUTED_VALUE"""),2)</f>
        <v>2</v>
      </c>
      <c r="O28" s="2">
        <f ca="1">IFERROR(__xludf.DUMMYFUNCTION("""COMPUTED_VALUE"""),1)</f>
        <v>1</v>
      </c>
      <c r="P28" s="2"/>
      <c r="Q28" s="2"/>
      <c r="R28" s="2">
        <f ca="1">IFERROR(__xludf.DUMMYFUNCTION("""COMPUTED_VALUE"""),1)</f>
        <v>1</v>
      </c>
      <c r="S28" s="2">
        <f ca="1">IFERROR(__xludf.DUMMYFUNCTION("""COMPUTED_VALUE"""),2)</f>
        <v>2</v>
      </c>
      <c r="T28" s="2"/>
      <c r="U28" s="2">
        <f ca="1">IFERROR(__xludf.DUMMYFUNCTION("""COMPUTED_VALUE"""),2)</f>
        <v>2</v>
      </c>
      <c r="V28" s="2">
        <f ca="1">IFERROR(__xludf.DUMMYFUNCTION("""COMPUTED_VALUE"""),2)</f>
        <v>2</v>
      </c>
      <c r="W28" s="2"/>
      <c r="X28" s="2"/>
      <c r="Y28" s="2"/>
      <c r="Z28" s="2">
        <f ca="1">IFERROR(__xludf.DUMMYFUNCTION("""COMPUTED_VALUE"""),1)</f>
        <v>1</v>
      </c>
      <c r="AA28" s="2">
        <f ca="1">IFERROR(__xludf.DUMMYFUNCTION("""COMPUTED_VALUE"""),1)</f>
        <v>1</v>
      </c>
      <c r="AB28" s="2"/>
      <c r="AC28" s="2">
        <f ca="1">IFERROR(__xludf.DUMMYFUNCTION("""COMPUTED_VALUE"""),1)</f>
        <v>1</v>
      </c>
      <c r="AD28" s="2">
        <f ca="1">IFERROR(__xludf.DUMMYFUNCTION("""COMPUTED_VALUE"""),2)</f>
        <v>2</v>
      </c>
      <c r="AE28" s="2"/>
      <c r="AF28" s="2"/>
      <c r="AG28" s="2"/>
      <c r="AH28" s="2">
        <f ca="1">IFERROR(__xludf.DUMMYFUNCTION("""COMPUTED_VALUE"""),1)</f>
        <v>1</v>
      </c>
      <c r="AI28" s="2"/>
      <c r="AJ28" s="2"/>
      <c r="AK28" s="2"/>
      <c r="AL28" s="2"/>
    </row>
    <row r="29" spans="1:38" x14ac:dyDescent="0.35">
      <c r="A29" s="2" t="str">
        <f ca="1">IFERROR(__xludf.DUMMYFUNCTION("""COMPUTED_VALUE"""),"2022")</f>
        <v>2022</v>
      </c>
      <c r="B29" s="2" t="str">
        <f ca="1">IFERROR(__xludf.DUMMYFUNCTION("""COMPUTED_VALUE"""),"06")</f>
        <v>06</v>
      </c>
      <c r="C29" s="2" t="str">
        <f ca="1">IFERROR(__xludf.DUMMYFUNCTION("""COMPUTED_VALUE"""),"休日午前")</f>
        <v>休日午前</v>
      </c>
      <c r="D29" s="2"/>
      <c r="E29" s="2"/>
      <c r="F29" s="2"/>
      <c r="G29" s="2"/>
      <c r="H29" s="2">
        <f ca="1">IFERROR(__xludf.DUMMYFUNCTION("""COMPUTED_VALUE"""),1)</f>
        <v>1</v>
      </c>
      <c r="I29" s="2"/>
      <c r="J29" s="2">
        <f ca="1">IFERROR(__xludf.DUMMYFUNCTION("""COMPUTED_VALUE"""),1)</f>
        <v>1</v>
      </c>
      <c r="K29" s="2">
        <f ca="1">IFERROR(__xludf.DUMMYFUNCTION("""COMPUTED_VALUE"""),1)</f>
        <v>1</v>
      </c>
      <c r="L29" s="2">
        <f ca="1">IFERROR(__xludf.DUMMYFUNCTION("""COMPUTED_VALUE"""),1)</f>
        <v>1</v>
      </c>
      <c r="M29" s="2"/>
      <c r="N29" s="2"/>
      <c r="O29" s="2"/>
      <c r="P29" s="2"/>
      <c r="Q29" s="2"/>
      <c r="R29" s="2">
        <f ca="1">IFERROR(__xludf.DUMMYFUNCTION("""COMPUTED_VALUE"""),1)</f>
        <v>1</v>
      </c>
      <c r="S29" s="2"/>
      <c r="T29" s="2"/>
      <c r="U29" s="2"/>
      <c r="V29" s="2">
        <f ca="1">IFERROR(__xludf.DUMMYFUNCTION("""COMPUTED_VALUE"""),1)</f>
        <v>1</v>
      </c>
      <c r="W29" s="2"/>
      <c r="X29" s="2"/>
      <c r="Y29" s="2"/>
      <c r="Z29" s="2"/>
      <c r="AA29" s="2">
        <f ca="1">IFERROR(__xludf.DUMMYFUNCTION("""COMPUTED_VALUE"""),1)</f>
        <v>1</v>
      </c>
      <c r="AB29" s="2"/>
      <c r="AC29" s="2"/>
      <c r="AD29" s="2"/>
      <c r="AE29" s="2"/>
      <c r="AF29" s="2"/>
      <c r="AG29" s="2"/>
      <c r="AH29" s="2">
        <f ca="1">IFERROR(__xludf.DUMMYFUNCTION("""COMPUTED_VALUE"""),1)</f>
        <v>1</v>
      </c>
      <c r="AI29" s="2"/>
      <c r="AJ29" s="2"/>
      <c r="AK29" s="2"/>
      <c r="AL29" s="2"/>
    </row>
    <row r="30" spans="1:38" x14ac:dyDescent="0.35">
      <c r="A30" s="2" t="str">
        <f ca="1">IFERROR(__xludf.DUMMYFUNCTION("""COMPUTED_VALUE"""),"2022")</f>
        <v>2022</v>
      </c>
      <c r="B30" s="2" t="str">
        <f ca="1">IFERROR(__xludf.DUMMYFUNCTION("""COMPUTED_VALUE"""),"06")</f>
        <v>06</v>
      </c>
      <c r="C30" s="2" t="str">
        <f ca="1">IFERROR(__xludf.DUMMYFUNCTION("""COMPUTED_VALUE"""),"休日午後")</f>
        <v>休日午後</v>
      </c>
      <c r="D30" s="2"/>
      <c r="E30" s="2">
        <f ca="1">IFERROR(__xludf.DUMMYFUNCTION("""COMPUTED_VALUE"""),1)</f>
        <v>1</v>
      </c>
      <c r="F30" s="2"/>
      <c r="G30" s="2"/>
      <c r="H30" s="2"/>
      <c r="I30" s="2">
        <f ca="1">IFERROR(__xludf.DUMMYFUNCTION("""COMPUTED_VALUE"""),1)</f>
        <v>1</v>
      </c>
      <c r="J30" s="2"/>
      <c r="K30" s="2"/>
      <c r="L30" s="2"/>
      <c r="M30" s="2">
        <f ca="1">IFERROR(__xludf.DUMMYFUNCTION("""COMPUTED_VALUE"""),1)</f>
        <v>1</v>
      </c>
      <c r="N30" s="2"/>
      <c r="O30" s="2"/>
      <c r="P30" s="2"/>
      <c r="Q30" s="2"/>
      <c r="R30" s="2"/>
      <c r="S30" s="2"/>
      <c r="T30" s="2">
        <f ca="1">IFERROR(__xludf.DUMMYFUNCTION("""COMPUTED_VALUE"""),1)</f>
        <v>1</v>
      </c>
      <c r="U30" s="2">
        <f ca="1">IFERROR(__xludf.DUMMYFUNCTION("""COMPUTED_VALUE"""),1)</f>
        <v>1</v>
      </c>
      <c r="V30" s="2"/>
      <c r="W30" s="2"/>
      <c r="X30" s="2"/>
      <c r="Y30" s="2"/>
      <c r="Z30" s="2">
        <f ca="1">IFERROR(__xludf.DUMMYFUNCTION("""COMPUTED_VALUE"""),1)</f>
        <v>1</v>
      </c>
      <c r="AA30" s="2"/>
      <c r="AB30" s="2"/>
      <c r="AC30" s="2">
        <f ca="1">IFERROR(__xludf.DUMMYFUNCTION("""COMPUTED_VALUE"""),1)</f>
        <v>1</v>
      </c>
      <c r="AD30" s="2">
        <f ca="1">IFERROR(__xludf.DUMMYFUNCTION("""COMPUTED_VALUE"""),1)</f>
        <v>1</v>
      </c>
      <c r="AE30" s="2"/>
      <c r="AF30" s="2"/>
      <c r="AG30" s="2"/>
      <c r="AH30" s="2"/>
      <c r="AI30" s="2"/>
      <c r="AJ30" s="2"/>
      <c r="AK30" s="2"/>
      <c r="AL30" s="2"/>
    </row>
    <row r="31" spans="1:38" ht="12.75" x14ac:dyDescent="0.35">
      <c r="A31" s="2" t="str">
        <f ca="1">IFERROR(__xludf.DUMMYFUNCTION("""COMPUTED_VALUE"""),"2022")</f>
        <v>2022</v>
      </c>
      <c r="B31" s="2" t="str">
        <f ca="1">IFERROR(__xludf.DUMMYFUNCTION("""COMPUTED_VALUE"""),"06")</f>
        <v>06</v>
      </c>
      <c r="C31" s="2" t="str">
        <f ca="1">IFERROR(__xludf.DUMMYFUNCTION("""COMPUTED_VALUE"""),"平日夜間")</f>
        <v>平日夜間</v>
      </c>
      <c r="D31" s="2"/>
      <c r="E31" s="2">
        <f ca="1">IFERROR(__xludf.DUMMYFUNCTION("""COMPUTED_VALUE"""),1)</f>
        <v>1</v>
      </c>
      <c r="F31" s="2">
        <f ca="1">IFERROR(__xludf.DUMMYFUNCTION("""COMPUTED_VALUE"""),2)</f>
        <v>2</v>
      </c>
      <c r="G31" s="2"/>
      <c r="H31" s="2">
        <f ca="1">IFERROR(__xludf.DUMMYFUNCTION("""COMPUTED_VALUE"""),1)</f>
        <v>1</v>
      </c>
      <c r="I31" s="2">
        <f ca="1">IFERROR(__xludf.DUMMYFUNCTION("""COMPUTED_VALUE"""),1)</f>
        <v>1</v>
      </c>
      <c r="J31" s="2">
        <f ca="1">IFERROR(__xludf.DUMMYFUNCTION("""COMPUTED_VALUE"""),1)</f>
        <v>1</v>
      </c>
      <c r="K31" s="2">
        <f ca="1">IFERROR(__xludf.DUMMYFUNCTION("""COMPUTED_VALUE"""),1)</f>
        <v>1</v>
      </c>
      <c r="L31" s="2"/>
      <c r="M31" s="2"/>
      <c r="N31" s="2">
        <f ca="1">IFERROR(__xludf.DUMMYFUNCTION("""COMPUTED_VALUE"""),1)</f>
        <v>1</v>
      </c>
      <c r="O31" s="2">
        <f ca="1">IFERROR(__xludf.DUMMYFUNCTION("""COMPUTED_VALUE"""),2)</f>
        <v>2</v>
      </c>
      <c r="P31" s="2">
        <f ca="1">IFERROR(__xludf.DUMMYFUNCTION("""COMPUTED_VALUE"""),1)</f>
        <v>1</v>
      </c>
      <c r="Q31" s="2"/>
      <c r="R31" s="2">
        <f ca="1">IFERROR(__xludf.DUMMYFUNCTION("""COMPUTED_VALUE"""),1)</f>
        <v>1</v>
      </c>
      <c r="S31" s="2">
        <f ca="1">IFERROR(__xludf.DUMMYFUNCTION("""COMPUTED_VALUE"""),1)</f>
        <v>1</v>
      </c>
      <c r="T31" s="2"/>
      <c r="U31" s="2"/>
      <c r="V31" s="2">
        <f ca="1">IFERROR(__xludf.DUMMYFUNCTION("""COMPUTED_VALUE"""),1)</f>
        <v>1</v>
      </c>
      <c r="W31" s="2"/>
      <c r="X31" s="2">
        <f ca="1">IFERROR(__xludf.DUMMYFUNCTION("""COMPUTED_VALUE"""),2)</f>
        <v>2</v>
      </c>
      <c r="Y31" s="2"/>
      <c r="Z31" s="2">
        <f ca="1">IFERROR(__xludf.DUMMYFUNCTION("""COMPUTED_VALUE"""),1)</f>
        <v>1</v>
      </c>
      <c r="AA31" s="2">
        <f ca="1">IFERROR(__xludf.DUMMYFUNCTION("""COMPUTED_VALUE"""),1)</f>
        <v>1</v>
      </c>
      <c r="AB31" s="2"/>
      <c r="AC31" s="2">
        <f ca="1">IFERROR(__xludf.DUMMYFUNCTION("""COMPUTED_VALUE"""),1)</f>
        <v>1</v>
      </c>
      <c r="AD31" s="2">
        <f ca="1">IFERROR(__xludf.DUMMYFUNCTION("""COMPUTED_VALUE"""),1)</f>
        <v>1</v>
      </c>
      <c r="AE31" s="2"/>
      <c r="AF31" s="2"/>
      <c r="AG31" s="2"/>
      <c r="AH31" s="2">
        <f ca="1">IFERROR(__xludf.DUMMYFUNCTION("""COMPUTED_VALUE"""),2)</f>
        <v>2</v>
      </c>
      <c r="AI31" s="2"/>
      <c r="AJ31" s="2"/>
      <c r="AK31" s="2"/>
      <c r="AL31" s="2"/>
    </row>
    <row r="32" spans="1:38" ht="12.75" x14ac:dyDescent="0.35">
      <c r="A32" s="2" t="str">
        <f ca="1">IFERROR(__xludf.DUMMYFUNCTION("""COMPUTED_VALUE"""),"2022")</f>
        <v>2022</v>
      </c>
      <c r="B32" s="2" t="str">
        <f ca="1">IFERROR(__xludf.DUMMYFUNCTION("""COMPUTED_VALUE"""),"05")</f>
        <v>05</v>
      </c>
      <c r="C32" s="2" t="str">
        <f ca="1">IFERROR(__xludf.DUMMYFUNCTION("""COMPUTED_VALUE"""),"休日午前")</f>
        <v>休日午前</v>
      </c>
      <c r="D32" s="2"/>
      <c r="E32" s="2"/>
      <c r="F32" s="2"/>
      <c r="G32" s="2"/>
      <c r="H32" s="2">
        <f ca="1">IFERROR(__xludf.DUMMYFUNCTION("""COMPUTED_VALUE"""),1)</f>
        <v>1</v>
      </c>
      <c r="I32" s="2"/>
      <c r="J32" s="2"/>
      <c r="K32" s="2">
        <f ca="1">IFERROR(__xludf.DUMMYFUNCTION("""COMPUTED_VALUE"""),1)</f>
        <v>1</v>
      </c>
      <c r="L32" s="2"/>
      <c r="M32" s="2">
        <f ca="1">IFERROR(__xludf.DUMMYFUNCTION("""COMPUTED_VALUE"""),1)</f>
        <v>1</v>
      </c>
      <c r="N32" s="2"/>
      <c r="O32" s="2"/>
      <c r="P32" s="2"/>
      <c r="Q32" s="2"/>
      <c r="R32" s="2">
        <f ca="1">IFERROR(__xludf.DUMMYFUNCTION("""COMPUTED_VALUE"""),1)</f>
        <v>1</v>
      </c>
      <c r="S32" s="2"/>
      <c r="T32" s="2"/>
      <c r="U32" s="2">
        <f ca="1">IFERROR(__xludf.DUMMYFUNCTION("""COMPUTED_VALUE"""),1)</f>
        <v>1</v>
      </c>
      <c r="V32" s="2"/>
      <c r="W32" s="2"/>
      <c r="X32" s="2">
        <f ca="1">IFERROR(__xludf.DUMMYFUNCTION("""COMPUTED_VALUE"""),1)</f>
        <v>1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2.75" x14ac:dyDescent="0.35">
      <c r="A33" s="2" t="str">
        <f ca="1">IFERROR(__xludf.DUMMYFUNCTION("""COMPUTED_VALUE"""),"2022")</f>
        <v>2022</v>
      </c>
      <c r="B33" s="28" t="str">
        <f ca="1">IFERROR(__xludf.DUMMYFUNCTION("""COMPUTED_VALUE"""),"05")</f>
        <v>05</v>
      </c>
      <c r="C33" s="2" t="str">
        <f ca="1">IFERROR(__xludf.DUMMYFUNCTION("""COMPUTED_VALUE"""),"休日午後")</f>
        <v>休日午後</v>
      </c>
      <c r="D33" s="2"/>
      <c r="E33" s="2"/>
      <c r="F33" s="2"/>
      <c r="G33" s="2"/>
      <c r="H33" s="2"/>
      <c r="I33" s="2"/>
      <c r="J33" s="2"/>
      <c r="K33" s="2"/>
      <c r="L33" s="2">
        <f ca="1">IFERROR(__xludf.DUMMYFUNCTION("""COMPUTED_VALUE"""),1)</f>
        <v>1</v>
      </c>
      <c r="M33" s="2"/>
      <c r="N33" s="2"/>
      <c r="O33" s="2"/>
      <c r="P33" s="2"/>
      <c r="Q33" s="2"/>
      <c r="R33" s="2"/>
      <c r="S33" s="2"/>
      <c r="T33" s="2">
        <f ca="1">IFERROR(__xludf.DUMMYFUNCTION("""COMPUTED_VALUE"""),1)</f>
        <v>1</v>
      </c>
      <c r="U33" s="2"/>
      <c r="V33" s="2">
        <f ca="1">IFERROR(__xludf.DUMMYFUNCTION("""COMPUTED_VALUE"""),1)</f>
        <v>1</v>
      </c>
      <c r="W33" s="2"/>
      <c r="X33" s="2"/>
      <c r="Y33" s="2"/>
      <c r="Z33" s="2"/>
      <c r="AA33" s="2"/>
      <c r="AB33" s="2"/>
      <c r="AC33" s="2">
        <f ca="1">IFERROR(__xludf.DUMMYFUNCTION("""COMPUTED_VALUE"""),1)</f>
        <v>1</v>
      </c>
      <c r="AD33" s="2">
        <f ca="1">IFERROR(__xludf.DUMMYFUNCTION("""COMPUTED_VALUE"""),1)</f>
        <v>1</v>
      </c>
      <c r="AE33" s="2"/>
      <c r="AF33" s="2"/>
      <c r="AG33" s="2"/>
      <c r="AH33" s="2">
        <f ca="1">IFERROR(__xludf.DUMMYFUNCTION("""COMPUTED_VALUE"""),1)</f>
        <v>1</v>
      </c>
      <c r="AI33" s="2"/>
      <c r="AJ33" s="2"/>
      <c r="AK33" s="2"/>
      <c r="AL33" s="2"/>
    </row>
    <row r="34" spans="1:38" ht="12.75" x14ac:dyDescent="0.35">
      <c r="A34" s="2" t="str">
        <f ca="1">IFERROR(__xludf.DUMMYFUNCTION("""COMPUTED_VALUE"""),"2022")</f>
        <v>2022</v>
      </c>
      <c r="B34" s="2" t="str">
        <f ca="1">IFERROR(__xludf.DUMMYFUNCTION("""COMPUTED_VALUE"""),"05")</f>
        <v>05</v>
      </c>
      <c r="C34" s="2" t="str">
        <f ca="1">IFERROR(__xludf.DUMMYFUNCTION("""COMPUTED_VALUE"""),"平日夜間")</f>
        <v>平日夜間</v>
      </c>
      <c r="D34" s="2"/>
      <c r="E34" s="2"/>
      <c r="F34" s="2"/>
      <c r="G34" s="2"/>
      <c r="H34" s="2">
        <f ca="1">IFERROR(__xludf.DUMMYFUNCTION("""COMPUTED_VALUE"""),2)</f>
        <v>2</v>
      </c>
      <c r="I34" s="2"/>
      <c r="J34" s="2">
        <f ca="1">IFERROR(__xludf.DUMMYFUNCTION("""COMPUTED_VALUE"""),2)</f>
        <v>2</v>
      </c>
      <c r="K34" s="2">
        <f ca="1">IFERROR(__xludf.DUMMYFUNCTION("""COMPUTED_VALUE"""),3)</f>
        <v>3</v>
      </c>
      <c r="L34" s="2">
        <f ca="1">IFERROR(__xludf.DUMMYFUNCTION("""COMPUTED_VALUE"""),1)</f>
        <v>1</v>
      </c>
      <c r="M34" s="2">
        <f ca="1">IFERROR(__xludf.DUMMYFUNCTION("""COMPUTED_VALUE"""),1)</f>
        <v>1</v>
      </c>
      <c r="N34" s="2"/>
      <c r="O34" s="2"/>
      <c r="P34" s="2"/>
      <c r="Q34" s="2"/>
      <c r="R34" s="2">
        <f ca="1">IFERROR(__xludf.DUMMYFUNCTION("""COMPUTED_VALUE"""),1)</f>
        <v>1</v>
      </c>
      <c r="S34" s="2"/>
      <c r="T34" s="2"/>
      <c r="U34" s="2">
        <f ca="1">IFERROR(__xludf.DUMMYFUNCTION("""COMPUTED_VALUE"""),1)</f>
        <v>1</v>
      </c>
      <c r="V34" s="2">
        <f ca="1">IFERROR(__xludf.DUMMYFUNCTION("""COMPUTED_VALUE"""),1)</f>
        <v>1</v>
      </c>
      <c r="W34" s="2"/>
      <c r="X34" s="2">
        <f ca="1">IFERROR(__xludf.DUMMYFUNCTION("""COMPUTED_VALUE"""),1)</f>
        <v>1</v>
      </c>
      <c r="Y34" s="2"/>
      <c r="Z34" s="2"/>
      <c r="AA34" s="2">
        <f ca="1">IFERROR(__xludf.DUMMYFUNCTION("""COMPUTED_VALUE"""),2)</f>
        <v>2</v>
      </c>
      <c r="AB34" s="2"/>
      <c r="AC34" s="2">
        <f ca="1">IFERROR(__xludf.DUMMYFUNCTION("""COMPUTED_VALUE"""),1)</f>
        <v>1</v>
      </c>
      <c r="AD34" s="2">
        <f ca="1">IFERROR(__xludf.DUMMYFUNCTION("""COMPUTED_VALUE"""),1)</f>
        <v>1</v>
      </c>
      <c r="AE34" s="2"/>
      <c r="AF34" s="2"/>
      <c r="AG34" s="2"/>
      <c r="AH34" s="2"/>
      <c r="AI34" s="2"/>
      <c r="AJ34" s="2"/>
      <c r="AK34" s="2"/>
      <c r="AL34" s="2"/>
    </row>
    <row r="38" spans="1:38" ht="12.75" x14ac:dyDescent="0.35">
      <c r="B38" s="28"/>
    </row>
    <row r="43" spans="1:38" ht="12.75" x14ac:dyDescent="0.35">
      <c r="B43" s="28"/>
    </row>
    <row r="48" spans="1:38" ht="12.75" x14ac:dyDescent="0.35">
      <c r="B48" s="28"/>
    </row>
    <row r="54" spans="1:2" ht="12.75" x14ac:dyDescent="0.35">
      <c r="B54" s="28"/>
    </row>
    <row r="61" spans="1:2" ht="16.149999999999999" x14ac:dyDescent="0.7">
      <c r="A61" s="47"/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8704"/>
  <sheetViews>
    <sheetView workbookViewId="0"/>
  </sheetViews>
  <sheetFormatPr defaultColWidth="12.59765625" defaultRowHeight="15.75" customHeight="1" x14ac:dyDescent="0.35"/>
  <cols>
    <col min="1" max="1" width="17.86328125" customWidth="1"/>
    <col min="2" max="2" width="5.265625" customWidth="1"/>
    <col min="3" max="3" width="14.3984375" customWidth="1"/>
    <col min="4" max="4" width="9.46484375" customWidth="1"/>
    <col min="5" max="5" width="5.46484375" customWidth="1"/>
    <col min="6" max="6" width="13.1328125" customWidth="1"/>
    <col min="7" max="7" width="20.46484375" customWidth="1"/>
  </cols>
  <sheetData>
    <row r="1" spans="1:7" ht="15.75" customHeight="1" x14ac:dyDescent="0.7">
      <c r="A1" s="49">
        <v>44629.76971912037</v>
      </c>
      <c r="B1" s="50" t="s">
        <v>13</v>
      </c>
      <c r="C1" s="50" t="s">
        <v>258</v>
      </c>
      <c r="D1" s="50" t="s">
        <v>259</v>
      </c>
      <c r="E1" s="50">
        <v>0</v>
      </c>
      <c r="F1" s="50">
        <v>0.52084232128062569</v>
      </c>
      <c r="G1" s="51" t="str">
        <f t="array" ref="G1:G8704">B:B&amp;" "&amp;C:C</f>
        <v>新美 2022/04/01 (金)
平日夜間</v>
      </c>
    </row>
    <row r="2" spans="1:7" ht="15.75" customHeight="1" x14ac:dyDescent="0.7">
      <c r="A2" s="49">
        <v>44629.76971912037</v>
      </c>
      <c r="B2" s="50" t="s">
        <v>13</v>
      </c>
      <c r="C2" s="50" t="s">
        <v>260</v>
      </c>
      <c r="D2" s="50" t="s">
        <v>261</v>
      </c>
      <c r="E2" s="50">
        <v>0</v>
      </c>
      <c r="F2" s="50">
        <v>0.23211403890895843</v>
      </c>
      <c r="G2" s="51" t="str">
        <v>新美 2022/04/02 (土)
休日午後</v>
      </c>
    </row>
    <row r="3" spans="1:7" ht="15.75" customHeight="1" x14ac:dyDescent="0.7">
      <c r="A3" s="49">
        <v>44629.76971912037</v>
      </c>
      <c r="B3" s="50" t="s">
        <v>13</v>
      </c>
      <c r="C3" s="50" t="s">
        <v>262</v>
      </c>
      <c r="D3" s="50" t="s">
        <v>263</v>
      </c>
      <c r="E3" s="50">
        <v>0</v>
      </c>
      <c r="F3" s="50">
        <v>6.7280589881377084E-2</v>
      </c>
      <c r="G3" s="51" t="str">
        <v>新美 2022/04/02 (土)
休日午前</v>
      </c>
    </row>
    <row r="4" spans="1:7" ht="15.75" customHeight="1" x14ac:dyDescent="0.7">
      <c r="A4" s="49">
        <v>44629.76971912037</v>
      </c>
      <c r="B4" s="50" t="s">
        <v>13</v>
      </c>
      <c r="C4" s="50" t="s">
        <v>264</v>
      </c>
      <c r="D4" s="50" t="s">
        <v>261</v>
      </c>
      <c r="E4" s="50">
        <v>0</v>
      </c>
      <c r="F4" s="50">
        <v>0.14409470349561615</v>
      </c>
      <c r="G4" s="51" t="str">
        <v>新美 2022/04/03 (日)
休日午後</v>
      </c>
    </row>
    <row r="5" spans="1:7" ht="15.75" customHeight="1" x14ac:dyDescent="0.7">
      <c r="A5" s="49">
        <v>44629.76971912037</v>
      </c>
      <c r="B5" s="50" t="s">
        <v>13</v>
      </c>
      <c r="C5" s="50" t="s">
        <v>265</v>
      </c>
      <c r="D5" s="50" t="s">
        <v>263</v>
      </c>
      <c r="E5" s="50">
        <v>0</v>
      </c>
      <c r="F5" s="50">
        <v>0.89083776547246241</v>
      </c>
      <c r="G5" s="51" t="str">
        <v>新美 2022/04/03 (日)
休日午前</v>
      </c>
    </row>
    <row r="6" spans="1:7" ht="15.75" customHeight="1" x14ac:dyDescent="0.7">
      <c r="A6" s="49">
        <v>44629.76971912037</v>
      </c>
      <c r="B6" s="50" t="s">
        <v>13</v>
      </c>
      <c r="C6" s="50" t="s">
        <v>266</v>
      </c>
      <c r="D6" s="50" t="s">
        <v>259</v>
      </c>
      <c r="E6" s="50">
        <v>0</v>
      </c>
      <c r="F6" s="50">
        <v>0.59391490784080236</v>
      </c>
      <c r="G6" s="51" t="str">
        <v>新美 2022/04/04 (月)
平日夜間</v>
      </c>
    </row>
    <row r="7" spans="1:7" ht="15.75" customHeight="1" x14ac:dyDescent="0.7">
      <c r="A7" s="49">
        <v>44629.76971912037</v>
      </c>
      <c r="B7" s="50" t="s">
        <v>13</v>
      </c>
      <c r="C7" s="50" t="s">
        <v>267</v>
      </c>
      <c r="D7" s="50" t="s">
        <v>259</v>
      </c>
      <c r="E7" s="50">
        <v>0</v>
      </c>
      <c r="F7" s="50">
        <v>0.3402632381522519</v>
      </c>
      <c r="G7" s="51" t="str">
        <v>新美 2022/04/05 (火)
平日夜間</v>
      </c>
    </row>
    <row r="8" spans="1:7" ht="15.75" customHeight="1" x14ac:dyDescent="0.7">
      <c r="A8" s="49">
        <v>44629.76971912037</v>
      </c>
      <c r="B8" s="50" t="s">
        <v>13</v>
      </c>
      <c r="C8" s="50" t="s">
        <v>268</v>
      </c>
      <c r="D8" s="50" t="s">
        <v>259</v>
      </c>
      <c r="E8" s="50">
        <v>-1</v>
      </c>
      <c r="F8" s="50">
        <v>-0.76502657532021279</v>
      </c>
      <c r="G8" s="51" t="str">
        <v>新美 2022/04/06 (水)
平日夜間</v>
      </c>
    </row>
    <row r="9" spans="1:7" ht="15.75" customHeight="1" x14ac:dyDescent="0.7">
      <c r="A9" s="49">
        <v>44629.76971912037</v>
      </c>
      <c r="B9" s="50" t="s">
        <v>13</v>
      </c>
      <c r="C9" s="50" t="s">
        <v>269</v>
      </c>
      <c r="D9" s="50" t="s">
        <v>259</v>
      </c>
      <c r="E9" s="50">
        <v>0</v>
      </c>
      <c r="F9" s="50">
        <v>0.24031237825945362</v>
      </c>
      <c r="G9" s="51" t="str">
        <v>新美 2022/04/07 (木)
平日夜間</v>
      </c>
    </row>
    <row r="10" spans="1:7" ht="15.75" customHeight="1" x14ac:dyDescent="0.7">
      <c r="A10" s="49">
        <v>44629.76971912037</v>
      </c>
      <c r="B10" s="50" t="s">
        <v>13</v>
      </c>
      <c r="C10" s="50" t="s">
        <v>270</v>
      </c>
      <c r="D10" s="50" t="s">
        <v>259</v>
      </c>
      <c r="E10" s="50">
        <v>0</v>
      </c>
      <c r="F10" s="50">
        <v>0.64406474179718631</v>
      </c>
      <c r="G10" s="51" t="str">
        <v>新美 2022/04/08 (金)
平日夜間</v>
      </c>
    </row>
    <row r="11" spans="1:7" ht="15.75" customHeight="1" x14ac:dyDescent="0.7">
      <c r="A11" s="49">
        <v>44629.76971912037</v>
      </c>
      <c r="B11" s="50" t="s">
        <v>13</v>
      </c>
      <c r="C11" s="50" t="s">
        <v>271</v>
      </c>
      <c r="D11" s="50" t="s">
        <v>261</v>
      </c>
      <c r="E11" s="50">
        <v>0</v>
      </c>
      <c r="F11" s="50">
        <v>0.7662181705960236</v>
      </c>
      <c r="G11" s="51" t="str">
        <v>新美 2022/04/09 (土)
休日午後</v>
      </c>
    </row>
    <row r="12" spans="1:7" ht="15.75" customHeight="1" x14ac:dyDescent="0.7">
      <c r="A12" s="49">
        <v>44629.76971912037</v>
      </c>
      <c r="B12" s="50" t="s">
        <v>13</v>
      </c>
      <c r="C12" s="50" t="s">
        <v>272</v>
      </c>
      <c r="D12" s="50" t="s">
        <v>263</v>
      </c>
      <c r="E12" s="50">
        <v>0</v>
      </c>
      <c r="F12" s="50">
        <v>0.50342429872460515</v>
      </c>
      <c r="G12" s="51" t="str">
        <v>新美 2022/04/09 (土)
休日午前</v>
      </c>
    </row>
    <row r="13" spans="1:7" ht="15.75" customHeight="1" x14ac:dyDescent="0.7">
      <c r="A13" s="49">
        <v>44629.76971912037</v>
      </c>
      <c r="B13" s="50" t="s">
        <v>13</v>
      </c>
      <c r="C13" s="50" t="s">
        <v>273</v>
      </c>
      <c r="D13" s="50" t="s">
        <v>261</v>
      </c>
      <c r="E13" s="50">
        <v>0</v>
      </c>
      <c r="F13" s="50">
        <v>0.18091133692565697</v>
      </c>
      <c r="G13" s="51" t="str">
        <v>新美 2022/04/10 (日)
休日午後</v>
      </c>
    </row>
    <row r="14" spans="1:7" ht="15.75" customHeight="1" x14ac:dyDescent="0.7">
      <c r="A14" s="49">
        <v>44629.76971912037</v>
      </c>
      <c r="B14" s="50" t="s">
        <v>13</v>
      </c>
      <c r="C14" s="50" t="s">
        <v>274</v>
      </c>
      <c r="D14" s="50" t="s">
        <v>263</v>
      </c>
      <c r="E14" s="50">
        <v>0</v>
      </c>
      <c r="F14" s="50">
        <v>0.63964806845148137</v>
      </c>
      <c r="G14" s="51" t="str">
        <v>新美 2022/04/10 (日)
休日午前</v>
      </c>
    </row>
    <row r="15" spans="1:7" ht="15.75" customHeight="1" x14ac:dyDescent="0.7">
      <c r="A15" s="49">
        <v>44629.76971912037</v>
      </c>
      <c r="B15" s="50" t="s">
        <v>13</v>
      </c>
      <c r="C15" s="50" t="s">
        <v>275</v>
      </c>
      <c r="D15" s="50" t="s">
        <v>259</v>
      </c>
      <c r="E15" s="50">
        <v>0</v>
      </c>
      <c r="F15" s="50">
        <v>0.72352089958282151</v>
      </c>
      <c r="G15" s="51" t="str">
        <v>新美 2022/04/11 (月)
平日夜間</v>
      </c>
    </row>
    <row r="16" spans="1:7" ht="15.75" customHeight="1" x14ac:dyDescent="0.7">
      <c r="A16" s="49">
        <v>44629.76971912037</v>
      </c>
      <c r="B16" s="50" t="s">
        <v>13</v>
      </c>
      <c r="C16" s="50" t="s">
        <v>276</v>
      </c>
      <c r="D16" s="50" t="s">
        <v>259</v>
      </c>
      <c r="E16" s="50">
        <v>0</v>
      </c>
      <c r="F16" s="50">
        <v>0.85167840748782431</v>
      </c>
      <c r="G16" s="51" t="str">
        <v>新美 2022/04/12 (火)
平日夜間</v>
      </c>
    </row>
    <row r="17" spans="1:7" ht="15.75" customHeight="1" x14ac:dyDescent="0.7">
      <c r="A17" s="49">
        <v>44629.76971912037</v>
      </c>
      <c r="B17" s="50" t="s">
        <v>13</v>
      </c>
      <c r="C17" s="50" t="s">
        <v>277</v>
      </c>
      <c r="D17" s="50" t="s">
        <v>259</v>
      </c>
      <c r="E17" s="50">
        <v>-1</v>
      </c>
      <c r="F17" s="50">
        <v>-0.93523723461241759</v>
      </c>
      <c r="G17" s="51" t="str">
        <v>新美 2022/04/13 (水)
平日夜間</v>
      </c>
    </row>
    <row r="18" spans="1:7" ht="15.75" customHeight="1" x14ac:dyDescent="0.7">
      <c r="A18" s="49">
        <v>44629.76971912037</v>
      </c>
      <c r="B18" s="50" t="s">
        <v>13</v>
      </c>
      <c r="C18" s="50" t="s">
        <v>278</v>
      </c>
      <c r="D18" s="50" t="s">
        <v>259</v>
      </c>
      <c r="E18" s="50">
        <v>0</v>
      </c>
      <c r="F18" s="50">
        <v>0.82028139914883269</v>
      </c>
      <c r="G18" s="51" t="str">
        <v>新美 2022/04/14 (木)
平日夜間</v>
      </c>
    </row>
    <row r="19" spans="1:7" ht="15.75" customHeight="1" x14ac:dyDescent="0.7">
      <c r="A19" s="49">
        <v>44629.76971912037</v>
      </c>
      <c r="B19" s="50" t="s">
        <v>13</v>
      </c>
      <c r="C19" s="50" t="s">
        <v>279</v>
      </c>
      <c r="D19" s="50" t="s">
        <v>259</v>
      </c>
      <c r="E19" s="50">
        <v>0</v>
      </c>
      <c r="F19" s="50">
        <v>0.95372381308495036</v>
      </c>
      <c r="G19" s="51" t="str">
        <v>新美 2022/04/15 (金)
平日夜間</v>
      </c>
    </row>
    <row r="20" spans="1:7" ht="15.75" customHeight="1" x14ac:dyDescent="0.7">
      <c r="A20" s="49">
        <v>44629.76971912037</v>
      </c>
      <c r="B20" s="50" t="s">
        <v>13</v>
      </c>
      <c r="C20" s="50" t="s">
        <v>280</v>
      </c>
      <c r="D20" s="50" t="s">
        <v>261</v>
      </c>
      <c r="E20" s="50">
        <v>0</v>
      </c>
      <c r="F20" s="50">
        <v>0.50235938092357446</v>
      </c>
      <c r="G20" s="51" t="str">
        <v>新美 2022/04/16 (土)
休日午後</v>
      </c>
    </row>
    <row r="21" spans="1:7" ht="15.75" customHeight="1" x14ac:dyDescent="0.7">
      <c r="A21" s="49">
        <v>44629.76971912037</v>
      </c>
      <c r="B21" s="50" t="s">
        <v>13</v>
      </c>
      <c r="C21" s="50" t="s">
        <v>281</v>
      </c>
      <c r="D21" s="50" t="s">
        <v>263</v>
      </c>
      <c r="E21" s="50">
        <v>0</v>
      </c>
      <c r="F21" s="50">
        <v>0.62229141340623051</v>
      </c>
      <c r="G21" s="51" t="str">
        <v>新美 2022/04/16 (土)
休日午前</v>
      </c>
    </row>
    <row r="22" spans="1:7" ht="15.75" customHeight="1" x14ac:dyDescent="0.7">
      <c r="A22" s="49">
        <v>44629.76971912037</v>
      </c>
      <c r="B22" s="50" t="s">
        <v>13</v>
      </c>
      <c r="C22" s="50" t="s">
        <v>282</v>
      </c>
      <c r="D22" s="50" t="s">
        <v>261</v>
      </c>
      <c r="E22" s="50">
        <v>0</v>
      </c>
      <c r="F22" s="50">
        <v>0.11178988598701189</v>
      </c>
      <c r="G22" s="51" t="str">
        <v>新美 2022/04/17 (日)
休日午後</v>
      </c>
    </row>
    <row r="23" spans="1:7" ht="15.75" customHeight="1" x14ac:dyDescent="0.7">
      <c r="A23" s="49">
        <v>44629.76971912037</v>
      </c>
      <c r="B23" s="50" t="s">
        <v>13</v>
      </c>
      <c r="C23" s="50" t="s">
        <v>283</v>
      </c>
      <c r="D23" s="50" t="s">
        <v>263</v>
      </c>
      <c r="E23" s="50">
        <v>0</v>
      </c>
      <c r="F23" s="50">
        <v>7.8852301454897633E-2</v>
      </c>
      <c r="G23" s="51" t="str">
        <v>新美 2022/04/17 (日)
休日午前</v>
      </c>
    </row>
    <row r="24" spans="1:7" ht="15.75" customHeight="1" x14ac:dyDescent="0.7">
      <c r="A24" s="49">
        <v>44629.76971912037</v>
      </c>
      <c r="B24" s="50" t="s">
        <v>13</v>
      </c>
      <c r="C24" s="50" t="s">
        <v>284</v>
      </c>
      <c r="D24" s="50" t="s">
        <v>259</v>
      </c>
      <c r="E24" s="50">
        <v>0</v>
      </c>
      <c r="F24" s="50">
        <v>0.39051108587845484</v>
      </c>
      <c r="G24" s="51" t="str">
        <v>新美 2022/04/18 (月)
平日夜間</v>
      </c>
    </row>
    <row r="25" spans="1:7" ht="15.75" customHeight="1" x14ac:dyDescent="0.7">
      <c r="A25" s="49">
        <v>44629.76971912037</v>
      </c>
      <c r="B25" s="50" t="s">
        <v>13</v>
      </c>
      <c r="C25" s="50" t="s">
        <v>285</v>
      </c>
      <c r="D25" s="50" t="s">
        <v>259</v>
      </c>
      <c r="E25" s="50">
        <v>0</v>
      </c>
      <c r="F25" s="50">
        <v>0.92265934652382442</v>
      </c>
      <c r="G25" s="51" t="str">
        <v>新美 2022/04/19 (火)
平日夜間</v>
      </c>
    </row>
    <row r="26" spans="1:7" ht="15.75" customHeight="1" x14ac:dyDescent="0.7">
      <c r="A26" s="49">
        <v>44629.76971912037</v>
      </c>
      <c r="B26" s="50" t="s">
        <v>13</v>
      </c>
      <c r="C26" s="50" t="s">
        <v>286</v>
      </c>
      <c r="D26" s="50" t="s">
        <v>259</v>
      </c>
      <c r="E26" s="50">
        <v>-1</v>
      </c>
      <c r="F26" s="50">
        <v>-0.67013968726301987</v>
      </c>
      <c r="G26" s="51" t="str">
        <v>新美 2022/04/20 (水)
平日夜間</v>
      </c>
    </row>
    <row r="27" spans="1:7" ht="15.75" customHeight="1" x14ac:dyDescent="0.7">
      <c r="A27" s="49">
        <v>44629.76971912037</v>
      </c>
      <c r="B27" s="50" t="s">
        <v>13</v>
      </c>
      <c r="C27" s="50" t="s">
        <v>287</v>
      </c>
      <c r="D27" s="50" t="s">
        <v>259</v>
      </c>
      <c r="E27" s="50">
        <v>0</v>
      </c>
      <c r="F27" s="50">
        <v>0.65839565582811943</v>
      </c>
      <c r="G27" s="51" t="str">
        <v>新美 2022/04/21 (木)
平日夜間</v>
      </c>
    </row>
    <row r="28" spans="1:7" ht="15.75" customHeight="1" x14ac:dyDescent="0.7">
      <c r="A28" s="49">
        <v>44629.76971912037</v>
      </c>
      <c r="B28" s="50" t="s">
        <v>13</v>
      </c>
      <c r="C28" s="50" t="s">
        <v>288</v>
      </c>
      <c r="D28" s="50" t="s">
        <v>259</v>
      </c>
      <c r="E28" s="50">
        <v>0</v>
      </c>
      <c r="F28" s="50">
        <v>0.24184367110898286</v>
      </c>
      <c r="G28" s="51" t="str">
        <v>新美 2022/04/22 (金)
平日夜間</v>
      </c>
    </row>
    <row r="29" spans="1:7" ht="15.75" customHeight="1" x14ac:dyDescent="0.7">
      <c r="A29" s="49">
        <v>44629.76971912037</v>
      </c>
      <c r="B29" s="50" t="s">
        <v>13</v>
      </c>
      <c r="C29" s="50" t="s">
        <v>289</v>
      </c>
      <c r="D29" s="50" t="s">
        <v>261</v>
      </c>
      <c r="E29" s="50">
        <v>0</v>
      </c>
      <c r="F29" s="50">
        <v>0.52923315438262941</v>
      </c>
      <c r="G29" s="51" t="str">
        <v>新美 2022/04/23 (土)
休日午後</v>
      </c>
    </row>
    <row r="30" spans="1:7" ht="15.75" customHeight="1" x14ac:dyDescent="0.7">
      <c r="A30" s="49">
        <v>44629.76971912037</v>
      </c>
      <c r="B30" s="50" t="s">
        <v>13</v>
      </c>
      <c r="C30" s="50" t="s">
        <v>290</v>
      </c>
      <c r="D30" s="50" t="s">
        <v>263</v>
      </c>
      <c r="E30" s="50">
        <v>0</v>
      </c>
      <c r="F30" s="50">
        <v>0.76402239080081591</v>
      </c>
      <c r="G30" s="51" t="str">
        <v>新美 2022/04/23 (土)
休日午前</v>
      </c>
    </row>
    <row r="31" spans="1:7" ht="16.149999999999999" x14ac:dyDescent="0.7">
      <c r="A31" s="49">
        <v>44629.76971912037</v>
      </c>
      <c r="B31" s="50" t="s">
        <v>13</v>
      </c>
      <c r="C31" s="50" t="s">
        <v>291</v>
      </c>
      <c r="D31" s="50" t="s">
        <v>261</v>
      </c>
      <c r="E31" s="50">
        <v>0</v>
      </c>
      <c r="F31" s="50">
        <v>0.91053672502644578</v>
      </c>
      <c r="G31" s="51" t="str">
        <v>新美 2022/04/24 (日)
休日午後</v>
      </c>
    </row>
    <row r="32" spans="1:7" ht="16.149999999999999" x14ac:dyDescent="0.7">
      <c r="A32" s="49">
        <v>44629.76971912037</v>
      </c>
      <c r="B32" s="50" t="s">
        <v>13</v>
      </c>
      <c r="C32" s="50" t="s">
        <v>292</v>
      </c>
      <c r="D32" s="50" t="s">
        <v>263</v>
      </c>
      <c r="E32" s="50">
        <v>0</v>
      </c>
      <c r="F32" s="50">
        <v>0.78721291451757525</v>
      </c>
      <c r="G32" s="51" t="str">
        <v>新美 2022/04/24 (日)
休日午前</v>
      </c>
    </row>
    <row r="33" spans="1:7" ht="16.149999999999999" x14ac:dyDescent="0.7">
      <c r="A33" s="49">
        <v>44629.76971912037</v>
      </c>
      <c r="B33" s="50" t="s">
        <v>13</v>
      </c>
      <c r="C33" s="50" t="s">
        <v>293</v>
      </c>
      <c r="D33" s="50" t="s">
        <v>259</v>
      </c>
      <c r="E33" s="50">
        <v>0</v>
      </c>
      <c r="F33" s="50">
        <v>0.69006259004850534</v>
      </c>
      <c r="G33" s="51" t="str">
        <v>新美 2022/04/25 (月)
平日夜間</v>
      </c>
    </row>
    <row r="34" spans="1:7" ht="16.149999999999999" x14ac:dyDescent="0.7">
      <c r="A34" s="49">
        <v>44629.76971912037</v>
      </c>
      <c r="B34" s="50" t="s">
        <v>13</v>
      </c>
      <c r="C34" s="50" t="s">
        <v>294</v>
      </c>
      <c r="D34" s="50" t="s">
        <v>259</v>
      </c>
      <c r="E34" s="50">
        <v>0</v>
      </c>
      <c r="F34" s="50">
        <v>0.94243999244018384</v>
      </c>
      <c r="G34" s="51" t="str">
        <v>新美 2022/04/26 (火)
平日夜間</v>
      </c>
    </row>
    <row r="35" spans="1:7" ht="16.149999999999999" x14ac:dyDescent="0.7">
      <c r="A35" s="49">
        <v>44629.76971912037</v>
      </c>
      <c r="B35" s="50" t="s">
        <v>13</v>
      </c>
      <c r="C35" s="50" t="s">
        <v>295</v>
      </c>
      <c r="D35" s="50" t="s">
        <v>259</v>
      </c>
      <c r="E35" s="50">
        <v>-1</v>
      </c>
      <c r="F35" s="50">
        <v>-0.5613939530811447</v>
      </c>
      <c r="G35" s="51" t="str">
        <v>新美 2022/04/27 (水)
平日夜間</v>
      </c>
    </row>
    <row r="36" spans="1:7" ht="16.149999999999999" x14ac:dyDescent="0.7">
      <c r="A36" s="49">
        <v>44629.76971912037</v>
      </c>
      <c r="B36" s="50" t="s">
        <v>13</v>
      </c>
      <c r="C36" s="50" t="s">
        <v>296</v>
      </c>
      <c r="D36" s="50" t="s">
        <v>259</v>
      </c>
      <c r="E36" s="50">
        <v>0</v>
      </c>
      <c r="F36" s="50">
        <v>0.45501291260048227</v>
      </c>
      <c r="G36" s="51" t="str">
        <v>新美 2022/04/28 (木)
平日夜間</v>
      </c>
    </row>
    <row r="37" spans="1:7" ht="16.149999999999999" x14ac:dyDescent="0.7">
      <c r="A37" s="49">
        <v>44629.785210046291</v>
      </c>
      <c r="B37" s="50" t="s">
        <v>13</v>
      </c>
      <c r="C37" s="50" t="s">
        <v>258</v>
      </c>
      <c r="D37" s="50" t="s">
        <v>259</v>
      </c>
      <c r="E37" s="50">
        <v>0</v>
      </c>
      <c r="F37" s="50">
        <v>0.54860269915849535</v>
      </c>
      <c r="G37" s="51" t="str">
        <v>新美 2022/04/01 (金)
平日夜間</v>
      </c>
    </row>
    <row r="38" spans="1:7" ht="16.149999999999999" x14ac:dyDescent="0.7">
      <c r="A38" s="49">
        <v>44629.785210046291</v>
      </c>
      <c r="B38" s="50" t="s">
        <v>13</v>
      </c>
      <c r="C38" s="50" t="s">
        <v>260</v>
      </c>
      <c r="D38" s="50" t="s">
        <v>261</v>
      </c>
      <c r="E38" s="50">
        <v>0</v>
      </c>
      <c r="F38" s="50">
        <v>0.37998246121405632</v>
      </c>
      <c r="G38" s="51" t="str">
        <v>新美 2022/04/02 (土)
休日午後</v>
      </c>
    </row>
    <row r="39" spans="1:7" ht="16.149999999999999" x14ac:dyDescent="0.7">
      <c r="A39" s="49">
        <v>44629.785210046291</v>
      </c>
      <c r="B39" s="50" t="s">
        <v>13</v>
      </c>
      <c r="C39" s="50" t="s">
        <v>262</v>
      </c>
      <c r="D39" s="50" t="s">
        <v>263</v>
      </c>
      <c r="E39" s="50">
        <v>0</v>
      </c>
      <c r="F39" s="50">
        <v>1.8739481888258247E-2</v>
      </c>
      <c r="G39" s="51" t="str">
        <v>新美 2022/04/02 (土)
休日午前</v>
      </c>
    </row>
    <row r="40" spans="1:7" ht="16.149999999999999" x14ac:dyDescent="0.7">
      <c r="A40" s="49">
        <v>44629.785210046291</v>
      </c>
      <c r="B40" s="50" t="s">
        <v>13</v>
      </c>
      <c r="C40" s="50" t="s">
        <v>264</v>
      </c>
      <c r="D40" s="50" t="s">
        <v>261</v>
      </c>
      <c r="E40" s="50">
        <v>0</v>
      </c>
      <c r="F40" s="50">
        <v>0.91808111700762152</v>
      </c>
      <c r="G40" s="51" t="str">
        <v>新美 2022/04/03 (日)
休日午後</v>
      </c>
    </row>
    <row r="41" spans="1:7" ht="16.149999999999999" x14ac:dyDescent="0.7">
      <c r="A41" s="49">
        <v>44629.785210046291</v>
      </c>
      <c r="B41" s="50" t="s">
        <v>13</v>
      </c>
      <c r="C41" s="50" t="s">
        <v>265</v>
      </c>
      <c r="D41" s="50" t="s">
        <v>263</v>
      </c>
      <c r="E41" s="50">
        <v>0</v>
      </c>
      <c r="F41" s="50">
        <v>6.2718922979809744E-2</v>
      </c>
      <c r="G41" s="51" t="str">
        <v>新美 2022/04/03 (日)
休日午前</v>
      </c>
    </row>
    <row r="42" spans="1:7" ht="16.149999999999999" x14ac:dyDescent="0.7">
      <c r="A42" s="49">
        <v>44629.785210046291</v>
      </c>
      <c r="B42" s="50" t="s">
        <v>13</v>
      </c>
      <c r="C42" s="50" t="s">
        <v>266</v>
      </c>
      <c r="D42" s="50" t="s">
        <v>259</v>
      </c>
      <c r="E42" s="50">
        <v>0</v>
      </c>
      <c r="F42" s="50">
        <v>0.6709480661851952</v>
      </c>
      <c r="G42" s="51" t="str">
        <v>新美 2022/04/04 (月)
平日夜間</v>
      </c>
    </row>
    <row r="43" spans="1:7" ht="16.149999999999999" x14ac:dyDescent="0.7">
      <c r="A43" s="49">
        <v>44629.785210046291</v>
      </c>
      <c r="B43" s="50" t="s">
        <v>13</v>
      </c>
      <c r="C43" s="50" t="s">
        <v>267</v>
      </c>
      <c r="D43" s="50" t="s">
        <v>259</v>
      </c>
      <c r="E43" s="50">
        <v>0</v>
      </c>
      <c r="F43" s="50">
        <v>0.18261151690169442</v>
      </c>
      <c r="G43" s="51" t="str">
        <v>新美 2022/04/05 (火)
平日夜間</v>
      </c>
    </row>
    <row r="44" spans="1:7" ht="16.149999999999999" x14ac:dyDescent="0.7">
      <c r="A44" s="49">
        <v>44629.785210046291</v>
      </c>
      <c r="B44" s="50" t="s">
        <v>13</v>
      </c>
      <c r="C44" s="50" t="s">
        <v>268</v>
      </c>
      <c r="D44" s="50" t="s">
        <v>259</v>
      </c>
      <c r="E44" s="50">
        <v>-1</v>
      </c>
      <c r="F44" s="50">
        <v>-0.87519447758697333</v>
      </c>
      <c r="G44" s="51" t="str">
        <v>新美 2022/04/06 (水)
平日夜間</v>
      </c>
    </row>
    <row r="45" spans="1:7" ht="16.149999999999999" x14ac:dyDescent="0.7">
      <c r="A45" s="49">
        <v>44629.785210046291</v>
      </c>
      <c r="B45" s="50" t="s">
        <v>13</v>
      </c>
      <c r="C45" s="50" t="s">
        <v>269</v>
      </c>
      <c r="D45" s="50" t="s">
        <v>259</v>
      </c>
      <c r="E45" s="50">
        <v>0</v>
      </c>
      <c r="F45" s="50">
        <v>0.95874771673064707</v>
      </c>
      <c r="G45" s="51" t="str">
        <v>新美 2022/04/07 (木)
平日夜間</v>
      </c>
    </row>
    <row r="46" spans="1:7" ht="16.149999999999999" x14ac:dyDescent="0.7">
      <c r="A46" s="49">
        <v>44629.785210046291</v>
      </c>
      <c r="B46" s="50" t="s">
        <v>13</v>
      </c>
      <c r="C46" s="50" t="s">
        <v>270</v>
      </c>
      <c r="D46" s="50" t="s">
        <v>259</v>
      </c>
      <c r="E46" s="50">
        <v>0</v>
      </c>
      <c r="F46" s="50">
        <v>0.49908549584387818</v>
      </c>
      <c r="G46" s="51" t="str">
        <v>新美 2022/04/08 (金)
平日夜間</v>
      </c>
    </row>
    <row r="47" spans="1:7" ht="16.149999999999999" x14ac:dyDescent="0.7">
      <c r="A47" s="49">
        <v>44629.785210046291</v>
      </c>
      <c r="B47" s="50" t="s">
        <v>13</v>
      </c>
      <c r="C47" s="50" t="s">
        <v>271</v>
      </c>
      <c r="D47" s="50" t="s">
        <v>261</v>
      </c>
      <c r="E47" s="50">
        <v>0</v>
      </c>
      <c r="F47" s="50">
        <v>0.37607926310435791</v>
      </c>
      <c r="G47" s="51" t="str">
        <v>新美 2022/04/09 (土)
休日午後</v>
      </c>
    </row>
    <row r="48" spans="1:7" ht="16.149999999999999" x14ac:dyDescent="0.7">
      <c r="A48" s="49">
        <v>44629.785210046291</v>
      </c>
      <c r="B48" s="50" t="s">
        <v>13</v>
      </c>
      <c r="C48" s="50" t="s">
        <v>272</v>
      </c>
      <c r="D48" s="50" t="s">
        <v>263</v>
      </c>
      <c r="E48" s="50">
        <v>0</v>
      </c>
      <c r="F48" s="50">
        <v>0.61078728312105413</v>
      </c>
      <c r="G48" s="51" t="str">
        <v>新美 2022/04/09 (土)
休日午前</v>
      </c>
    </row>
    <row r="49" spans="1:7" ht="16.149999999999999" x14ac:dyDescent="0.7">
      <c r="A49" s="49">
        <v>44629.785210046291</v>
      </c>
      <c r="B49" s="50" t="s">
        <v>13</v>
      </c>
      <c r="C49" s="50" t="s">
        <v>273</v>
      </c>
      <c r="D49" s="50" t="s">
        <v>261</v>
      </c>
      <c r="E49" s="50">
        <v>0</v>
      </c>
      <c r="F49" s="50">
        <v>4.621258553726304E-2</v>
      </c>
      <c r="G49" s="51" t="str">
        <v>新美 2022/04/10 (日)
休日午後</v>
      </c>
    </row>
    <row r="50" spans="1:7" ht="16.149999999999999" x14ac:dyDescent="0.7">
      <c r="A50" s="49">
        <v>44629.785210046291</v>
      </c>
      <c r="B50" s="50" t="s">
        <v>13</v>
      </c>
      <c r="C50" s="50" t="s">
        <v>274</v>
      </c>
      <c r="D50" s="50" t="s">
        <v>263</v>
      </c>
      <c r="E50" s="50">
        <v>0</v>
      </c>
      <c r="F50" s="50">
        <v>0.1575909649503342</v>
      </c>
      <c r="G50" s="51" t="str">
        <v>新美 2022/04/10 (日)
休日午前</v>
      </c>
    </row>
    <row r="51" spans="1:7" ht="16.149999999999999" x14ac:dyDescent="0.7">
      <c r="A51" s="49">
        <v>44629.785210046291</v>
      </c>
      <c r="B51" s="50" t="s">
        <v>13</v>
      </c>
      <c r="C51" s="50" t="s">
        <v>275</v>
      </c>
      <c r="D51" s="50" t="s">
        <v>259</v>
      </c>
      <c r="E51" s="50">
        <v>0</v>
      </c>
      <c r="F51" s="50">
        <v>0.9137009132740237</v>
      </c>
      <c r="G51" s="51" t="str">
        <v>新美 2022/04/11 (月)
平日夜間</v>
      </c>
    </row>
    <row r="52" spans="1:7" ht="16.149999999999999" x14ac:dyDescent="0.7">
      <c r="A52" s="49">
        <v>44629.785210046291</v>
      </c>
      <c r="B52" s="50" t="s">
        <v>13</v>
      </c>
      <c r="C52" s="50" t="s">
        <v>276</v>
      </c>
      <c r="D52" s="50" t="s">
        <v>259</v>
      </c>
      <c r="E52" s="50">
        <v>0</v>
      </c>
      <c r="F52" s="50">
        <v>0.40567666566999505</v>
      </c>
      <c r="G52" s="51" t="str">
        <v>新美 2022/04/12 (火)
平日夜間</v>
      </c>
    </row>
    <row r="53" spans="1:7" ht="16.149999999999999" x14ac:dyDescent="0.7">
      <c r="A53" s="49">
        <v>44629.785210046291</v>
      </c>
      <c r="B53" s="50" t="s">
        <v>13</v>
      </c>
      <c r="C53" s="50" t="s">
        <v>277</v>
      </c>
      <c r="D53" s="50" t="s">
        <v>259</v>
      </c>
      <c r="E53" s="50">
        <v>-1</v>
      </c>
      <c r="F53" s="50">
        <v>-0.7160700826829749</v>
      </c>
      <c r="G53" s="51" t="str">
        <v>新美 2022/04/13 (水)
平日夜間</v>
      </c>
    </row>
    <row r="54" spans="1:7" ht="16.149999999999999" x14ac:dyDescent="0.7">
      <c r="A54" s="49">
        <v>44629.785210046291</v>
      </c>
      <c r="B54" s="50" t="s">
        <v>13</v>
      </c>
      <c r="C54" s="50" t="s">
        <v>278</v>
      </c>
      <c r="D54" s="50" t="s">
        <v>259</v>
      </c>
      <c r="E54" s="50">
        <v>0</v>
      </c>
      <c r="F54" s="50">
        <v>0.94380031475383364</v>
      </c>
      <c r="G54" s="51" t="str">
        <v>新美 2022/04/14 (木)
平日夜間</v>
      </c>
    </row>
    <row r="55" spans="1:7" ht="16.149999999999999" x14ac:dyDescent="0.7">
      <c r="A55" s="49">
        <v>44629.785210046291</v>
      </c>
      <c r="B55" s="50" t="s">
        <v>13</v>
      </c>
      <c r="C55" s="50" t="s">
        <v>279</v>
      </c>
      <c r="D55" s="50" t="s">
        <v>259</v>
      </c>
      <c r="E55" s="50">
        <v>0</v>
      </c>
      <c r="F55" s="50">
        <v>0.28412782473516129</v>
      </c>
      <c r="G55" s="51" t="str">
        <v>新美 2022/04/15 (金)
平日夜間</v>
      </c>
    </row>
    <row r="56" spans="1:7" ht="16.149999999999999" x14ac:dyDescent="0.7">
      <c r="A56" s="49">
        <v>44629.785210046291</v>
      </c>
      <c r="B56" s="50" t="s">
        <v>13</v>
      </c>
      <c r="C56" s="50" t="s">
        <v>280</v>
      </c>
      <c r="D56" s="50" t="s">
        <v>261</v>
      </c>
      <c r="E56" s="50">
        <v>0</v>
      </c>
      <c r="F56" s="50">
        <v>6.7620784220474572E-3</v>
      </c>
      <c r="G56" s="51" t="str">
        <v>新美 2022/04/16 (土)
休日午後</v>
      </c>
    </row>
    <row r="57" spans="1:7" ht="16.149999999999999" x14ac:dyDescent="0.7">
      <c r="A57" s="49">
        <v>44629.785210046291</v>
      </c>
      <c r="B57" s="50" t="s">
        <v>13</v>
      </c>
      <c r="C57" s="50" t="s">
        <v>281</v>
      </c>
      <c r="D57" s="50" t="s">
        <v>263</v>
      </c>
      <c r="E57" s="50">
        <v>0</v>
      </c>
      <c r="F57" s="50">
        <v>0.14773531115835592</v>
      </c>
      <c r="G57" s="51" t="str">
        <v>新美 2022/04/16 (土)
休日午前</v>
      </c>
    </row>
    <row r="58" spans="1:7" ht="16.149999999999999" x14ac:dyDescent="0.7">
      <c r="A58" s="49">
        <v>44629.785210046291</v>
      </c>
      <c r="B58" s="50" t="s">
        <v>13</v>
      </c>
      <c r="C58" s="50" t="s">
        <v>282</v>
      </c>
      <c r="D58" s="50" t="s">
        <v>261</v>
      </c>
      <c r="E58" s="50">
        <v>0</v>
      </c>
      <c r="F58" s="50">
        <v>0.11373345324704842</v>
      </c>
      <c r="G58" s="51" t="str">
        <v>新美 2022/04/17 (日)
休日午後</v>
      </c>
    </row>
    <row r="59" spans="1:7" ht="16.149999999999999" x14ac:dyDescent="0.7">
      <c r="A59" s="49">
        <v>44629.785210046291</v>
      </c>
      <c r="B59" s="50" t="s">
        <v>13</v>
      </c>
      <c r="C59" s="50" t="s">
        <v>283</v>
      </c>
      <c r="D59" s="50" t="s">
        <v>263</v>
      </c>
      <c r="E59" s="50">
        <v>0</v>
      </c>
      <c r="F59" s="50">
        <v>0.28007070899268927</v>
      </c>
      <c r="G59" s="51" t="str">
        <v>新美 2022/04/17 (日)
休日午前</v>
      </c>
    </row>
    <row r="60" spans="1:7" ht="16.149999999999999" x14ac:dyDescent="0.7">
      <c r="A60" s="49">
        <v>44629.785210046291</v>
      </c>
      <c r="B60" s="50" t="s">
        <v>13</v>
      </c>
      <c r="C60" s="50" t="s">
        <v>284</v>
      </c>
      <c r="D60" s="50" t="s">
        <v>259</v>
      </c>
      <c r="E60" s="50">
        <v>0</v>
      </c>
      <c r="F60" s="50">
        <v>0.62089428508958133</v>
      </c>
      <c r="G60" s="51" t="str">
        <v>新美 2022/04/18 (月)
平日夜間</v>
      </c>
    </row>
    <row r="61" spans="1:7" ht="16.149999999999999" x14ac:dyDescent="0.7">
      <c r="A61" s="49">
        <v>44629.785210046291</v>
      </c>
      <c r="B61" s="50" t="s">
        <v>13</v>
      </c>
      <c r="C61" s="50" t="s">
        <v>285</v>
      </c>
      <c r="D61" s="50" t="s">
        <v>259</v>
      </c>
      <c r="E61" s="50">
        <v>0</v>
      </c>
      <c r="F61" s="50">
        <v>0.45026611567968922</v>
      </c>
      <c r="G61" s="51" t="str">
        <v>新美 2022/04/19 (火)
平日夜間</v>
      </c>
    </row>
    <row r="62" spans="1:7" ht="16.149999999999999" x14ac:dyDescent="0.7">
      <c r="A62" s="49">
        <v>44629.785210046291</v>
      </c>
      <c r="B62" s="50" t="s">
        <v>13</v>
      </c>
      <c r="C62" s="50" t="s">
        <v>286</v>
      </c>
      <c r="D62" s="50" t="s">
        <v>259</v>
      </c>
      <c r="E62" s="50">
        <v>-1</v>
      </c>
      <c r="F62" s="50">
        <v>-0.42379766785638884</v>
      </c>
      <c r="G62" s="51" t="str">
        <v>新美 2022/04/20 (水)
平日夜間</v>
      </c>
    </row>
    <row r="63" spans="1:7" ht="16.149999999999999" x14ac:dyDescent="0.7">
      <c r="A63" s="49">
        <v>44629.785210046291</v>
      </c>
      <c r="B63" s="50" t="s">
        <v>13</v>
      </c>
      <c r="C63" s="50" t="s">
        <v>287</v>
      </c>
      <c r="D63" s="50" t="s">
        <v>259</v>
      </c>
      <c r="E63" s="50">
        <v>0</v>
      </c>
      <c r="F63" s="50">
        <v>0.39741415040363615</v>
      </c>
      <c r="G63" s="51" t="str">
        <v>新美 2022/04/21 (木)
平日夜間</v>
      </c>
    </row>
    <row r="64" spans="1:7" ht="16.149999999999999" x14ac:dyDescent="0.7">
      <c r="A64" s="49">
        <v>44629.785210046291</v>
      </c>
      <c r="B64" s="50" t="s">
        <v>13</v>
      </c>
      <c r="C64" s="50" t="s">
        <v>288</v>
      </c>
      <c r="D64" s="50" t="s">
        <v>259</v>
      </c>
      <c r="E64" s="50">
        <v>0</v>
      </c>
      <c r="F64" s="50">
        <v>0.33987136242767013</v>
      </c>
      <c r="G64" s="51" t="str">
        <v>新美 2022/04/22 (金)
平日夜間</v>
      </c>
    </row>
    <row r="65" spans="1:7" ht="16.149999999999999" x14ac:dyDescent="0.7">
      <c r="A65" s="49">
        <v>44629.785210046291</v>
      </c>
      <c r="B65" s="50" t="s">
        <v>13</v>
      </c>
      <c r="C65" s="50" t="s">
        <v>289</v>
      </c>
      <c r="D65" s="50" t="s">
        <v>261</v>
      </c>
      <c r="E65" s="50">
        <v>0</v>
      </c>
      <c r="F65" s="50">
        <v>0.17582222398103009</v>
      </c>
      <c r="G65" s="51" t="str">
        <v>新美 2022/04/23 (土)
休日午後</v>
      </c>
    </row>
    <row r="66" spans="1:7" ht="16.149999999999999" x14ac:dyDescent="0.7">
      <c r="A66" s="49">
        <v>44629.785210046291</v>
      </c>
      <c r="B66" s="50" t="s">
        <v>13</v>
      </c>
      <c r="C66" s="50" t="s">
        <v>290</v>
      </c>
      <c r="D66" s="50" t="s">
        <v>263</v>
      </c>
      <c r="E66" s="50">
        <v>0</v>
      </c>
      <c r="F66" s="50">
        <v>0.80065011898545158</v>
      </c>
      <c r="G66" s="51" t="str">
        <v>新美 2022/04/23 (土)
休日午前</v>
      </c>
    </row>
    <row r="67" spans="1:7" ht="16.149999999999999" x14ac:dyDescent="0.7">
      <c r="A67" s="49">
        <v>44629.785210046291</v>
      </c>
      <c r="B67" s="50" t="s">
        <v>13</v>
      </c>
      <c r="C67" s="50" t="s">
        <v>291</v>
      </c>
      <c r="D67" s="50" t="s">
        <v>261</v>
      </c>
      <c r="E67" s="50">
        <v>0</v>
      </c>
      <c r="F67" s="50">
        <v>0.52349864054120432</v>
      </c>
      <c r="G67" s="51" t="str">
        <v>新美 2022/04/24 (日)
休日午後</v>
      </c>
    </row>
    <row r="68" spans="1:7" ht="16.149999999999999" x14ac:dyDescent="0.7">
      <c r="A68" s="49">
        <v>44629.785210046291</v>
      </c>
      <c r="B68" s="50" t="s">
        <v>13</v>
      </c>
      <c r="C68" s="50" t="s">
        <v>292</v>
      </c>
      <c r="D68" s="50" t="s">
        <v>263</v>
      </c>
      <c r="E68" s="50">
        <v>0</v>
      </c>
      <c r="F68" s="50">
        <v>0.28627594222207042</v>
      </c>
      <c r="G68" s="51" t="str">
        <v>新美 2022/04/24 (日)
休日午前</v>
      </c>
    </row>
    <row r="69" spans="1:7" ht="16.149999999999999" x14ac:dyDescent="0.7">
      <c r="A69" s="49">
        <v>44629.785210046291</v>
      </c>
      <c r="B69" s="50" t="s">
        <v>13</v>
      </c>
      <c r="C69" s="50" t="s">
        <v>293</v>
      </c>
      <c r="D69" s="50" t="s">
        <v>259</v>
      </c>
      <c r="E69" s="50">
        <v>0</v>
      </c>
      <c r="F69" s="50">
        <v>0.47637030051260232</v>
      </c>
      <c r="G69" s="51" t="str">
        <v>新美 2022/04/25 (月)
平日夜間</v>
      </c>
    </row>
    <row r="70" spans="1:7" ht="16.149999999999999" x14ac:dyDescent="0.7">
      <c r="A70" s="49">
        <v>44629.785210046291</v>
      </c>
      <c r="B70" s="50" t="s">
        <v>13</v>
      </c>
      <c r="C70" s="50" t="s">
        <v>294</v>
      </c>
      <c r="D70" s="50" t="s">
        <v>259</v>
      </c>
      <c r="E70" s="50">
        <v>0</v>
      </c>
      <c r="F70" s="50">
        <v>0.45844620963113658</v>
      </c>
      <c r="G70" s="51" t="str">
        <v>新美 2022/04/26 (火)
平日夜間</v>
      </c>
    </row>
    <row r="71" spans="1:7" ht="16.149999999999999" x14ac:dyDescent="0.7">
      <c r="A71" s="49">
        <v>44629.785210046291</v>
      </c>
      <c r="B71" s="50" t="s">
        <v>13</v>
      </c>
      <c r="C71" s="50" t="s">
        <v>295</v>
      </c>
      <c r="D71" s="50" t="s">
        <v>259</v>
      </c>
      <c r="E71" s="50">
        <v>-1</v>
      </c>
      <c r="F71" s="50">
        <v>-0.10189796552394714</v>
      </c>
      <c r="G71" s="51" t="str">
        <v>新美 2022/04/27 (水)
平日夜間</v>
      </c>
    </row>
    <row r="72" spans="1:7" ht="16.149999999999999" x14ac:dyDescent="0.7">
      <c r="A72" s="49">
        <v>44629.785210046291</v>
      </c>
      <c r="B72" s="50" t="s">
        <v>13</v>
      </c>
      <c r="C72" s="50" t="s">
        <v>296</v>
      </c>
      <c r="D72" s="50" t="s">
        <v>259</v>
      </c>
      <c r="E72" s="50">
        <v>-1</v>
      </c>
      <c r="F72" s="50">
        <v>-0.4058397967963665</v>
      </c>
      <c r="G72" s="51" t="str">
        <v>新美 2022/04/28 (木)
平日夜間</v>
      </c>
    </row>
    <row r="73" spans="1:7" ht="16.149999999999999" x14ac:dyDescent="0.7">
      <c r="A73" s="49">
        <v>44629.821518611112</v>
      </c>
      <c r="B73" s="50" t="s">
        <v>17</v>
      </c>
      <c r="C73" s="50" t="s">
        <v>258</v>
      </c>
      <c r="D73" s="50" t="s">
        <v>259</v>
      </c>
      <c r="E73" s="50">
        <v>-1</v>
      </c>
      <c r="F73" s="50">
        <v>-0.50106762932990212</v>
      </c>
      <c r="G73" s="51" t="str">
        <v>尾田 2022/04/01 (金)
平日夜間</v>
      </c>
    </row>
    <row r="74" spans="1:7" ht="16.149999999999999" x14ac:dyDescent="0.7">
      <c r="A74" s="49">
        <v>44629.821518611112</v>
      </c>
      <c r="B74" s="50" t="s">
        <v>17</v>
      </c>
      <c r="C74" s="50" t="s">
        <v>260</v>
      </c>
      <c r="D74" s="50" t="s">
        <v>261</v>
      </c>
      <c r="E74" s="50">
        <v>-1</v>
      </c>
      <c r="F74" s="50">
        <v>-0.37971125475079748</v>
      </c>
      <c r="G74" s="51" t="str">
        <v>尾田 2022/04/02 (土)
休日午後</v>
      </c>
    </row>
    <row r="75" spans="1:7" ht="16.149999999999999" x14ac:dyDescent="0.7">
      <c r="A75" s="49">
        <v>44629.821518611112</v>
      </c>
      <c r="B75" s="50" t="s">
        <v>17</v>
      </c>
      <c r="C75" s="50" t="s">
        <v>262</v>
      </c>
      <c r="D75" s="50" t="s">
        <v>263</v>
      </c>
      <c r="E75" s="50">
        <v>-1</v>
      </c>
      <c r="F75" s="50">
        <v>-0.24988727970853342</v>
      </c>
      <c r="G75" s="51" t="str">
        <v>尾田 2022/04/02 (土)
休日午前</v>
      </c>
    </row>
    <row r="76" spans="1:7" ht="16.149999999999999" x14ac:dyDescent="0.7">
      <c r="A76" s="49">
        <v>44629.821518611112</v>
      </c>
      <c r="B76" s="50" t="s">
        <v>17</v>
      </c>
      <c r="C76" s="50" t="s">
        <v>264</v>
      </c>
      <c r="D76" s="50" t="s">
        <v>261</v>
      </c>
      <c r="E76" s="50">
        <v>-1</v>
      </c>
      <c r="F76" s="50">
        <v>-0.72982696578309514</v>
      </c>
      <c r="G76" s="51" t="str">
        <v>尾田 2022/04/03 (日)
休日午後</v>
      </c>
    </row>
    <row r="77" spans="1:7" ht="16.149999999999999" x14ac:dyDescent="0.7">
      <c r="A77" s="49">
        <v>44629.821518611112</v>
      </c>
      <c r="B77" s="50" t="s">
        <v>17</v>
      </c>
      <c r="C77" s="50" t="s">
        <v>265</v>
      </c>
      <c r="D77" s="50" t="s">
        <v>263</v>
      </c>
      <c r="E77" s="50">
        <v>-1</v>
      </c>
      <c r="F77" s="50">
        <v>-0.53519032513993325</v>
      </c>
      <c r="G77" s="51" t="str">
        <v>尾田 2022/04/03 (日)
休日午前</v>
      </c>
    </row>
    <row r="78" spans="1:7" ht="16.149999999999999" x14ac:dyDescent="0.7">
      <c r="A78" s="49">
        <v>44629.821518611112</v>
      </c>
      <c r="B78" s="50" t="s">
        <v>17</v>
      </c>
      <c r="C78" s="50" t="s">
        <v>266</v>
      </c>
      <c r="D78" s="50" t="s">
        <v>259</v>
      </c>
      <c r="E78" s="50">
        <v>0</v>
      </c>
      <c r="F78" s="50">
        <v>0.24763250942313353</v>
      </c>
      <c r="G78" s="51" t="str">
        <v>尾田 2022/04/04 (月)
平日夜間</v>
      </c>
    </row>
    <row r="79" spans="1:7" ht="16.149999999999999" x14ac:dyDescent="0.7">
      <c r="A79" s="49">
        <v>44629.821518611112</v>
      </c>
      <c r="B79" s="50" t="s">
        <v>17</v>
      </c>
      <c r="C79" s="50" t="s">
        <v>267</v>
      </c>
      <c r="D79" s="50" t="s">
        <v>259</v>
      </c>
      <c r="E79" s="50">
        <v>0</v>
      </c>
      <c r="F79" s="50">
        <v>0.38933373703464969</v>
      </c>
      <c r="G79" s="51" t="str">
        <v>尾田 2022/04/05 (火)
平日夜間</v>
      </c>
    </row>
    <row r="80" spans="1:7" ht="16.149999999999999" x14ac:dyDescent="0.7">
      <c r="A80" s="49">
        <v>44629.821518611112</v>
      </c>
      <c r="B80" s="50" t="s">
        <v>17</v>
      </c>
      <c r="C80" s="50" t="s">
        <v>268</v>
      </c>
      <c r="D80" s="50" t="s">
        <v>259</v>
      </c>
      <c r="E80" s="50">
        <v>0</v>
      </c>
      <c r="F80" s="50">
        <v>0.6112203303336643</v>
      </c>
      <c r="G80" s="51" t="str">
        <v>尾田 2022/04/06 (水)
平日夜間</v>
      </c>
    </row>
    <row r="81" spans="1:7" ht="16.149999999999999" x14ac:dyDescent="0.7">
      <c r="A81" s="49">
        <v>44629.821518611112</v>
      </c>
      <c r="B81" s="50" t="s">
        <v>17</v>
      </c>
      <c r="C81" s="50" t="s">
        <v>269</v>
      </c>
      <c r="D81" s="50" t="s">
        <v>259</v>
      </c>
      <c r="E81" s="50">
        <v>-1</v>
      </c>
      <c r="F81" s="50">
        <v>-0.53141015388529378</v>
      </c>
      <c r="G81" s="51" t="str">
        <v>尾田 2022/04/07 (木)
平日夜間</v>
      </c>
    </row>
    <row r="82" spans="1:7" ht="16.149999999999999" x14ac:dyDescent="0.7">
      <c r="A82" s="49">
        <v>44629.821518611112</v>
      </c>
      <c r="B82" s="50" t="s">
        <v>17</v>
      </c>
      <c r="C82" s="50" t="s">
        <v>270</v>
      </c>
      <c r="D82" s="50" t="s">
        <v>259</v>
      </c>
      <c r="E82" s="50">
        <v>-1</v>
      </c>
      <c r="F82" s="50">
        <v>-0.71269695367361385</v>
      </c>
      <c r="G82" s="51" t="str">
        <v>尾田 2022/04/08 (金)
平日夜間</v>
      </c>
    </row>
    <row r="83" spans="1:7" ht="16.149999999999999" x14ac:dyDescent="0.7">
      <c r="A83" s="49">
        <v>44629.821518611112</v>
      </c>
      <c r="B83" s="50" t="s">
        <v>17</v>
      </c>
      <c r="C83" s="50" t="s">
        <v>271</v>
      </c>
      <c r="D83" s="50" t="s">
        <v>261</v>
      </c>
      <c r="E83" s="50">
        <v>-1</v>
      </c>
      <c r="F83" s="50">
        <v>-0.83418404179704675</v>
      </c>
      <c r="G83" s="51" t="str">
        <v>尾田 2022/04/09 (土)
休日午後</v>
      </c>
    </row>
    <row r="84" spans="1:7" ht="16.149999999999999" x14ac:dyDescent="0.7">
      <c r="A84" s="49">
        <v>44629.821518611112</v>
      </c>
      <c r="B84" s="50" t="s">
        <v>17</v>
      </c>
      <c r="C84" s="50" t="s">
        <v>272</v>
      </c>
      <c r="D84" s="50" t="s">
        <v>263</v>
      </c>
      <c r="E84" s="50">
        <v>-1</v>
      </c>
      <c r="F84" s="50">
        <v>-0.55787297369155997</v>
      </c>
      <c r="G84" s="51" t="str">
        <v>尾田 2022/04/09 (土)
休日午前</v>
      </c>
    </row>
    <row r="85" spans="1:7" ht="16.149999999999999" x14ac:dyDescent="0.7">
      <c r="A85" s="49">
        <v>44629.821518611112</v>
      </c>
      <c r="B85" s="50" t="s">
        <v>17</v>
      </c>
      <c r="C85" s="50" t="s">
        <v>273</v>
      </c>
      <c r="D85" s="50" t="s">
        <v>261</v>
      </c>
      <c r="E85" s="50">
        <v>-1</v>
      </c>
      <c r="F85" s="50">
        <v>-0.98295073295644042</v>
      </c>
      <c r="G85" s="51" t="str">
        <v>尾田 2022/04/10 (日)
休日午後</v>
      </c>
    </row>
    <row r="86" spans="1:7" ht="16.149999999999999" x14ac:dyDescent="0.7">
      <c r="A86" s="49">
        <v>44629.821518611112</v>
      </c>
      <c r="B86" s="50" t="s">
        <v>17</v>
      </c>
      <c r="C86" s="50" t="s">
        <v>274</v>
      </c>
      <c r="D86" s="50" t="s">
        <v>263</v>
      </c>
      <c r="E86" s="50">
        <v>-1</v>
      </c>
      <c r="F86" s="50">
        <v>-0.31249559886473732</v>
      </c>
      <c r="G86" s="51" t="str">
        <v>尾田 2022/04/10 (日)
休日午前</v>
      </c>
    </row>
    <row r="87" spans="1:7" ht="16.149999999999999" x14ac:dyDescent="0.7">
      <c r="A87" s="49">
        <v>44629.821518611112</v>
      </c>
      <c r="B87" s="50" t="s">
        <v>17</v>
      </c>
      <c r="C87" s="50" t="s">
        <v>275</v>
      </c>
      <c r="D87" s="50" t="s">
        <v>259</v>
      </c>
      <c r="E87" s="50">
        <v>0</v>
      </c>
      <c r="F87" s="50">
        <v>0.52695586659649951</v>
      </c>
      <c r="G87" s="51" t="str">
        <v>尾田 2022/04/11 (月)
平日夜間</v>
      </c>
    </row>
    <row r="88" spans="1:7" ht="16.149999999999999" x14ac:dyDescent="0.7">
      <c r="A88" s="49">
        <v>44629.821518611112</v>
      </c>
      <c r="B88" s="50" t="s">
        <v>17</v>
      </c>
      <c r="C88" s="50" t="s">
        <v>276</v>
      </c>
      <c r="D88" s="50" t="s">
        <v>259</v>
      </c>
      <c r="E88" s="50">
        <v>0</v>
      </c>
      <c r="F88" s="50">
        <v>0.75494292563316368</v>
      </c>
      <c r="G88" s="51" t="str">
        <v>尾田 2022/04/12 (火)
平日夜間</v>
      </c>
    </row>
    <row r="89" spans="1:7" ht="16.149999999999999" x14ac:dyDescent="0.7">
      <c r="A89" s="49">
        <v>44629.821518611112</v>
      </c>
      <c r="B89" s="50" t="s">
        <v>17</v>
      </c>
      <c r="C89" s="50" t="s">
        <v>277</v>
      </c>
      <c r="D89" s="50" t="s">
        <v>259</v>
      </c>
      <c r="E89" s="50">
        <v>0</v>
      </c>
      <c r="F89" s="50">
        <v>0.75055474392340238</v>
      </c>
      <c r="G89" s="51" t="str">
        <v>尾田 2022/04/13 (水)
平日夜間</v>
      </c>
    </row>
    <row r="90" spans="1:7" ht="16.149999999999999" x14ac:dyDescent="0.7">
      <c r="A90" s="49">
        <v>44629.821518611112</v>
      </c>
      <c r="B90" s="50" t="s">
        <v>17</v>
      </c>
      <c r="C90" s="50" t="s">
        <v>278</v>
      </c>
      <c r="D90" s="50" t="s">
        <v>259</v>
      </c>
      <c r="E90" s="50">
        <v>-1</v>
      </c>
      <c r="F90" s="50">
        <v>-0.9721367329954731</v>
      </c>
      <c r="G90" s="51" t="str">
        <v>尾田 2022/04/14 (木)
平日夜間</v>
      </c>
    </row>
    <row r="91" spans="1:7" ht="16.149999999999999" x14ac:dyDescent="0.7">
      <c r="A91" s="49">
        <v>44629.821518611112</v>
      </c>
      <c r="B91" s="50" t="s">
        <v>17</v>
      </c>
      <c r="C91" s="50" t="s">
        <v>279</v>
      </c>
      <c r="D91" s="50" t="s">
        <v>259</v>
      </c>
      <c r="E91" s="50">
        <v>-1</v>
      </c>
      <c r="F91" s="50">
        <v>-9.1851331536682013E-2</v>
      </c>
      <c r="G91" s="51" t="str">
        <v>尾田 2022/04/15 (金)
平日夜間</v>
      </c>
    </row>
    <row r="92" spans="1:7" ht="16.149999999999999" x14ac:dyDescent="0.7">
      <c r="A92" s="49">
        <v>44629.821518611112</v>
      </c>
      <c r="B92" s="50" t="s">
        <v>17</v>
      </c>
      <c r="C92" s="50" t="s">
        <v>280</v>
      </c>
      <c r="D92" s="50" t="s">
        <v>261</v>
      </c>
      <c r="E92" s="50">
        <v>-1</v>
      </c>
      <c r="F92" s="50">
        <v>-0.51010328655567228</v>
      </c>
      <c r="G92" s="51" t="str">
        <v>尾田 2022/04/16 (土)
休日午後</v>
      </c>
    </row>
    <row r="93" spans="1:7" ht="16.149999999999999" x14ac:dyDescent="0.7">
      <c r="A93" s="49">
        <v>44629.821518611112</v>
      </c>
      <c r="B93" s="50" t="s">
        <v>17</v>
      </c>
      <c r="C93" s="50" t="s">
        <v>281</v>
      </c>
      <c r="D93" s="50" t="s">
        <v>263</v>
      </c>
      <c r="E93" s="50">
        <v>-1</v>
      </c>
      <c r="F93" s="50">
        <v>-9.2756983302011653E-2</v>
      </c>
      <c r="G93" s="51" t="str">
        <v>尾田 2022/04/16 (土)
休日午前</v>
      </c>
    </row>
    <row r="94" spans="1:7" ht="16.149999999999999" x14ac:dyDescent="0.7">
      <c r="A94" s="49">
        <v>44629.821518611112</v>
      </c>
      <c r="B94" s="50" t="s">
        <v>17</v>
      </c>
      <c r="C94" s="50" t="s">
        <v>282</v>
      </c>
      <c r="D94" s="50" t="s">
        <v>261</v>
      </c>
      <c r="E94" s="50">
        <v>-1</v>
      </c>
      <c r="F94" s="50">
        <v>-0.47066820517259345</v>
      </c>
      <c r="G94" s="51" t="str">
        <v>尾田 2022/04/17 (日)
休日午後</v>
      </c>
    </row>
    <row r="95" spans="1:7" ht="16.149999999999999" x14ac:dyDescent="0.7">
      <c r="A95" s="49">
        <v>44629.821518611112</v>
      </c>
      <c r="B95" s="50" t="s">
        <v>17</v>
      </c>
      <c r="C95" s="50" t="s">
        <v>283</v>
      </c>
      <c r="D95" s="50" t="s">
        <v>263</v>
      </c>
      <c r="E95" s="50">
        <v>-1</v>
      </c>
      <c r="F95" s="50">
        <v>-0.90952294971610947</v>
      </c>
      <c r="G95" s="51" t="str">
        <v>尾田 2022/04/17 (日)
休日午前</v>
      </c>
    </row>
    <row r="96" spans="1:7" ht="16.149999999999999" x14ac:dyDescent="0.7">
      <c r="A96" s="49">
        <v>44629.821518611112</v>
      </c>
      <c r="B96" s="50" t="s">
        <v>17</v>
      </c>
      <c r="C96" s="50" t="s">
        <v>284</v>
      </c>
      <c r="D96" s="50" t="s">
        <v>259</v>
      </c>
      <c r="E96" s="50">
        <v>-1</v>
      </c>
      <c r="F96" s="50">
        <v>-0.93067544648373501</v>
      </c>
      <c r="G96" s="51" t="str">
        <v>尾田 2022/04/18 (月)
平日夜間</v>
      </c>
    </row>
    <row r="97" spans="1:7" ht="16.149999999999999" x14ac:dyDescent="0.7">
      <c r="A97" s="49">
        <v>44629.821518611112</v>
      </c>
      <c r="B97" s="50" t="s">
        <v>17</v>
      </c>
      <c r="C97" s="50" t="s">
        <v>285</v>
      </c>
      <c r="D97" s="50" t="s">
        <v>259</v>
      </c>
      <c r="E97" s="50">
        <v>0</v>
      </c>
      <c r="F97" s="50">
        <v>0.37303504778988605</v>
      </c>
      <c r="G97" s="51" t="str">
        <v>尾田 2022/04/19 (火)
平日夜間</v>
      </c>
    </row>
    <row r="98" spans="1:7" ht="16.149999999999999" x14ac:dyDescent="0.7">
      <c r="A98" s="49">
        <v>44629.821518611112</v>
      </c>
      <c r="B98" s="50" t="s">
        <v>17</v>
      </c>
      <c r="C98" s="50" t="s">
        <v>286</v>
      </c>
      <c r="D98" s="50" t="s">
        <v>259</v>
      </c>
      <c r="E98" s="50">
        <v>0</v>
      </c>
      <c r="F98" s="50">
        <v>0.20257538422382804</v>
      </c>
      <c r="G98" s="51" t="str">
        <v>尾田 2022/04/20 (水)
平日夜間</v>
      </c>
    </row>
    <row r="99" spans="1:7" ht="16.149999999999999" x14ac:dyDescent="0.7">
      <c r="A99" s="49">
        <v>44629.821518611112</v>
      </c>
      <c r="B99" s="50" t="s">
        <v>17</v>
      </c>
      <c r="C99" s="50" t="s">
        <v>287</v>
      </c>
      <c r="D99" s="50" t="s">
        <v>259</v>
      </c>
      <c r="E99" s="50">
        <v>-1</v>
      </c>
      <c r="F99" s="50">
        <v>-0.77481695031487452</v>
      </c>
      <c r="G99" s="51" t="str">
        <v>尾田 2022/04/21 (木)
平日夜間</v>
      </c>
    </row>
    <row r="100" spans="1:7" ht="16.149999999999999" x14ac:dyDescent="0.7">
      <c r="A100" s="49">
        <v>44629.821518611112</v>
      </c>
      <c r="B100" s="50" t="s">
        <v>17</v>
      </c>
      <c r="C100" s="50" t="s">
        <v>288</v>
      </c>
      <c r="D100" s="50" t="s">
        <v>259</v>
      </c>
      <c r="E100" s="50">
        <v>-1</v>
      </c>
      <c r="F100" s="50">
        <v>-0.63606997237931906</v>
      </c>
      <c r="G100" s="51" t="str">
        <v>尾田 2022/04/22 (金)
平日夜間</v>
      </c>
    </row>
    <row r="101" spans="1:7" ht="16.149999999999999" x14ac:dyDescent="0.7">
      <c r="A101" s="49">
        <v>44629.821518611112</v>
      </c>
      <c r="B101" s="50" t="s">
        <v>17</v>
      </c>
      <c r="C101" s="50" t="s">
        <v>289</v>
      </c>
      <c r="D101" s="50" t="s">
        <v>261</v>
      </c>
      <c r="E101" s="50">
        <v>-1</v>
      </c>
      <c r="F101" s="50">
        <v>-0.75624445069503832</v>
      </c>
      <c r="G101" s="51" t="str">
        <v>尾田 2022/04/23 (土)
休日午後</v>
      </c>
    </row>
    <row r="102" spans="1:7" ht="16.149999999999999" x14ac:dyDescent="0.7">
      <c r="A102" s="49">
        <v>44629.821518611112</v>
      </c>
      <c r="B102" s="50" t="s">
        <v>17</v>
      </c>
      <c r="C102" s="50" t="s">
        <v>290</v>
      </c>
      <c r="D102" s="50" t="s">
        <v>263</v>
      </c>
      <c r="E102" s="50">
        <v>-1</v>
      </c>
      <c r="F102" s="50">
        <v>-0.36154332384686083</v>
      </c>
      <c r="G102" s="51" t="str">
        <v>尾田 2022/04/23 (土)
休日午前</v>
      </c>
    </row>
    <row r="103" spans="1:7" ht="16.149999999999999" x14ac:dyDescent="0.7">
      <c r="A103" s="49">
        <v>44629.821518611112</v>
      </c>
      <c r="B103" s="50" t="s">
        <v>17</v>
      </c>
      <c r="C103" s="50" t="s">
        <v>291</v>
      </c>
      <c r="D103" s="50" t="s">
        <v>261</v>
      </c>
      <c r="E103" s="50">
        <v>-1</v>
      </c>
      <c r="F103" s="50">
        <v>-0.85284892398160617</v>
      </c>
      <c r="G103" s="51" t="str">
        <v>尾田 2022/04/24 (日)
休日午後</v>
      </c>
    </row>
    <row r="104" spans="1:7" ht="16.149999999999999" x14ac:dyDescent="0.7">
      <c r="A104" s="49">
        <v>44629.821518611112</v>
      </c>
      <c r="B104" s="50" t="s">
        <v>17</v>
      </c>
      <c r="C104" s="50" t="s">
        <v>292</v>
      </c>
      <c r="D104" s="50" t="s">
        <v>263</v>
      </c>
      <c r="E104" s="50">
        <v>-1</v>
      </c>
      <c r="F104" s="50">
        <v>-0.33487293528255524</v>
      </c>
      <c r="G104" s="51" t="str">
        <v>尾田 2022/04/24 (日)
休日午前</v>
      </c>
    </row>
    <row r="105" spans="1:7" ht="16.149999999999999" x14ac:dyDescent="0.7">
      <c r="A105" s="49">
        <v>44629.821518611112</v>
      </c>
      <c r="B105" s="50" t="s">
        <v>17</v>
      </c>
      <c r="C105" s="50" t="s">
        <v>293</v>
      </c>
      <c r="D105" s="50" t="s">
        <v>259</v>
      </c>
      <c r="E105" s="50">
        <v>0</v>
      </c>
      <c r="F105" s="50">
        <v>0.69191220347257265</v>
      </c>
      <c r="G105" s="51" t="str">
        <v>尾田 2022/04/25 (月)
平日夜間</v>
      </c>
    </row>
    <row r="106" spans="1:7" ht="16.149999999999999" x14ac:dyDescent="0.7">
      <c r="A106" s="49">
        <v>44629.821518611112</v>
      </c>
      <c r="B106" s="50" t="s">
        <v>17</v>
      </c>
      <c r="C106" s="50" t="s">
        <v>294</v>
      </c>
      <c r="D106" s="50" t="s">
        <v>259</v>
      </c>
      <c r="E106" s="50">
        <v>0</v>
      </c>
      <c r="F106" s="50">
        <v>0.25420079641047866</v>
      </c>
      <c r="G106" s="51" t="str">
        <v>尾田 2022/04/26 (火)
平日夜間</v>
      </c>
    </row>
    <row r="107" spans="1:7" ht="16.149999999999999" x14ac:dyDescent="0.7">
      <c r="A107" s="49">
        <v>44629.821518611112</v>
      </c>
      <c r="B107" s="50" t="s">
        <v>17</v>
      </c>
      <c r="C107" s="50" t="s">
        <v>295</v>
      </c>
      <c r="D107" s="50" t="s">
        <v>259</v>
      </c>
      <c r="E107" s="50">
        <v>0</v>
      </c>
      <c r="F107" s="50">
        <v>6.625412440207934E-2</v>
      </c>
      <c r="G107" s="51" t="str">
        <v>尾田 2022/04/27 (水)
平日夜間</v>
      </c>
    </row>
    <row r="108" spans="1:7" ht="16.149999999999999" x14ac:dyDescent="0.7">
      <c r="A108" s="49">
        <v>44629.821518611112</v>
      </c>
      <c r="B108" s="50" t="s">
        <v>17</v>
      </c>
      <c r="C108" s="50" t="s">
        <v>296</v>
      </c>
      <c r="D108" s="50" t="s">
        <v>259</v>
      </c>
      <c r="E108" s="50">
        <v>-1</v>
      </c>
      <c r="F108" s="50">
        <v>-0.48279180121128329</v>
      </c>
      <c r="G108" s="51" t="str">
        <v>尾田 2022/04/28 (木)
平日夜間</v>
      </c>
    </row>
    <row r="109" spans="1:7" ht="16.149999999999999" x14ac:dyDescent="0.7">
      <c r="A109" s="49">
        <v>44630.898138275465</v>
      </c>
      <c r="B109" s="50" t="s">
        <v>29</v>
      </c>
      <c r="C109" s="50" t="s">
        <v>258</v>
      </c>
      <c r="D109" s="50" t="s">
        <v>259</v>
      </c>
      <c r="E109" s="50">
        <v>-1</v>
      </c>
      <c r="F109" s="50">
        <v>-8.1034975493653461E-2</v>
      </c>
      <c r="G109" s="51" t="str">
        <v>福里 2022/04/01 (金)
平日夜間</v>
      </c>
    </row>
    <row r="110" spans="1:7" ht="16.149999999999999" x14ac:dyDescent="0.7">
      <c r="A110" s="49">
        <v>44630.898138275465</v>
      </c>
      <c r="B110" s="50" t="s">
        <v>29</v>
      </c>
      <c r="C110" s="50" t="s">
        <v>260</v>
      </c>
      <c r="D110" s="50" t="s">
        <v>261</v>
      </c>
      <c r="E110" s="50">
        <v>-1</v>
      </c>
      <c r="F110" s="50">
        <v>-0.30342714091891443</v>
      </c>
      <c r="G110" s="51" t="str">
        <v>福里 2022/04/02 (土)
休日午後</v>
      </c>
    </row>
    <row r="111" spans="1:7" ht="16.149999999999999" x14ac:dyDescent="0.7">
      <c r="A111" s="49">
        <v>44630.898138275465</v>
      </c>
      <c r="B111" s="50" t="s">
        <v>29</v>
      </c>
      <c r="C111" s="50" t="s">
        <v>262</v>
      </c>
      <c r="D111" s="50" t="s">
        <v>263</v>
      </c>
      <c r="E111" s="50">
        <v>-1</v>
      </c>
      <c r="F111" s="50">
        <v>-5.6278741698108536E-2</v>
      </c>
      <c r="G111" s="51" t="str">
        <v>福里 2022/04/02 (土)
休日午前</v>
      </c>
    </row>
    <row r="112" spans="1:7" ht="16.149999999999999" x14ac:dyDescent="0.7">
      <c r="A112" s="49">
        <v>44630.898138275465</v>
      </c>
      <c r="B112" s="50" t="s">
        <v>29</v>
      </c>
      <c r="C112" s="50" t="s">
        <v>264</v>
      </c>
      <c r="D112" s="50" t="s">
        <v>261</v>
      </c>
      <c r="E112" s="50">
        <v>-1</v>
      </c>
      <c r="F112" s="50">
        <v>-0.70251468196057831</v>
      </c>
      <c r="G112" s="51" t="str">
        <v>福里 2022/04/03 (日)
休日午後</v>
      </c>
    </row>
    <row r="113" spans="1:7" ht="16.149999999999999" x14ac:dyDescent="0.7">
      <c r="A113" s="49">
        <v>44630.898138275465</v>
      </c>
      <c r="B113" s="50" t="s">
        <v>29</v>
      </c>
      <c r="C113" s="50" t="s">
        <v>265</v>
      </c>
      <c r="D113" s="50" t="s">
        <v>263</v>
      </c>
      <c r="E113" s="50">
        <v>-1</v>
      </c>
      <c r="F113" s="50">
        <v>-0.72474086019350681</v>
      </c>
      <c r="G113" s="51" t="str">
        <v>福里 2022/04/03 (日)
休日午前</v>
      </c>
    </row>
    <row r="114" spans="1:7" ht="16.149999999999999" x14ac:dyDescent="0.7">
      <c r="A114" s="49">
        <v>44630.898138275465</v>
      </c>
      <c r="B114" s="50" t="s">
        <v>29</v>
      </c>
      <c r="C114" s="50" t="s">
        <v>266</v>
      </c>
      <c r="D114" s="50" t="s">
        <v>259</v>
      </c>
      <c r="E114" s="50">
        <v>2</v>
      </c>
      <c r="F114" s="50">
        <v>2.2075407800475393</v>
      </c>
      <c r="G114" s="51" t="str">
        <v>福里 2022/04/04 (月)
平日夜間</v>
      </c>
    </row>
    <row r="115" spans="1:7" ht="16.149999999999999" x14ac:dyDescent="0.7">
      <c r="A115" s="49">
        <v>44630.898138275465</v>
      </c>
      <c r="B115" s="50" t="s">
        <v>29</v>
      </c>
      <c r="C115" s="50" t="s">
        <v>267</v>
      </c>
      <c r="D115" s="50" t="s">
        <v>259</v>
      </c>
      <c r="E115" s="50">
        <v>-1</v>
      </c>
      <c r="F115" s="50">
        <v>-8.2082202668867232E-2</v>
      </c>
      <c r="G115" s="51" t="str">
        <v>福里 2022/04/05 (火)
平日夜間</v>
      </c>
    </row>
    <row r="116" spans="1:7" ht="16.149999999999999" x14ac:dyDescent="0.7">
      <c r="A116" s="49">
        <v>44630.898138275465</v>
      </c>
      <c r="B116" s="50" t="s">
        <v>29</v>
      </c>
      <c r="C116" s="50" t="s">
        <v>268</v>
      </c>
      <c r="D116" s="50" t="s">
        <v>259</v>
      </c>
      <c r="E116" s="50">
        <v>0</v>
      </c>
      <c r="F116" s="50">
        <v>0.90930786313723555</v>
      </c>
      <c r="G116" s="51" t="str">
        <v>福里 2022/04/06 (水)
平日夜間</v>
      </c>
    </row>
    <row r="117" spans="1:7" ht="16.149999999999999" x14ac:dyDescent="0.7">
      <c r="A117" s="49">
        <v>44630.898138275465</v>
      </c>
      <c r="B117" s="50" t="s">
        <v>29</v>
      </c>
      <c r="C117" s="50" t="s">
        <v>269</v>
      </c>
      <c r="D117" s="50" t="s">
        <v>259</v>
      </c>
      <c r="E117" s="50">
        <v>0</v>
      </c>
      <c r="F117" s="50">
        <v>0.26332584087069866</v>
      </c>
      <c r="G117" s="51" t="str">
        <v>福里 2022/04/07 (木)
平日夜間</v>
      </c>
    </row>
    <row r="118" spans="1:7" ht="16.149999999999999" x14ac:dyDescent="0.7">
      <c r="A118" s="49">
        <v>44630.898138275465</v>
      </c>
      <c r="B118" s="50" t="s">
        <v>29</v>
      </c>
      <c r="C118" s="50" t="s">
        <v>270</v>
      </c>
      <c r="D118" s="50" t="s">
        <v>259</v>
      </c>
      <c r="E118" s="50">
        <v>0</v>
      </c>
      <c r="F118" s="50">
        <v>0.5567679578256941</v>
      </c>
      <c r="G118" s="51" t="str">
        <v>福里 2022/04/08 (金)
平日夜間</v>
      </c>
    </row>
    <row r="119" spans="1:7" ht="16.149999999999999" x14ac:dyDescent="0.7">
      <c r="A119" s="49">
        <v>44630.898138275465</v>
      </c>
      <c r="B119" s="50" t="s">
        <v>29</v>
      </c>
      <c r="C119" s="50" t="s">
        <v>271</v>
      </c>
      <c r="D119" s="50" t="s">
        <v>261</v>
      </c>
      <c r="E119" s="50">
        <v>0</v>
      </c>
      <c r="F119" s="50">
        <v>0.53853010876899732</v>
      </c>
      <c r="G119" s="51" t="str">
        <v>福里 2022/04/09 (土)
休日午後</v>
      </c>
    </row>
    <row r="120" spans="1:7" ht="16.149999999999999" x14ac:dyDescent="0.7">
      <c r="A120" s="49">
        <v>44630.898138275465</v>
      </c>
      <c r="B120" s="50" t="s">
        <v>29</v>
      </c>
      <c r="C120" s="50" t="s">
        <v>272</v>
      </c>
      <c r="D120" s="50" t="s">
        <v>263</v>
      </c>
      <c r="E120" s="50">
        <v>0</v>
      </c>
      <c r="F120" s="50">
        <v>0.99163844447577154</v>
      </c>
      <c r="G120" s="51" t="str">
        <v>福里 2022/04/09 (土)
休日午前</v>
      </c>
    </row>
    <row r="121" spans="1:7" ht="16.149999999999999" x14ac:dyDescent="0.7">
      <c r="A121" s="49">
        <v>44630.898138275465</v>
      </c>
      <c r="B121" s="50" t="s">
        <v>29</v>
      </c>
      <c r="C121" s="50" t="s">
        <v>273</v>
      </c>
      <c r="D121" s="50" t="s">
        <v>261</v>
      </c>
      <c r="E121" s="50">
        <v>0</v>
      </c>
      <c r="F121" s="50">
        <v>0.73689768307040482</v>
      </c>
      <c r="G121" s="51" t="str">
        <v>福里 2022/04/10 (日)
休日午後</v>
      </c>
    </row>
    <row r="122" spans="1:7" ht="16.149999999999999" x14ac:dyDescent="0.7">
      <c r="A122" s="49">
        <v>44630.898138275465</v>
      </c>
      <c r="B122" s="50" t="s">
        <v>29</v>
      </c>
      <c r="C122" s="50" t="s">
        <v>274</v>
      </c>
      <c r="D122" s="50" t="s">
        <v>263</v>
      </c>
      <c r="E122" s="50">
        <v>0</v>
      </c>
      <c r="F122" s="50">
        <v>0.976028270026011</v>
      </c>
      <c r="G122" s="51" t="str">
        <v>福里 2022/04/10 (日)
休日午前</v>
      </c>
    </row>
    <row r="123" spans="1:7" ht="16.149999999999999" x14ac:dyDescent="0.7">
      <c r="A123" s="49">
        <v>44630.898138275465</v>
      </c>
      <c r="B123" s="50" t="s">
        <v>29</v>
      </c>
      <c r="C123" s="50" t="s">
        <v>275</v>
      </c>
      <c r="D123" s="50" t="s">
        <v>259</v>
      </c>
      <c r="E123" s="50">
        <v>-1</v>
      </c>
      <c r="F123" s="50">
        <v>-0.35360385476863732</v>
      </c>
      <c r="G123" s="51" t="str">
        <v>福里 2022/04/11 (月)
平日夜間</v>
      </c>
    </row>
    <row r="124" spans="1:7" ht="16.149999999999999" x14ac:dyDescent="0.7">
      <c r="A124" s="49">
        <v>44630.898138275465</v>
      </c>
      <c r="B124" s="50" t="s">
        <v>29</v>
      </c>
      <c r="C124" s="50" t="s">
        <v>276</v>
      </c>
      <c r="D124" s="50" t="s">
        <v>259</v>
      </c>
      <c r="E124" s="50">
        <v>2</v>
      </c>
      <c r="F124" s="50">
        <v>2.5729064398739716</v>
      </c>
      <c r="G124" s="51" t="str">
        <v>福里 2022/04/12 (火)
平日夜間</v>
      </c>
    </row>
    <row r="125" spans="1:7" ht="16.149999999999999" x14ac:dyDescent="0.7">
      <c r="A125" s="49">
        <v>44630.898138275465</v>
      </c>
      <c r="B125" s="50" t="s">
        <v>29</v>
      </c>
      <c r="C125" s="50" t="s">
        <v>277</v>
      </c>
      <c r="D125" s="50" t="s">
        <v>259</v>
      </c>
      <c r="E125" s="50">
        <v>-1</v>
      </c>
      <c r="F125" s="50">
        <v>-0.9279018465188833</v>
      </c>
      <c r="G125" s="51" t="str">
        <v>福里 2022/04/13 (水)
平日夜間</v>
      </c>
    </row>
    <row r="126" spans="1:7" ht="16.149999999999999" x14ac:dyDescent="0.7">
      <c r="A126" s="49">
        <v>44630.898138275465</v>
      </c>
      <c r="B126" s="50" t="s">
        <v>29</v>
      </c>
      <c r="C126" s="50" t="s">
        <v>278</v>
      </c>
      <c r="D126" s="50" t="s">
        <v>259</v>
      </c>
      <c r="E126" s="50">
        <v>0</v>
      </c>
      <c r="F126" s="50">
        <v>0.99667114018200054</v>
      </c>
      <c r="G126" s="51" t="str">
        <v>福里 2022/04/14 (木)
平日夜間</v>
      </c>
    </row>
    <row r="127" spans="1:7" ht="16.149999999999999" x14ac:dyDescent="0.7">
      <c r="A127" s="49">
        <v>44630.898138275465</v>
      </c>
      <c r="B127" s="50" t="s">
        <v>29</v>
      </c>
      <c r="C127" s="50" t="s">
        <v>279</v>
      </c>
      <c r="D127" s="50" t="s">
        <v>259</v>
      </c>
      <c r="E127" s="50">
        <v>0</v>
      </c>
      <c r="F127" s="50">
        <v>0.73298541780292603</v>
      </c>
      <c r="G127" s="51" t="str">
        <v>福里 2022/04/15 (金)
平日夜間</v>
      </c>
    </row>
    <row r="128" spans="1:7" ht="16.149999999999999" x14ac:dyDescent="0.7">
      <c r="A128" s="49">
        <v>44630.898138275465</v>
      </c>
      <c r="B128" s="50" t="s">
        <v>29</v>
      </c>
      <c r="C128" s="50" t="s">
        <v>280</v>
      </c>
      <c r="D128" s="50" t="s">
        <v>261</v>
      </c>
      <c r="E128" s="50">
        <v>0</v>
      </c>
      <c r="F128" s="50">
        <v>0.19259024710398265</v>
      </c>
      <c r="G128" s="51" t="str">
        <v>福里 2022/04/16 (土)
休日午後</v>
      </c>
    </row>
    <row r="129" spans="1:7" ht="16.149999999999999" x14ac:dyDescent="0.7">
      <c r="A129" s="49">
        <v>44630.898138275465</v>
      </c>
      <c r="B129" s="50" t="s">
        <v>29</v>
      </c>
      <c r="C129" s="50" t="s">
        <v>281</v>
      </c>
      <c r="D129" s="50" t="s">
        <v>263</v>
      </c>
      <c r="E129" s="50">
        <v>0</v>
      </c>
      <c r="F129" s="50">
        <v>0.61137292907362117</v>
      </c>
      <c r="G129" s="51" t="str">
        <v>福里 2022/04/16 (土)
休日午前</v>
      </c>
    </row>
    <row r="130" spans="1:7" ht="16.149999999999999" x14ac:dyDescent="0.7">
      <c r="A130" s="49">
        <v>44630.898138275465</v>
      </c>
      <c r="B130" s="50" t="s">
        <v>29</v>
      </c>
      <c r="C130" s="50" t="s">
        <v>282</v>
      </c>
      <c r="D130" s="50" t="s">
        <v>261</v>
      </c>
      <c r="E130" s="50">
        <v>0</v>
      </c>
      <c r="F130" s="50">
        <v>0.46042140889110983</v>
      </c>
      <c r="G130" s="51" t="str">
        <v>福里 2022/04/17 (日)
休日午後</v>
      </c>
    </row>
    <row r="131" spans="1:7" ht="16.149999999999999" x14ac:dyDescent="0.7">
      <c r="A131" s="49">
        <v>44630.898138275465</v>
      </c>
      <c r="B131" s="50" t="s">
        <v>29</v>
      </c>
      <c r="C131" s="50" t="s">
        <v>283</v>
      </c>
      <c r="D131" s="50" t="s">
        <v>263</v>
      </c>
      <c r="E131" s="50">
        <v>0</v>
      </c>
      <c r="F131" s="50">
        <v>0.94671158473023653</v>
      </c>
      <c r="G131" s="51" t="str">
        <v>福里 2022/04/17 (日)
休日午前</v>
      </c>
    </row>
    <row r="132" spans="1:7" ht="16.149999999999999" x14ac:dyDescent="0.7">
      <c r="A132" s="49">
        <v>44630.898138275465</v>
      </c>
      <c r="B132" s="50" t="s">
        <v>29</v>
      </c>
      <c r="C132" s="50" t="s">
        <v>284</v>
      </c>
      <c r="D132" s="50" t="s">
        <v>259</v>
      </c>
      <c r="E132" s="50">
        <v>0</v>
      </c>
      <c r="F132" s="50">
        <v>0.19952281778059966</v>
      </c>
      <c r="G132" s="51" t="str">
        <v>福里 2022/04/18 (月)
平日夜間</v>
      </c>
    </row>
    <row r="133" spans="1:7" ht="16.149999999999999" x14ac:dyDescent="0.7">
      <c r="A133" s="49">
        <v>44630.898138275465</v>
      </c>
      <c r="B133" s="50" t="s">
        <v>29</v>
      </c>
      <c r="C133" s="50" t="s">
        <v>285</v>
      </c>
      <c r="D133" s="50" t="s">
        <v>259</v>
      </c>
      <c r="E133" s="50">
        <v>0</v>
      </c>
      <c r="F133" s="50">
        <v>0.37816347461683453</v>
      </c>
      <c r="G133" s="51" t="str">
        <v>福里 2022/04/19 (火)
平日夜間</v>
      </c>
    </row>
    <row r="134" spans="1:7" ht="16.149999999999999" x14ac:dyDescent="0.7">
      <c r="A134" s="49">
        <v>44630.898138275465</v>
      </c>
      <c r="B134" s="50" t="s">
        <v>29</v>
      </c>
      <c r="C134" s="50" t="s">
        <v>286</v>
      </c>
      <c r="D134" s="50" t="s">
        <v>259</v>
      </c>
      <c r="E134" s="50">
        <v>0</v>
      </c>
      <c r="F134" s="50">
        <v>0.34283125592512564</v>
      </c>
      <c r="G134" s="51" t="str">
        <v>福里 2022/04/20 (水)
平日夜間</v>
      </c>
    </row>
    <row r="135" spans="1:7" ht="16.149999999999999" x14ac:dyDescent="0.7">
      <c r="A135" s="49">
        <v>44630.898138275465</v>
      </c>
      <c r="B135" s="50" t="s">
        <v>29</v>
      </c>
      <c r="C135" s="50" t="s">
        <v>287</v>
      </c>
      <c r="D135" s="50" t="s">
        <v>259</v>
      </c>
      <c r="E135" s="50">
        <v>-1</v>
      </c>
      <c r="F135" s="50">
        <v>-0.55512031589909339</v>
      </c>
      <c r="G135" s="51" t="str">
        <v>福里 2022/04/21 (木)
平日夜間</v>
      </c>
    </row>
    <row r="136" spans="1:7" ht="16.149999999999999" x14ac:dyDescent="0.7">
      <c r="A136" s="49">
        <v>44630.898138275465</v>
      </c>
      <c r="B136" s="50" t="s">
        <v>29</v>
      </c>
      <c r="C136" s="50" t="s">
        <v>288</v>
      </c>
      <c r="D136" s="50" t="s">
        <v>259</v>
      </c>
      <c r="E136" s="50">
        <v>0</v>
      </c>
      <c r="F136" s="50">
        <v>0.24231434993302314</v>
      </c>
      <c r="G136" s="51" t="str">
        <v>福里 2022/04/22 (金)
平日夜間</v>
      </c>
    </row>
    <row r="137" spans="1:7" ht="16.149999999999999" x14ac:dyDescent="0.7">
      <c r="A137" s="49">
        <v>44630.898138275465</v>
      </c>
      <c r="B137" s="50" t="s">
        <v>29</v>
      </c>
      <c r="C137" s="50" t="s">
        <v>289</v>
      </c>
      <c r="D137" s="50" t="s">
        <v>261</v>
      </c>
      <c r="E137" s="50">
        <v>0</v>
      </c>
      <c r="F137" s="50">
        <v>1.2702390233789274E-2</v>
      </c>
      <c r="G137" s="51" t="str">
        <v>福里 2022/04/23 (土)
休日午後</v>
      </c>
    </row>
    <row r="138" spans="1:7" ht="16.149999999999999" x14ac:dyDescent="0.7">
      <c r="A138" s="49">
        <v>44630.898138275465</v>
      </c>
      <c r="B138" s="50" t="s">
        <v>29</v>
      </c>
      <c r="C138" s="50" t="s">
        <v>290</v>
      </c>
      <c r="D138" s="50" t="s">
        <v>263</v>
      </c>
      <c r="E138" s="50">
        <v>0</v>
      </c>
      <c r="F138" s="50">
        <v>0.38319804423839154</v>
      </c>
      <c r="G138" s="51" t="str">
        <v>福里 2022/04/23 (土)
休日午前</v>
      </c>
    </row>
    <row r="139" spans="1:7" ht="16.149999999999999" x14ac:dyDescent="0.7">
      <c r="A139" s="49">
        <v>44630.898138275465</v>
      </c>
      <c r="B139" s="50" t="s">
        <v>29</v>
      </c>
      <c r="C139" s="50" t="s">
        <v>291</v>
      </c>
      <c r="D139" s="50" t="s">
        <v>261</v>
      </c>
      <c r="E139" s="50">
        <v>0</v>
      </c>
      <c r="F139" s="50">
        <v>0.49792082437529328</v>
      </c>
      <c r="G139" s="51" t="str">
        <v>福里 2022/04/24 (日)
休日午後</v>
      </c>
    </row>
    <row r="140" spans="1:7" ht="16.149999999999999" x14ac:dyDescent="0.7">
      <c r="A140" s="49">
        <v>44630.898138275465</v>
      </c>
      <c r="B140" s="50" t="s">
        <v>29</v>
      </c>
      <c r="C140" s="50" t="s">
        <v>292</v>
      </c>
      <c r="D140" s="50" t="s">
        <v>263</v>
      </c>
      <c r="E140" s="50">
        <v>0</v>
      </c>
      <c r="F140" s="50">
        <v>0.87670153435920839</v>
      </c>
      <c r="G140" s="51" t="str">
        <v>福里 2022/04/24 (日)
休日午前</v>
      </c>
    </row>
    <row r="141" spans="1:7" ht="16.149999999999999" x14ac:dyDescent="0.7">
      <c r="A141" s="49">
        <v>44630.898138275465</v>
      </c>
      <c r="B141" s="50" t="s">
        <v>29</v>
      </c>
      <c r="C141" s="50" t="s">
        <v>293</v>
      </c>
      <c r="D141" s="50" t="s">
        <v>259</v>
      </c>
      <c r="E141" s="50">
        <v>0</v>
      </c>
      <c r="F141" s="50">
        <v>0.56019330790267596</v>
      </c>
      <c r="G141" s="51" t="str">
        <v>福里 2022/04/25 (月)
平日夜間</v>
      </c>
    </row>
    <row r="142" spans="1:7" ht="16.149999999999999" x14ac:dyDescent="0.7">
      <c r="A142" s="49">
        <v>44630.898138275465</v>
      </c>
      <c r="B142" s="50" t="s">
        <v>29</v>
      </c>
      <c r="C142" s="50" t="s">
        <v>294</v>
      </c>
      <c r="D142" s="50" t="s">
        <v>259</v>
      </c>
      <c r="E142" s="50">
        <v>0</v>
      </c>
      <c r="F142" s="50">
        <v>0.97408450081010134</v>
      </c>
      <c r="G142" s="51" t="str">
        <v>福里 2022/04/26 (火)
平日夜間</v>
      </c>
    </row>
    <row r="143" spans="1:7" ht="16.149999999999999" x14ac:dyDescent="0.7">
      <c r="A143" s="49">
        <v>44630.898138275465</v>
      </c>
      <c r="B143" s="50" t="s">
        <v>29</v>
      </c>
      <c r="C143" s="50" t="s">
        <v>295</v>
      </c>
      <c r="D143" s="50" t="s">
        <v>259</v>
      </c>
      <c r="E143" s="50">
        <v>0</v>
      </c>
      <c r="F143" s="50">
        <v>0.85449489064439121</v>
      </c>
      <c r="G143" s="51" t="str">
        <v>福里 2022/04/27 (水)
平日夜間</v>
      </c>
    </row>
    <row r="144" spans="1:7" ht="16.149999999999999" x14ac:dyDescent="0.7">
      <c r="A144" s="49">
        <v>44630.898138275465</v>
      </c>
      <c r="B144" s="50" t="s">
        <v>29</v>
      </c>
      <c r="C144" s="50" t="s">
        <v>296</v>
      </c>
      <c r="D144" s="50" t="s">
        <v>259</v>
      </c>
      <c r="E144" s="50">
        <v>0</v>
      </c>
      <c r="F144" s="50">
        <v>0.48011950843779516</v>
      </c>
      <c r="G144" s="51" t="str">
        <v>福里 2022/04/28 (木)
平日夜間</v>
      </c>
    </row>
    <row r="145" spans="1:7" ht="16.149999999999999" x14ac:dyDescent="0.7">
      <c r="A145" s="49">
        <v>44631.515367916669</v>
      </c>
      <c r="B145" s="50" t="s">
        <v>4</v>
      </c>
      <c r="C145" s="50" t="s">
        <v>258</v>
      </c>
      <c r="D145" s="50" t="s">
        <v>259</v>
      </c>
      <c r="E145" s="50">
        <v>-1</v>
      </c>
      <c r="F145" s="50">
        <v>-0.7367761873671077</v>
      </c>
      <c r="G145" s="51" t="str">
        <v>井上 2022/04/01 (金)
平日夜間</v>
      </c>
    </row>
    <row r="146" spans="1:7" ht="16.149999999999999" x14ac:dyDescent="0.7">
      <c r="A146" s="49">
        <v>44631.515367916669</v>
      </c>
      <c r="B146" s="50" t="s">
        <v>4</v>
      </c>
      <c r="C146" s="50" t="s">
        <v>260</v>
      </c>
      <c r="D146" s="50" t="s">
        <v>261</v>
      </c>
      <c r="E146" s="50">
        <v>-1</v>
      </c>
      <c r="F146" s="50">
        <v>-0.31795198290092852</v>
      </c>
      <c r="G146" s="51" t="str">
        <v>井上 2022/04/02 (土)
休日午後</v>
      </c>
    </row>
    <row r="147" spans="1:7" ht="16.149999999999999" x14ac:dyDescent="0.7">
      <c r="A147" s="49">
        <v>44631.515367916669</v>
      </c>
      <c r="B147" s="50" t="s">
        <v>4</v>
      </c>
      <c r="C147" s="50" t="s">
        <v>262</v>
      </c>
      <c r="D147" s="50" t="s">
        <v>263</v>
      </c>
      <c r="E147" s="50">
        <v>-1</v>
      </c>
      <c r="F147" s="50">
        <v>-0.38222494622700176</v>
      </c>
      <c r="G147" s="51" t="str">
        <v>井上 2022/04/02 (土)
休日午前</v>
      </c>
    </row>
    <row r="148" spans="1:7" ht="16.149999999999999" x14ac:dyDescent="0.7">
      <c r="A148" s="49">
        <v>44631.515367916669</v>
      </c>
      <c r="B148" s="50" t="s">
        <v>4</v>
      </c>
      <c r="C148" s="50" t="s">
        <v>264</v>
      </c>
      <c r="D148" s="50" t="s">
        <v>261</v>
      </c>
      <c r="E148" s="50">
        <v>-1</v>
      </c>
      <c r="F148" s="50">
        <v>-0.82404995144998572</v>
      </c>
      <c r="G148" s="51" t="str">
        <v>井上 2022/04/03 (日)
休日午後</v>
      </c>
    </row>
    <row r="149" spans="1:7" ht="16.149999999999999" x14ac:dyDescent="0.7">
      <c r="A149" s="49">
        <v>44631.515367916669</v>
      </c>
      <c r="B149" s="50" t="s">
        <v>4</v>
      </c>
      <c r="C149" s="50" t="s">
        <v>265</v>
      </c>
      <c r="D149" s="50" t="s">
        <v>263</v>
      </c>
      <c r="E149" s="50">
        <v>-1</v>
      </c>
      <c r="F149" s="50">
        <v>-0.50119146003679638</v>
      </c>
      <c r="G149" s="51" t="str">
        <v>井上 2022/04/03 (日)
休日午前</v>
      </c>
    </row>
    <row r="150" spans="1:7" ht="16.149999999999999" x14ac:dyDescent="0.7">
      <c r="A150" s="49">
        <v>44631.515367916669</v>
      </c>
      <c r="B150" s="50" t="s">
        <v>4</v>
      </c>
      <c r="C150" s="50" t="s">
        <v>266</v>
      </c>
      <c r="D150" s="50" t="s">
        <v>259</v>
      </c>
      <c r="E150" s="50">
        <v>0</v>
      </c>
      <c r="F150" s="50">
        <v>0.9813327386551931</v>
      </c>
      <c r="G150" s="51" t="str">
        <v>井上 2022/04/04 (月)
平日夜間</v>
      </c>
    </row>
    <row r="151" spans="1:7" ht="16.149999999999999" x14ac:dyDescent="0.7">
      <c r="A151" s="49">
        <v>44631.515367916669</v>
      </c>
      <c r="B151" s="50" t="s">
        <v>4</v>
      </c>
      <c r="C151" s="50" t="s">
        <v>267</v>
      </c>
      <c r="D151" s="50" t="s">
        <v>259</v>
      </c>
      <c r="E151" s="50">
        <v>-1</v>
      </c>
      <c r="F151" s="50">
        <v>-0.62628322392972824</v>
      </c>
      <c r="G151" s="51" t="str">
        <v>井上 2022/04/05 (火)
平日夜間</v>
      </c>
    </row>
    <row r="152" spans="1:7" ht="16.149999999999999" x14ac:dyDescent="0.7">
      <c r="A152" s="49">
        <v>44631.515367916669</v>
      </c>
      <c r="B152" s="50" t="s">
        <v>4</v>
      </c>
      <c r="C152" s="50" t="s">
        <v>268</v>
      </c>
      <c r="D152" s="50" t="s">
        <v>259</v>
      </c>
      <c r="E152" s="50">
        <v>0</v>
      </c>
      <c r="F152" s="50">
        <v>0.92954817851924454</v>
      </c>
      <c r="G152" s="51" t="str">
        <v>井上 2022/04/06 (水)
平日夜間</v>
      </c>
    </row>
    <row r="153" spans="1:7" ht="16.149999999999999" x14ac:dyDescent="0.7">
      <c r="A153" s="49">
        <v>44631.515367916669</v>
      </c>
      <c r="B153" s="50" t="s">
        <v>4</v>
      </c>
      <c r="C153" s="50" t="s">
        <v>269</v>
      </c>
      <c r="D153" s="50" t="s">
        <v>259</v>
      </c>
      <c r="E153" s="50">
        <v>0</v>
      </c>
      <c r="F153" s="50">
        <v>0.6183580365356447</v>
      </c>
      <c r="G153" s="51" t="str">
        <v>井上 2022/04/07 (木)
平日夜間</v>
      </c>
    </row>
    <row r="154" spans="1:7" ht="16.149999999999999" x14ac:dyDescent="0.7">
      <c r="A154" s="49">
        <v>44631.515367916669</v>
      </c>
      <c r="B154" s="50" t="s">
        <v>4</v>
      </c>
      <c r="C154" s="50" t="s">
        <v>270</v>
      </c>
      <c r="D154" s="50" t="s">
        <v>259</v>
      </c>
      <c r="E154" s="50">
        <v>0</v>
      </c>
      <c r="F154" s="50">
        <v>0.64119205978835647</v>
      </c>
      <c r="G154" s="51" t="str">
        <v>井上 2022/04/08 (金)
平日夜間</v>
      </c>
    </row>
    <row r="155" spans="1:7" ht="16.149999999999999" x14ac:dyDescent="0.7">
      <c r="A155" s="49">
        <v>44631.515367916669</v>
      </c>
      <c r="B155" s="50" t="s">
        <v>4</v>
      </c>
      <c r="C155" s="50" t="s">
        <v>271</v>
      </c>
      <c r="D155" s="50" t="s">
        <v>261</v>
      </c>
      <c r="E155" s="50">
        <v>0</v>
      </c>
      <c r="F155" s="50">
        <v>0.83797428954972331</v>
      </c>
      <c r="G155" s="51" t="str">
        <v>井上 2022/04/09 (土)
休日午後</v>
      </c>
    </row>
    <row r="156" spans="1:7" ht="16.149999999999999" x14ac:dyDescent="0.7">
      <c r="A156" s="49">
        <v>44631.515367916669</v>
      </c>
      <c r="B156" s="50" t="s">
        <v>4</v>
      </c>
      <c r="C156" s="50" t="s">
        <v>272</v>
      </c>
      <c r="D156" s="50" t="s">
        <v>263</v>
      </c>
      <c r="E156" s="50">
        <v>0</v>
      </c>
      <c r="F156" s="50">
        <v>0.6518699659672067</v>
      </c>
      <c r="G156" s="51" t="str">
        <v>井上 2022/04/09 (土)
休日午前</v>
      </c>
    </row>
    <row r="157" spans="1:7" ht="16.149999999999999" x14ac:dyDescent="0.7">
      <c r="A157" s="49">
        <v>44631.515367916669</v>
      </c>
      <c r="B157" s="50" t="s">
        <v>4</v>
      </c>
      <c r="C157" s="50" t="s">
        <v>273</v>
      </c>
      <c r="D157" s="50" t="s">
        <v>261</v>
      </c>
      <c r="E157" s="50">
        <v>-1</v>
      </c>
      <c r="F157" s="50">
        <v>-0.20409362643026463</v>
      </c>
      <c r="G157" s="51" t="str">
        <v>井上 2022/04/10 (日)
休日午後</v>
      </c>
    </row>
    <row r="158" spans="1:7" ht="16.149999999999999" x14ac:dyDescent="0.7">
      <c r="A158" s="49">
        <v>44631.515367916669</v>
      </c>
      <c r="B158" s="50" t="s">
        <v>4</v>
      </c>
      <c r="C158" s="50" t="s">
        <v>274</v>
      </c>
      <c r="D158" s="50" t="s">
        <v>263</v>
      </c>
      <c r="E158" s="50">
        <v>-1</v>
      </c>
      <c r="F158" s="50">
        <v>-0.43820691122508459</v>
      </c>
      <c r="G158" s="51" t="str">
        <v>井上 2022/04/10 (日)
休日午前</v>
      </c>
    </row>
    <row r="159" spans="1:7" ht="16.149999999999999" x14ac:dyDescent="0.7">
      <c r="A159" s="49">
        <v>44631.515367916669</v>
      </c>
      <c r="B159" s="50" t="s">
        <v>4</v>
      </c>
      <c r="C159" s="50" t="s">
        <v>275</v>
      </c>
      <c r="D159" s="50" t="s">
        <v>259</v>
      </c>
      <c r="E159" s="50">
        <v>-1</v>
      </c>
      <c r="F159" s="50">
        <v>-0.83620030526110001</v>
      </c>
      <c r="G159" s="51" t="str">
        <v>井上 2022/04/11 (月)
平日夜間</v>
      </c>
    </row>
    <row r="160" spans="1:7" ht="16.149999999999999" x14ac:dyDescent="0.7">
      <c r="A160" s="49">
        <v>44631.515367916669</v>
      </c>
      <c r="B160" s="50" t="s">
        <v>4</v>
      </c>
      <c r="C160" s="50" t="s">
        <v>276</v>
      </c>
      <c r="D160" s="50" t="s">
        <v>259</v>
      </c>
      <c r="E160" s="50">
        <v>-1</v>
      </c>
      <c r="F160" s="50">
        <v>-0.59084122881071766</v>
      </c>
      <c r="G160" s="51" t="str">
        <v>井上 2022/04/12 (火)
平日夜間</v>
      </c>
    </row>
    <row r="161" spans="1:7" ht="16.149999999999999" x14ac:dyDescent="0.7">
      <c r="A161" s="49">
        <v>44631.515367916669</v>
      </c>
      <c r="B161" s="50" t="s">
        <v>4</v>
      </c>
      <c r="C161" s="50" t="s">
        <v>277</v>
      </c>
      <c r="D161" s="50" t="s">
        <v>259</v>
      </c>
      <c r="E161" s="50">
        <v>-1</v>
      </c>
      <c r="F161" s="50">
        <v>-0.4274698701900459</v>
      </c>
      <c r="G161" s="51" t="str">
        <v>井上 2022/04/13 (水)
平日夜間</v>
      </c>
    </row>
    <row r="162" spans="1:7" ht="16.149999999999999" x14ac:dyDescent="0.7">
      <c r="A162" s="49">
        <v>44631.515367916669</v>
      </c>
      <c r="B162" s="50" t="s">
        <v>4</v>
      </c>
      <c r="C162" s="50" t="s">
        <v>278</v>
      </c>
      <c r="D162" s="50" t="s">
        <v>259</v>
      </c>
      <c r="E162" s="50">
        <v>0</v>
      </c>
      <c r="F162" s="50">
        <v>0.80527510681903824</v>
      </c>
      <c r="G162" s="51" t="str">
        <v>井上 2022/04/14 (木)
平日夜間</v>
      </c>
    </row>
    <row r="163" spans="1:7" ht="16.149999999999999" x14ac:dyDescent="0.7">
      <c r="A163" s="49">
        <v>44631.515367916669</v>
      </c>
      <c r="B163" s="50" t="s">
        <v>4</v>
      </c>
      <c r="C163" s="50" t="s">
        <v>279</v>
      </c>
      <c r="D163" s="50" t="s">
        <v>259</v>
      </c>
      <c r="E163" s="50">
        <v>0</v>
      </c>
      <c r="F163" s="50">
        <v>0.79755932865942114</v>
      </c>
      <c r="G163" s="51" t="str">
        <v>井上 2022/04/15 (金)
平日夜間</v>
      </c>
    </row>
    <row r="164" spans="1:7" ht="16.149999999999999" x14ac:dyDescent="0.7">
      <c r="A164" s="49">
        <v>44631.515367916669</v>
      </c>
      <c r="B164" s="50" t="s">
        <v>4</v>
      </c>
      <c r="C164" s="50" t="s">
        <v>280</v>
      </c>
      <c r="D164" s="50" t="s">
        <v>261</v>
      </c>
      <c r="E164" s="50">
        <v>0</v>
      </c>
      <c r="F164" s="50">
        <v>7.3640483730603945E-2</v>
      </c>
      <c r="G164" s="51" t="str">
        <v>井上 2022/04/16 (土)
休日午後</v>
      </c>
    </row>
    <row r="165" spans="1:7" ht="16.149999999999999" x14ac:dyDescent="0.7">
      <c r="A165" s="49">
        <v>44631.515367916669</v>
      </c>
      <c r="B165" s="50" t="s">
        <v>4</v>
      </c>
      <c r="C165" s="50" t="s">
        <v>281</v>
      </c>
      <c r="D165" s="50" t="s">
        <v>263</v>
      </c>
      <c r="E165" s="50">
        <v>0</v>
      </c>
      <c r="F165" s="50">
        <v>0.97001206611627944</v>
      </c>
      <c r="G165" s="51" t="str">
        <v>井上 2022/04/16 (土)
休日午前</v>
      </c>
    </row>
    <row r="166" spans="1:7" ht="16.149999999999999" x14ac:dyDescent="0.7">
      <c r="A166" s="49">
        <v>44631.515367916669</v>
      </c>
      <c r="B166" s="50" t="s">
        <v>4</v>
      </c>
      <c r="C166" s="50" t="s">
        <v>282</v>
      </c>
      <c r="D166" s="50" t="s">
        <v>261</v>
      </c>
      <c r="E166" s="50">
        <v>-1</v>
      </c>
      <c r="F166" s="50">
        <v>-0.4332655535745713</v>
      </c>
      <c r="G166" s="51" t="str">
        <v>井上 2022/04/17 (日)
休日午後</v>
      </c>
    </row>
    <row r="167" spans="1:7" ht="16.149999999999999" x14ac:dyDescent="0.7">
      <c r="A167" s="49">
        <v>44631.515367916669</v>
      </c>
      <c r="B167" s="50" t="s">
        <v>4</v>
      </c>
      <c r="C167" s="50" t="s">
        <v>283</v>
      </c>
      <c r="D167" s="50" t="s">
        <v>263</v>
      </c>
      <c r="E167" s="50">
        <v>0</v>
      </c>
      <c r="F167" s="50">
        <v>0.62394934389884371</v>
      </c>
      <c r="G167" s="51" t="str">
        <v>井上 2022/04/17 (日)
休日午前</v>
      </c>
    </row>
    <row r="168" spans="1:7" ht="16.149999999999999" x14ac:dyDescent="0.7">
      <c r="A168" s="49">
        <v>44631.515367916669</v>
      </c>
      <c r="B168" s="50" t="s">
        <v>4</v>
      </c>
      <c r="C168" s="50" t="s">
        <v>284</v>
      </c>
      <c r="D168" s="50" t="s">
        <v>259</v>
      </c>
      <c r="E168" s="50">
        <v>0</v>
      </c>
      <c r="F168" s="50">
        <v>0.76346573879138346</v>
      </c>
      <c r="G168" s="51" t="str">
        <v>井上 2022/04/18 (月)
平日夜間</v>
      </c>
    </row>
    <row r="169" spans="1:7" ht="16.149999999999999" x14ac:dyDescent="0.7">
      <c r="A169" s="49">
        <v>44631.515367916669</v>
      </c>
      <c r="B169" s="50" t="s">
        <v>4</v>
      </c>
      <c r="C169" s="50" t="s">
        <v>285</v>
      </c>
      <c r="D169" s="50" t="s">
        <v>259</v>
      </c>
      <c r="E169" s="50">
        <v>0</v>
      </c>
      <c r="F169" s="50">
        <v>0.80573792575706871</v>
      </c>
      <c r="G169" s="51" t="str">
        <v>井上 2022/04/19 (火)
平日夜間</v>
      </c>
    </row>
    <row r="170" spans="1:7" ht="16.149999999999999" x14ac:dyDescent="0.7">
      <c r="A170" s="49">
        <v>44631.515367916669</v>
      </c>
      <c r="B170" s="50" t="s">
        <v>4</v>
      </c>
      <c r="C170" s="50" t="s">
        <v>286</v>
      </c>
      <c r="D170" s="50" t="s">
        <v>259</v>
      </c>
      <c r="E170" s="50">
        <v>0</v>
      </c>
      <c r="F170" s="50">
        <v>0.80172976853013389</v>
      </c>
      <c r="G170" s="51" t="str">
        <v>井上 2022/04/20 (水)
平日夜間</v>
      </c>
    </row>
    <row r="171" spans="1:7" ht="16.149999999999999" x14ac:dyDescent="0.7">
      <c r="A171" s="49">
        <v>44631.515367916669</v>
      </c>
      <c r="B171" s="50" t="s">
        <v>4</v>
      </c>
      <c r="C171" s="50" t="s">
        <v>287</v>
      </c>
      <c r="D171" s="50" t="s">
        <v>259</v>
      </c>
      <c r="E171" s="50">
        <v>-1</v>
      </c>
      <c r="F171" s="50">
        <v>-0.22974469962800925</v>
      </c>
      <c r="G171" s="51" t="str">
        <v>井上 2022/04/21 (木)
平日夜間</v>
      </c>
    </row>
    <row r="172" spans="1:7" ht="16.149999999999999" x14ac:dyDescent="0.7">
      <c r="A172" s="49">
        <v>44631.515367916669</v>
      </c>
      <c r="B172" s="50" t="s">
        <v>4</v>
      </c>
      <c r="C172" s="50" t="s">
        <v>288</v>
      </c>
      <c r="D172" s="50" t="s">
        <v>259</v>
      </c>
      <c r="E172" s="50">
        <v>2</v>
      </c>
      <c r="F172" s="50">
        <v>2.0990746101845876</v>
      </c>
      <c r="G172" s="51" t="str">
        <v>井上 2022/04/22 (金)
平日夜間</v>
      </c>
    </row>
    <row r="173" spans="1:7" ht="16.149999999999999" x14ac:dyDescent="0.7">
      <c r="A173" s="49">
        <v>44631.515367916669</v>
      </c>
      <c r="B173" s="50" t="s">
        <v>4</v>
      </c>
      <c r="C173" s="50" t="s">
        <v>289</v>
      </c>
      <c r="D173" s="50" t="s">
        <v>261</v>
      </c>
      <c r="E173" s="50">
        <v>-1</v>
      </c>
      <c r="F173" s="50">
        <v>-0.12411930643949654</v>
      </c>
      <c r="G173" s="51" t="str">
        <v>井上 2022/04/23 (土)
休日午後</v>
      </c>
    </row>
    <row r="174" spans="1:7" ht="16.149999999999999" x14ac:dyDescent="0.7">
      <c r="A174" s="49">
        <v>44631.515367916669</v>
      </c>
      <c r="B174" s="50" t="s">
        <v>4</v>
      </c>
      <c r="C174" s="50" t="s">
        <v>290</v>
      </c>
      <c r="D174" s="50" t="s">
        <v>263</v>
      </c>
      <c r="E174" s="50">
        <v>0</v>
      </c>
      <c r="F174" s="50">
        <v>0.19678436875185157</v>
      </c>
      <c r="G174" s="51" t="str">
        <v>井上 2022/04/23 (土)
休日午前</v>
      </c>
    </row>
    <row r="175" spans="1:7" ht="16.149999999999999" x14ac:dyDescent="0.7">
      <c r="A175" s="49">
        <v>44631.515367916669</v>
      </c>
      <c r="B175" s="50" t="s">
        <v>4</v>
      </c>
      <c r="C175" s="50" t="s">
        <v>291</v>
      </c>
      <c r="D175" s="50" t="s">
        <v>261</v>
      </c>
      <c r="E175" s="50">
        <v>-1</v>
      </c>
      <c r="F175" s="50">
        <v>-0.7819158031776452</v>
      </c>
      <c r="G175" s="51" t="str">
        <v>井上 2022/04/24 (日)
休日午後</v>
      </c>
    </row>
    <row r="176" spans="1:7" ht="16.149999999999999" x14ac:dyDescent="0.7">
      <c r="A176" s="49">
        <v>44631.515367916669</v>
      </c>
      <c r="B176" s="50" t="s">
        <v>4</v>
      </c>
      <c r="C176" s="50" t="s">
        <v>292</v>
      </c>
      <c r="D176" s="50" t="s">
        <v>263</v>
      </c>
      <c r="E176" s="50">
        <v>-1</v>
      </c>
      <c r="F176" s="50">
        <v>-0.99417557421089264</v>
      </c>
      <c r="G176" s="51" t="str">
        <v>井上 2022/04/24 (日)
休日午前</v>
      </c>
    </row>
    <row r="177" spans="1:7" ht="16.149999999999999" x14ac:dyDescent="0.7">
      <c r="A177" s="49">
        <v>44631.515367916669</v>
      </c>
      <c r="B177" s="50" t="s">
        <v>4</v>
      </c>
      <c r="C177" s="50" t="s">
        <v>293</v>
      </c>
      <c r="D177" s="50" t="s">
        <v>259</v>
      </c>
      <c r="E177" s="50">
        <v>0</v>
      </c>
      <c r="F177" s="50">
        <v>0.91429696821193507</v>
      </c>
      <c r="G177" s="51" t="str">
        <v>井上 2022/04/25 (月)
平日夜間</v>
      </c>
    </row>
    <row r="178" spans="1:7" ht="16.149999999999999" x14ac:dyDescent="0.7">
      <c r="A178" s="49">
        <v>44631.515367916669</v>
      </c>
      <c r="B178" s="50" t="s">
        <v>4</v>
      </c>
      <c r="C178" s="50" t="s">
        <v>294</v>
      </c>
      <c r="D178" s="50" t="s">
        <v>259</v>
      </c>
      <c r="E178" s="50">
        <v>0</v>
      </c>
      <c r="F178" s="50">
        <v>0.90141609082703189</v>
      </c>
      <c r="G178" s="51" t="str">
        <v>井上 2022/04/26 (火)
平日夜間</v>
      </c>
    </row>
    <row r="179" spans="1:7" ht="16.149999999999999" x14ac:dyDescent="0.7">
      <c r="A179" s="49">
        <v>44631.515367916669</v>
      </c>
      <c r="B179" s="50" t="s">
        <v>4</v>
      </c>
      <c r="C179" s="50" t="s">
        <v>295</v>
      </c>
      <c r="D179" s="50" t="s">
        <v>259</v>
      </c>
      <c r="E179" s="50">
        <v>0</v>
      </c>
      <c r="F179" s="50">
        <v>0.70190200181189444</v>
      </c>
      <c r="G179" s="51" t="str">
        <v>井上 2022/04/27 (水)
平日夜間</v>
      </c>
    </row>
    <row r="180" spans="1:7" ht="16.149999999999999" x14ac:dyDescent="0.7">
      <c r="A180" s="49">
        <v>44631.515367916669</v>
      </c>
      <c r="B180" s="50" t="s">
        <v>4</v>
      </c>
      <c r="C180" s="50" t="s">
        <v>296</v>
      </c>
      <c r="D180" s="50" t="s">
        <v>259</v>
      </c>
      <c r="E180" s="50">
        <v>-1</v>
      </c>
      <c r="F180" s="50">
        <v>-0.58627388043314066</v>
      </c>
      <c r="G180" s="51" t="str">
        <v>井上 2022/04/28 (木)
平日夜間</v>
      </c>
    </row>
    <row r="181" spans="1:7" ht="16.149999999999999" x14ac:dyDescent="0.7">
      <c r="A181" s="49">
        <v>44631.754725057872</v>
      </c>
      <c r="B181" s="50" t="s">
        <v>14</v>
      </c>
      <c r="C181" s="50" t="s">
        <v>258</v>
      </c>
      <c r="D181" s="50" t="s">
        <v>259</v>
      </c>
      <c r="E181" s="50">
        <v>0</v>
      </c>
      <c r="F181" s="50">
        <v>0.80689673906459003</v>
      </c>
      <c r="G181" s="51" t="str">
        <v>林智 2022/04/01 (金)
平日夜間</v>
      </c>
    </row>
    <row r="182" spans="1:7" ht="16.149999999999999" x14ac:dyDescent="0.7">
      <c r="A182" s="49">
        <v>44631.754725057872</v>
      </c>
      <c r="B182" s="50" t="s">
        <v>14</v>
      </c>
      <c r="C182" s="50" t="s">
        <v>260</v>
      </c>
      <c r="D182" s="50" t="s">
        <v>261</v>
      </c>
      <c r="E182" s="50">
        <v>-1</v>
      </c>
      <c r="F182" s="50">
        <v>-0.61998653027413742</v>
      </c>
      <c r="G182" s="51" t="str">
        <v>林智 2022/04/02 (土)
休日午後</v>
      </c>
    </row>
    <row r="183" spans="1:7" ht="16.149999999999999" x14ac:dyDescent="0.7">
      <c r="A183" s="49">
        <v>44631.754725057872</v>
      </c>
      <c r="B183" s="50" t="s">
        <v>14</v>
      </c>
      <c r="C183" s="50" t="s">
        <v>262</v>
      </c>
      <c r="D183" s="50" t="s">
        <v>263</v>
      </c>
      <c r="E183" s="50">
        <v>-1</v>
      </c>
      <c r="F183" s="50">
        <v>-0.34530787324652557</v>
      </c>
      <c r="G183" s="51" t="str">
        <v>林智 2022/04/02 (土)
休日午前</v>
      </c>
    </row>
    <row r="184" spans="1:7" ht="16.149999999999999" x14ac:dyDescent="0.7">
      <c r="A184" s="49">
        <v>44631.754725057872</v>
      </c>
      <c r="B184" s="50" t="s">
        <v>14</v>
      </c>
      <c r="C184" s="50" t="s">
        <v>264</v>
      </c>
      <c r="D184" s="50" t="s">
        <v>261</v>
      </c>
      <c r="E184" s="50">
        <v>-1</v>
      </c>
      <c r="F184" s="50">
        <v>-0.95327412026958336</v>
      </c>
      <c r="G184" s="51" t="str">
        <v>林智 2022/04/03 (日)
休日午後</v>
      </c>
    </row>
    <row r="185" spans="1:7" ht="16.149999999999999" x14ac:dyDescent="0.7">
      <c r="A185" s="49">
        <v>44631.754725057872</v>
      </c>
      <c r="B185" s="50" t="s">
        <v>14</v>
      </c>
      <c r="C185" s="50" t="s">
        <v>265</v>
      </c>
      <c r="D185" s="50" t="s">
        <v>263</v>
      </c>
      <c r="E185" s="50">
        <v>-1</v>
      </c>
      <c r="F185" s="50">
        <v>-0.51528218631685863</v>
      </c>
      <c r="G185" s="51" t="str">
        <v>林智 2022/04/03 (日)
休日午前</v>
      </c>
    </row>
    <row r="186" spans="1:7" ht="16.149999999999999" x14ac:dyDescent="0.7">
      <c r="A186" s="49">
        <v>44631.754725057872</v>
      </c>
      <c r="B186" s="50" t="s">
        <v>14</v>
      </c>
      <c r="C186" s="50" t="s">
        <v>266</v>
      </c>
      <c r="D186" s="50" t="s">
        <v>259</v>
      </c>
      <c r="E186" s="50">
        <v>0</v>
      </c>
      <c r="F186" s="50">
        <v>0.6616198861731637</v>
      </c>
      <c r="G186" s="51" t="str">
        <v>林智 2022/04/04 (月)
平日夜間</v>
      </c>
    </row>
    <row r="187" spans="1:7" ht="16.149999999999999" x14ac:dyDescent="0.7">
      <c r="A187" s="49">
        <v>44631.754725057872</v>
      </c>
      <c r="B187" s="50" t="s">
        <v>14</v>
      </c>
      <c r="C187" s="50" t="s">
        <v>267</v>
      </c>
      <c r="D187" s="50" t="s">
        <v>259</v>
      </c>
      <c r="E187" s="50">
        <v>-1</v>
      </c>
      <c r="F187" s="50">
        <v>-0.19279427265331472</v>
      </c>
      <c r="G187" s="51" t="str">
        <v>林智 2022/04/05 (火)
平日夜間</v>
      </c>
    </row>
    <row r="188" spans="1:7" ht="16.149999999999999" x14ac:dyDescent="0.7">
      <c r="A188" s="49">
        <v>44631.754725057872</v>
      </c>
      <c r="B188" s="50" t="s">
        <v>14</v>
      </c>
      <c r="C188" s="50" t="s">
        <v>268</v>
      </c>
      <c r="D188" s="50" t="s">
        <v>259</v>
      </c>
      <c r="E188" s="50">
        <v>0</v>
      </c>
      <c r="F188" s="50">
        <v>0.35809412428147036</v>
      </c>
      <c r="G188" s="51" t="str">
        <v>林智 2022/04/06 (水)
平日夜間</v>
      </c>
    </row>
    <row r="189" spans="1:7" ht="16.149999999999999" x14ac:dyDescent="0.7">
      <c r="A189" s="49">
        <v>44631.754725057872</v>
      </c>
      <c r="B189" s="50" t="s">
        <v>14</v>
      </c>
      <c r="C189" s="50" t="s">
        <v>269</v>
      </c>
      <c r="D189" s="50" t="s">
        <v>259</v>
      </c>
      <c r="E189" s="50">
        <v>0</v>
      </c>
      <c r="F189" s="50">
        <v>0.27387759978156767</v>
      </c>
      <c r="G189" s="51" t="str">
        <v>林智 2022/04/07 (木)
平日夜間</v>
      </c>
    </row>
    <row r="190" spans="1:7" ht="16.149999999999999" x14ac:dyDescent="0.7">
      <c r="A190" s="49">
        <v>44631.754725057872</v>
      </c>
      <c r="B190" s="50" t="s">
        <v>14</v>
      </c>
      <c r="C190" s="50" t="s">
        <v>270</v>
      </c>
      <c r="D190" s="50" t="s">
        <v>259</v>
      </c>
      <c r="E190" s="50">
        <v>2</v>
      </c>
      <c r="F190" s="50">
        <v>2.6359528002742136</v>
      </c>
      <c r="G190" s="51" t="str">
        <v>林智 2022/04/08 (金)
平日夜間</v>
      </c>
    </row>
    <row r="191" spans="1:7" ht="16.149999999999999" x14ac:dyDescent="0.7">
      <c r="A191" s="49">
        <v>44631.754725057872</v>
      </c>
      <c r="B191" s="50" t="s">
        <v>14</v>
      </c>
      <c r="C191" s="50" t="s">
        <v>271</v>
      </c>
      <c r="D191" s="50" t="s">
        <v>261</v>
      </c>
      <c r="E191" s="50">
        <v>-1</v>
      </c>
      <c r="F191" s="50">
        <v>-7.3271533123339783E-2</v>
      </c>
      <c r="G191" s="51" t="str">
        <v>林智 2022/04/09 (土)
休日午後</v>
      </c>
    </row>
    <row r="192" spans="1:7" ht="16.149999999999999" x14ac:dyDescent="0.7">
      <c r="A192" s="49">
        <v>44631.754725057872</v>
      </c>
      <c r="B192" s="50" t="s">
        <v>14</v>
      </c>
      <c r="C192" s="50" t="s">
        <v>272</v>
      </c>
      <c r="D192" s="50" t="s">
        <v>263</v>
      </c>
      <c r="E192" s="50">
        <v>-1</v>
      </c>
      <c r="F192" s="50">
        <v>-0.39374977355624896</v>
      </c>
      <c r="G192" s="51" t="str">
        <v>林智 2022/04/09 (土)
休日午前</v>
      </c>
    </row>
    <row r="193" spans="1:7" ht="16.149999999999999" x14ac:dyDescent="0.7">
      <c r="A193" s="49">
        <v>44631.754725057872</v>
      </c>
      <c r="B193" s="50" t="s">
        <v>14</v>
      </c>
      <c r="C193" s="50" t="s">
        <v>273</v>
      </c>
      <c r="D193" s="50" t="s">
        <v>261</v>
      </c>
      <c r="E193" s="50">
        <v>-1</v>
      </c>
      <c r="F193" s="50">
        <v>-0.16444558173943746</v>
      </c>
      <c r="G193" s="51" t="str">
        <v>林智 2022/04/10 (日)
休日午後</v>
      </c>
    </row>
    <row r="194" spans="1:7" ht="16.149999999999999" x14ac:dyDescent="0.7">
      <c r="A194" s="49">
        <v>44631.754725057872</v>
      </c>
      <c r="B194" s="50" t="s">
        <v>14</v>
      </c>
      <c r="C194" s="50" t="s">
        <v>274</v>
      </c>
      <c r="D194" s="50" t="s">
        <v>263</v>
      </c>
      <c r="E194" s="50">
        <v>-1</v>
      </c>
      <c r="F194" s="50">
        <v>-0.7387363664180242</v>
      </c>
      <c r="G194" s="51" t="str">
        <v>林智 2022/04/10 (日)
休日午前</v>
      </c>
    </row>
    <row r="195" spans="1:7" ht="16.149999999999999" x14ac:dyDescent="0.7">
      <c r="A195" s="49">
        <v>44631.754725057872</v>
      </c>
      <c r="B195" s="50" t="s">
        <v>14</v>
      </c>
      <c r="C195" s="50" t="s">
        <v>275</v>
      </c>
      <c r="D195" s="50" t="s">
        <v>259</v>
      </c>
      <c r="E195" s="50">
        <v>0</v>
      </c>
      <c r="F195" s="50">
        <v>0.48093675640513522</v>
      </c>
      <c r="G195" s="51" t="str">
        <v>林智 2022/04/11 (月)
平日夜間</v>
      </c>
    </row>
    <row r="196" spans="1:7" ht="16.149999999999999" x14ac:dyDescent="0.7">
      <c r="A196" s="49">
        <v>44631.754725057872</v>
      </c>
      <c r="B196" s="50" t="s">
        <v>14</v>
      </c>
      <c r="C196" s="50" t="s">
        <v>276</v>
      </c>
      <c r="D196" s="50" t="s">
        <v>259</v>
      </c>
      <c r="E196" s="50">
        <v>0</v>
      </c>
      <c r="F196" s="50">
        <v>0.9742161443539521</v>
      </c>
      <c r="G196" s="51" t="str">
        <v>林智 2022/04/12 (火)
平日夜間</v>
      </c>
    </row>
    <row r="197" spans="1:7" ht="16.149999999999999" x14ac:dyDescent="0.7">
      <c r="A197" s="49">
        <v>44631.754725057872</v>
      </c>
      <c r="B197" s="50" t="s">
        <v>14</v>
      </c>
      <c r="C197" s="50" t="s">
        <v>277</v>
      </c>
      <c r="D197" s="50" t="s">
        <v>259</v>
      </c>
      <c r="E197" s="50">
        <v>0</v>
      </c>
      <c r="F197" s="50">
        <v>0.73698428218597223</v>
      </c>
      <c r="G197" s="51" t="str">
        <v>林智 2022/04/13 (水)
平日夜間</v>
      </c>
    </row>
    <row r="198" spans="1:7" ht="16.149999999999999" x14ac:dyDescent="0.7">
      <c r="A198" s="49">
        <v>44631.754725057872</v>
      </c>
      <c r="B198" s="50" t="s">
        <v>14</v>
      </c>
      <c r="C198" s="50" t="s">
        <v>278</v>
      </c>
      <c r="D198" s="50" t="s">
        <v>259</v>
      </c>
      <c r="E198" s="50">
        <v>-1</v>
      </c>
      <c r="F198" s="50">
        <v>-0.63780902630682479</v>
      </c>
      <c r="G198" s="51" t="str">
        <v>林智 2022/04/14 (木)
平日夜間</v>
      </c>
    </row>
    <row r="199" spans="1:7" ht="16.149999999999999" x14ac:dyDescent="0.7">
      <c r="A199" s="49">
        <v>44631.754725057872</v>
      </c>
      <c r="B199" s="50" t="s">
        <v>14</v>
      </c>
      <c r="C199" s="50" t="s">
        <v>279</v>
      </c>
      <c r="D199" s="50" t="s">
        <v>259</v>
      </c>
      <c r="E199" s="50">
        <v>0</v>
      </c>
      <c r="F199" s="50">
        <v>0.15929398351819479</v>
      </c>
      <c r="G199" s="51" t="str">
        <v>林智 2022/04/15 (金)
平日夜間</v>
      </c>
    </row>
    <row r="200" spans="1:7" ht="16.149999999999999" x14ac:dyDescent="0.7">
      <c r="A200" s="49">
        <v>44631.754725057872</v>
      </c>
      <c r="B200" s="50" t="s">
        <v>14</v>
      </c>
      <c r="C200" s="50" t="s">
        <v>280</v>
      </c>
      <c r="D200" s="50" t="s">
        <v>261</v>
      </c>
      <c r="E200" s="50">
        <v>-1</v>
      </c>
      <c r="F200" s="50">
        <v>-0.8132376339913987</v>
      </c>
      <c r="G200" s="51" t="str">
        <v>林智 2022/04/16 (土)
休日午後</v>
      </c>
    </row>
    <row r="201" spans="1:7" ht="16.149999999999999" x14ac:dyDescent="0.7">
      <c r="A201" s="49">
        <v>44631.754725057872</v>
      </c>
      <c r="B201" s="50" t="s">
        <v>14</v>
      </c>
      <c r="C201" s="50" t="s">
        <v>281</v>
      </c>
      <c r="D201" s="50" t="s">
        <v>263</v>
      </c>
      <c r="E201" s="50">
        <v>-1</v>
      </c>
      <c r="F201" s="50">
        <v>-0.74962875786945937</v>
      </c>
      <c r="G201" s="51" t="str">
        <v>林智 2022/04/16 (土)
休日午前</v>
      </c>
    </row>
    <row r="202" spans="1:7" ht="16.149999999999999" x14ac:dyDescent="0.7">
      <c r="A202" s="49">
        <v>44631.754725057872</v>
      </c>
      <c r="B202" s="50" t="s">
        <v>14</v>
      </c>
      <c r="C202" s="50" t="s">
        <v>282</v>
      </c>
      <c r="D202" s="50" t="s">
        <v>261</v>
      </c>
      <c r="E202" s="50">
        <v>-1</v>
      </c>
      <c r="F202" s="50">
        <v>-0.45074827814635832</v>
      </c>
      <c r="G202" s="51" t="str">
        <v>林智 2022/04/17 (日)
休日午後</v>
      </c>
    </row>
    <row r="203" spans="1:7" ht="16.149999999999999" x14ac:dyDescent="0.7">
      <c r="A203" s="49">
        <v>44631.754725057872</v>
      </c>
      <c r="B203" s="50" t="s">
        <v>14</v>
      </c>
      <c r="C203" s="50" t="s">
        <v>283</v>
      </c>
      <c r="D203" s="50" t="s">
        <v>263</v>
      </c>
      <c r="E203" s="50">
        <v>-1</v>
      </c>
      <c r="F203" s="50">
        <v>-0.24992243208749909</v>
      </c>
      <c r="G203" s="51" t="str">
        <v>林智 2022/04/17 (日)
休日午前</v>
      </c>
    </row>
    <row r="204" spans="1:7" ht="16.149999999999999" x14ac:dyDescent="0.7">
      <c r="A204" s="49">
        <v>44631.754725057872</v>
      </c>
      <c r="B204" s="50" t="s">
        <v>14</v>
      </c>
      <c r="C204" s="50" t="s">
        <v>284</v>
      </c>
      <c r="D204" s="50" t="s">
        <v>259</v>
      </c>
      <c r="E204" s="50">
        <v>2</v>
      </c>
      <c r="F204" s="50">
        <v>2.4878446089525394</v>
      </c>
      <c r="G204" s="51" t="str">
        <v>林智 2022/04/18 (月)
平日夜間</v>
      </c>
    </row>
    <row r="205" spans="1:7" ht="16.149999999999999" x14ac:dyDescent="0.7">
      <c r="A205" s="49">
        <v>44631.754725057872</v>
      </c>
      <c r="B205" s="50" t="s">
        <v>14</v>
      </c>
      <c r="C205" s="50" t="s">
        <v>285</v>
      </c>
      <c r="D205" s="50" t="s">
        <v>259</v>
      </c>
      <c r="E205" s="50">
        <v>0</v>
      </c>
      <c r="F205" s="50">
        <v>0.6199349680916153</v>
      </c>
      <c r="G205" s="51" t="str">
        <v>林智 2022/04/19 (火)
平日夜間</v>
      </c>
    </row>
    <row r="206" spans="1:7" ht="16.149999999999999" x14ac:dyDescent="0.7">
      <c r="A206" s="49">
        <v>44631.754725057872</v>
      </c>
      <c r="B206" s="50" t="s">
        <v>14</v>
      </c>
      <c r="C206" s="50" t="s">
        <v>286</v>
      </c>
      <c r="D206" s="50" t="s">
        <v>259</v>
      </c>
      <c r="E206" s="50">
        <v>0</v>
      </c>
      <c r="F206" s="50">
        <v>0.10008942884525318</v>
      </c>
      <c r="G206" s="51" t="str">
        <v>林智 2022/04/20 (水)
平日夜間</v>
      </c>
    </row>
    <row r="207" spans="1:7" ht="16.149999999999999" x14ac:dyDescent="0.7">
      <c r="A207" s="49">
        <v>44631.754725057872</v>
      </c>
      <c r="B207" s="50" t="s">
        <v>14</v>
      </c>
      <c r="C207" s="50" t="s">
        <v>287</v>
      </c>
      <c r="D207" s="50" t="s">
        <v>259</v>
      </c>
      <c r="E207" s="50">
        <v>-1</v>
      </c>
      <c r="F207" s="50">
        <v>-0.28970298776904113</v>
      </c>
      <c r="G207" s="51" t="str">
        <v>林智 2022/04/21 (木)
平日夜間</v>
      </c>
    </row>
    <row r="208" spans="1:7" ht="16.149999999999999" x14ac:dyDescent="0.7">
      <c r="A208" s="49">
        <v>44631.754725057872</v>
      </c>
      <c r="B208" s="50" t="s">
        <v>14</v>
      </c>
      <c r="C208" s="50" t="s">
        <v>288</v>
      </c>
      <c r="D208" s="50" t="s">
        <v>259</v>
      </c>
      <c r="E208" s="50">
        <v>0</v>
      </c>
      <c r="F208" s="50">
        <v>0.23048145663404318</v>
      </c>
      <c r="G208" s="51" t="str">
        <v>林智 2022/04/22 (金)
平日夜間</v>
      </c>
    </row>
    <row r="209" spans="1:7" ht="16.149999999999999" x14ac:dyDescent="0.7">
      <c r="A209" s="49">
        <v>44631.754725057872</v>
      </c>
      <c r="B209" s="50" t="s">
        <v>14</v>
      </c>
      <c r="C209" s="50" t="s">
        <v>289</v>
      </c>
      <c r="D209" s="50" t="s">
        <v>261</v>
      </c>
      <c r="E209" s="50">
        <v>-1</v>
      </c>
      <c r="F209" s="50">
        <v>-9.1725475986551785E-2</v>
      </c>
      <c r="G209" s="51" t="str">
        <v>林智 2022/04/23 (土)
休日午後</v>
      </c>
    </row>
    <row r="210" spans="1:7" ht="16.149999999999999" x14ac:dyDescent="0.7">
      <c r="A210" s="49">
        <v>44631.754725057872</v>
      </c>
      <c r="B210" s="50" t="s">
        <v>14</v>
      </c>
      <c r="C210" s="50" t="s">
        <v>290</v>
      </c>
      <c r="D210" s="50" t="s">
        <v>263</v>
      </c>
      <c r="E210" s="50">
        <v>-1</v>
      </c>
      <c r="F210" s="50">
        <v>-0.8605530646666506</v>
      </c>
      <c r="G210" s="51" t="str">
        <v>林智 2022/04/23 (土)
休日午前</v>
      </c>
    </row>
    <row r="211" spans="1:7" ht="16.149999999999999" x14ac:dyDescent="0.7">
      <c r="A211" s="49">
        <v>44631.754725057872</v>
      </c>
      <c r="B211" s="50" t="s">
        <v>14</v>
      </c>
      <c r="C211" s="50" t="s">
        <v>291</v>
      </c>
      <c r="D211" s="50" t="s">
        <v>261</v>
      </c>
      <c r="E211" s="50">
        <v>-1</v>
      </c>
      <c r="F211" s="50">
        <v>-0.1353887890266483</v>
      </c>
      <c r="G211" s="51" t="str">
        <v>林智 2022/04/24 (日)
休日午後</v>
      </c>
    </row>
    <row r="212" spans="1:7" ht="16.149999999999999" x14ac:dyDescent="0.7">
      <c r="A212" s="49">
        <v>44631.754725057872</v>
      </c>
      <c r="B212" s="50" t="s">
        <v>14</v>
      </c>
      <c r="C212" s="50" t="s">
        <v>292</v>
      </c>
      <c r="D212" s="50" t="s">
        <v>263</v>
      </c>
      <c r="E212" s="50">
        <v>-1</v>
      </c>
      <c r="F212" s="50">
        <v>-0.31001371350984708</v>
      </c>
      <c r="G212" s="51" t="str">
        <v>林智 2022/04/24 (日)
休日午前</v>
      </c>
    </row>
    <row r="213" spans="1:7" ht="16.149999999999999" x14ac:dyDescent="0.7">
      <c r="A213" s="49">
        <v>44631.754725057872</v>
      </c>
      <c r="B213" s="50" t="s">
        <v>14</v>
      </c>
      <c r="C213" s="50" t="s">
        <v>293</v>
      </c>
      <c r="D213" s="50" t="s">
        <v>259</v>
      </c>
      <c r="E213" s="50">
        <v>0</v>
      </c>
      <c r="F213" s="50">
        <v>0.55961118764982798</v>
      </c>
      <c r="G213" s="51" t="str">
        <v>林智 2022/04/25 (月)
平日夜間</v>
      </c>
    </row>
    <row r="214" spans="1:7" ht="16.149999999999999" x14ac:dyDescent="0.7">
      <c r="A214" s="49">
        <v>44631.754725057872</v>
      </c>
      <c r="B214" s="50" t="s">
        <v>14</v>
      </c>
      <c r="C214" s="50" t="s">
        <v>294</v>
      </c>
      <c r="D214" s="50" t="s">
        <v>259</v>
      </c>
      <c r="E214" s="50">
        <v>0</v>
      </c>
      <c r="F214" s="50">
        <v>0.77958841134152679</v>
      </c>
      <c r="G214" s="51" t="str">
        <v>林智 2022/04/26 (火)
平日夜間</v>
      </c>
    </row>
    <row r="215" spans="1:7" ht="16.149999999999999" x14ac:dyDescent="0.7">
      <c r="A215" s="49">
        <v>44631.754725057872</v>
      </c>
      <c r="B215" s="50" t="s">
        <v>14</v>
      </c>
      <c r="C215" s="50" t="s">
        <v>295</v>
      </c>
      <c r="D215" s="50" t="s">
        <v>259</v>
      </c>
      <c r="E215" s="50">
        <v>0</v>
      </c>
      <c r="F215" s="50">
        <v>0.32923365971005958</v>
      </c>
      <c r="G215" s="51" t="str">
        <v>林智 2022/04/27 (水)
平日夜間</v>
      </c>
    </row>
    <row r="216" spans="1:7" ht="16.149999999999999" x14ac:dyDescent="0.7">
      <c r="A216" s="49">
        <v>44631.754725057872</v>
      </c>
      <c r="B216" s="50" t="s">
        <v>14</v>
      </c>
      <c r="C216" s="50" t="s">
        <v>296</v>
      </c>
      <c r="D216" s="50" t="s">
        <v>259</v>
      </c>
      <c r="E216" s="50">
        <v>-1</v>
      </c>
      <c r="F216" s="50">
        <v>-0.87955325233926418</v>
      </c>
      <c r="G216" s="51" t="str">
        <v>林智 2022/04/28 (木)
平日夜間</v>
      </c>
    </row>
    <row r="217" spans="1:7" ht="16.149999999999999" x14ac:dyDescent="0.7">
      <c r="A217" s="49">
        <v>44638.432868206015</v>
      </c>
      <c r="B217" s="50" t="s">
        <v>10</v>
      </c>
      <c r="C217" s="50" t="s">
        <v>258</v>
      </c>
      <c r="D217" s="50" t="s">
        <v>259</v>
      </c>
      <c r="E217" s="50">
        <v>0</v>
      </c>
      <c r="F217" s="50">
        <v>0.51268558405988696</v>
      </c>
      <c r="G217" s="51" t="str">
        <v>福井 2022/04/01 (金)
平日夜間</v>
      </c>
    </row>
    <row r="218" spans="1:7" ht="16.149999999999999" x14ac:dyDescent="0.7">
      <c r="A218" s="49">
        <v>44638.432868206015</v>
      </c>
      <c r="B218" s="50" t="s">
        <v>10</v>
      </c>
      <c r="C218" s="50" t="s">
        <v>260</v>
      </c>
      <c r="D218" s="50" t="s">
        <v>261</v>
      </c>
      <c r="E218" s="50">
        <v>2</v>
      </c>
      <c r="F218" s="50">
        <v>2.171444711022255</v>
      </c>
      <c r="G218" s="51" t="str">
        <v>福井 2022/04/02 (土)
休日午後</v>
      </c>
    </row>
    <row r="219" spans="1:7" ht="16.149999999999999" x14ac:dyDescent="0.7">
      <c r="A219" s="49">
        <v>44638.432868206015</v>
      </c>
      <c r="B219" s="50" t="s">
        <v>10</v>
      </c>
      <c r="C219" s="50" t="s">
        <v>262</v>
      </c>
      <c r="D219" s="50" t="s">
        <v>263</v>
      </c>
      <c r="E219" s="50">
        <v>-1</v>
      </c>
      <c r="F219" s="50">
        <v>-0.18102380933745166</v>
      </c>
      <c r="G219" s="51" t="str">
        <v>福井 2022/04/02 (土)
休日午前</v>
      </c>
    </row>
    <row r="220" spans="1:7" ht="16.149999999999999" x14ac:dyDescent="0.7">
      <c r="A220" s="49">
        <v>44638.432868206015</v>
      </c>
      <c r="B220" s="50" t="s">
        <v>10</v>
      </c>
      <c r="C220" s="50" t="s">
        <v>264</v>
      </c>
      <c r="D220" s="50" t="s">
        <v>261</v>
      </c>
      <c r="E220" s="50">
        <v>0</v>
      </c>
      <c r="F220" s="50">
        <v>0.11008515567320831</v>
      </c>
      <c r="G220" s="51" t="str">
        <v>福井 2022/04/03 (日)
休日午後</v>
      </c>
    </row>
    <row r="221" spans="1:7" ht="16.149999999999999" x14ac:dyDescent="0.7">
      <c r="A221" s="49">
        <v>44638.432868206015</v>
      </c>
      <c r="B221" s="50" t="s">
        <v>10</v>
      </c>
      <c r="C221" s="50" t="s">
        <v>265</v>
      </c>
      <c r="D221" s="50" t="s">
        <v>263</v>
      </c>
      <c r="E221" s="50">
        <v>-1</v>
      </c>
      <c r="F221" s="50">
        <v>-0.99805736811582091</v>
      </c>
      <c r="G221" s="51" t="str">
        <v>福井 2022/04/03 (日)
休日午前</v>
      </c>
    </row>
    <row r="222" spans="1:7" ht="16.149999999999999" x14ac:dyDescent="0.7">
      <c r="A222" s="49">
        <v>44638.432868206015</v>
      </c>
      <c r="B222" s="50" t="s">
        <v>10</v>
      </c>
      <c r="C222" s="50" t="s">
        <v>266</v>
      </c>
      <c r="D222" s="50" t="s">
        <v>259</v>
      </c>
      <c r="E222" s="50">
        <v>0</v>
      </c>
      <c r="F222" s="50">
        <v>0.50838430153944025</v>
      </c>
      <c r="G222" s="51" t="str">
        <v>福井 2022/04/04 (月)
平日夜間</v>
      </c>
    </row>
    <row r="223" spans="1:7" ht="16.149999999999999" x14ac:dyDescent="0.7">
      <c r="A223" s="49">
        <v>44638.432868206015</v>
      </c>
      <c r="B223" s="50" t="s">
        <v>10</v>
      </c>
      <c r="C223" s="50" t="s">
        <v>267</v>
      </c>
      <c r="D223" s="50" t="s">
        <v>259</v>
      </c>
      <c r="E223" s="50">
        <v>0</v>
      </c>
      <c r="F223" s="50">
        <v>0.97732739347268249</v>
      </c>
      <c r="G223" s="51" t="str">
        <v>福井 2022/04/05 (火)
平日夜間</v>
      </c>
    </row>
    <row r="224" spans="1:7" ht="16.149999999999999" x14ac:dyDescent="0.7">
      <c r="A224" s="49">
        <v>44638.432868206015</v>
      </c>
      <c r="B224" s="50" t="s">
        <v>10</v>
      </c>
      <c r="C224" s="50" t="s">
        <v>268</v>
      </c>
      <c r="D224" s="50" t="s">
        <v>259</v>
      </c>
      <c r="E224" s="50">
        <v>-1</v>
      </c>
      <c r="F224" s="50">
        <v>-0.26725008920383964</v>
      </c>
      <c r="G224" s="51" t="str">
        <v>福井 2022/04/06 (水)
平日夜間</v>
      </c>
    </row>
    <row r="225" spans="1:7" ht="16.149999999999999" x14ac:dyDescent="0.7">
      <c r="A225" s="49">
        <v>44638.432868206015</v>
      </c>
      <c r="B225" s="50" t="s">
        <v>10</v>
      </c>
      <c r="C225" s="50" t="s">
        <v>269</v>
      </c>
      <c r="D225" s="50" t="s">
        <v>259</v>
      </c>
      <c r="E225" s="50">
        <v>0</v>
      </c>
      <c r="F225" s="50">
        <v>0.34942973816081846</v>
      </c>
      <c r="G225" s="51" t="str">
        <v>福井 2022/04/07 (木)
平日夜間</v>
      </c>
    </row>
    <row r="226" spans="1:7" ht="16.149999999999999" x14ac:dyDescent="0.7">
      <c r="A226" s="49">
        <v>44638.432868206015</v>
      </c>
      <c r="B226" s="50" t="s">
        <v>10</v>
      </c>
      <c r="C226" s="50" t="s">
        <v>270</v>
      </c>
      <c r="D226" s="50" t="s">
        <v>259</v>
      </c>
      <c r="E226" s="50">
        <v>0</v>
      </c>
      <c r="F226" s="50">
        <v>0.78086997802561053</v>
      </c>
      <c r="G226" s="51" t="str">
        <v>福井 2022/04/08 (金)
平日夜間</v>
      </c>
    </row>
    <row r="227" spans="1:7" ht="16.149999999999999" x14ac:dyDescent="0.7">
      <c r="A227" s="49">
        <v>44638.432868206015</v>
      </c>
      <c r="B227" s="50" t="s">
        <v>10</v>
      </c>
      <c r="C227" s="50" t="s">
        <v>271</v>
      </c>
      <c r="D227" s="50" t="s">
        <v>261</v>
      </c>
      <c r="E227" s="50">
        <v>0</v>
      </c>
      <c r="F227" s="50">
        <v>0.15811115694680566</v>
      </c>
      <c r="G227" s="51" t="str">
        <v>福井 2022/04/09 (土)
休日午後</v>
      </c>
    </row>
    <row r="228" spans="1:7" ht="16.149999999999999" x14ac:dyDescent="0.7">
      <c r="A228" s="49">
        <v>44638.432868206015</v>
      </c>
      <c r="B228" s="50" t="s">
        <v>10</v>
      </c>
      <c r="C228" s="50" t="s">
        <v>272</v>
      </c>
      <c r="D228" s="50" t="s">
        <v>263</v>
      </c>
      <c r="E228" s="50">
        <v>0</v>
      </c>
      <c r="F228" s="50">
        <v>0.41996240106853766</v>
      </c>
      <c r="G228" s="51" t="str">
        <v>福井 2022/04/09 (土)
休日午前</v>
      </c>
    </row>
    <row r="229" spans="1:7" ht="16.149999999999999" x14ac:dyDescent="0.7">
      <c r="A229" s="49">
        <v>44638.432868206015</v>
      </c>
      <c r="B229" s="50" t="s">
        <v>10</v>
      </c>
      <c r="C229" s="50" t="s">
        <v>273</v>
      </c>
      <c r="D229" s="50" t="s">
        <v>261</v>
      </c>
      <c r="E229" s="50">
        <v>0</v>
      </c>
      <c r="F229" s="50">
        <v>4.2865868919525596E-2</v>
      </c>
      <c r="G229" s="51" t="str">
        <v>福井 2022/04/10 (日)
休日午後</v>
      </c>
    </row>
    <row r="230" spans="1:7" ht="16.149999999999999" x14ac:dyDescent="0.7">
      <c r="A230" s="49">
        <v>44638.432868206015</v>
      </c>
      <c r="B230" s="50" t="s">
        <v>10</v>
      </c>
      <c r="C230" s="50" t="s">
        <v>274</v>
      </c>
      <c r="D230" s="50" t="s">
        <v>263</v>
      </c>
      <c r="E230" s="50">
        <v>0</v>
      </c>
      <c r="F230" s="50">
        <v>0.85179324166597414</v>
      </c>
      <c r="G230" s="51" t="str">
        <v>福井 2022/04/10 (日)
休日午前</v>
      </c>
    </row>
    <row r="231" spans="1:7" ht="16.149999999999999" x14ac:dyDescent="0.7">
      <c r="A231" s="49">
        <v>44638.432868206015</v>
      </c>
      <c r="B231" s="50" t="s">
        <v>10</v>
      </c>
      <c r="C231" s="50" t="s">
        <v>275</v>
      </c>
      <c r="D231" s="50" t="s">
        <v>259</v>
      </c>
      <c r="E231" s="50">
        <v>0</v>
      </c>
      <c r="F231" s="50">
        <v>0.53381435217710327</v>
      </c>
      <c r="G231" s="51" t="str">
        <v>福井 2022/04/11 (月)
平日夜間</v>
      </c>
    </row>
    <row r="232" spans="1:7" ht="16.149999999999999" x14ac:dyDescent="0.7">
      <c r="A232" s="49">
        <v>44638.432868206015</v>
      </c>
      <c r="B232" s="50" t="s">
        <v>10</v>
      </c>
      <c r="C232" s="50" t="s">
        <v>276</v>
      </c>
      <c r="D232" s="50" t="s">
        <v>259</v>
      </c>
      <c r="E232" s="50">
        <v>0</v>
      </c>
      <c r="F232" s="50">
        <v>0.29477665254573426</v>
      </c>
      <c r="G232" s="51" t="str">
        <v>福井 2022/04/12 (火)
平日夜間</v>
      </c>
    </row>
    <row r="233" spans="1:7" ht="16.149999999999999" x14ac:dyDescent="0.7">
      <c r="A233" s="49">
        <v>44638.432868206015</v>
      </c>
      <c r="B233" s="50" t="s">
        <v>10</v>
      </c>
      <c r="C233" s="50" t="s">
        <v>277</v>
      </c>
      <c r="D233" s="50" t="s">
        <v>259</v>
      </c>
      <c r="E233" s="50">
        <v>0</v>
      </c>
      <c r="F233" s="50">
        <v>9.5979792670202402E-2</v>
      </c>
      <c r="G233" s="51" t="str">
        <v>福井 2022/04/13 (水)
平日夜間</v>
      </c>
    </row>
    <row r="234" spans="1:7" ht="16.149999999999999" x14ac:dyDescent="0.7">
      <c r="A234" s="49">
        <v>44638.432868206015</v>
      </c>
      <c r="B234" s="50" t="s">
        <v>10</v>
      </c>
      <c r="C234" s="50" t="s">
        <v>278</v>
      </c>
      <c r="D234" s="50" t="s">
        <v>259</v>
      </c>
      <c r="E234" s="50">
        <v>-1</v>
      </c>
      <c r="F234" s="50">
        <v>-0.11751536184066902</v>
      </c>
      <c r="G234" s="51" t="str">
        <v>福井 2022/04/14 (木)
平日夜間</v>
      </c>
    </row>
    <row r="235" spans="1:7" ht="16.149999999999999" x14ac:dyDescent="0.7">
      <c r="A235" s="49">
        <v>44638.432868206015</v>
      </c>
      <c r="B235" s="50" t="s">
        <v>10</v>
      </c>
      <c r="C235" s="50" t="s">
        <v>279</v>
      </c>
      <c r="D235" s="50" t="s">
        <v>259</v>
      </c>
      <c r="E235" s="50">
        <v>-1</v>
      </c>
      <c r="F235" s="50">
        <v>-0.15324984410062781</v>
      </c>
      <c r="G235" s="51" t="str">
        <v>福井 2022/04/15 (金)
平日夜間</v>
      </c>
    </row>
    <row r="236" spans="1:7" ht="16.149999999999999" x14ac:dyDescent="0.7">
      <c r="A236" s="49">
        <v>44638.432868206015</v>
      </c>
      <c r="B236" s="50" t="s">
        <v>10</v>
      </c>
      <c r="C236" s="50" t="s">
        <v>280</v>
      </c>
      <c r="D236" s="50" t="s">
        <v>261</v>
      </c>
      <c r="E236" s="50">
        <v>-1</v>
      </c>
      <c r="F236" s="50">
        <v>-0.82487244150687289</v>
      </c>
      <c r="G236" s="51" t="str">
        <v>福井 2022/04/16 (土)
休日午後</v>
      </c>
    </row>
    <row r="237" spans="1:7" ht="16.149999999999999" x14ac:dyDescent="0.7">
      <c r="A237" s="49">
        <v>44638.432868206015</v>
      </c>
      <c r="B237" s="50" t="s">
        <v>10</v>
      </c>
      <c r="C237" s="50" t="s">
        <v>281</v>
      </c>
      <c r="D237" s="50" t="s">
        <v>263</v>
      </c>
      <c r="E237" s="50">
        <v>-1</v>
      </c>
      <c r="F237" s="50">
        <v>-0.48345926540421424</v>
      </c>
      <c r="G237" s="51" t="str">
        <v>福井 2022/04/16 (土)
休日午前</v>
      </c>
    </row>
    <row r="238" spans="1:7" ht="16.149999999999999" x14ac:dyDescent="0.7">
      <c r="A238" s="49">
        <v>44638.432868206015</v>
      </c>
      <c r="B238" s="50" t="s">
        <v>10</v>
      </c>
      <c r="C238" s="50" t="s">
        <v>282</v>
      </c>
      <c r="D238" s="50" t="s">
        <v>261</v>
      </c>
      <c r="E238" s="50">
        <v>-1</v>
      </c>
      <c r="F238" s="50">
        <v>-0.43505854403531585</v>
      </c>
      <c r="G238" s="51" t="str">
        <v>福井 2022/04/17 (日)
休日午後</v>
      </c>
    </row>
    <row r="239" spans="1:7" ht="16.149999999999999" x14ac:dyDescent="0.7">
      <c r="A239" s="49">
        <v>44638.432868206015</v>
      </c>
      <c r="B239" s="50" t="s">
        <v>10</v>
      </c>
      <c r="C239" s="50" t="s">
        <v>283</v>
      </c>
      <c r="D239" s="50" t="s">
        <v>263</v>
      </c>
      <c r="E239" s="50">
        <v>-1</v>
      </c>
      <c r="F239" s="50">
        <v>-0.16125899629192664</v>
      </c>
      <c r="G239" s="51" t="str">
        <v>福井 2022/04/17 (日)
休日午前</v>
      </c>
    </row>
    <row r="240" spans="1:7" ht="16.149999999999999" x14ac:dyDescent="0.7">
      <c r="A240" s="49">
        <v>44638.432868206015</v>
      </c>
      <c r="B240" s="50" t="s">
        <v>10</v>
      </c>
      <c r="C240" s="50" t="s">
        <v>284</v>
      </c>
      <c r="D240" s="50" t="s">
        <v>259</v>
      </c>
      <c r="E240" s="50">
        <v>0</v>
      </c>
      <c r="F240" s="50">
        <v>0.47564616791427361</v>
      </c>
      <c r="G240" s="51" t="str">
        <v>福井 2022/04/18 (月)
平日夜間</v>
      </c>
    </row>
    <row r="241" spans="1:7" ht="16.149999999999999" x14ac:dyDescent="0.7">
      <c r="A241" s="49">
        <v>44638.432868206015</v>
      </c>
      <c r="B241" s="50" t="s">
        <v>10</v>
      </c>
      <c r="C241" s="50" t="s">
        <v>285</v>
      </c>
      <c r="D241" s="50" t="s">
        <v>259</v>
      </c>
      <c r="E241" s="50">
        <v>0</v>
      </c>
      <c r="F241" s="50">
        <v>0.14816651332827457</v>
      </c>
      <c r="G241" s="51" t="str">
        <v>福井 2022/04/19 (火)
平日夜間</v>
      </c>
    </row>
    <row r="242" spans="1:7" ht="16.149999999999999" x14ac:dyDescent="0.7">
      <c r="A242" s="49">
        <v>44638.432868206015</v>
      </c>
      <c r="B242" s="50" t="s">
        <v>10</v>
      </c>
      <c r="C242" s="50" t="s">
        <v>286</v>
      </c>
      <c r="D242" s="50" t="s">
        <v>259</v>
      </c>
      <c r="E242" s="50">
        <v>0</v>
      </c>
      <c r="F242" s="50">
        <v>0.17484336389936384</v>
      </c>
      <c r="G242" s="51" t="str">
        <v>福井 2022/04/20 (水)
平日夜間</v>
      </c>
    </row>
    <row r="243" spans="1:7" ht="16.149999999999999" x14ac:dyDescent="0.7">
      <c r="A243" s="49">
        <v>44638.432868206015</v>
      </c>
      <c r="B243" s="50" t="s">
        <v>10</v>
      </c>
      <c r="C243" s="50" t="s">
        <v>287</v>
      </c>
      <c r="D243" s="50" t="s">
        <v>259</v>
      </c>
      <c r="E243" s="50">
        <v>0</v>
      </c>
      <c r="F243" s="50">
        <v>0.50941151905222837</v>
      </c>
      <c r="G243" s="51" t="str">
        <v>福井 2022/04/21 (木)
平日夜間</v>
      </c>
    </row>
    <row r="244" spans="1:7" ht="16.149999999999999" x14ac:dyDescent="0.7">
      <c r="A244" s="49">
        <v>44638.432868206015</v>
      </c>
      <c r="B244" s="50" t="s">
        <v>10</v>
      </c>
      <c r="C244" s="50" t="s">
        <v>288</v>
      </c>
      <c r="D244" s="50" t="s">
        <v>259</v>
      </c>
      <c r="E244" s="50">
        <v>0</v>
      </c>
      <c r="F244" s="50">
        <v>0.95133583113904918</v>
      </c>
      <c r="G244" s="51" t="str">
        <v>福井 2022/04/22 (金)
平日夜間</v>
      </c>
    </row>
    <row r="245" spans="1:7" ht="16.149999999999999" x14ac:dyDescent="0.7">
      <c r="A245" s="49">
        <v>44638.432868206015</v>
      </c>
      <c r="B245" s="50" t="s">
        <v>10</v>
      </c>
      <c r="C245" s="50" t="s">
        <v>289</v>
      </c>
      <c r="D245" s="50" t="s">
        <v>261</v>
      </c>
      <c r="E245" s="50">
        <v>0</v>
      </c>
      <c r="F245" s="50">
        <v>0.18705555182257716</v>
      </c>
      <c r="G245" s="51" t="str">
        <v>福井 2022/04/23 (土)
休日午後</v>
      </c>
    </row>
    <row r="246" spans="1:7" ht="16.149999999999999" x14ac:dyDescent="0.7">
      <c r="A246" s="49">
        <v>44638.432868206015</v>
      </c>
      <c r="B246" s="50" t="s">
        <v>10</v>
      </c>
      <c r="C246" s="50" t="s">
        <v>290</v>
      </c>
      <c r="D246" s="50" t="s">
        <v>263</v>
      </c>
      <c r="E246" s="50">
        <v>-1</v>
      </c>
      <c r="F246" s="50">
        <v>-0.56777463887533952</v>
      </c>
      <c r="G246" s="51" t="str">
        <v>福井 2022/04/23 (土)
休日午前</v>
      </c>
    </row>
    <row r="247" spans="1:7" ht="16.149999999999999" x14ac:dyDescent="0.7">
      <c r="A247" s="49">
        <v>44638.432868206015</v>
      </c>
      <c r="B247" s="50" t="s">
        <v>10</v>
      </c>
      <c r="C247" s="50" t="s">
        <v>291</v>
      </c>
      <c r="D247" s="50" t="s">
        <v>261</v>
      </c>
      <c r="E247" s="50">
        <v>0</v>
      </c>
      <c r="F247" s="50">
        <v>0.22901774466851399</v>
      </c>
      <c r="G247" s="51" t="str">
        <v>福井 2022/04/24 (日)
休日午後</v>
      </c>
    </row>
    <row r="248" spans="1:7" ht="16.149999999999999" x14ac:dyDescent="0.7">
      <c r="A248" s="49">
        <v>44638.432868206015</v>
      </c>
      <c r="B248" s="50" t="s">
        <v>10</v>
      </c>
      <c r="C248" s="50" t="s">
        <v>292</v>
      </c>
      <c r="D248" s="50" t="s">
        <v>263</v>
      </c>
      <c r="E248" s="50">
        <v>0</v>
      </c>
      <c r="F248" s="50">
        <v>2.031833751100276E-3</v>
      </c>
      <c r="G248" s="51" t="str">
        <v>福井 2022/04/24 (日)
休日午前</v>
      </c>
    </row>
    <row r="249" spans="1:7" ht="16.149999999999999" x14ac:dyDescent="0.7">
      <c r="A249" s="49">
        <v>44638.432868206015</v>
      </c>
      <c r="B249" s="50" t="s">
        <v>10</v>
      </c>
      <c r="C249" s="50" t="s">
        <v>293</v>
      </c>
      <c r="D249" s="50" t="s">
        <v>259</v>
      </c>
      <c r="E249" s="50">
        <v>0</v>
      </c>
      <c r="F249" s="50">
        <v>0.42375377862297436</v>
      </c>
      <c r="G249" s="51" t="str">
        <v>福井 2022/04/25 (月)
平日夜間</v>
      </c>
    </row>
    <row r="250" spans="1:7" ht="16.149999999999999" x14ac:dyDescent="0.7">
      <c r="A250" s="49">
        <v>44638.432868206015</v>
      </c>
      <c r="B250" s="50" t="s">
        <v>10</v>
      </c>
      <c r="C250" s="50" t="s">
        <v>294</v>
      </c>
      <c r="D250" s="50" t="s">
        <v>259</v>
      </c>
      <c r="E250" s="50">
        <v>0</v>
      </c>
      <c r="F250" s="50">
        <v>0.17282575131262234</v>
      </c>
      <c r="G250" s="51" t="str">
        <v>福井 2022/04/26 (火)
平日夜間</v>
      </c>
    </row>
    <row r="251" spans="1:7" ht="16.149999999999999" x14ac:dyDescent="0.7">
      <c r="A251" s="49">
        <v>44638.432868206015</v>
      </c>
      <c r="B251" s="50" t="s">
        <v>10</v>
      </c>
      <c r="C251" s="50" t="s">
        <v>295</v>
      </c>
      <c r="D251" s="50" t="s">
        <v>259</v>
      </c>
      <c r="E251" s="50">
        <v>2</v>
      </c>
      <c r="F251" s="50">
        <v>2.5108535003419514</v>
      </c>
      <c r="G251" s="51" t="str">
        <v>福井 2022/04/27 (水)
平日夜間</v>
      </c>
    </row>
    <row r="252" spans="1:7" ht="16.149999999999999" x14ac:dyDescent="0.7">
      <c r="A252" s="49">
        <v>44638.432868206015</v>
      </c>
      <c r="B252" s="50" t="s">
        <v>10</v>
      </c>
      <c r="C252" s="50" t="s">
        <v>296</v>
      </c>
      <c r="D252" s="50" t="s">
        <v>259</v>
      </c>
      <c r="E252" s="50">
        <v>0</v>
      </c>
      <c r="F252" s="50">
        <v>0.88608697624257138</v>
      </c>
      <c r="G252" s="51" t="str">
        <v>福井 2022/04/28 (木)
平日夜間</v>
      </c>
    </row>
    <row r="253" spans="1:7" ht="16.149999999999999" x14ac:dyDescent="0.7">
      <c r="A253" s="49">
        <v>44638.438441979168</v>
      </c>
      <c r="B253" s="50" t="s">
        <v>16</v>
      </c>
      <c r="C253" s="50" t="s">
        <v>258</v>
      </c>
      <c r="D253" s="50" t="s">
        <v>259</v>
      </c>
      <c r="E253" s="50">
        <v>0</v>
      </c>
      <c r="F253" s="50">
        <v>0.3170396612490971</v>
      </c>
      <c r="G253" s="51" t="str">
        <v>吉田 2022/04/01 (金)
平日夜間</v>
      </c>
    </row>
    <row r="254" spans="1:7" ht="16.149999999999999" x14ac:dyDescent="0.7">
      <c r="A254" s="49">
        <v>44638.438441979168</v>
      </c>
      <c r="B254" s="50" t="s">
        <v>16</v>
      </c>
      <c r="C254" s="50" t="s">
        <v>260</v>
      </c>
      <c r="D254" s="50" t="s">
        <v>261</v>
      </c>
      <c r="E254" s="50">
        <v>0</v>
      </c>
      <c r="F254" s="50">
        <v>0.30475612177376998</v>
      </c>
      <c r="G254" s="51" t="str">
        <v>吉田 2022/04/02 (土)
休日午後</v>
      </c>
    </row>
    <row r="255" spans="1:7" ht="16.149999999999999" x14ac:dyDescent="0.7">
      <c r="A255" s="49">
        <v>44638.438441979168</v>
      </c>
      <c r="B255" s="50" t="s">
        <v>16</v>
      </c>
      <c r="C255" s="50" t="s">
        <v>262</v>
      </c>
      <c r="D255" s="50" t="s">
        <v>263</v>
      </c>
      <c r="E255" s="50">
        <v>0</v>
      </c>
      <c r="F255" s="50">
        <v>0.73069181732247346</v>
      </c>
      <c r="G255" s="51" t="str">
        <v>吉田 2022/04/02 (土)
休日午前</v>
      </c>
    </row>
    <row r="256" spans="1:7" ht="16.149999999999999" x14ac:dyDescent="0.7">
      <c r="A256" s="49">
        <v>44638.438441979168</v>
      </c>
      <c r="B256" s="50" t="s">
        <v>16</v>
      </c>
      <c r="C256" s="50" t="s">
        <v>264</v>
      </c>
      <c r="D256" s="50" t="s">
        <v>261</v>
      </c>
      <c r="E256" s="50">
        <v>0</v>
      </c>
      <c r="F256" s="50">
        <v>0.52004819228643129</v>
      </c>
      <c r="G256" s="51" t="str">
        <v>吉田 2022/04/03 (日)
休日午後</v>
      </c>
    </row>
    <row r="257" spans="1:7" ht="16.149999999999999" x14ac:dyDescent="0.7">
      <c r="A257" s="49">
        <v>44638.438441979168</v>
      </c>
      <c r="B257" s="50" t="s">
        <v>16</v>
      </c>
      <c r="C257" s="50" t="s">
        <v>265</v>
      </c>
      <c r="D257" s="50" t="s">
        <v>263</v>
      </c>
      <c r="E257" s="50">
        <v>0</v>
      </c>
      <c r="F257" s="50">
        <v>0.64939133227034795</v>
      </c>
      <c r="G257" s="51" t="str">
        <v>吉田 2022/04/03 (日)
休日午前</v>
      </c>
    </row>
    <row r="258" spans="1:7" ht="16.149999999999999" x14ac:dyDescent="0.7">
      <c r="A258" s="49">
        <v>44638.438441979168</v>
      </c>
      <c r="B258" s="50" t="s">
        <v>16</v>
      </c>
      <c r="C258" s="50" t="s">
        <v>266</v>
      </c>
      <c r="D258" s="50" t="s">
        <v>259</v>
      </c>
      <c r="E258" s="50">
        <v>-1</v>
      </c>
      <c r="F258" s="50">
        <v>-0.40844277085994407</v>
      </c>
      <c r="G258" s="51" t="str">
        <v>吉田 2022/04/04 (月)
平日夜間</v>
      </c>
    </row>
    <row r="259" spans="1:7" ht="16.149999999999999" x14ac:dyDescent="0.7">
      <c r="A259" s="49">
        <v>44638.438441979168</v>
      </c>
      <c r="B259" s="50" t="s">
        <v>16</v>
      </c>
      <c r="C259" s="50" t="s">
        <v>267</v>
      </c>
      <c r="D259" s="50" t="s">
        <v>259</v>
      </c>
      <c r="E259" s="50">
        <v>-1</v>
      </c>
      <c r="F259" s="50">
        <v>-0.14547600942802918</v>
      </c>
      <c r="G259" s="51" t="str">
        <v>吉田 2022/04/05 (火)
平日夜間</v>
      </c>
    </row>
    <row r="260" spans="1:7" ht="16.149999999999999" x14ac:dyDescent="0.7">
      <c r="A260" s="49">
        <v>44638.438441979168</v>
      </c>
      <c r="B260" s="50" t="s">
        <v>16</v>
      </c>
      <c r="C260" s="50" t="s">
        <v>268</v>
      </c>
      <c r="D260" s="50" t="s">
        <v>259</v>
      </c>
      <c r="E260" s="50">
        <v>-1</v>
      </c>
      <c r="F260" s="50">
        <v>-0.89280410541089794</v>
      </c>
      <c r="G260" s="51" t="str">
        <v>吉田 2022/04/06 (水)
平日夜間</v>
      </c>
    </row>
    <row r="261" spans="1:7" ht="16.149999999999999" x14ac:dyDescent="0.7">
      <c r="A261" s="49">
        <v>44638.438441979168</v>
      </c>
      <c r="B261" s="50" t="s">
        <v>16</v>
      </c>
      <c r="C261" s="50" t="s">
        <v>269</v>
      </c>
      <c r="D261" s="50" t="s">
        <v>259</v>
      </c>
      <c r="E261" s="50">
        <v>0</v>
      </c>
      <c r="F261" s="50">
        <v>0.54669407488723776</v>
      </c>
      <c r="G261" s="51" t="str">
        <v>吉田 2022/04/07 (木)
平日夜間</v>
      </c>
    </row>
    <row r="262" spans="1:7" ht="16.149999999999999" x14ac:dyDescent="0.7">
      <c r="A262" s="49">
        <v>44638.438441979168</v>
      </c>
      <c r="B262" s="50" t="s">
        <v>16</v>
      </c>
      <c r="C262" s="50" t="s">
        <v>270</v>
      </c>
      <c r="D262" s="50" t="s">
        <v>259</v>
      </c>
      <c r="E262" s="50">
        <v>0</v>
      </c>
      <c r="F262" s="50">
        <v>0.22020955796138986</v>
      </c>
      <c r="G262" s="51" t="str">
        <v>吉田 2022/04/08 (金)
平日夜間</v>
      </c>
    </row>
    <row r="263" spans="1:7" ht="16.149999999999999" x14ac:dyDescent="0.7">
      <c r="A263" s="49">
        <v>44638.438441979168</v>
      </c>
      <c r="B263" s="50" t="s">
        <v>16</v>
      </c>
      <c r="C263" s="50" t="s">
        <v>271</v>
      </c>
      <c r="D263" s="50" t="s">
        <v>261</v>
      </c>
      <c r="E263" s="50">
        <v>0</v>
      </c>
      <c r="F263" s="50">
        <v>9.4385988202143389E-2</v>
      </c>
      <c r="G263" s="51" t="str">
        <v>吉田 2022/04/09 (土)
休日午後</v>
      </c>
    </row>
    <row r="264" spans="1:7" ht="16.149999999999999" x14ac:dyDescent="0.7">
      <c r="A264" s="49">
        <v>44638.438441979168</v>
      </c>
      <c r="B264" s="50" t="s">
        <v>16</v>
      </c>
      <c r="C264" s="50" t="s">
        <v>272</v>
      </c>
      <c r="D264" s="50" t="s">
        <v>263</v>
      </c>
      <c r="E264" s="50">
        <v>0</v>
      </c>
      <c r="F264" s="50">
        <v>0.18050689884405191</v>
      </c>
      <c r="G264" s="51" t="str">
        <v>吉田 2022/04/09 (土)
休日午前</v>
      </c>
    </row>
    <row r="265" spans="1:7" ht="16.149999999999999" x14ac:dyDescent="0.7">
      <c r="A265" s="49">
        <v>44638.438441979168</v>
      </c>
      <c r="B265" s="50" t="s">
        <v>16</v>
      </c>
      <c r="C265" s="50" t="s">
        <v>273</v>
      </c>
      <c r="D265" s="50" t="s">
        <v>261</v>
      </c>
      <c r="E265" s="50">
        <v>0</v>
      </c>
      <c r="F265" s="50">
        <v>0.89498317141328632</v>
      </c>
      <c r="G265" s="51" t="str">
        <v>吉田 2022/04/10 (日)
休日午後</v>
      </c>
    </row>
    <row r="266" spans="1:7" ht="16.149999999999999" x14ac:dyDescent="0.7">
      <c r="A266" s="49">
        <v>44638.438441979168</v>
      </c>
      <c r="B266" s="50" t="s">
        <v>16</v>
      </c>
      <c r="C266" s="50" t="s">
        <v>274</v>
      </c>
      <c r="D266" s="50" t="s">
        <v>263</v>
      </c>
      <c r="E266" s="50">
        <v>0</v>
      </c>
      <c r="F266" s="50">
        <v>3.6068218476419389E-3</v>
      </c>
      <c r="G266" s="51" t="str">
        <v>吉田 2022/04/10 (日)
休日午前</v>
      </c>
    </row>
    <row r="267" spans="1:7" ht="16.149999999999999" x14ac:dyDescent="0.7">
      <c r="A267" s="49">
        <v>44638.438441979168</v>
      </c>
      <c r="B267" s="50" t="s">
        <v>16</v>
      </c>
      <c r="C267" s="50" t="s">
        <v>275</v>
      </c>
      <c r="D267" s="50" t="s">
        <v>259</v>
      </c>
      <c r="E267" s="50">
        <v>0</v>
      </c>
      <c r="F267" s="50">
        <v>0.74454597915450815</v>
      </c>
      <c r="G267" s="51" t="str">
        <v>吉田 2022/04/11 (月)
平日夜間</v>
      </c>
    </row>
    <row r="268" spans="1:7" ht="16.149999999999999" x14ac:dyDescent="0.7">
      <c r="A268" s="49">
        <v>44638.438441979168</v>
      </c>
      <c r="B268" s="50" t="s">
        <v>16</v>
      </c>
      <c r="C268" s="50" t="s">
        <v>276</v>
      </c>
      <c r="D268" s="50" t="s">
        <v>259</v>
      </c>
      <c r="E268" s="50">
        <v>0</v>
      </c>
      <c r="F268" s="50">
        <v>0.18275612094699256</v>
      </c>
      <c r="G268" s="51" t="str">
        <v>吉田 2022/04/12 (火)
平日夜間</v>
      </c>
    </row>
    <row r="269" spans="1:7" ht="16.149999999999999" x14ac:dyDescent="0.7">
      <c r="A269" s="49">
        <v>44638.438441979168</v>
      </c>
      <c r="B269" s="50" t="s">
        <v>16</v>
      </c>
      <c r="C269" s="50" t="s">
        <v>277</v>
      </c>
      <c r="D269" s="50" t="s">
        <v>259</v>
      </c>
      <c r="E269" s="50">
        <v>0</v>
      </c>
      <c r="F269" s="50">
        <v>9.2614833218884751E-2</v>
      </c>
      <c r="G269" s="51" t="str">
        <v>吉田 2022/04/13 (水)
平日夜間</v>
      </c>
    </row>
    <row r="270" spans="1:7" ht="16.149999999999999" x14ac:dyDescent="0.7">
      <c r="A270" s="49">
        <v>44638.438441979168</v>
      </c>
      <c r="B270" s="50" t="s">
        <v>16</v>
      </c>
      <c r="C270" s="50" t="s">
        <v>278</v>
      </c>
      <c r="D270" s="50" t="s">
        <v>259</v>
      </c>
      <c r="E270" s="50">
        <v>0</v>
      </c>
      <c r="F270" s="50">
        <v>0.39680258785716571</v>
      </c>
      <c r="G270" s="51" t="str">
        <v>吉田 2022/04/14 (木)
平日夜間</v>
      </c>
    </row>
    <row r="271" spans="1:7" ht="16.149999999999999" x14ac:dyDescent="0.7">
      <c r="A271" s="49">
        <v>44638.438441979168</v>
      </c>
      <c r="B271" s="50" t="s">
        <v>16</v>
      </c>
      <c r="C271" s="50" t="s">
        <v>279</v>
      </c>
      <c r="D271" s="50" t="s">
        <v>259</v>
      </c>
      <c r="E271" s="50">
        <v>0</v>
      </c>
      <c r="F271" s="50">
        <v>0.2092181777955644</v>
      </c>
      <c r="G271" s="51" t="str">
        <v>吉田 2022/04/15 (金)
平日夜間</v>
      </c>
    </row>
    <row r="272" spans="1:7" ht="16.149999999999999" x14ac:dyDescent="0.7">
      <c r="A272" s="49">
        <v>44638.438441979168</v>
      </c>
      <c r="B272" s="50" t="s">
        <v>16</v>
      </c>
      <c r="C272" s="50" t="s">
        <v>280</v>
      </c>
      <c r="D272" s="50" t="s">
        <v>261</v>
      </c>
      <c r="E272" s="50">
        <v>0</v>
      </c>
      <c r="F272" s="50">
        <v>0.43821716794313348</v>
      </c>
      <c r="G272" s="51" t="str">
        <v>吉田 2022/04/16 (土)
休日午後</v>
      </c>
    </row>
    <row r="273" spans="1:7" ht="16.149999999999999" x14ac:dyDescent="0.7">
      <c r="A273" s="49">
        <v>44638.438441979168</v>
      </c>
      <c r="B273" s="50" t="s">
        <v>16</v>
      </c>
      <c r="C273" s="50" t="s">
        <v>281</v>
      </c>
      <c r="D273" s="50" t="s">
        <v>263</v>
      </c>
      <c r="E273" s="50">
        <v>0</v>
      </c>
      <c r="F273" s="50">
        <v>0.31173957876588099</v>
      </c>
      <c r="G273" s="51" t="str">
        <v>吉田 2022/04/16 (土)
休日午前</v>
      </c>
    </row>
    <row r="274" spans="1:7" ht="16.149999999999999" x14ac:dyDescent="0.7">
      <c r="A274" s="49">
        <v>44638.438441979168</v>
      </c>
      <c r="B274" s="50" t="s">
        <v>16</v>
      </c>
      <c r="C274" s="50" t="s">
        <v>282</v>
      </c>
      <c r="D274" s="50" t="s">
        <v>261</v>
      </c>
      <c r="E274" s="50">
        <v>0</v>
      </c>
      <c r="F274" s="50">
        <v>2.6224803366061256E-2</v>
      </c>
      <c r="G274" s="51" t="str">
        <v>吉田 2022/04/17 (日)
休日午後</v>
      </c>
    </row>
    <row r="275" spans="1:7" ht="16.149999999999999" x14ac:dyDescent="0.7">
      <c r="A275" s="49">
        <v>44638.438441979168</v>
      </c>
      <c r="B275" s="50" t="s">
        <v>16</v>
      </c>
      <c r="C275" s="50" t="s">
        <v>283</v>
      </c>
      <c r="D275" s="50" t="s">
        <v>263</v>
      </c>
      <c r="E275" s="50">
        <v>0</v>
      </c>
      <c r="F275" s="50">
        <v>0.933584906681733</v>
      </c>
      <c r="G275" s="51" t="str">
        <v>吉田 2022/04/17 (日)
休日午前</v>
      </c>
    </row>
    <row r="276" spans="1:7" ht="16.149999999999999" x14ac:dyDescent="0.7">
      <c r="A276" s="49">
        <v>44638.438441979168</v>
      </c>
      <c r="B276" s="50" t="s">
        <v>16</v>
      </c>
      <c r="C276" s="50" t="s">
        <v>284</v>
      </c>
      <c r="D276" s="50" t="s">
        <v>259</v>
      </c>
      <c r="E276" s="50">
        <v>0</v>
      </c>
      <c r="F276" s="50">
        <v>0.15773567564776547</v>
      </c>
      <c r="G276" s="51" t="str">
        <v>吉田 2022/04/18 (月)
平日夜間</v>
      </c>
    </row>
    <row r="277" spans="1:7" ht="16.149999999999999" x14ac:dyDescent="0.7">
      <c r="A277" s="49">
        <v>44638.438441979168</v>
      </c>
      <c r="B277" s="50" t="s">
        <v>16</v>
      </c>
      <c r="C277" s="50" t="s">
        <v>285</v>
      </c>
      <c r="D277" s="50" t="s">
        <v>259</v>
      </c>
      <c r="E277" s="50">
        <v>0</v>
      </c>
      <c r="F277" s="50">
        <v>0.2570357840067532</v>
      </c>
      <c r="G277" s="51" t="str">
        <v>吉田 2022/04/19 (火)
平日夜間</v>
      </c>
    </row>
    <row r="278" spans="1:7" ht="16.149999999999999" x14ac:dyDescent="0.7">
      <c r="A278" s="49">
        <v>44638.438441979168</v>
      </c>
      <c r="B278" s="50" t="s">
        <v>16</v>
      </c>
      <c r="C278" s="50" t="s">
        <v>286</v>
      </c>
      <c r="D278" s="50" t="s">
        <v>259</v>
      </c>
      <c r="E278" s="50">
        <v>0</v>
      </c>
      <c r="F278" s="50">
        <v>0.19492558776043123</v>
      </c>
      <c r="G278" s="51" t="str">
        <v>吉田 2022/04/20 (水)
平日夜間</v>
      </c>
    </row>
    <row r="279" spans="1:7" ht="16.149999999999999" x14ac:dyDescent="0.7">
      <c r="A279" s="49">
        <v>44638.438441979168</v>
      </c>
      <c r="B279" s="50" t="s">
        <v>16</v>
      </c>
      <c r="C279" s="50" t="s">
        <v>287</v>
      </c>
      <c r="D279" s="50" t="s">
        <v>259</v>
      </c>
      <c r="E279" s="50">
        <v>0</v>
      </c>
      <c r="F279" s="50">
        <v>0.93816572427776235</v>
      </c>
      <c r="G279" s="51" t="str">
        <v>吉田 2022/04/21 (木)
平日夜間</v>
      </c>
    </row>
    <row r="280" spans="1:7" ht="16.149999999999999" x14ac:dyDescent="0.7">
      <c r="A280" s="49">
        <v>44638.438441979168</v>
      </c>
      <c r="B280" s="50" t="s">
        <v>16</v>
      </c>
      <c r="C280" s="50" t="s">
        <v>288</v>
      </c>
      <c r="D280" s="50" t="s">
        <v>259</v>
      </c>
      <c r="E280" s="50">
        <v>-1</v>
      </c>
      <c r="F280" s="50">
        <v>-0.94242884989649456</v>
      </c>
      <c r="G280" s="51" t="str">
        <v>吉田 2022/04/22 (金)
平日夜間</v>
      </c>
    </row>
    <row r="281" spans="1:7" ht="16.149999999999999" x14ac:dyDescent="0.7">
      <c r="A281" s="49">
        <v>44638.438441979168</v>
      </c>
      <c r="B281" s="50" t="s">
        <v>16</v>
      </c>
      <c r="C281" s="50" t="s">
        <v>289</v>
      </c>
      <c r="D281" s="50" t="s">
        <v>261</v>
      </c>
      <c r="E281" s="50">
        <v>-1</v>
      </c>
      <c r="F281" s="50">
        <v>-0.37580392911465932</v>
      </c>
      <c r="G281" s="51" t="str">
        <v>吉田 2022/04/23 (土)
休日午後</v>
      </c>
    </row>
    <row r="282" spans="1:7" ht="16.149999999999999" x14ac:dyDescent="0.7">
      <c r="A282" s="49">
        <v>44638.438441979168</v>
      </c>
      <c r="B282" s="50" t="s">
        <v>16</v>
      </c>
      <c r="C282" s="50" t="s">
        <v>290</v>
      </c>
      <c r="D282" s="50" t="s">
        <v>263</v>
      </c>
      <c r="E282" s="50">
        <v>2</v>
      </c>
      <c r="F282" s="50">
        <v>2.7115586142746313</v>
      </c>
      <c r="G282" s="51" t="str">
        <v>吉田 2022/04/23 (土)
休日午前</v>
      </c>
    </row>
    <row r="283" spans="1:7" ht="16.149999999999999" x14ac:dyDescent="0.7">
      <c r="A283" s="49">
        <v>44638.438441979168</v>
      </c>
      <c r="B283" s="50" t="s">
        <v>16</v>
      </c>
      <c r="C283" s="50" t="s">
        <v>291</v>
      </c>
      <c r="D283" s="50" t="s">
        <v>261</v>
      </c>
      <c r="E283" s="50">
        <v>0</v>
      </c>
      <c r="F283" s="50">
        <v>0.45190772994917094</v>
      </c>
      <c r="G283" s="51" t="str">
        <v>吉田 2022/04/24 (日)
休日午後</v>
      </c>
    </row>
    <row r="284" spans="1:7" ht="16.149999999999999" x14ac:dyDescent="0.7">
      <c r="A284" s="49">
        <v>44638.438441979168</v>
      </c>
      <c r="B284" s="50" t="s">
        <v>16</v>
      </c>
      <c r="C284" s="50" t="s">
        <v>292</v>
      </c>
      <c r="D284" s="50" t="s">
        <v>263</v>
      </c>
      <c r="E284" s="50">
        <v>0</v>
      </c>
      <c r="F284" s="50">
        <v>0.12505019171062837</v>
      </c>
      <c r="G284" s="51" t="str">
        <v>吉田 2022/04/24 (日)
休日午前</v>
      </c>
    </row>
    <row r="285" spans="1:7" ht="16.149999999999999" x14ac:dyDescent="0.7">
      <c r="A285" s="49">
        <v>44638.438441979168</v>
      </c>
      <c r="B285" s="50" t="s">
        <v>16</v>
      </c>
      <c r="C285" s="50" t="s">
        <v>293</v>
      </c>
      <c r="D285" s="50" t="s">
        <v>259</v>
      </c>
      <c r="E285" s="50">
        <v>0</v>
      </c>
      <c r="F285" s="50">
        <v>0.22953848980309455</v>
      </c>
      <c r="G285" s="51" t="str">
        <v>吉田 2022/04/25 (月)
平日夜間</v>
      </c>
    </row>
    <row r="286" spans="1:7" ht="16.149999999999999" x14ac:dyDescent="0.7">
      <c r="A286" s="49">
        <v>44638.438441979168</v>
      </c>
      <c r="B286" s="50" t="s">
        <v>16</v>
      </c>
      <c r="C286" s="50" t="s">
        <v>294</v>
      </c>
      <c r="D286" s="50" t="s">
        <v>259</v>
      </c>
      <c r="E286" s="50">
        <v>0</v>
      </c>
      <c r="F286" s="50">
        <v>0.76993781906219905</v>
      </c>
      <c r="G286" s="51" t="str">
        <v>吉田 2022/04/26 (火)
平日夜間</v>
      </c>
    </row>
    <row r="287" spans="1:7" ht="16.149999999999999" x14ac:dyDescent="0.7">
      <c r="A287" s="49">
        <v>44638.438441979168</v>
      </c>
      <c r="B287" s="50" t="s">
        <v>16</v>
      </c>
      <c r="C287" s="50" t="s">
        <v>295</v>
      </c>
      <c r="D287" s="50" t="s">
        <v>259</v>
      </c>
      <c r="E287" s="50">
        <v>0</v>
      </c>
      <c r="F287" s="50">
        <v>0.41654403017937525</v>
      </c>
      <c r="G287" s="51" t="str">
        <v>吉田 2022/04/27 (水)
平日夜間</v>
      </c>
    </row>
    <row r="288" spans="1:7" ht="16.149999999999999" x14ac:dyDescent="0.7">
      <c r="A288" s="49">
        <v>44638.438441979168</v>
      </c>
      <c r="B288" s="50" t="s">
        <v>16</v>
      </c>
      <c r="C288" s="50" t="s">
        <v>296</v>
      </c>
      <c r="D288" s="50" t="s">
        <v>259</v>
      </c>
      <c r="E288" s="50">
        <v>0</v>
      </c>
      <c r="F288" s="50">
        <v>0.24838597335914026</v>
      </c>
      <c r="G288" s="51" t="str">
        <v>吉田 2022/04/28 (木)
平日夜間</v>
      </c>
    </row>
    <row r="289" spans="1:7" ht="16.149999999999999" x14ac:dyDescent="0.7">
      <c r="A289" s="49">
        <v>44638.561826435187</v>
      </c>
      <c r="B289" s="50" t="s">
        <v>31</v>
      </c>
      <c r="C289" s="50" t="s">
        <v>258</v>
      </c>
      <c r="D289" s="50" t="s">
        <v>259</v>
      </c>
      <c r="E289" s="50">
        <v>1</v>
      </c>
      <c r="F289" s="50">
        <v>1.5354399001484007</v>
      </c>
      <c r="G289" s="51" t="str">
        <v>湯川 2022/04/01 (金)
平日夜間</v>
      </c>
    </row>
    <row r="290" spans="1:7" ht="16.149999999999999" x14ac:dyDescent="0.7">
      <c r="A290" s="49">
        <v>44638.561826435187</v>
      </c>
      <c r="B290" s="50" t="s">
        <v>31</v>
      </c>
      <c r="C290" s="50" t="s">
        <v>260</v>
      </c>
      <c r="D290" s="50" t="s">
        <v>261</v>
      </c>
      <c r="E290" s="50">
        <v>-1</v>
      </c>
      <c r="F290" s="50">
        <v>-0.28883980062481518</v>
      </c>
      <c r="G290" s="51" t="str">
        <v>湯川 2022/04/02 (土)
休日午後</v>
      </c>
    </row>
    <row r="291" spans="1:7" ht="16.149999999999999" x14ac:dyDescent="0.7">
      <c r="A291" s="49">
        <v>44638.561826435187</v>
      </c>
      <c r="B291" s="50" t="s">
        <v>31</v>
      </c>
      <c r="C291" s="50" t="s">
        <v>262</v>
      </c>
      <c r="D291" s="50" t="s">
        <v>263</v>
      </c>
      <c r="E291" s="50">
        <v>-1</v>
      </c>
      <c r="F291" s="50">
        <v>-0.88928187381346135</v>
      </c>
      <c r="G291" s="51" t="str">
        <v>湯川 2022/04/02 (土)
休日午前</v>
      </c>
    </row>
    <row r="292" spans="1:7" ht="16.149999999999999" x14ac:dyDescent="0.7">
      <c r="A292" s="49">
        <v>44638.561826435187</v>
      </c>
      <c r="B292" s="50" t="s">
        <v>31</v>
      </c>
      <c r="C292" s="50" t="s">
        <v>264</v>
      </c>
      <c r="D292" s="50" t="s">
        <v>261</v>
      </c>
      <c r="E292" s="50">
        <v>0</v>
      </c>
      <c r="F292" s="50">
        <v>0.55540109859284459</v>
      </c>
      <c r="G292" s="51" t="str">
        <v>湯川 2022/04/03 (日)
休日午後</v>
      </c>
    </row>
    <row r="293" spans="1:7" ht="16.149999999999999" x14ac:dyDescent="0.7">
      <c r="A293" s="49">
        <v>44638.561826435187</v>
      </c>
      <c r="B293" s="50" t="s">
        <v>31</v>
      </c>
      <c r="C293" s="50" t="s">
        <v>265</v>
      </c>
      <c r="D293" s="50" t="s">
        <v>263</v>
      </c>
      <c r="E293" s="50">
        <v>0</v>
      </c>
      <c r="F293" s="50">
        <v>0.13060218618543984</v>
      </c>
      <c r="G293" s="51" t="str">
        <v>湯川 2022/04/03 (日)
休日午前</v>
      </c>
    </row>
    <row r="294" spans="1:7" ht="16.149999999999999" x14ac:dyDescent="0.7">
      <c r="A294" s="49">
        <v>44638.561826435187</v>
      </c>
      <c r="B294" s="50" t="s">
        <v>31</v>
      </c>
      <c r="C294" s="50" t="s">
        <v>266</v>
      </c>
      <c r="D294" s="50" t="s">
        <v>259</v>
      </c>
      <c r="E294" s="50">
        <v>0</v>
      </c>
      <c r="F294" s="50">
        <v>0.98419336448874639</v>
      </c>
      <c r="G294" s="51" t="str">
        <v>湯川 2022/04/04 (月)
平日夜間</v>
      </c>
    </row>
    <row r="295" spans="1:7" ht="16.149999999999999" x14ac:dyDescent="0.7">
      <c r="A295" s="49">
        <v>44638.561826435187</v>
      </c>
      <c r="B295" s="50" t="s">
        <v>31</v>
      </c>
      <c r="C295" s="50" t="s">
        <v>267</v>
      </c>
      <c r="D295" s="50" t="s">
        <v>259</v>
      </c>
      <c r="E295" s="50">
        <v>0</v>
      </c>
      <c r="F295" s="50">
        <v>0.74260590027834783</v>
      </c>
      <c r="G295" s="51" t="str">
        <v>湯川 2022/04/05 (火)
平日夜間</v>
      </c>
    </row>
    <row r="296" spans="1:7" ht="16.149999999999999" x14ac:dyDescent="0.7">
      <c r="A296" s="49">
        <v>44638.561826435187</v>
      </c>
      <c r="B296" s="50" t="s">
        <v>31</v>
      </c>
      <c r="C296" s="50" t="s">
        <v>268</v>
      </c>
      <c r="D296" s="50" t="s">
        <v>259</v>
      </c>
      <c r="E296" s="50">
        <v>0</v>
      </c>
      <c r="F296" s="50">
        <v>0.24875873059857456</v>
      </c>
      <c r="G296" s="51" t="str">
        <v>湯川 2022/04/06 (水)
平日夜間</v>
      </c>
    </row>
    <row r="297" spans="1:7" ht="16.149999999999999" x14ac:dyDescent="0.7">
      <c r="A297" s="49">
        <v>44638.561826435187</v>
      </c>
      <c r="B297" s="50" t="s">
        <v>31</v>
      </c>
      <c r="C297" s="50" t="s">
        <v>269</v>
      </c>
      <c r="D297" s="50" t="s">
        <v>259</v>
      </c>
      <c r="E297" s="50">
        <v>0</v>
      </c>
      <c r="F297" s="50">
        <v>0.58797157890651586</v>
      </c>
      <c r="G297" s="51" t="str">
        <v>湯川 2022/04/07 (木)
平日夜間</v>
      </c>
    </row>
    <row r="298" spans="1:7" ht="16.149999999999999" x14ac:dyDescent="0.7">
      <c r="A298" s="49">
        <v>44638.561826435187</v>
      </c>
      <c r="B298" s="50" t="s">
        <v>31</v>
      </c>
      <c r="C298" s="50" t="s">
        <v>270</v>
      </c>
      <c r="D298" s="50" t="s">
        <v>259</v>
      </c>
      <c r="E298" s="50">
        <v>0</v>
      </c>
      <c r="F298" s="50">
        <v>0.40683338095101296</v>
      </c>
      <c r="G298" s="51" t="str">
        <v>湯川 2022/04/08 (金)
平日夜間</v>
      </c>
    </row>
    <row r="299" spans="1:7" ht="16.149999999999999" x14ac:dyDescent="0.7">
      <c r="A299" s="49">
        <v>44638.561826435187</v>
      </c>
      <c r="B299" s="50" t="s">
        <v>31</v>
      </c>
      <c r="C299" s="50" t="s">
        <v>271</v>
      </c>
      <c r="D299" s="50" t="s">
        <v>261</v>
      </c>
      <c r="E299" s="50">
        <v>0</v>
      </c>
      <c r="F299" s="50">
        <v>0.97801463383698173</v>
      </c>
      <c r="G299" s="51" t="str">
        <v>湯川 2022/04/09 (土)
休日午後</v>
      </c>
    </row>
    <row r="300" spans="1:7" ht="16.149999999999999" x14ac:dyDescent="0.7">
      <c r="A300" s="49">
        <v>44638.561826435187</v>
      </c>
      <c r="B300" s="50" t="s">
        <v>31</v>
      </c>
      <c r="C300" s="50" t="s">
        <v>272</v>
      </c>
      <c r="D300" s="50" t="s">
        <v>263</v>
      </c>
      <c r="E300" s="50">
        <v>0</v>
      </c>
      <c r="F300" s="50">
        <v>0.95242596298563575</v>
      </c>
      <c r="G300" s="51" t="str">
        <v>湯川 2022/04/09 (土)
休日午前</v>
      </c>
    </row>
    <row r="301" spans="1:7" ht="16.149999999999999" x14ac:dyDescent="0.7">
      <c r="A301" s="49">
        <v>44638.561826435187</v>
      </c>
      <c r="B301" s="50" t="s">
        <v>31</v>
      </c>
      <c r="C301" s="50" t="s">
        <v>273</v>
      </c>
      <c r="D301" s="50" t="s">
        <v>261</v>
      </c>
      <c r="E301" s="50">
        <v>-1</v>
      </c>
      <c r="F301" s="50">
        <v>-0.28810691986435355</v>
      </c>
      <c r="G301" s="51" t="str">
        <v>湯川 2022/04/10 (日)
休日午後</v>
      </c>
    </row>
    <row r="302" spans="1:7" ht="16.149999999999999" x14ac:dyDescent="0.7">
      <c r="A302" s="49">
        <v>44638.561826435187</v>
      </c>
      <c r="B302" s="50" t="s">
        <v>31</v>
      </c>
      <c r="C302" s="50" t="s">
        <v>274</v>
      </c>
      <c r="D302" s="50" t="s">
        <v>263</v>
      </c>
      <c r="E302" s="50">
        <v>-1</v>
      </c>
      <c r="F302" s="50">
        <v>-0.30922475766468471</v>
      </c>
      <c r="G302" s="51" t="str">
        <v>湯川 2022/04/10 (日)
休日午前</v>
      </c>
    </row>
    <row r="303" spans="1:7" ht="16.149999999999999" x14ac:dyDescent="0.7">
      <c r="A303" s="49">
        <v>44638.561826435187</v>
      </c>
      <c r="B303" s="50" t="s">
        <v>31</v>
      </c>
      <c r="C303" s="50" t="s">
        <v>275</v>
      </c>
      <c r="D303" s="50" t="s">
        <v>259</v>
      </c>
      <c r="E303" s="50">
        <v>0</v>
      </c>
      <c r="F303" s="50">
        <v>0.37761788361906024</v>
      </c>
      <c r="G303" s="51" t="str">
        <v>湯川 2022/04/11 (月)
平日夜間</v>
      </c>
    </row>
    <row r="304" spans="1:7" ht="16.149999999999999" x14ac:dyDescent="0.7">
      <c r="A304" s="49">
        <v>44638.561826435187</v>
      </c>
      <c r="B304" s="50" t="s">
        <v>31</v>
      </c>
      <c r="C304" s="50" t="s">
        <v>276</v>
      </c>
      <c r="D304" s="50" t="s">
        <v>259</v>
      </c>
      <c r="E304" s="50">
        <v>0</v>
      </c>
      <c r="F304" s="50">
        <v>9.5841622963177775E-2</v>
      </c>
      <c r="G304" s="51" t="str">
        <v>湯川 2022/04/12 (火)
平日夜間</v>
      </c>
    </row>
    <row r="305" spans="1:7" ht="16.149999999999999" x14ac:dyDescent="0.7">
      <c r="A305" s="49">
        <v>44638.561826435187</v>
      </c>
      <c r="B305" s="50" t="s">
        <v>31</v>
      </c>
      <c r="C305" s="50" t="s">
        <v>277</v>
      </c>
      <c r="D305" s="50" t="s">
        <v>259</v>
      </c>
      <c r="E305" s="50">
        <v>0</v>
      </c>
      <c r="F305" s="50">
        <v>0.40834534944574852</v>
      </c>
      <c r="G305" s="51" t="str">
        <v>湯川 2022/04/13 (水)
平日夜間</v>
      </c>
    </row>
    <row r="306" spans="1:7" ht="16.149999999999999" x14ac:dyDescent="0.7">
      <c r="A306" s="49">
        <v>44638.561826435187</v>
      </c>
      <c r="B306" s="50" t="s">
        <v>31</v>
      </c>
      <c r="C306" s="50" t="s">
        <v>278</v>
      </c>
      <c r="D306" s="50" t="s">
        <v>259</v>
      </c>
      <c r="E306" s="50">
        <v>0</v>
      </c>
      <c r="F306" s="50">
        <v>0.13070491769321535</v>
      </c>
      <c r="G306" s="51" t="str">
        <v>湯川 2022/04/14 (木)
平日夜間</v>
      </c>
    </row>
    <row r="307" spans="1:7" ht="16.149999999999999" x14ac:dyDescent="0.7">
      <c r="A307" s="49">
        <v>44638.561826435187</v>
      </c>
      <c r="B307" s="50" t="s">
        <v>31</v>
      </c>
      <c r="C307" s="50" t="s">
        <v>279</v>
      </c>
      <c r="D307" s="50" t="s">
        <v>259</v>
      </c>
      <c r="E307" s="50">
        <v>0</v>
      </c>
      <c r="F307" s="50">
        <v>0.99153920456789346</v>
      </c>
      <c r="G307" s="51" t="str">
        <v>湯川 2022/04/15 (金)
平日夜間</v>
      </c>
    </row>
    <row r="308" spans="1:7" ht="16.149999999999999" x14ac:dyDescent="0.7">
      <c r="A308" s="49">
        <v>44638.561826435187</v>
      </c>
      <c r="B308" s="50" t="s">
        <v>31</v>
      </c>
      <c r="C308" s="50" t="s">
        <v>280</v>
      </c>
      <c r="D308" s="50" t="s">
        <v>261</v>
      </c>
      <c r="E308" s="50">
        <v>0</v>
      </c>
      <c r="F308" s="50">
        <v>0.14014557915146097</v>
      </c>
      <c r="G308" s="51" t="str">
        <v>湯川 2022/04/16 (土)
休日午後</v>
      </c>
    </row>
    <row r="309" spans="1:7" ht="16.149999999999999" x14ac:dyDescent="0.7">
      <c r="A309" s="49">
        <v>44638.561826435187</v>
      </c>
      <c r="B309" s="50" t="s">
        <v>31</v>
      </c>
      <c r="C309" s="50" t="s">
        <v>281</v>
      </c>
      <c r="D309" s="50" t="s">
        <v>263</v>
      </c>
      <c r="E309" s="50">
        <v>0</v>
      </c>
      <c r="F309" s="50">
        <v>0.55328515964371405</v>
      </c>
      <c r="G309" s="51" t="str">
        <v>湯川 2022/04/16 (土)
休日午前</v>
      </c>
    </row>
    <row r="310" spans="1:7" ht="16.149999999999999" x14ac:dyDescent="0.7">
      <c r="A310" s="49">
        <v>44638.561826435187</v>
      </c>
      <c r="B310" s="50" t="s">
        <v>31</v>
      </c>
      <c r="C310" s="50" t="s">
        <v>282</v>
      </c>
      <c r="D310" s="50" t="s">
        <v>261</v>
      </c>
      <c r="E310" s="50">
        <v>-1</v>
      </c>
      <c r="F310" s="50">
        <v>-5.5415896788835184E-4</v>
      </c>
      <c r="G310" s="51" t="str">
        <v>湯川 2022/04/17 (日)
休日午後</v>
      </c>
    </row>
    <row r="311" spans="1:7" ht="16.149999999999999" x14ac:dyDescent="0.7">
      <c r="A311" s="49">
        <v>44638.561826435187</v>
      </c>
      <c r="B311" s="50" t="s">
        <v>31</v>
      </c>
      <c r="C311" s="50" t="s">
        <v>283</v>
      </c>
      <c r="D311" s="50" t="s">
        <v>263</v>
      </c>
      <c r="E311" s="50">
        <v>0</v>
      </c>
      <c r="F311" s="50">
        <v>0.73667717856411508</v>
      </c>
      <c r="G311" s="51" t="str">
        <v>湯川 2022/04/17 (日)
休日午前</v>
      </c>
    </row>
    <row r="312" spans="1:7" ht="16.149999999999999" x14ac:dyDescent="0.7">
      <c r="A312" s="49">
        <v>44638.561826435187</v>
      </c>
      <c r="B312" s="50" t="s">
        <v>31</v>
      </c>
      <c r="C312" s="50" t="s">
        <v>284</v>
      </c>
      <c r="D312" s="50" t="s">
        <v>259</v>
      </c>
      <c r="E312" s="50">
        <v>-1</v>
      </c>
      <c r="F312" s="50">
        <v>-0.21591692606167778</v>
      </c>
      <c r="G312" s="51" t="str">
        <v>湯川 2022/04/18 (月)
平日夜間</v>
      </c>
    </row>
    <row r="313" spans="1:7" ht="16.149999999999999" x14ac:dyDescent="0.7">
      <c r="A313" s="49">
        <v>44638.561826435187</v>
      </c>
      <c r="B313" s="50" t="s">
        <v>31</v>
      </c>
      <c r="C313" s="50" t="s">
        <v>285</v>
      </c>
      <c r="D313" s="50" t="s">
        <v>259</v>
      </c>
      <c r="E313" s="50">
        <v>-1</v>
      </c>
      <c r="F313" s="50">
        <v>-0.24828434406218691</v>
      </c>
      <c r="G313" s="51" t="str">
        <v>湯川 2022/04/19 (火)
平日夜間</v>
      </c>
    </row>
    <row r="314" spans="1:7" ht="16.149999999999999" x14ac:dyDescent="0.7">
      <c r="A314" s="49">
        <v>44638.561826435187</v>
      </c>
      <c r="B314" s="50" t="s">
        <v>31</v>
      </c>
      <c r="C314" s="50" t="s">
        <v>286</v>
      </c>
      <c r="D314" s="50" t="s">
        <v>259</v>
      </c>
      <c r="E314" s="50">
        <v>0</v>
      </c>
      <c r="F314" s="50">
        <v>0.93126796497076736</v>
      </c>
      <c r="G314" s="51" t="str">
        <v>湯川 2022/04/20 (水)
平日夜間</v>
      </c>
    </row>
    <row r="315" spans="1:7" ht="16.149999999999999" x14ac:dyDescent="0.7">
      <c r="A315" s="49">
        <v>44638.561826435187</v>
      </c>
      <c r="B315" s="50" t="s">
        <v>31</v>
      </c>
      <c r="C315" s="50" t="s">
        <v>287</v>
      </c>
      <c r="D315" s="50" t="s">
        <v>259</v>
      </c>
      <c r="E315" s="50">
        <v>0</v>
      </c>
      <c r="F315" s="50">
        <v>0.57862087814933982</v>
      </c>
      <c r="G315" s="51" t="str">
        <v>湯川 2022/04/21 (木)
平日夜間</v>
      </c>
    </row>
    <row r="316" spans="1:7" ht="16.149999999999999" x14ac:dyDescent="0.7">
      <c r="A316" s="49">
        <v>44638.561826435187</v>
      </c>
      <c r="B316" s="50" t="s">
        <v>31</v>
      </c>
      <c r="C316" s="50" t="s">
        <v>288</v>
      </c>
      <c r="D316" s="50" t="s">
        <v>259</v>
      </c>
      <c r="E316" s="50">
        <v>0</v>
      </c>
      <c r="F316" s="50">
        <v>0.16812459440171135</v>
      </c>
      <c r="G316" s="51" t="str">
        <v>湯川 2022/04/22 (金)
平日夜間</v>
      </c>
    </row>
    <row r="317" spans="1:7" ht="16.149999999999999" x14ac:dyDescent="0.7">
      <c r="A317" s="49">
        <v>44638.561826435187</v>
      </c>
      <c r="B317" s="50" t="s">
        <v>31</v>
      </c>
      <c r="C317" s="50" t="s">
        <v>289</v>
      </c>
      <c r="D317" s="50" t="s">
        <v>261</v>
      </c>
      <c r="E317" s="50">
        <v>0</v>
      </c>
      <c r="F317" s="50">
        <v>0.86262519515394032</v>
      </c>
      <c r="G317" s="51" t="str">
        <v>湯川 2022/04/23 (土)
休日午後</v>
      </c>
    </row>
    <row r="318" spans="1:7" ht="16.149999999999999" x14ac:dyDescent="0.7">
      <c r="A318" s="49">
        <v>44638.561826435187</v>
      </c>
      <c r="B318" s="50" t="s">
        <v>31</v>
      </c>
      <c r="C318" s="50" t="s">
        <v>290</v>
      </c>
      <c r="D318" s="50" t="s">
        <v>263</v>
      </c>
      <c r="E318" s="50">
        <v>0</v>
      </c>
      <c r="F318" s="50">
        <v>0.41865835526397088</v>
      </c>
      <c r="G318" s="51" t="str">
        <v>湯川 2022/04/23 (土)
休日午前</v>
      </c>
    </row>
    <row r="319" spans="1:7" ht="16.149999999999999" x14ac:dyDescent="0.7">
      <c r="A319" s="49">
        <v>44638.561826435187</v>
      </c>
      <c r="B319" s="50" t="s">
        <v>31</v>
      </c>
      <c r="C319" s="50" t="s">
        <v>291</v>
      </c>
      <c r="D319" s="50" t="s">
        <v>261</v>
      </c>
      <c r="E319" s="50">
        <v>0</v>
      </c>
      <c r="F319" s="50">
        <v>0.79786952274937173</v>
      </c>
      <c r="G319" s="51" t="str">
        <v>湯川 2022/04/24 (日)
休日午後</v>
      </c>
    </row>
    <row r="320" spans="1:7" ht="16.149999999999999" x14ac:dyDescent="0.7">
      <c r="A320" s="49">
        <v>44638.561826435187</v>
      </c>
      <c r="B320" s="50" t="s">
        <v>31</v>
      </c>
      <c r="C320" s="50" t="s">
        <v>292</v>
      </c>
      <c r="D320" s="50" t="s">
        <v>263</v>
      </c>
      <c r="E320" s="50">
        <v>0</v>
      </c>
      <c r="F320" s="50">
        <v>0.72564101882010767</v>
      </c>
      <c r="G320" s="51" t="str">
        <v>湯川 2022/04/24 (日)
休日午前</v>
      </c>
    </row>
    <row r="321" spans="1:7" ht="16.149999999999999" x14ac:dyDescent="0.7">
      <c r="A321" s="49">
        <v>44638.561826435187</v>
      </c>
      <c r="B321" s="50" t="s">
        <v>31</v>
      </c>
      <c r="C321" s="50" t="s">
        <v>293</v>
      </c>
      <c r="D321" s="50" t="s">
        <v>259</v>
      </c>
      <c r="E321" s="50">
        <v>0</v>
      </c>
      <c r="F321" s="50">
        <v>0.14456871920446512</v>
      </c>
      <c r="G321" s="51" t="str">
        <v>湯川 2022/04/25 (月)
平日夜間</v>
      </c>
    </row>
    <row r="322" spans="1:7" ht="16.149999999999999" x14ac:dyDescent="0.7">
      <c r="A322" s="49">
        <v>44638.561826435187</v>
      </c>
      <c r="B322" s="50" t="s">
        <v>31</v>
      </c>
      <c r="C322" s="50" t="s">
        <v>294</v>
      </c>
      <c r="D322" s="50" t="s">
        <v>259</v>
      </c>
      <c r="E322" s="50">
        <v>0</v>
      </c>
      <c r="F322" s="50">
        <v>0.52437644428327346</v>
      </c>
      <c r="G322" s="51" t="str">
        <v>湯川 2022/04/26 (火)
平日夜間</v>
      </c>
    </row>
    <row r="323" spans="1:7" ht="16.149999999999999" x14ac:dyDescent="0.7">
      <c r="A323" s="49">
        <v>44638.561826435187</v>
      </c>
      <c r="B323" s="50" t="s">
        <v>31</v>
      </c>
      <c r="C323" s="50" t="s">
        <v>295</v>
      </c>
      <c r="D323" s="50" t="s">
        <v>259</v>
      </c>
      <c r="E323" s="50">
        <v>0</v>
      </c>
      <c r="F323" s="50">
        <v>0.71338976436365376</v>
      </c>
      <c r="G323" s="51" t="str">
        <v>湯川 2022/04/27 (水)
平日夜間</v>
      </c>
    </row>
    <row r="324" spans="1:7" ht="16.149999999999999" x14ac:dyDescent="0.7">
      <c r="A324" s="49">
        <v>44638.561826435187</v>
      </c>
      <c r="B324" s="50" t="s">
        <v>31</v>
      </c>
      <c r="C324" s="50" t="s">
        <v>296</v>
      </c>
      <c r="D324" s="50" t="s">
        <v>259</v>
      </c>
      <c r="E324" s="50">
        <v>0</v>
      </c>
      <c r="F324" s="50">
        <v>0.94480773865471024</v>
      </c>
      <c r="G324" s="51" t="str">
        <v>湯川 2022/04/28 (木)
平日夜間</v>
      </c>
    </row>
    <row r="325" spans="1:7" ht="16.149999999999999" x14ac:dyDescent="0.7">
      <c r="A325" s="49">
        <v>44638.636150439816</v>
      </c>
      <c r="B325" s="50" t="s">
        <v>1</v>
      </c>
      <c r="C325" s="50" t="s">
        <v>258</v>
      </c>
      <c r="D325" s="50" t="s">
        <v>259</v>
      </c>
      <c r="E325" s="50">
        <v>0</v>
      </c>
      <c r="F325" s="50">
        <v>0.47920290759419593</v>
      </c>
      <c r="G325" s="51" t="str">
        <v>菊野 2022/04/01 (金)
平日夜間</v>
      </c>
    </row>
    <row r="326" spans="1:7" ht="16.149999999999999" x14ac:dyDescent="0.7">
      <c r="A326" s="49">
        <v>44638.636150439816</v>
      </c>
      <c r="B326" s="50" t="s">
        <v>1</v>
      </c>
      <c r="C326" s="50" t="s">
        <v>260</v>
      </c>
      <c r="D326" s="50" t="s">
        <v>261</v>
      </c>
      <c r="E326" s="50">
        <v>0</v>
      </c>
      <c r="F326" s="50">
        <v>0.11163783866761912</v>
      </c>
      <c r="G326" s="51" t="str">
        <v>菊野 2022/04/02 (土)
休日午後</v>
      </c>
    </row>
    <row r="327" spans="1:7" ht="16.149999999999999" x14ac:dyDescent="0.7">
      <c r="A327" s="49">
        <v>44638.636150439816</v>
      </c>
      <c r="B327" s="50" t="s">
        <v>1</v>
      </c>
      <c r="C327" s="50" t="s">
        <v>262</v>
      </c>
      <c r="D327" s="50" t="s">
        <v>263</v>
      </c>
      <c r="E327" s="50">
        <v>0</v>
      </c>
      <c r="F327" s="50">
        <v>0.46557869371114569</v>
      </c>
      <c r="G327" s="51" t="str">
        <v>菊野 2022/04/02 (土)
休日午前</v>
      </c>
    </row>
    <row r="328" spans="1:7" ht="16.149999999999999" x14ac:dyDescent="0.7">
      <c r="A328" s="49">
        <v>44638.636150439816</v>
      </c>
      <c r="B328" s="50" t="s">
        <v>1</v>
      </c>
      <c r="C328" s="50" t="s">
        <v>264</v>
      </c>
      <c r="D328" s="50" t="s">
        <v>261</v>
      </c>
      <c r="E328" s="50">
        <v>0</v>
      </c>
      <c r="F328" s="50">
        <v>0.42540045034403651</v>
      </c>
      <c r="G328" s="51" t="str">
        <v>菊野 2022/04/03 (日)
休日午後</v>
      </c>
    </row>
    <row r="329" spans="1:7" ht="16.149999999999999" x14ac:dyDescent="0.7">
      <c r="A329" s="49">
        <v>44638.636150439816</v>
      </c>
      <c r="B329" s="50" t="s">
        <v>1</v>
      </c>
      <c r="C329" s="50" t="s">
        <v>265</v>
      </c>
      <c r="D329" s="50" t="s">
        <v>263</v>
      </c>
      <c r="E329" s="50">
        <v>0</v>
      </c>
      <c r="F329" s="50">
        <v>0.93170231819448679</v>
      </c>
      <c r="G329" s="51" t="str">
        <v>菊野 2022/04/03 (日)
休日午前</v>
      </c>
    </row>
    <row r="330" spans="1:7" ht="16.149999999999999" x14ac:dyDescent="0.7">
      <c r="A330" s="49">
        <v>44638.636150439816</v>
      </c>
      <c r="B330" s="50" t="s">
        <v>1</v>
      </c>
      <c r="C330" s="50" t="s">
        <v>266</v>
      </c>
      <c r="D330" s="50" t="s">
        <v>259</v>
      </c>
      <c r="E330" s="50">
        <v>0</v>
      </c>
      <c r="F330" s="50">
        <v>0.82764879684608927</v>
      </c>
      <c r="G330" s="51" t="str">
        <v>菊野 2022/04/04 (月)
平日夜間</v>
      </c>
    </row>
    <row r="331" spans="1:7" ht="16.149999999999999" x14ac:dyDescent="0.7">
      <c r="A331" s="49">
        <v>44638.636150439816</v>
      </c>
      <c r="B331" s="50" t="s">
        <v>1</v>
      </c>
      <c r="C331" s="50" t="s">
        <v>267</v>
      </c>
      <c r="D331" s="50" t="s">
        <v>259</v>
      </c>
      <c r="E331" s="50">
        <v>0</v>
      </c>
      <c r="F331" s="50">
        <v>0.46110460583700585</v>
      </c>
      <c r="G331" s="51" t="str">
        <v>菊野 2022/04/05 (火)
平日夜間</v>
      </c>
    </row>
    <row r="332" spans="1:7" ht="16.149999999999999" x14ac:dyDescent="0.7">
      <c r="A332" s="49">
        <v>44638.636150439816</v>
      </c>
      <c r="B332" s="50" t="s">
        <v>1</v>
      </c>
      <c r="C332" s="50" t="s">
        <v>268</v>
      </c>
      <c r="D332" s="50" t="s">
        <v>259</v>
      </c>
      <c r="E332" s="50">
        <v>-1</v>
      </c>
      <c r="F332" s="50">
        <v>-0.71986164042517875</v>
      </c>
      <c r="G332" s="51" t="str">
        <v>菊野 2022/04/06 (水)
平日夜間</v>
      </c>
    </row>
    <row r="333" spans="1:7" ht="16.149999999999999" x14ac:dyDescent="0.7">
      <c r="A333" s="49">
        <v>44638.636150439816</v>
      </c>
      <c r="B333" s="50" t="s">
        <v>1</v>
      </c>
      <c r="C333" s="50" t="s">
        <v>269</v>
      </c>
      <c r="D333" s="50" t="s">
        <v>259</v>
      </c>
      <c r="E333" s="50">
        <v>2</v>
      </c>
      <c r="F333" s="50">
        <v>2.7776060060948669</v>
      </c>
      <c r="G333" s="51" t="str">
        <v>菊野 2022/04/07 (木)
平日夜間</v>
      </c>
    </row>
    <row r="334" spans="1:7" ht="16.149999999999999" x14ac:dyDescent="0.7">
      <c r="A334" s="49">
        <v>44638.636150439816</v>
      </c>
      <c r="B334" s="50" t="s">
        <v>1</v>
      </c>
      <c r="C334" s="50" t="s">
        <v>270</v>
      </c>
      <c r="D334" s="50" t="s">
        <v>259</v>
      </c>
      <c r="E334" s="50">
        <v>-1</v>
      </c>
      <c r="F334" s="50">
        <v>-0.44034849857581326</v>
      </c>
      <c r="G334" s="51" t="str">
        <v>菊野 2022/04/08 (金)
平日夜間</v>
      </c>
    </row>
    <row r="335" spans="1:7" ht="16.149999999999999" x14ac:dyDescent="0.7">
      <c r="A335" s="49">
        <v>44638.636150439816</v>
      </c>
      <c r="B335" s="50" t="s">
        <v>1</v>
      </c>
      <c r="C335" s="50" t="s">
        <v>271</v>
      </c>
      <c r="D335" s="50" t="s">
        <v>261</v>
      </c>
      <c r="E335" s="50">
        <v>0</v>
      </c>
      <c r="F335" s="50">
        <v>0.77242936319313671</v>
      </c>
      <c r="G335" s="51" t="str">
        <v>菊野 2022/04/09 (土)
休日午後</v>
      </c>
    </row>
    <row r="336" spans="1:7" ht="16.149999999999999" x14ac:dyDescent="0.7">
      <c r="A336" s="49">
        <v>44638.636150439816</v>
      </c>
      <c r="B336" s="50" t="s">
        <v>1</v>
      </c>
      <c r="C336" s="50" t="s">
        <v>272</v>
      </c>
      <c r="D336" s="50" t="s">
        <v>263</v>
      </c>
      <c r="E336" s="50">
        <v>0</v>
      </c>
      <c r="F336" s="50">
        <v>0.40737845009003393</v>
      </c>
      <c r="G336" s="51" t="str">
        <v>菊野 2022/04/09 (土)
休日午前</v>
      </c>
    </row>
    <row r="337" spans="1:7" ht="16.149999999999999" x14ac:dyDescent="0.7">
      <c r="A337" s="49">
        <v>44638.636150439816</v>
      </c>
      <c r="B337" s="50" t="s">
        <v>1</v>
      </c>
      <c r="C337" s="50" t="s">
        <v>273</v>
      </c>
      <c r="D337" s="50" t="s">
        <v>261</v>
      </c>
      <c r="E337" s="50">
        <v>0</v>
      </c>
      <c r="F337" s="50">
        <v>0.15259791206023721</v>
      </c>
      <c r="G337" s="51" t="str">
        <v>菊野 2022/04/10 (日)
休日午後</v>
      </c>
    </row>
    <row r="338" spans="1:7" ht="16.149999999999999" x14ac:dyDescent="0.7">
      <c r="A338" s="49">
        <v>44638.636150439816</v>
      </c>
      <c r="B338" s="50" t="s">
        <v>1</v>
      </c>
      <c r="C338" s="50" t="s">
        <v>274</v>
      </c>
      <c r="D338" s="50" t="s">
        <v>263</v>
      </c>
      <c r="E338" s="50">
        <v>0</v>
      </c>
      <c r="F338" s="50">
        <v>0.94706849731909726</v>
      </c>
      <c r="G338" s="51" t="str">
        <v>菊野 2022/04/10 (日)
休日午前</v>
      </c>
    </row>
    <row r="339" spans="1:7" ht="16.149999999999999" x14ac:dyDescent="0.7">
      <c r="A339" s="49">
        <v>44638.636150439816</v>
      </c>
      <c r="B339" s="50" t="s">
        <v>1</v>
      </c>
      <c r="C339" s="50" t="s">
        <v>275</v>
      </c>
      <c r="D339" s="50" t="s">
        <v>259</v>
      </c>
      <c r="E339" s="50">
        <v>0</v>
      </c>
      <c r="F339" s="50">
        <v>0.18366408087477604</v>
      </c>
      <c r="G339" s="51" t="str">
        <v>菊野 2022/04/11 (月)
平日夜間</v>
      </c>
    </row>
    <row r="340" spans="1:7" ht="16.149999999999999" x14ac:dyDescent="0.7">
      <c r="A340" s="49">
        <v>44638.636150439816</v>
      </c>
      <c r="B340" s="50" t="s">
        <v>1</v>
      </c>
      <c r="C340" s="50" t="s">
        <v>276</v>
      </c>
      <c r="D340" s="50" t="s">
        <v>259</v>
      </c>
      <c r="E340" s="50">
        <v>0</v>
      </c>
      <c r="F340" s="50">
        <v>0.62945302260029123</v>
      </c>
      <c r="G340" s="51" t="str">
        <v>菊野 2022/04/12 (火)
平日夜間</v>
      </c>
    </row>
    <row r="341" spans="1:7" ht="16.149999999999999" x14ac:dyDescent="0.7">
      <c r="A341" s="49">
        <v>44638.636150439816</v>
      </c>
      <c r="B341" s="50" t="s">
        <v>1</v>
      </c>
      <c r="C341" s="50" t="s">
        <v>277</v>
      </c>
      <c r="D341" s="50" t="s">
        <v>259</v>
      </c>
      <c r="E341" s="50">
        <v>-1</v>
      </c>
      <c r="F341" s="50">
        <v>-0.9284403787629385</v>
      </c>
      <c r="G341" s="51" t="str">
        <v>菊野 2022/04/13 (水)
平日夜間</v>
      </c>
    </row>
    <row r="342" spans="1:7" ht="16.149999999999999" x14ac:dyDescent="0.7">
      <c r="A342" s="49">
        <v>44638.636150439816</v>
      </c>
      <c r="B342" s="50" t="s">
        <v>1</v>
      </c>
      <c r="C342" s="50" t="s">
        <v>278</v>
      </c>
      <c r="D342" s="50" t="s">
        <v>259</v>
      </c>
      <c r="E342" s="50">
        <v>2</v>
      </c>
      <c r="F342" s="50">
        <v>2.1073821373562573</v>
      </c>
      <c r="G342" s="51" t="str">
        <v>菊野 2022/04/14 (木)
平日夜間</v>
      </c>
    </row>
    <row r="343" spans="1:7" ht="16.149999999999999" x14ac:dyDescent="0.7">
      <c r="A343" s="49">
        <v>44638.636150439816</v>
      </c>
      <c r="B343" s="50" t="s">
        <v>1</v>
      </c>
      <c r="C343" s="50" t="s">
        <v>279</v>
      </c>
      <c r="D343" s="50" t="s">
        <v>259</v>
      </c>
      <c r="E343" s="50">
        <v>-1</v>
      </c>
      <c r="F343" s="50">
        <v>-0.7755026592268266</v>
      </c>
      <c r="G343" s="51" t="str">
        <v>菊野 2022/04/15 (金)
平日夜間</v>
      </c>
    </row>
    <row r="344" spans="1:7" ht="16.149999999999999" x14ac:dyDescent="0.7">
      <c r="A344" s="49">
        <v>44638.636150439816</v>
      </c>
      <c r="B344" s="50" t="s">
        <v>1</v>
      </c>
      <c r="C344" s="50" t="s">
        <v>280</v>
      </c>
      <c r="D344" s="50" t="s">
        <v>261</v>
      </c>
      <c r="E344" s="50">
        <v>0</v>
      </c>
      <c r="F344" s="50">
        <v>9.8135719702243884E-2</v>
      </c>
      <c r="G344" s="51" t="str">
        <v>菊野 2022/04/16 (土)
休日午後</v>
      </c>
    </row>
    <row r="345" spans="1:7" ht="16.149999999999999" x14ac:dyDescent="0.7">
      <c r="A345" s="49">
        <v>44638.636150439816</v>
      </c>
      <c r="B345" s="50" t="s">
        <v>1</v>
      </c>
      <c r="C345" s="50" t="s">
        <v>281</v>
      </c>
      <c r="D345" s="50" t="s">
        <v>263</v>
      </c>
      <c r="E345" s="50">
        <v>0</v>
      </c>
      <c r="F345" s="50">
        <v>0.20800245889854851</v>
      </c>
      <c r="G345" s="51" t="str">
        <v>菊野 2022/04/16 (土)
休日午前</v>
      </c>
    </row>
    <row r="346" spans="1:7" ht="16.149999999999999" x14ac:dyDescent="0.7">
      <c r="A346" s="49">
        <v>44638.636150439816</v>
      </c>
      <c r="B346" s="50" t="s">
        <v>1</v>
      </c>
      <c r="C346" s="50" t="s">
        <v>282</v>
      </c>
      <c r="D346" s="50" t="s">
        <v>261</v>
      </c>
      <c r="E346" s="50">
        <v>0</v>
      </c>
      <c r="F346" s="50">
        <v>0.9197949637940479</v>
      </c>
      <c r="G346" s="51" t="str">
        <v>菊野 2022/04/17 (日)
休日午後</v>
      </c>
    </row>
    <row r="347" spans="1:7" ht="16.149999999999999" x14ac:dyDescent="0.7">
      <c r="A347" s="49">
        <v>44638.636150439816</v>
      </c>
      <c r="B347" s="50" t="s">
        <v>1</v>
      </c>
      <c r="C347" s="50" t="s">
        <v>283</v>
      </c>
      <c r="D347" s="50" t="s">
        <v>263</v>
      </c>
      <c r="E347" s="50">
        <v>0</v>
      </c>
      <c r="F347" s="50">
        <v>0.5865809591686526</v>
      </c>
      <c r="G347" s="51" t="str">
        <v>菊野 2022/04/17 (日)
休日午前</v>
      </c>
    </row>
    <row r="348" spans="1:7" ht="16.149999999999999" x14ac:dyDescent="0.7">
      <c r="A348" s="49">
        <v>44638.636150439816</v>
      </c>
      <c r="B348" s="50" t="s">
        <v>1</v>
      </c>
      <c r="C348" s="50" t="s">
        <v>284</v>
      </c>
      <c r="D348" s="50" t="s">
        <v>259</v>
      </c>
      <c r="E348" s="50">
        <v>0</v>
      </c>
      <c r="F348" s="50">
        <v>0.68916878718464636</v>
      </c>
      <c r="G348" s="51" t="str">
        <v>菊野 2022/04/18 (月)
平日夜間</v>
      </c>
    </row>
    <row r="349" spans="1:7" ht="16.149999999999999" x14ac:dyDescent="0.7">
      <c r="A349" s="49">
        <v>44638.636150439816</v>
      </c>
      <c r="B349" s="50" t="s">
        <v>1</v>
      </c>
      <c r="C349" s="50" t="s">
        <v>285</v>
      </c>
      <c r="D349" s="50" t="s">
        <v>259</v>
      </c>
      <c r="E349" s="50">
        <v>0</v>
      </c>
      <c r="F349" s="50">
        <v>0.76779945175144193</v>
      </c>
      <c r="G349" s="51" t="str">
        <v>菊野 2022/04/19 (火)
平日夜間</v>
      </c>
    </row>
    <row r="350" spans="1:7" ht="16.149999999999999" x14ac:dyDescent="0.7">
      <c r="A350" s="49">
        <v>44638.636150439816</v>
      </c>
      <c r="B350" s="50" t="s">
        <v>1</v>
      </c>
      <c r="C350" s="50" t="s">
        <v>286</v>
      </c>
      <c r="D350" s="50" t="s">
        <v>259</v>
      </c>
      <c r="E350" s="50">
        <v>0</v>
      </c>
      <c r="F350" s="50">
        <v>0.10078757125086368</v>
      </c>
      <c r="G350" s="51" t="str">
        <v>菊野 2022/04/20 (水)
平日夜間</v>
      </c>
    </row>
    <row r="351" spans="1:7" ht="16.149999999999999" x14ac:dyDescent="0.7">
      <c r="A351" s="49">
        <v>44638.636150439816</v>
      </c>
      <c r="B351" s="50" t="s">
        <v>1</v>
      </c>
      <c r="C351" s="50" t="s">
        <v>287</v>
      </c>
      <c r="D351" s="50" t="s">
        <v>259</v>
      </c>
      <c r="E351" s="50">
        <v>0</v>
      </c>
      <c r="F351" s="50">
        <v>0.70878796660867893</v>
      </c>
      <c r="G351" s="51" t="str">
        <v>菊野 2022/04/21 (木)
平日夜間</v>
      </c>
    </row>
    <row r="352" spans="1:7" ht="16.149999999999999" x14ac:dyDescent="0.7">
      <c r="A352" s="49">
        <v>44638.636150439816</v>
      </c>
      <c r="B352" s="50" t="s">
        <v>1</v>
      </c>
      <c r="C352" s="50" t="s">
        <v>288</v>
      </c>
      <c r="D352" s="50" t="s">
        <v>259</v>
      </c>
      <c r="E352" s="50">
        <v>0</v>
      </c>
      <c r="F352" s="50">
        <v>0.26237987707477561</v>
      </c>
      <c r="G352" s="51" t="str">
        <v>菊野 2022/04/22 (金)
平日夜間</v>
      </c>
    </row>
    <row r="353" spans="1:7" ht="16.149999999999999" x14ac:dyDescent="0.7">
      <c r="A353" s="49">
        <v>44638.636150439816</v>
      </c>
      <c r="B353" s="50" t="s">
        <v>1</v>
      </c>
      <c r="C353" s="50" t="s">
        <v>289</v>
      </c>
      <c r="D353" s="50" t="s">
        <v>261</v>
      </c>
      <c r="E353" s="50">
        <v>0</v>
      </c>
      <c r="F353" s="50">
        <v>0.9639313285385851</v>
      </c>
      <c r="G353" s="51" t="str">
        <v>菊野 2022/04/23 (土)
休日午後</v>
      </c>
    </row>
    <row r="354" spans="1:7" ht="16.149999999999999" x14ac:dyDescent="0.7">
      <c r="A354" s="49">
        <v>44638.636150439816</v>
      </c>
      <c r="B354" s="50" t="s">
        <v>1</v>
      </c>
      <c r="C354" s="50" t="s">
        <v>290</v>
      </c>
      <c r="D354" s="50" t="s">
        <v>263</v>
      </c>
      <c r="E354" s="50">
        <v>0</v>
      </c>
      <c r="F354" s="50">
        <v>0.71966198756817801</v>
      </c>
      <c r="G354" s="51" t="str">
        <v>菊野 2022/04/23 (土)
休日午前</v>
      </c>
    </row>
    <row r="355" spans="1:7" ht="16.149999999999999" x14ac:dyDescent="0.7">
      <c r="A355" s="49">
        <v>44638.636150439816</v>
      </c>
      <c r="B355" s="50" t="s">
        <v>1</v>
      </c>
      <c r="C355" s="50" t="s">
        <v>291</v>
      </c>
      <c r="D355" s="50" t="s">
        <v>261</v>
      </c>
      <c r="E355" s="50">
        <v>0</v>
      </c>
      <c r="F355" s="50">
        <v>0.50152731935774075</v>
      </c>
      <c r="G355" s="51" t="str">
        <v>菊野 2022/04/24 (日)
休日午後</v>
      </c>
    </row>
    <row r="356" spans="1:7" ht="16.149999999999999" x14ac:dyDescent="0.7">
      <c r="A356" s="49">
        <v>44638.636150439816</v>
      </c>
      <c r="B356" s="50" t="s">
        <v>1</v>
      </c>
      <c r="C356" s="50" t="s">
        <v>292</v>
      </c>
      <c r="D356" s="50" t="s">
        <v>263</v>
      </c>
      <c r="E356" s="50">
        <v>0</v>
      </c>
      <c r="F356" s="50">
        <v>0.39051737497929362</v>
      </c>
      <c r="G356" s="51" t="str">
        <v>菊野 2022/04/24 (日)
休日午前</v>
      </c>
    </row>
    <row r="357" spans="1:7" ht="16.149999999999999" x14ac:dyDescent="0.7">
      <c r="A357" s="49">
        <v>44638.636150439816</v>
      </c>
      <c r="B357" s="50" t="s">
        <v>1</v>
      </c>
      <c r="C357" s="50" t="s">
        <v>293</v>
      </c>
      <c r="D357" s="50" t="s">
        <v>259</v>
      </c>
      <c r="E357" s="50">
        <v>0</v>
      </c>
      <c r="F357" s="50">
        <v>0.79097070260028901</v>
      </c>
      <c r="G357" s="51" t="str">
        <v>菊野 2022/04/25 (月)
平日夜間</v>
      </c>
    </row>
    <row r="358" spans="1:7" ht="16.149999999999999" x14ac:dyDescent="0.7">
      <c r="A358" s="49">
        <v>44638.636150439816</v>
      </c>
      <c r="B358" s="50" t="s">
        <v>1</v>
      </c>
      <c r="C358" s="50" t="s">
        <v>294</v>
      </c>
      <c r="D358" s="50" t="s">
        <v>259</v>
      </c>
      <c r="E358" s="50">
        <v>0</v>
      </c>
      <c r="F358" s="50">
        <v>0.4462892079485612</v>
      </c>
      <c r="G358" s="51" t="str">
        <v>菊野 2022/04/26 (火)
平日夜間</v>
      </c>
    </row>
    <row r="359" spans="1:7" ht="16.149999999999999" x14ac:dyDescent="0.7">
      <c r="A359" s="49">
        <v>44638.636150439816</v>
      </c>
      <c r="B359" s="50" t="s">
        <v>1</v>
      </c>
      <c r="C359" s="50" t="s">
        <v>295</v>
      </c>
      <c r="D359" s="50" t="s">
        <v>259</v>
      </c>
      <c r="E359" s="50">
        <v>0</v>
      </c>
      <c r="F359" s="50">
        <v>0.85862712746106862</v>
      </c>
      <c r="G359" s="51" t="str">
        <v>菊野 2022/04/27 (水)
平日夜間</v>
      </c>
    </row>
    <row r="360" spans="1:7" ht="16.149999999999999" x14ac:dyDescent="0.7">
      <c r="A360" s="49">
        <v>44638.636150439816</v>
      </c>
      <c r="B360" s="50" t="s">
        <v>1</v>
      </c>
      <c r="C360" s="50" t="s">
        <v>296</v>
      </c>
      <c r="D360" s="50" t="s">
        <v>259</v>
      </c>
      <c r="E360" s="50">
        <v>0</v>
      </c>
      <c r="F360" s="50">
        <v>0.43862496026682107</v>
      </c>
      <c r="G360" s="51" t="str">
        <v>菊野 2022/04/28 (木)
平日夜間</v>
      </c>
    </row>
    <row r="361" spans="1:7" ht="16.149999999999999" x14ac:dyDescent="0.7">
      <c r="A361" s="49">
        <v>44638.817714016201</v>
      </c>
      <c r="B361" s="50" t="s">
        <v>30</v>
      </c>
      <c r="C361" s="50" t="s">
        <v>258</v>
      </c>
      <c r="D361" s="50" t="s">
        <v>259</v>
      </c>
      <c r="E361" s="50">
        <v>0</v>
      </c>
      <c r="F361" s="50">
        <v>0.34869473133157913</v>
      </c>
      <c r="G361" s="51" t="str">
        <v>柴山 2022/04/01 (金)
平日夜間</v>
      </c>
    </row>
    <row r="362" spans="1:7" ht="16.149999999999999" x14ac:dyDescent="0.7">
      <c r="A362" s="49">
        <v>44638.817714016201</v>
      </c>
      <c r="B362" s="50" t="s">
        <v>30</v>
      </c>
      <c r="C362" s="50" t="s">
        <v>260</v>
      </c>
      <c r="D362" s="50" t="s">
        <v>261</v>
      </c>
      <c r="E362" s="50">
        <v>0</v>
      </c>
      <c r="F362" s="50">
        <v>0.53026870496455603</v>
      </c>
      <c r="G362" s="51" t="str">
        <v>柴山 2022/04/02 (土)
休日午後</v>
      </c>
    </row>
    <row r="363" spans="1:7" ht="16.149999999999999" x14ac:dyDescent="0.7">
      <c r="A363" s="49">
        <v>44638.817714016201</v>
      </c>
      <c r="B363" s="50" t="s">
        <v>30</v>
      </c>
      <c r="C363" s="50" t="s">
        <v>262</v>
      </c>
      <c r="D363" s="50" t="s">
        <v>263</v>
      </c>
      <c r="E363" s="50">
        <v>0</v>
      </c>
      <c r="F363" s="50">
        <v>0.57054113486671021</v>
      </c>
      <c r="G363" s="51" t="str">
        <v>柴山 2022/04/02 (土)
休日午前</v>
      </c>
    </row>
    <row r="364" spans="1:7" ht="16.149999999999999" x14ac:dyDescent="0.7">
      <c r="A364" s="49">
        <v>44638.817714016201</v>
      </c>
      <c r="B364" s="50" t="s">
        <v>30</v>
      </c>
      <c r="C364" s="50" t="s">
        <v>264</v>
      </c>
      <c r="D364" s="50" t="s">
        <v>261</v>
      </c>
      <c r="E364" s="50">
        <v>-1</v>
      </c>
      <c r="F364" s="50">
        <v>-0.54299737269475878</v>
      </c>
      <c r="G364" s="51" t="str">
        <v>柴山 2022/04/03 (日)
休日午後</v>
      </c>
    </row>
    <row r="365" spans="1:7" ht="16.149999999999999" x14ac:dyDescent="0.7">
      <c r="A365" s="49">
        <v>44638.817714016201</v>
      </c>
      <c r="B365" s="50" t="s">
        <v>30</v>
      </c>
      <c r="C365" s="50" t="s">
        <v>265</v>
      </c>
      <c r="D365" s="50" t="s">
        <v>263</v>
      </c>
      <c r="E365" s="50">
        <v>0</v>
      </c>
      <c r="F365" s="50">
        <v>8.7810637333886055E-2</v>
      </c>
      <c r="G365" s="51" t="str">
        <v>柴山 2022/04/03 (日)
休日午前</v>
      </c>
    </row>
    <row r="366" spans="1:7" ht="16.149999999999999" x14ac:dyDescent="0.7">
      <c r="A366" s="49">
        <v>44638.817714016201</v>
      </c>
      <c r="B366" s="50" t="s">
        <v>30</v>
      </c>
      <c r="C366" s="50" t="s">
        <v>266</v>
      </c>
      <c r="D366" s="50" t="s">
        <v>259</v>
      </c>
      <c r="E366" s="50">
        <v>0</v>
      </c>
      <c r="F366" s="50">
        <v>0.52285658165966242</v>
      </c>
      <c r="G366" s="51" t="str">
        <v>柴山 2022/04/04 (月)
平日夜間</v>
      </c>
    </row>
    <row r="367" spans="1:7" ht="16.149999999999999" x14ac:dyDescent="0.7">
      <c r="A367" s="49">
        <v>44638.817714016201</v>
      </c>
      <c r="B367" s="50" t="s">
        <v>30</v>
      </c>
      <c r="C367" s="50" t="s">
        <v>267</v>
      </c>
      <c r="D367" s="50" t="s">
        <v>259</v>
      </c>
      <c r="E367" s="50">
        <v>2</v>
      </c>
      <c r="F367" s="50">
        <v>2.8069418965391488</v>
      </c>
      <c r="G367" s="51" t="str">
        <v>柴山 2022/04/05 (火)
平日夜間</v>
      </c>
    </row>
    <row r="368" spans="1:7" ht="16.149999999999999" x14ac:dyDescent="0.7">
      <c r="A368" s="49">
        <v>44638.817714016201</v>
      </c>
      <c r="B368" s="50" t="s">
        <v>30</v>
      </c>
      <c r="C368" s="50" t="s">
        <v>268</v>
      </c>
      <c r="D368" s="50" t="s">
        <v>259</v>
      </c>
      <c r="E368" s="50">
        <v>0</v>
      </c>
      <c r="F368" s="50">
        <v>0.61001954571164796</v>
      </c>
      <c r="G368" s="51" t="str">
        <v>柴山 2022/04/06 (水)
平日夜間</v>
      </c>
    </row>
    <row r="369" spans="1:7" ht="16.149999999999999" x14ac:dyDescent="0.7">
      <c r="A369" s="49">
        <v>44638.817714016201</v>
      </c>
      <c r="B369" s="50" t="s">
        <v>30</v>
      </c>
      <c r="C369" s="50" t="s">
        <v>269</v>
      </c>
      <c r="D369" s="50" t="s">
        <v>259</v>
      </c>
      <c r="E369" s="50">
        <v>0</v>
      </c>
      <c r="F369" s="50">
        <v>0.20226626167654449</v>
      </c>
      <c r="G369" s="51" t="str">
        <v>柴山 2022/04/07 (木)
平日夜間</v>
      </c>
    </row>
    <row r="370" spans="1:7" ht="16.149999999999999" x14ac:dyDescent="0.7">
      <c r="A370" s="49">
        <v>44638.817714016201</v>
      </c>
      <c r="B370" s="50" t="s">
        <v>30</v>
      </c>
      <c r="C370" s="50" t="s">
        <v>270</v>
      </c>
      <c r="D370" s="50" t="s">
        <v>259</v>
      </c>
      <c r="E370" s="50">
        <v>0</v>
      </c>
      <c r="F370" s="50">
        <v>0.36257707478224743</v>
      </c>
      <c r="G370" s="51" t="str">
        <v>柴山 2022/04/08 (金)
平日夜間</v>
      </c>
    </row>
    <row r="371" spans="1:7" ht="16.149999999999999" x14ac:dyDescent="0.7">
      <c r="A371" s="49">
        <v>44638.817714016201</v>
      </c>
      <c r="B371" s="50" t="s">
        <v>30</v>
      </c>
      <c r="C371" s="50" t="s">
        <v>271</v>
      </c>
      <c r="D371" s="50" t="s">
        <v>261</v>
      </c>
      <c r="E371" s="50">
        <v>-1</v>
      </c>
      <c r="F371" s="50">
        <v>-0.84252354190297285</v>
      </c>
      <c r="G371" s="51" t="str">
        <v>柴山 2022/04/09 (土)
休日午後</v>
      </c>
    </row>
    <row r="372" spans="1:7" ht="16.149999999999999" x14ac:dyDescent="0.7">
      <c r="A372" s="49">
        <v>44638.817714016201</v>
      </c>
      <c r="B372" s="50" t="s">
        <v>30</v>
      </c>
      <c r="C372" s="50" t="s">
        <v>272</v>
      </c>
      <c r="D372" s="50" t="s">
        <v>263</v>
      </c>
      <c r="E372" s="50">
        <v>0</v>
      </c>
      <c r="F372" s="50">
        <v>0.19611899421315115</v>
      </c>
      <c r="G372" s="51" t="str">
        <v>柴山 2022/04/09 (土)
休日午前</v>
      </c>
    </row>
    <row r="373" spans="1:7" ht="16.149999999999999" x14ac:dyDescent="0.7">
      <c r="A373" s="49">
        <v>44638.817714016201</v>
      </c>
      <c r="B373" s="50" t="s">
        <v>30</v>
      </c>
      <c r="C373" s="50" t="s">
        <v>273</v>
      </c>
      <c r="D373" s="50" t="s">
        <v>261</v>
      </c>
      <c r="E373" s="50">
        <v>-1</v>
      </c>
      <c r="F373" s="50">
        <v>-0.74843808636319653</v>
      </c>
      <c r="G373" s="51" t="str">
        <v>柴山 2022/04/10 (日)
休日午後</v>
      </c>
    </row>
    <row r="374" spans="1:7" ht="16.149999999999999" x14ac:dyDescent="0.7">
      <c r="A374" s="49">
        <v>44638.817714016201</v>
      </c>
      <c r="B374" s="50" t="s">
        <v>30</v>
      </c>
      <c r="C374" s="50" t="s">
        <v>274</v>
      </c>
      <c r="D374" s="50" t="s">
        <v>263</v>
      </c>
      <c r="E374" s="50">
        <v>-1</v>
      </c>
      <c r="F374" s="50">
        <v>-0.81334493045125544</v>
      </c>
      <c r="G374" s="51" t="str">
        <v>柴山 2022/04/10 (日)
休日午前</v>
      </c>
    </row>
    <row r="375" spans="1:7" ht="16.149999999999999" x14ac:dyDescent="0.7">
      <c r="A375" s="49">
        <v>44638.817714016201</v>
      </c>
      <c r="B375" s="50" t="s">
        <v>30</v>
      </c>
      <c r="C375" s="50" t="s">
        <v>275</v>
      </c>
      <c r="D375" s="50" t="s">
        <v>259</v>
      </c>
      <c r="E375" s="50">
        <v>0</v>
      </c>
      <c r="F375" s="50">
        <v>0.15889361827347881</v>
      </c>
      <c r="G375" s="51" t="str">
        <v>柴山 2022/04/11 (月)
平日夜間</v>
      </c>
    </row>
    <row r="376" spans="1:7" ht="16.149999999999999" x14ac:dyDescent="0.7">
      <c r="A376" s="49">
        <v>44638.817714016201</v>
      </c>
      <c r="B376" s="50" t="s">
        <v>30</v>
      </c>
      <c r="C376" s="50" t="s">
        <v>276</v>
      </c>
      <c r="D376" s="50" t="s">
        <v>259</v>
      </c>
      <c r="E376" s="50">
        <v>0</v>
      </c>
      <c r="F376" s="50">
        <v>0.6186685518662749</v>
      </c>
      <c r="G376" s="51" t="str">
        <v>柴山 2022/04/12 (火)
平日夜間</v>
      </c>
    </row>
    <row r="377" spans="1:7" ht="16.149999999999999" x14ac:dyDescent="0.7">
      <c r="A377" s="49">
        <v>44638.817714016201</v>
      </c>
      <c r="B377" s="50" t="s">
        <v>30</v>
      </c>
      <c r="C377" s="50" t="s">
        <v>277</v>
      </c>
      <c r="D377" s="50" t="s">
        <v>259</v>
      </c>
      <c r="E377" s="50">
        <v>0</v>
      </c>
      <c r="F377" s="50">
        <v>8.6899832333112492E-2</v>
      </c>
      <c r="G377" s="51" t="str">
        <v>柴山 2022/04/13 (水)
平日夜間</v>
      </c>
    </row>
    <row r="378" spans="1:7" ht="16.149999999999999" x14ac:dyDescent="0.7">
      <c r="A378" s="49">
        <v>44638.817714016201</v>
      </c>
      <c r="B378" s="50" t="s">
        <v>30</v>
      </c>
      <c r="C378" s="50" t="s">
        <v>278</v>
      </c>
      <c r="D378" s="50" t="s">
        <v>259</v>
      </c>
      <c r="E378" s="50">
        <v>0</v>
      </c>
      <c r="F378" s="50">
        <v>0.42692922292440927</v>
      </c>
      <c r="G378" s="51" t="str">
        <v>柴山 2022/04/14 (木)
平日夜間</v>
      </c>
    </row>
    <row r="379" spans="1:7" ht="16.149999999999999" x14ac:dyDescent="0.7">
      <c r="A379" s="49">
        <v>44638.817714016201</v>
      </c>
      <c r="B379" s="50" t="s">
        <v>30</v>
      </c>
      <c r="C379" s="50" t="s">
        <v>279</v>
      </c>
      <c r="D379" s="50" t="s">
        <v>259</v>
      </c>
      <c r="E379" s="50">
        <v>0</v>
      </c>
      <c r="F379" s="50">
        <v>9.2294624461899399E-2</v>
      </c>
      <c r="G379" s="51" t="str">
        <v>柴山 2022/04/15 (金)
平日夜間</v>
      </c>
    </row>
    <row r="380" spans="1:7" ht="16.149999999999999" x14ac:dyDescent="0.7">
      <c r="A380" s="49">
        <v>44638.817714016201</v>
      </c>
      <c r="B380" s="50" t="s">
        <v>30</v>
      </c>
      <c r="C380" s="50" t="s">
        <v>280</v>
      </c>
      <c r="D380" s="50" t="s">
        <v>261</v>
      </c>
      <c r="E380" s="50">
        <v>0</v>
      </c>
      <c r="F380" s="50">
        <v>7.8758711416575533E-3</v>
      </c>
      <c r="G380" s="51" t="str">
        <v>柴山 2022/04/16 (土)
休日午後</v>
      </c>
    </row>
    <row r="381" spans="1:7" ht="16.149999999999999" x14ac:dyDescent="0.7">
      <c r="A381" s="49">
        <v>44638.817714016201</v>
      </c>
      <c r="B381" s="50" t="s">
        <v>30</v>
      </c>
      <c r="C381" s="50" t="s">
        <v>281</v>
      </c>
      <c r="D381" s="50" t="s">
        <v>263</v>
      </c>
      <c r="E381" s="50">
        <v>0</v>
      </c>
      <c r="F381" s="50">
        <v>0.55409979410412924</v>
      </c>
      <c r="G381" s="51" t="str">
        <v>柴山 2022/04/16 (土)
休日午前</v>
      </c>
    </row>
    <row r="382" spans="1:7" ht="16.149999999999999" x14ac:dyDescent="0.7">
      <c r="A382" s="49">
        <v>44638.817714016201</v>
      </c>
      <c r="B382" s="50" t="s">
        <v>30</v>
      </c>
      <c r="C382" s="50" t="s">
        <v>282</v>
      </c>
      <c r="D382" s="50" t="s">
        <v>261</v>
      </c>
      <c r="E382" s="50">
        <v>-1</v>
      </c>
      <c r="F382" s="50">
        <v>-0.88503871714899329</v>
      </c>
      <c r="G382" s="51" t="str">
        <v>柴山 2022/04/17 (日)
休日午後</v>
      </c>
    </row>
    <row r="383" spans="1:7" ht="16.149999999999999" x14ac:dyDescent="0.7">
      <c r="A383" s="49">
        <v>44638.817714016201</v>
      </c>
      <c r="B383" s="50" t="s">
        <v>30</v>
      </c>
      <c r="C383" s="50" t="s">
        <v>283</v>
      </c>
      <c r="D383" s="50" t="s">
        <v>263</v>
      </c>
      <c r="E383" s="50">
        <v>-1</v>
      </c>
      <c r="F383" s="50">
        <v>-0.76377109268579835</v>
      </c>
      <c r="G383" s="51" t="str">
        <v>柴山 2022/04/17 (日)
休日午前</v>
      </c>
    </row>
    <row r="384" spans="1:7" ht="16.149999999999999" x14ac:dyDescent="0.7">
      <c r="A384" s="49">
        <v>44638.817714016201</v>
      </c>
      <c r="B384" s="50" t="s">
        <v>30</v>
      </c>
      <c r="C384" s="50" t="s">
        <v>284</v>
      </c>
      <c r="D384" s="50" t="s">
        <v>259</v>
      </c>
      <c r="E384" s="50">
        <v>0</v>
      </c>
      <c r="F384" s="50">
        <v>0.35034018416002755</v>
      </c>
      <c r="G384" s="51" t="str">
        <v>柴山 2022/04/18 (月)
平日夜間</v>
      </c>
    </row>
    <row r="385" spans="1:7" ht="16.149999999999999" x14ac:dyDescent="0.7">
      <c r="A385" s="49">
        <v>44638.817714016201</v>
      </c>
      <c r="B385" s="50" t="s">
        <v>30</v>
      </c>
      <c r="C385" s="50" t="s">
        <v>285</v>
      </c>
      <c r="D385" s="50" t="s">
        <v>259</v>
      </c>
      <c r="E385" s="50">
        <v>0</v>
      </c>
      <c r="F385" s="50">
        <v>0.4339082445171738</v>
      </c>
      <c r="G385" s="51" t="str">
        <v>柴山 2022/04/19 (火)
平日夜間</v>
      </c>
    </row>
    <row r="386" spans="1:7" ht="16.149999999999999" x14ac:dyDescent="0.7">
      <c r="A386" s="49">
        <v>44638.817714016201</v>
      </c>
      <c r="B386" s="50" t="s">
        <v>30</v>
      </c>
      <c r="C386" s="50" t="s">
        <v>286</v>
      </c>
      <c r="D386" s="50" t="s">
        <v>259</v>
      </c>
      <c r="E386" s="50">
        <v>0</v>
      </c>
      <c r="F386" s="50">
        <v>0.95012817043057685</v>
      </c>
      <c r="G386" s="51" t="str">
        <v>柴山 2022/04/20 (水)
平日夜間</v>
      </c>
    </row>
    <row r="387" spans="1:7" ht="16.149999999999999" x14ac:dyDescent="0.7">
      <c r="A387" s="49">
        <v>44638.817714016201</v>
      </c>
      <c r="B387" s="50" t="s">
        <v>30</v>
      </c>
      <c r="C387" s="50" t="s">
        <v>287</v>
      </c>
      <c r="D387" s="50" t="s">
        <v>259</v>
      </c>
      <c r="E387" s="50">
        <v>0</v>
      </c>
      <c r="F387" s="50">
        <v>0.4749984618796661</v>
      </c>
      <c r="G387" s="51" t="str">
        <v>柴山 2022/04/21 (木)
平日夜間</v>
      </c>
    </row>
    <row r="388" spans="1:7" ht="16.149999999999999" x14ac:dyDescent="0.7">
      <c r="A388" s="49">
        <v>44638.817714016201</v>
      </c>
      <c r="B388" s="50" t="s">
        <v>30</v>
      </c>
      <c r="C388" s="50" t="s">
        <v>288</v>
      </c>
      <c r="D388" s="50" t="s">
        <v>259</v>
      </c>
      <c r="E388" s="50">
        <v>0</v>
      </c>
      <c r="F388" s="50">
        <v>0.19312295123042467</v>
      </c>
      <c r="G388" s="51" t="str">
        <v>柴山 2022/04/22 (金)
平日夜間</v>
      </c>
    </row>
    <row r="389" spans="1:7" ht="16.149999999999999" x14ac:dyDescent="0.7">
      <c r="A389" s="49">
        <v>44638.817714016201</v>
      </c>
      <c r="B389" s="50" t="s">
        <v>30</v>
      </c>
      <c r="C389" s="50" t="s">
        <v>289</v>
      </c>
      <c r="D389" s="50" t="s">
        <v>261</v>
      </c>
      <c r="E389" s="50">
        <v>-1</v>
      </c>
      <c r="F389" s="50">
        <v>-0.8398080426970076</v>
      </c>
      <c r="G389" s="51" t="str">
        <v>柴山 2022/04/23 (土)
休日午後</v>
      </c>
    </row>
    <row r="390" spans="1:7" ht="16.149999999999999" x14ac:dyDescent="0.7">
      <c r="A390" s="49">
        <v>44638.817714016201</v>
      </c>
      <c r="B390" s="50" t="s">
        <v>30</v>
      </c>
      <c r="C390" s="50" t="s">
        <v>290</v>
      </c>
      <c r="D390" s="50" t="s">
        <v>263</v>
      </c>
      <c r="E390" s="50">
        <v>0</v>
      </c>
      <c r="F390" s="50">
        <v>0.56512342032913976</v>
      </c>
      <c r="G390" s="51" t="str">
        <v>柴山 2022/04/23 (土)
休日午前</v>
      </c>
    </row>
    <row r="391" spans="1:7" ht="16.149999999999999" x14ac:dyDescent="0.7">
      <c r="A391" s="49">
        <v>44638.817714016201</v>
      </c>
      <c r="B391" s="50" t="s">
        <v>30</v>
      </c>
      <c r="C391" s="50" t="s">
        <v>291</v>
      </c>
      <c r="D391" s="50" t="s">
        <v>261</v>
      </c>
      <c r="E391" s="50">
        <v>-1</v>
      </c>
      <c r="F391" s="50">
        <v>-0.47433810044422375</v>
      </c>
      <c r="G391" s="51" t="str">
        <v>柴山 2022/04/24 (日)
休日午後</v>
      </c>
    </row>
    <row r="392" spans="1:7" ht="16.149999999999999" x14ac:dyDescent="0.7">
      <c r="A392" s="49">
        <v>44638.817714016201</v>
      </c>
      <c r="B392" s="50" t="s">
        <v>30</v>
      </c>
      <c r="C392" s="50" t="s">
        <v>292</v>
      </c>
      <c r="D392" s="50" t="s">
        <v>263</v>
      </c>
      <c r="E392" s="50">
        <v>-1</v>
      </c>
      <c r="F392" s="50">
        <v>-0.80371576008058265</v>
      </c>
      <c r="G392" s="51" t="str">
        <v>柴山 2022/04/24 (日)
休日午前</v>
      </c>
    </row>
    <row r="393" spans="1:7" ht="16.149999999999999" x14ac:dyDescent="0.7">
      <c r="A393" s="49">
        <v>44638.817714016201</v>
      </c>
      <c r="B393" s="50" t="s">
        <v>30</v>
      </c>
      <c r="C393" s="50" t="s">
        <v>293</v>
      </c>
      <c r="D393" s="50" t="s">
        <v>259</v>
      </c>
      <c r="E393" s="50">
        <v>0</v>
      </c>
      <c r="F393" s="50">
        <v>0.31554268505957994</v>
      </c>
      <c r="G393" s="51" t="str">
        <v>柴山 2022/04/25 (月)
平日夜間</v>
      </c>
    </row>
    <row r="394" spans="1:7" ht="16.149999999999999" x14ac:dyDescent="0.7">
      <c r="A394" s="49">
        <v>44638.817714016201</v>
      </c>
      <c r="B394" s="50" t="s">
        <v>30</v>
      </c>
      <c r="C394" s="50" t="s">
        <v>294</v>
      </c>
      <c r="D394" s="50" t="s">
        <v>259</v>
      </c>
      <c r="E394" s="50">
        <v>0</v>
      </c>
      <c r="F394" s="50">
        <v>0.28806610401165456</v>
      </c>
      <c r="G394" s="51" t="str">
        <v>柴山 2022/04/26 (火)
平日夜間</v>
      </c>
    </row>
    <row r="395" spans="1:7" ht="16.149999999999999" x14ac:dyDescent="0.7">
      <c r="A395" s="49">
        <v>44638.817714016201</v>
      </c>
      <c r="B395" s="50" t="s">
        <v>30</v>
      </c>
      <c r="C395" s="50" t="s">
        <v>295</v>
      </c>
      <c r="D395" s="50" t="s">
        <v>259</v>
      </c>
      <c r="E395" s="50">
        <v>0</v>
      </c>
      <c r="F395" s="50">
        <v>0.5271905211487633</v>
      </c>
      <c r="G395" s="51" t="str">
        <v>柴山 2022/04/27 (水)
平日夜間</v>
      </c>
    </row>
    <row r="396" spans="1:7" ht="16.149999999999999" x14ac:dyDescent="0.7">
      <c r="A396" s="49">
        <v>44638.817714016201</v>
      </c>
      <c r="B396" s="50" t="s">
        <v>30</v>
      </c>
      <c r="C396" s="50" t="s">
        <v>296</v>
      </c>
      <c r="D396" s="50" t="s">
        <v>259</v>
      </c>
      <c r="E396" s="50">
        <v>0</v>
      </c>
      <c r="F396" s="50">
        <v>3.371307622417441E-2</v>
      </c>
      <c r="G396" s="51" t="str">
        <v>柴山 2022/04/28 (木)
平日夜間</v>
      </c>
    </row>
    <row r="397" spans="1:7" ht="16.149999999999999" x14ac:dyDescent="0.7">
      <c r="A397" s="49">
        <v>44638.973409861108</v>
      </c>
      <c r="B397" s="50" t="s">
        <v>15</v>
      </c>
      <c r="C397" s="50" t="s">
        <v>258</v>
      </c>
      <c r="D397" s="50" t="s">
        <v>259</v>
      </c>
      <c r="E397" s="50">
        <v>-1</v>
      </c>
      <c r="F397" s="50">
        <v>-0.28415254022702685</v>
      </c>
      <c r="G397" s="51" t="str">
        <v>太良 2022/04/01 (金)
平日夜間</v>
      </c>
    </row>
    <row r="398" spans="1:7" ht="16.149999999999999" x14ac:dyDescent="0.7">
      <c r="A398" s="49">
        <v>44638.973409861108</v>
      </c>
      <c r="B398" s="50" t="s">
        <v>15</v>
      </c>
      <c r="C398" s="50" t="s">
        <v>260</v>
      </c>
      <c r="D398" s="50" t="s">
        <v>261</v>
      </c>
      <c r="E398" s="50">
        <v>-1</v>
      </c>
      <c r="F398" s="50">
        <v>-0.77591357899072189</v>
      </c>
      <c r="G398" s="51" t="str">
        <v>太良 2022/04/02 (土)
休日午後</v>
      </c>
    </row>
    <row r="399" spans="1:7" ht="16.149999999999999" x14ac:dyDescent="0.7">
      <c r="A399" s="49">
        <v>44638.973409861108</v>
      </c>
      <c r="B399" s="50" t="s">
        <v>15</v>
      </c>
      <c r="C399" s="50" t="s">
        <v>262</v>
      </c>
      <c r="D399" s="50" t="s">
        <v>263</v>
      </c>
      <c r="E399" s="50">
        <v>-1</v>
      </c>
      <c r="F399" s="50">
        <v>-0.33289672485272148</v>
      </c>
      <c r="G399" s="51" t="str">
        <v>太良 2022/04/02 (土)
休日午前</v>
      </c>
    </row>
    <row r="400" spans="1:7" ht="16.149999999999999" x14ac:dyDescent="0.7">
      <c r="A400" s="49">
        <v>44638.973409861108</v>
      </c>
      <c r="B400" s="50" t="s">
        <v>15</v>
      </c>
      <c r="C400" s="50" t="s">
        <v>264</v>
      </c>
      <c r="D400" s="50" t="s">
        <v>261</v>
      </c>
      <c r="E400" s="50">
        <v>-1</v>
      </c>
      <c r="F400" s="50">
        <v>-8.5136353869942782E-2</v>
      </c>
      <c r="G400" s="51" t="str">
        <v>太良 2022/04/03 (日)
休日午後</v>
      </c>
    </row>
    <row r="401" spans="1:7" ht="16.149999999999999" x14ac:dyDescent="0.7">
      <c r="A401" s="49">
        <v>44638.973409861108</v>
      </c>
      <c r="B401" s="50" t="s">
        <v>15</v>
      </c>
      <c r="C401" s="50" t="s">
        <v>265</v>
      </c>
      <c r="D401" s="50" t="s">
        <v>263</v>
      </c>
      <c r="E401" s="50">
        <v>-1</v>
      </c>
      <c r="F401" s="50">
        <v>-0.67431953513460252</v>
      </c>
      <c r="G401" s="51" t="str">
        <v>太良 2022/04/03 (日)
休日午前</v>
      </c>
    </row>
    <row r="402" spans="1:7" ht="16.149999999999999" x14ac:dyDescent="0.7">
      <c r="A402" s="49">
        <v>44638.973409861108</v>
      </c>
      <c r="B402" s="50" t="s">
        <v>15</v>
      </c>
      <c r="C402" s="50" t="s">
        <v>266</v>
      </c>
      <c r="D402" s="50" t="s">
        <v>259</v>
      </c>
      <c r="E402" s="50">
        <v>0</v>
      </c>
      <c r="F402" s="50">
        <v>0.27970123241796285</v>
      </c>
      <c r="G402" s="51" t="str">
        <v>太良 2022/04/04 (月)
平日夜間</v>
      </c>
    </row>
    <row r="403" spans="1:7" ht="16.149999999999999" x14ac:dyDescent="0.7">
      <c r="A403" s="49">
        <v>44638.973409861108</v>
      </c>
      <c r="B403" s="50" t="s">
        <v>15</v>
      </c>
      <c r="C403" s="50" t="s">
        <v>267</v>
      </c>
      <c r="D403" s="50" t="s">
        <v>259</v>
      </c>
      <c r="E403" s="50">
        <v>0</v>
      </c>
      <c r="F403" s="50">
        <v>0.24619323883994393</v>
      </c>
      <c r="G403" s="51" t="str">
        <v>太良 2022/04/05 (火)
平日夜間</v>
      </c>
    </row>
    <row r="404" spans="1:7" ht="16.149999999999999" x14ac:dyDescent="0.7">
      <c r="A404" s="49">
        <v>44638.973409861108</v>
      </c>
      <c r="B404" s="50" t="s">
        <v>15</v>
      </c>
      <c r="C404" s="50" t="s">
        <v>268</v>
      </c>
      <c r="D404" s="50" t="s">
        <v>259</v>
      </c>
      <c r="E404" s="50">
        <v>0</v>
      </c>
      <c r="F404" s="50">
        <v>0.19913414605015611</v>
      </c>
      <c r="G404" s="51" t="str">
        <v>太良 2022/04/06 (水)
平日夜間</v>
      </c>
    </row>
    <row r="405" spans="1:7" ht="16.149999999999999" x14ac:dyDescent="0.7">
      <c r="A405" s="49">
        <v>44638.973409861108</v>
      </c>
      <c r="B405" s="50" t="s">
        <v>15</v>
      </c>
      <c r="C405" s="50" t="s">
        <v>269</v>
      </c>
      <c r="D405" s="50" t="s">
        <v>259</v>
      </c>
      <c r="E405" s="50">
        <v>-1</v>
      </c>
      <c r="F405" s="50">
        <v>-0.96966230393308228</v>
      </c>
      <c r="G405" s="51" t="str">
        <v>太良 2022/04/07 (木)
平日夜間</v>
      </c>
    </row>
    <row r="406" spans="1:7" ht="16.149999999999999" x14ac:dyDescent="0.7">
      <c r="A406" s="49">
        <v>44638.973409861108</v>
      </c>
      <c r="B406" s="50" t="s">
        <v>15</v>
      </c>
      <c r="C406" s="50" t="s">
        <v>270</v>
      </c>
      <c r="D406" s="50" t="s">
        <v>259</v>
      </c>
      <c r="E406" s="50">
        <v>-1</v>
      </c>
      <c r="F406" s="50">
        <v>-0.77320229299731125</v>
      </c>
      <c r="G406" s="51" t="str">
        <v>太良 2022/04/08 (金)
平日夜間</v>
      </c>
    </row>
    <row r="407" spans="1:7" ht="16.149999999999999" x14ac:dyDescent="0.7">
      <c r="A407" s="49">
        <v>44638.973409861108</v>
      </c>
      <c r="B407" s="50" t="s">
        <v>15</v>
      </c>
      <c r="C407" s="50" t="s">
        <v>271</v>
      </c>
      <c r="D407" s="50" t="s">
        <v>261</v>
      </c>
      <c r="E407" s="50">
        <v>-1</v>
      </c>
      <c r="F407" s="50">
        <v>-0.79635495732469597</v>
      </c>
      <c r="G407" s="51" t="str">
        <v>太良 2022/04/09 (土)
休日午後</v>
      </c>
    </row>
    <row r="408" spans="1:7" ht="16.149999999999999" x14ac:dyDescent="0.7">
      <c r="A408" s="49">
        <v>44638.973409861108</v>
      </c>
      <c r="B408" s="50" t="s">
        <v>15</v>
      </c>
      <c r="C408" s="50" t="s">
        <v>272</v>
      </c>
      <c r="D408" s="50" t="s">
        <v>263</v>
      </c>
      <c r="E408" s="50">
        <v>-1</v>
      </c>
      <c r="F408" s="50">
        <v>-0.62095041723996514</v>
      </c>
      <c r="G408" s="51" t="str">
        <v>太良 2022/04/09 (土)
休日午前</v>
      </c>
    </row>
    <row r="409" spans="1:7" ht="16.149999999999999" x14ac:dyDescent="0.7">
      <c r="A409" s="49">
        <v>44638.973409861108</v>
      </c>
      <c r="B409" s="50" t="s">
        <v>15</v>
      </c>
      <c r="C409" s="50" t="s">
        <v>273</v>
      </c>
      <c r="D409" s="50" t="s">
        <v>261</v>
      </c>
      <c r="E409" s="50">
        <v>-1</v>
      </c>
      <c r="F409" s="50">
        <v>-0.26058401258331676</v>
      </c>
      <c r="G409" s="51" t="str">
        <v>太良 2022/04/10 (日)
休日午後</v>
      </c>
    </row>
    <row r="410" spans="1:7" ht="16.149999999999999" x14ac:dyDescent="0.7">
      <c r="A410" s="49">
        <v>44638.973409861108</v>
      </c>
      <c r="B410" s="50" t="s">
        <v>15</v>
      </c>
      <c r="C410" s="50" t="s">
        <v>274</v>
      </c>
      <c r="D410" s="50" t="s">
        <v>263</v>
      </c>
      <c r="E410" s="50">
        <v>-1</v>
      </c>
      <c r="F410" s="50">
        <v>-0.65862333667032424</v>
      </c>
      <c r="G410" s="51" t="str">
        <v>太良 2022/04/10 (日)
休日午前</v>
      </c>
    </row>
    <row r="411" spans="1:7" ht="16.149999999999999" x14ac:dyDescent="0.7">
      <c r="A411" s="49">
        <v>44638.973409861108</v>
      </c>
      <c r="B411" s="50" t="s">
        <v>15</v>
      </c>
      <c r="C411" s="50" t="s">
        <v>275</v>
      </c>
      <c r="D411" s="50" t="s">
        <v>259</v>
      </c>
      <c r="E411" s="50">
        <v>0</v>
      </c>
      <c r="F411" s="50">
        <v>0.48054260814849403</v>
      </c>
      <c r="G411" s="51" t="str">
        <v>太良 2022/04/11 (月)
平日夜間</v>
      </c>
    </row>
    <row r="412" spans="1:7" ht="16.149999999999999" x14ac:dyDescent="0.7">
      <c r="A412" s="49">
        <v>44638.973409861108</v>
      </c>
      <c r="B412" s="50" t="s">
        <v>15</v>
      </c>
      <c r="C412" s="50" t="s">
        <v>276</v>
      </c>
      <c r="D412" s="50" t="s">
        <v>259</v>
      </c>
      <c r="E412" s="50">
        <v>0</v>
      </c>
      <c r="F412" s="50">
        <v>0.13187967592276384</v>
      </c>
      <c r="G412" s="51" t="str">
        <v>太良 2022/04/12 (火)
平日夜間</v>
      </c>
    </row>
    <row r="413" spans="1:7" ht="16.149999999999999" x14ac:dyDescent="0.7">
      <c r="A413" s="49">
        <v>44638.973409861108</v>
      </c>
      <c r="B413" s="50" t="s">
        <v>15</v>
      </c>
      <c r="C413" s="50" t="s">
        <v>277</v>
      </c>
      <c r="D413" s="50" t="s">
        <v>259</v>
      </c>
      <c r="E413" s="50">
        <v>0</v>
      </c>
      <c r="F413" s="50">
        <v>0.39755824161744591</v>
      </c>
      <c r="G413" s="51" t="str">
        <v>太良 2022/04/13 (水)
平日夜間</v>
      </c>
    </row>
    <row r="414" spans="1:7" ht="16.149999999999999" x14ac:dyDescent="0.7">
      <c r="A414" s="49">
        <v>44638.973409861108</v>
      </c>
      <c r="B414" s="50" t="s">
        <v>15</v>
      </c>
      <c r="C414" s="50" t="s">
        <v>278</v>
      </c>
      <c r="D414" s="50" t="s">
        <v>259</v>
      </c>
      <c r="E414" s="50">
        <v>-1</v>
      </c>
      <c r="F414" s="50">
        <v>-0.89737637422316352</v>
      </c>
      <c r="G414" s="51" t="str">
        <v>太良 2022/04/14 (木)
平日夜間</v>
      </c>
    </row>
    <row r="415" spans="1:7" ht="16.149999999999999" x14ac:dyDescent="0.7">
      <c r="A415" s="49">
        <v>44638.973409861108</v>
      </c>
      <c r="B415" s="50" t="s">
        <v>15</v>
      </c>
      <c r="C415" s="50" t="s">
        <v>279</v>
      </c>
      <c r="D415" s="50" t="s">
        <v>259</v>
      </c>
      <c r="E415" s="50">
        <v>-1</v>
      </c>
      <c r="F415" s="50">
        <v>-0.37947131630583364</v>
      </c>
      <c r="G415" s="51" t="str">
        <v>太良 2022/04/15 (金)
平日夜間</v>
      </c>
    </row>
    <row r="416" spans="1:7" ht="16.149999999999999" x14ac:dyDescent="0.7">
      <c r="A416" s="49">
        <v>44638.973409861108</v>
      </c>
      <c r="B416" s="50" t="s">
        <v>15</v>
      </c>
      <c r="C416" s="50" t="s">
        <v>280</v>
      </c>
      <c r="D416" s="50" t="s">
        <v>261</v>
      </c>
      <c r="E416" s="50">
        <v>-1</v>
      </c>
      <c r="F416" s="50">
        <v>-0.90748884479392755</v>
      </c>
      <c r="G416" s="51" t="str">
        <v>太良 2022/04/16 (土)
休日午後</v>
      </c>
    </row>
    <row r="417" spans="1:7" ht="16.149999999999999" x14ac:dyDescent="0.7">
      <c r="A417" s="49">
        <v>44638.973409861108</v>
      </c>
      <c r="B417" s="50" t="s">
        <v>15</v>
      </c>
      <c r="C417" s="50" t="s">
        <v>281</v>
      </c>
      <c r="D417" s="50" t="s">
        <v>263</v>
      </c>
      <c r="E417" s="50">
        <v>-1</v>
      </c>
      <c r="F417" s="50">
        <v>-0.65471913061005682</v>
      </c>
      <c r="G417" s="51" t="str">
        <v>太良 2022/04/16 (土)
休日午前</v>
      </c>
    </row>
    <row r="418" spans="1:7" ht="16.149999999999999" x14ac:dyDescent="0.7">
      <c r="A418" s="49">
        <v>44638.973409861108</v>
      </c>
      <c r="B418" s="50" t="s">
        <v>15</v>
      </c>
      <c r="C418" s="50" t="s">
        <v>282</v>
      </c>
      <c r="D418" s="50" t="s">
        <v>261</v>
      </c>
      <c r="E418" s="50">
        <v>2</v>
      </c>
      <c r="F418" s="50">
        <v>2.6396774723539687</v>
      </c>
      <c r="G418" s="51" t="str">
        <v>太良 2022/04/17 (日)
休日午後</v>
      </c>
    </row>
    <row r="419" spans="1:7" ht="16.149999999999999" x14ac:dyDescent="0.7">
      <c r="A419" s="49">
        <v>44638.973409861108</v>
      </c>
      <c r="B419" s="50" t="s">
        <v>15</v>
      </c>
      <c r="C419" s="50" t="s">
        <v>283</v>
      </c>
      <c r="D419" s="50" t="s">
        <v>263</v>
      </c>
      <c r="E419" s="50">
        <v>0</v>
      </c>
      <c r="F419" s="50">
        <v>0.23316913306600684</v>
      </c>
      <c r="G419" s="51" t="str">
        <v>太良 2022/04/17 (日)
休日午前</v>
      </c>
    </row>
    <row r="420" spans="1:7" ht="16.149999999999999" x14ac:dyDescent="0.7">
      <c r="A420" s="49">
        <v>44638.973409861108</v>
      </c>
      <c r="B420" s="50" t="s">
        <v>15</v>
      </c>
      <c r="C420" s="50" t="s">
        <v>284</v>
      </c>
      <c r="D420" s="50" t="s">
        <v>259</v>
      </c>
      <c r="E420" s="50">
        <v>-1</v>
      </c>
      <c r="F420" s="50">
        <v>-0.64132574031236533</v>
      </c>
      <c r="G420" s="51" t="str">
        <v>太良 2022/04/18 (月)
平日夜間</v>
      </c>
    </row>
    <row r="421" spans="1:7" ht="16.149999999999999" x14ac:dyDescent="0.7">
      <c r="A421" s="49">
        <v>44638.973409861108</v>
      </c>
      <c r="B421" s="50" t="s">
        <v>15</v>
      </c>
      <c r="C421" s="50" t="s">
        <v>285</v>
      </c>
      <c r="D421" s="50" t="s">
        <v>259</v>
      </c>
      <c r="E421" s="50">
        <v>0</v>
      </c>
      <c r="F421" s="50">
        <v>0.3783519979481702</v>
      </c>
      <c r="G421" s="51" t="str">
        <v>太良 2022/04/19 (火)
平日夜間</v>
      </c>
    </row>
    <row r="422" spans="1:7" ht="16.149999999999999" x14ac:dyDescent="0.7">
      <c r="A422" s="49">
        <v>44638.973409861108</v>
      </c>
      <c r="B422" s="50" t="s">
        <v>15</v>
      </c>
      <c r="C422" s="50" t="s">
        <v>286</v>
      </c>
      <c r="D422" s="50" t="s">
        <v>259</v>
      </c>
      <c r="E422" s="50">
        <v>-1</v>
      </c>
      <c r="F422" s="50">
        <v>-0.18664206043175846</v>
      </c>
      <c r="G422" s="51" t="str">
        <v>太良 2022/04/20 (水)
平日夜間</v>
      </c>
    </row>
    <row r="423" spans="1:7" ht="16.149999999999999" x14ac:dyDescent="0.7">
      <c r="A423" s="49">
        <v>44638.973409861108</v>
      </c>
      <c r="B423" s="50" t="s">
        <v>15</v>
      </c>
      <c r="C423" s="50" t="s">
        <v>287</v>
      </c>
      <c r="D423" s="50" t="s">
        <v>259</v>
      </c>
      <c r="E423" s="50">
        <v>-1</v>
      </c>
      <c r="F423" s="50">
        <v>-0.3948690695505026</v>
      </c>
      <c r="G423" s="51" t="str">
        <v>太良 2022/04/21 (木)
平日夜間</v>
      </c>
    </row>
    <row r="424" spans="1:7" ht="16.149999999999999" x14ac:dyDescent="0.7">
      <c r="A424" s="49">
        <v>44638.973409861108</v>
      </c>
      <c r="B424" s="50" t="s">
        <v>15</v>
      </c>
      <c r="C424" s="50" t="s">
        <v>288</v>
      </c>
      <c r="D424" s="50" t="s">
        <v>259</v>
      </c>
      <c r="E424" s="50">
        <v>0</v>
      </c>
      <c r="F424" s="50">
        <v>0.41028227091284841</v>
      </c>
      <c r="G424" s="51" t="str">
        <v>太良 2022/04/22 (金)
平日夜間</v>
      </c>
    </row>
    <row r="425" spans="1:7" ht="16.149999999999999" x14ac:dyDescent="0.7">
      <c r="A425" s="49">
        <v>44638.973409861108</v>
      </c>
      <c r="B425" s="50" t="s">
        <v>15</v>
      </c>
      <c r="C425" s="50" t="s">
        <v>289</v>
      </c>
      <c r="D425" s="50" t="s">
        <v>261</v>
      </c>
      <c r="E425" s="50">
        <v>-1</v>
      </c>
      <c r="F425" s="50">
        <v>-0.46862830684478207</v>
      </c>
      <c r="G425" s="51" t="str">
        <v>太良 2022/04/23 (土)
休日午後</v>
      </c>
    </row>
    <row r="426" spans="1:7" ht="16.149999999999999" x14ac:dyDescent="0.7">
      <c r="A426" s="49">
        <v>44638.973409861108</v>
      </c>
      <c r="B426" s="50" t="s">
        <v>15</v>
      </c>
      <c r="C426" s="50" t="s">
        <v>290</v>
      </c>
      <c r="D426" s="50" t="s">
        <v>263</v>
      </c>
      <c r="E426" s="50">
        <v>-1</v>
      </c>
      <c r="F426" s="50">
        <v>-0.78515603911020238</v>
      </c>
      <c r="G426" s="51" t="str">
        <v>太良 2022/04/23 (土)
休日午前</v>
      </c>
    </row>
    <row r="427" spans="1:7" ht="16.149999999999999" x14ac:dyDescent="0.7">
      <c r="A427" s="49">
        <v>44638.973409861108</v>
      </c>
      <c r="B427" s="50" t="s">
        <v>15</v>
      </c>
      <c r="C427" s="50" t="s">
        <v>291</v>
      </c>
      <c r="D427" s="50" t="s">
        <v>261</v>
      </c>
      <c r="E427" s="50">
        <v>-1</v>
      </c>
      <c r="F427" s="50">
        <v>-3.6395599503465492E-2</v>
      </c>
      <c r="G427" s="51" t="str">
        <v>太良 2022/04/24 (日)
休日午後</v>
      </c>
    </row>
    <row r="428" spans="1:7" ht="16.149999999999999" x14ac:dyDescent="0.7">
      <c r="A428" s="49">
        <v>44638.973409861108</v>
      </c>
      <c r="B428" s="50" t="s">
        <v>15</v>
      </c>
      <c r="C428" s="50" t="s">
        <v>292</v>
      </c>
      <c r="D428" s="50" t="s">
        <v>263</v>
      </c>
      <c r="E428" s="50">
        <v>-1</v>
      </c>
      <c r="F428" s="50">
        <v>-7.9650362670369956E-2</v>
      </c>
      <c r="G428" s="51" t="str">
        <v>太良 2022/04/24 (日)
休日午前</v>
      </c>
    </row>
    <row r="429" spans="1:7" ht="16.149999999999999" x14ac:dyDescent="0.7">
      <c r="A429" s="49">
        <v>44638.973409861108</v>
      </c>
      <c r="B429" s="50" t="s">
        <v>15</v>
      </c>
      <c r="C429" s="50" t="s">
        <v>293</v>
      </c>
      <c r="D429" s="50" t="s">
        <v>259</v>
      </c>
      <c r="E429" s="50">
        <v>0</v>
      </c>
      <c r="F429" s="50">
        <v>0.45384948380112133</v>
      </c>
      <c r="G429" s="51" t="str">
        <v>太良 2022/04/25 (月)
平日夜間</v>
      </c>
    </row>
    <row r="430" spans="1:7" ht="16.149999999999999" x14ac:dyDescent="0.7">
      <c r="A430" s="49">
        <v>44638.973409861108</v>
      </c>
      <c r="B430" s="50" t="s">
        <v>15</v>
      </c>
      <c r="C430" s="50" t="s">
        <v>294</v>
      </c>
      <c r="D430" s="50" t="s">
        <v>259</v>
      </c>
      <c r="E430" s="50">
        <v>0</v>
      </c>
      <c r="F430" s="50">
        <v>0.87149850912733551</v>
      </c>
      <c r="G430" s="51" t="str">
        <v>太良 2022/04/26 (火)
平日夜間</v>
      </c>
    </row>
    <row r="431" spans="1:7" ht="16.149999999999999" x14ac:dyDescent="0.7">
      <c r="A431" s="49">
        <v>44638.973409861108</v>
      </c>
      <c r="B431" s="50" t="s">
        <v>15</v>
      </c>
      <c r="C431" s="50" t="s">
        <v>295</v>
      </c>
      <c r="D431" s="50" t="s">
        <v>259</v>
      </c>
      <c r="E431" s="50">
        <v>0</v>
      </c>
      <c r="F431" s="50">
        <v>0.33176481717078032</v>
      </c>
      <c r="G431" s="51" t="str">
        <v>太良 2022/04/27 (水)
平日夜間</v>
      </c>
    </row>
    <row r="432" spans="1:7" ht="16.149999999999999" x14ac:dyDescent="0.7">
      <c r="A432" s="49">
        <v>44638.973409861108</v>
      </c>
      <c r="B432" s="50" t="s">
        <v>15</v>
      </c>
      <c r="C432" s="50" t="s">
        <v>296</v>
      </c>
      <c r="D432" s="50" t="s">
        <v>259</v>
      </c>
      <c r="E432" s="50">
        <v>-1</v>
      </c>
      <c r="F432" s="50">
        <v>-0.87271622783394798</v>
      </c>
      <c r="G432" s="51" t="str">
        <v>太良 2022/04/28 (木)
平日夜間</v>
      </c>
    </row>
    <row r="433" spans="1:7" ht="16.149999999999999" x14ac:dyDescent="0.7">
      <c r="A433" s="49">
        <v>44676.659447835649</v>
      </c>
      <c r="B433" s="50" t="s">
        <v>30</v>
      </c>
      <c r="C433" s="50" t="s">
        <v>297</v>
      </c>
      <c r="D433" s="50" t="s">
        <v>259</v>
      </c>
      <c r="E433" s="50">
        <v>-1</v>
      </c>
      <c r="F433" s="50">
        <v>-0.73242802019660624</v>
      </c>
      <c r="G433" s="51" t="str">
        <v>柴山 2022/05/09 (月)
平日夜間</v>
      </c>
    </row>
    <row r="434" spans="1:7" ht="16.149999999999999" x14ac:dyDescent="0.7">
      <c r="A434" s="49">
        <v>44676.659447835649</v>
      </c>
      <c r="B434" s="50" t="s">
        <v>30</v>
      </c>
      <c r="C434" s="50" t="s">
        <v>298</v>
      </c>
      <c r="D434" s="50" t="s">
        <v>259</v>
      </c>
      <c r="E434" s="50">
        <v>0</v>
      </c>
      <c r="F434" s="50">
        <v>0.40072533356333717</v>
      </c>
      <c r="G434" s="51" t="str">
        <v>柴山 2022/05/10 (火)
平日夜間</v>
      </c>
    </row>
    <row r="435" spans="1:7" ht="16.149999999999999" x14ac:dyDescent="0.7">
      <c r="A435" s="49">
        <v>44676.659447835649</v>
      </c>
      <c r="B435" s="50" t="s">
        <v>30</v>
      </c>
      <c r="C435" s="50" t="s">
        <v>299</v>
      </c>
      <c r="D435" s="50" t="s">
        <v>259</v>
      </c>
      <c r="E435" s="50">
        <v>0</v>
      </c>
      <c r="F435" s="50">
        <v>0.20205212446278731</v>
      </c>
      <c r="G435" s="51" t="str">
        <v>柴山 2022/05/11 (水)
平日夜間</v>
      </c>
    </row>
    <row r="436" spans="1:7" ht="16.149999999999999" x14ac:dyDescent="0.7">
      <c r="A436" s="49">
        <v>44676.659447835649</v>
      </c>
      <c r="B436" s="50" t="s">
        <v>30</v>
      </c>
      <c r="C436" s="50" t="s">
        <v>300</v>
      </c>
      <c r="D436" s="50" t="s">
        <v>259</v>
      </c>
      <c r="E436" s="50">
        <v>0</v>
      </c>
      <c r="F436" s="50">
        <v>7.9433590860782388E-2</v>
      </c>
      <c r="G436" s="51" t="str">
        <v>柴山 2022/05/12 (木)
平日夜間</v>
      </c>
    </row>
    <row r="437" spans="1:7" ht="16.149999999999999" x14ac:dyDescent="0.7">
      <c r="A437" s="49">
        <v>44676.659447835649</v>
      </c>
      <c r="B437" s="50" t="s">
        <v>30</v>
      </c>
      <c r="C437" s="50" t="s">
        <v>301</v>
      </c>
      <c r="D437" s="50" t="s">
        <v>259</v>
      </c>
      <c r="E437" s="50">
        <v>0</v>
      </c>
      <c r="F437" s="50">
        <v>5.0380409926240599E-3</v>
      </c>
      <c r="G437" s="51" t="str">
        <v>柴山 2022/05/13 (金)
平日夜間</v>
      </c>
    </row>
    <row r="438" spans="1:7" ht="16.149999999999999" x14ac:dyDescent="0.7">
      <c r="A438" s="49">
        <v>44676.659447835649</v>
      </c>
      <c r="B438" s="50" t="s">
        <v>30</v>
      </c>
      <c r="C438" s="50" t="s">
        <v>302</v>
      </c>
      <c r="D438" s="50" t="s">
        <v>261</v>
      </c>
      <c r="E438" s="50">
        <v>-1</v>
      </c>
      <c r="F438" s="50">
        <v>-0.29014284459029804</v>
      </c>
      <c r="G438" s="51" t="str">
        <v>柴山 2022/05/14 (土)
休日午後</v>
      </c>
    </row>
    <row r="439" spans="1:7" ht="16.149999999999999" x14ac:dyDescent="0.7">
      <c r="A439" s="49">
        <v>44676.659447835649</v>
      </c>
      <c r="B439" s="50" t="s">
        <v>30</v>
      </c>
      <c r="C439" s="50" t="s">
        <v>303</v>
      </c>
      <c r="D439" s="50" t="s">
        <v>263</v>
      </c>
      <c r="E439" s="50">
        <v>-1</v>
      </c>
      <c r="F439" s="50">
        <v>-0.13532951089121203</v>
      </c>
      <c r="G439" s="51" t="str">
        <v>柴山 2022/05/14 (土)
休日午前</v>
      </c>
    </row>
    <row r="440" spans="1:7" ht="16.149999999999999" x14ac:dyDescent="0.7">
      <c r="A440" s="49">
        <v>44676.659447835649</v>
      </c>
      <c r="B440" s="50" t="s">
        <v>30</v>
      </c>
      <c r="C440" s="50" t="s">
        <v>304</v>
      </c>
      <c r="D440" s="50" t="s">
        <v>261</v>
      </c>
      <c r="E440" s="50">
        <v>-1</v>
      </c>
      <c r="F440" s="50">
        <v>-0.59642486360868197</v>
      </c>
      <c r="G440" s="51" t="str">
        <v>柴山 2022/05/15 (日)
休日午後</v>
      </c>
    </row>
    <row r="441" spans="1:7" ht="16.149999999999999" x14ac:dyDescent="0.7">
      <c r="A441" s="49">
        <v>44676.659447835649</v>
      </c>
      <c r="B441" s="50" t="s">
        <v>30</v>
      </c>
      <c r="C441" s="50" t="s">
        <v>305</v>
      </c>
      <c r="D441" s="50" t="s">
        <v>263</v>
      </c>
      <c r="E441" s="50">
        <v>0</v>
      </c>
      <c r="F441" s="50">
        <v>0.29996063008767715</v>
      </c>
      <c r="G441" s="51" t="str">
        <v>柴山 2022/05/15 (日)
休日午前</v>
      </c>
    </row>
    <row r="442" spans="1:7" ht="16.149999999999999" x14ac:dyDescent="0.7">
      <c r="A442" s="49">
        <v>44676.659447835649</v>
      </c>
      <c r="B442" s="50" t="s">
        <v>30</v>
      </c>
      <c r="C442" s="50" t="s">
        <v>306</v>
      </c>
      <c r="D442" s="50" t="s">
        <v>259</v>
      </c>
      <c r="E442" s="50">
        <v>0</v>
      </c>
      <c r="F442" s="50">
        <v>0.45551399841143403</v>
      </c>
      <c r="G442" s="51" t="str">
        <v>柴山 2022/05/16 (月)
平日夜間</v>
      </c>
    </row>
    <row r="443" spans="1:7" ht="16.149999999999999" x14ac:dyDescent="0.7">
      <c r="A443" s="49">
        <v>44676.659447835649</v>
      </c>
      <c r="B443" s="50" t="s">
        <v>30</v>
      </c>
      <c r="C443" s="50" t="s">
        <v>307</v>
      </c>
      <c r="D443" s="50" t="s">
        <v>259</v>
      </c>
      <c r="E443" s="50">
        <v>-1</v>
      </c>
      <c r="F443" s="50">
        <v>-0.49208181267971907</v>
      </c>
      <c r="G443" s="51" t="str">
        <v>柴山 2022/05/17 (火)
平日夜間</v>
      </c>
    </row>
    <row r="444" spans="1:7" ht="16.149999999999999" x14ac:dyDescent="0.7">
      <c r="A444" s="49">
        <v>44676.659447835649</v>
      </c>
      <c r="B444" s="50" t="s">
        <v>30</v>
      </c>
      <c r="C444" s="50" t="s">
        <v>308</v>
      </c>
      <c r="D444" s="50" t="s">
        <v>259</v>
      </c>
      <c r="E444" s="50">
        <v>-1</v>
      </c>
      <c r="F444" s="50">
        <v>-8.0157465260350946E-3</v>
      </c>
      <c r="G444" s="51" t="str">
        <v>柴山 2022/05/18 (水)
平日夜間</v>
      </c>
    </row>
    <row r="445" spans="1:7" ht="16.149999999999999" x14ac:dyDescent="0.7">
      <c r="A445" s="49">
        <v>44676.659447835649</v>
      </c>
      <c r="B445" s="50" t="s">
        <v>30</v>
      </c>
      <c r="C445" s="50" t="s">
        <v>309</v>
      </c>
      <c r="D445" s="50" t="s">
        <v>259</v>
      </c>
      <c r="E445" s="50">
        <v>0</v>
      </c>
      <c r="F445" s="50">
        <v>0.21986356737857071</v>
      </c>
      <c r="G445" s="51" t="str">
        <v>柴山 2022/05/19 (木)
平日夜間</v>
      </c>
    </row>
    <row r="446" spans="1:7" ht="16.149999999999999" x14ac:dyDescent="0.7">
      <c r="A446" s="49">
        <v>44676.659447835649</v>
      </c>
      <c r="B446" s="50" t="s">
        <v>30</v>
      </c>
      <c r="C446" s="50" t="s">
        <v>310</v>
      </c>
      <c r="D446" s="50" t="s">
        <v>259</v>
      </c>
      <c r="E446" s="50">
        <v>0</v>
      </c>
      <c r="F446" s="50">
        <v>0.31615192691495064</v>
      </c>
      <c r="G446" s="51" t="str">
        <v>柴山 2022/05/20 (金)
平日夜間</v>
      </c>
    </row>
    <row r="447" spans="1:7" ht="16.149999999999999" x14ac:dyDescent="0.7">
      <c r="A447" s="49">
        <v>44676.659447835649</v>
      </c>
      <c r="B447" s="50" t="s">
        <v>30</v>
      </c>
      <c r="C447" s="50" t="s">
        <v>311</v>
      </c>
      <c r="D447" s="50" t="s">
        <v>261</v>
      </c>
      <c r="E447" s="50">
        <v>-1</v>
      </c>
      <c r="F447" s="50">
        <v>-0.50348422679830773</v>
      </c>
      <c r="G447" s="51" t="str">
        <v>柴山 2022/05/21 (土)
休日午後</v>
      </c>
    </row>
    <row r="448" spans="1:7" ht="16.149999999999999" x14ac:dyDescent="0.7">
      <c r="A448" s="49">
        <v>44676.659447835649</v>
      </c>
      <c r="B448" s="50" t="s">
        <v>30</v>
      </c>
      <c r="C448" s="50" t="s">
        <v>312</v>
      </c>
      <c r="D448" s="50" t="s">
        <v>263</v>
      </c>
      <c r="E448" s="50">
        <v>-1</v>
      </c>
      <c r="F448" s="50">
        <v>-0.99962730298290703</v>
      </c>
      <c r="G448" s="51" t="str">
        <v>柴山 2022/05/21 (土)
休日午前</v>
      </c>
    </row>
    <row r="449" spans="1:7" ht="16.149999999999999" x14ac:dyDescent="0.7">
      <c r="A449" s="49">
        <v>44676.659447835649</v>
      </c>
      <c r="B449" s="50" t="s">
        <v>30</v>
      </c>
      <c r="C449" s="50" t="s">
        <v>313</v>
      </c>
      <c r="D449" s="50" t="s">
        <v>261</v>
      </c>
      <c r="E449" s="50">
        <v>2</v>
      </c>
      <c r="F449" s="50">
        <v>2.62645075104873</v>
      </c>
      <c r="G449" s="51" t="str">
        <v>柴山 2022/05/22 (日)
休日午後</v>
      </c>
    </row>
    <row r="450" spans="1:7" ht="16.149999999999999" x14ac:dyDescent="0.7">
      <c r="A450" s="49">
        <v>44676.659447835649</v>
      </c>
      <c r="B450" s="50" t="s">
        <v>30</v>
      </c>
      <c r="C450" s="50" t="s">
        <v>314</v>
      </c>
      <c r="D450" s="50" t="s">
        <v>263</v>
      </c>
      <c r="E450" s="50">
        <v>-1</v>
      </c>
      <c r="F450" s="50">
        <v>-0.90864534285901932</v>
      </c>
      <c r="G450" s="51" t="str">
        <v>柴山 2022/05/22 (日)
休日午前</v>
      </c>
    </row>
    <row r="451" spans="1:7" ht="16.149999999999999" x14ac:dyDescent="0.7">
      <c r="A451" s="49">
        <v>44676.659447835649</v>
      </c>
      <c r="B451" s="50" t="s">
        <v>30</v>
      </c>
      <c r="C451" s="50" t="s">
        <v>315</v>
      </c>
      <c r="D451" s="50" t="s">
        <v>259</v>
      </c>
      <c r="E451" s="50">
        <v>-1</v>
      </c>
      <c r="F451" s="50">
        <v>-0.68062735768368143</v>
      </c>
      <c r="G451" s="51" t="str">
        <v>柴山 2022/05/23 (月)
平日夜間</v>
      </c>
    </row>
    <row r="452" spans="1:7" ht="16.149999999999999" x14ac:dyDescent="0.7">
      <c r="A452" s="49">
        <v>44676.659447835649</v>
      </c>
      <c r="B452" s="50" t="s">
        <v>30</v>
      </c>
      <c r="C452" s="50" t="s">
        <v>316</v>
      </c>
      <c r="D452" s="50" t="s">
        <v>259</v>
      </c>
      <c r="E452" s="50">
        <v>0</v>
      </c>
      <c r="F452" s="50">
        <v>0.15849695776396677</v>
      </c>
      <c r="G452" s="51" t="str">
        <v>柴山 2022/05/24 (火)
平日夜間</v>
      </c>
    </row>
    <row r="453" spans="1:7" ht="16.149999999999999" x14ac:dyDescent="0.7">
      <c r="A453" s="49">
        <v>44676.659447835649</v>
      </c>
      <c r="B453" s="50" t="s">
        <v>30</v>
      </c>
      <c r="C453" s="50" t="s">
        <v>317</v>
      </c>
      <c r="D453" s="50" t="s">
        <v>259</v>
      </c>
      <c r="E453" s="50">
        <v>0</v>
      </c>
      <c r="F453" s="50">
        <v>0.63658354973854192</v>
      </c>
      <c r="G453" s="51" t="str">
        <v>柴山 2022/05/25 (水)
平日夜間</v>
      </c>
    </row>
    <row r="454" spans="1:7" ht="16.149999999999999" x14ac:dyDescent="0.7">
      <c r="A454" s="49">
        <v>44676.659447835649</v>
      </c>
      <c r="B454" s="50" t="s">
        <v>30</v>
      </c>
      <c r="C454" s="50" t="s">
        <v>318</v>
      </c>
      <c r="D454" s="50" t="s">
        <v>259</v>
      </c>
      <c r="E454" s="50">
        <v>0</v>
      </c>
      <c r="F454" s="50">
        <v>0.93195252350477498</v>
      </c>
      <c r="G454" s="51" t="str">
        <v>柴山 2022/05/26 (木)
平日夜間</v>
      </c>
    </row>
    <row r="455" spans="1:7" ht="16.149999999999999" x14ac:dyDescent="0.7">
      <c r="A455" s="49">
        <v>44676.659447835649</v>
      </c>
      <c r="B455" s="50" t="s">
        <v>30</v>
      </c>
      <c r="C455" s="50" t="s">
        <v>319</v>
      </c>
      <c r="D455" s="50" t="s">
        <v>259</v>
      </c>
      <c r="E455" s="50">
        <v>0</v>
      </c>
      <c r="F455" s="50">
        <v>0.19833427604588061</v>
      </c>
      <c r="G455" s="51" t="str">
        <v>柴山 2022/05/27 (金)
平日夜間</v>
      </c>
    </row>
    <row r="456" spans="1:7" ht="16.149999999999999" x14ac:dyDescent="0.7">
      <c r="A456" s="49">
        <v>44676.659447835649</v>
      </c>
      <c r="B456" s="50" t="s">
        <v>30</v>
      </c>
      <c r="C456" s="50" t="s">
        <v>320</v>
      </c>
      <c r="D456" s="50" t="s">
        <v>261</v>
      </c>
      <c r="E456" s="50">
        <v>-1</v>
      </c>
      <c r="F456" s="50">
        <v>-2.285449298694564E-2</v>
      </c>
      <c r="G456" s="51" t="str">
        <v>柴山 2022/05/28 (土)
休日午後</v>
      </c>
    </row>
    <row r="457" spans="1:7" ht="16.149999999999999" x14ac:dyDescent="0.7">
      <c r="A457" s="49">
        <v>44676.659447835649</v>
      </c>
      <c r="B457" s="50" t="s">
        <v>30</v>
      </c>
      <c r="C457" s="50" t="s">
        <v>321</v>
      </c>
      <c r="D457" s="50" t="s">
        <v>263</v>
      </c>
      <c r="E457" s="50">
        <v>-1</v>
      </c>
      <c r="F457" s="50">
        <v>-0.66053813197334676</v>
      </c>
      <c r="G457" s="51" t="str">
        <v>柴山 2022/05/28 (土)
休日午前</v>
      </c>
    </row>
    <row r="458" spans="1:7" ht="16.149999999999999" x14ac:dyDescent="0.7">
      <c r="A458" s="49">
        <v>44676.659447835649</v>
      </c>
      <c r="B458" s="50" t="s">
        <v>30</v>
      </c>
      <c r="C458" s="50" t="s">
        <v>322</v>
      </c>
      <c r="D458" s="50" t="s">
        <v>261</v>
      </c>
      <c r="E458" s="50">
        <v>-1</v>
      </c>
      <c r="F458" s="50">
        <v>-0.47113994916046864</v>
      </c>
      <c r="G458" s="51" t="str">
        <v>柴山 2022/05/29 (日)
休日午後</v>
      </c>
    </row>
    <row r="459" spans="1:7" ht="16.149999999999999" x14ac:dyDescent="0.7">
      <c r="A459" s="49">
        <v>44676.659447835649</v>
      </c>
      <c r="B459" s="50" t="s">
        <v>30</v>
      </c>
      <c r="C459" s="50" t="s">
        <v>323</v>
      </c>
      <c r="D459" s="50" t="s">
        <v>263</v>
      </c>
      <c r="E459" s="50">
        <v>0</v>
      </c>
      <c r="F459" s="50">
        <v>0.8516746120435712</v>
      </c>
      <c r="G459" s="51" t="str">
        <v>柴山 2022/05/29 (日)
休日午前</v>
      </c>
    </row>
    <row r="460" spans="1:7" ht="16.149999999999999" x14ac:dyDescent="0.7">
      <c r="A460" s="49">
        <v>44676.659447835649</v>
      </c>
      <c r="B460" s="50" t="s">
        <v>30</v>
      </c>
      <c r="C460" s="50" t="s">
        <v>324</v>
      </c>
      <c r="D460" s="50" t="s">
        <v>259</v>
      </c>
      <c r="E460" s="50">
        <v>0</v>
      </c>
      <c r="F460" s="50">
        <v>0.22103016355191563</v>
      </c>
      <c r="G460" s="51" t="str">
        <v>柴山 2022/05/30 (月)
平日夜間</v>
      </c>
    </row>
    <row r="461" spans="1:7" ht="16.149999999999999" x14ac:dyDescent="0.7">
      <c r="A461" s="49">
        <v>44676.659447835649</v>
      </c>
      <c r="B461" s="50" t="s">
        <v>30</v>
      </c>
      <c r="C461" s="50" t="s">
        <v>325</v>
      </c>
      <c r="D461" s="50" t="s">
        <v>259</v>
      </c>
      <c r="E461" s="50">
        <v>0</v>
      </c>
      <c r="F461" s="50">
        <v>0.76918381225428689</v>
      </c>
      <c r="G461" s="51" t="str">
        <v>柴山 2022/05/31 (火)
平日夜間</v>
      </c>
    </row>
    <row r="462" spans="1:7" ht="16.149999999999999" x14ac:dyDescent="0.7">
      <c r="A462" s="49">
        <v>44676.663417557866</v>
      </c>
      <c r="B462" s="50" t="s">
        <v>18</v>
      </c>
      <c r="C462" s="50" t="s">
        <v>297</v>
      </c>
      <c r="D462" s="50" t="s">
        <v>259</v>
      </c>
      <c r="E462" s="50">
        <v>0</v>
      </c>
      <c r="F462" s="50">
        <v>0.45237458228636429</v>
      </c>
      <c r="G462" s="51" t="str">
        <v>中瀬 2022/05/09 (月)
平日夜間</v>
      </c>
    </row>
    <row r="463" spans="1:7" ht="16.149999999999999" x14ac:dyDescent="0.7">
      <c r="A463" s="49">
        <v>44676.663417557866</v>
      </c>
      <c r="B463" s="50" t="s">
        <v>18</v>
      </c>
      <c r="C463" s="50" t="s">
        <v>298</v>
      </c>
      <c r="D463" s="50" t="s">
        <v>259</v>
      </c>
      <c r="E463" s="50">
        <v>0</v>
      </c>
      <c r="F463" s="50">
        <v>0.55671996270503832</v>
      </c>
      <c r="G463" s="51" t="str">
        <v>中瀬 2022/05/10 (火)
平日夜間</v>
      </c>
    </row>
    <row r="464" spans="1:7" ht="16.149999999999999" x14ac:dyDescent="0.7">
      <c r="A464" s="49">
        <v>44676.663417557866</v>
      </c>
      <c r="B464" s="50" t="s">
        <v>18</v>
      </c>
      <c r="C464" s="50" t="s">
        <v>299</v>
      </c>
      <c r="D464" s="50" t="s">
        <v>259</v>
      </c>
      <c r="E464" s="50">
        <v>0</v>
      </c>
      <c r="F464" s="50">
        <v>0.88691081026452223</v>
      </c>
      <c r="G464" s="51" t="str">
        <v>中瀬 2022/05/11 (水)
平日夜間</v>
      </c>
    </row>
    <row r="465" spans="1:7" ht="16.149999999999999" x14ac:dyDescent="0.7">
      <c r="A465" s="49">
        <v>44676.663417557866</v>
      </c>
      <c r="B465" s="50" t="s">
        <v>18</v>
      </c>
      <c r="C465" s="50" t="s">
        <v>300</v>
      </c>
      <c r="D465" s="50" t="s">
        <v>259</v>
      </c>
      <c r="E465" s="50">
        <v>0</v>
      </c>
      <c r="F465" s="50">
        <v>0.3063224721167157</v>
      </c>
      <c r="G465" s="51" t="str">
        <v>中瀬 2022/05/12 (木)
平日夜間</v>
      </c>
    </row>
    <row r="466" spans="1:7" ht="16.149999999999999" x14ac:dyDescent="0.7">
      <c r="A466" s="49">
        <v>44676.663417557866</v>
      </c>
      <c r="B466" s="50" t="s">
        <v>18</v>
      </c>
      <c r="C466" s="50" t="s">
        <v>301</v>
      </c>
      <c r="D466" s="50" t="s">
        <v>259</v>
      </c>
      <c r="E466" s="50">
        <v>-1</v>
      </c>
      <c r="F466" s="50">
        <v>-0.17097801279091018</v>
      </c>
      <c r="G466" s="51" t="str">
        <v>中瀬 2022/05/13 (金)
平日夜間</v>
      </c>
    </row>
    <row r="467" spans="1:7" ht="16.149999999999999" x14ac:dyDescent="0.7">
      <c r="A467" s="49">
        <v>44676.663417557866</v>
      </c>
      <c r="B467" s="50" t="s">
        <v>18</v>
      </c>
      <c r="C467" s="50" t="s">
        <v>302</v>
      </c>
      <c r="D467" s="50" t="s">
        <v>261</v>
      </c>
      <c r="E467" s="50">
        <v>-1</v>
      </c>
      <c r="F467" s="50">
        <v>-0.11390897780722309</v>
      </c>
      <c r="G467" s="51" t="str">
        <v>中瀬 2022/05/14 (土)
休日午後</v>
      </c>
    </row>
    <row r="468" spans="1:7" ht="16.149999999999999" x14ac:dyDescent="0.7">
      <c r="A468" s="49">
        <v>44676.663417557866</v>
      </c>
      <c r="B468" s="50" t="s">
        <v>18</v>
      </c>
      <c r="C468" s="50" t="s">
        <v>303</v>
      </c>
      <c r="D468" s="50" t="s">
        <v>263</v>
      </c>
      <c r="E468" s="50">
        <v>-1</v>
      </c>
      <c r="F468" s="50">
        <v>-0.96044855544158358</v>
      </c>
      <c r="G468" s="51" t="str">
        <v>中瀬 2022/05/14 (土)
休日午前</v>
      </c>
    </row>
    <row r="469" spans="1:7" ht="16.149999999999999" x14ac:dyDescent="0.7">
      <c r="A469" s="49">
        <v>44676.663417557866</v>
      </c>
      <c r="B469" s="50" t="s">
        <v>18</v>
      </c>
      <c r="C469" s="50" t="s">
        <v>304</v>
      </c>
      <c r="D469" s="50" t="s">
        <v>261</v>
      </c>
      <c r="E469" s="50">
        <v>-1</v>
      </c>
      <c r="F469" s="50">
        <v>-0.4500234677061894</v>
      </c>
      <c r="G469" s="51" t="str">
        <v>中瀬 2022/05/15 (日)
休日午後</v>
      </c>
    </row>
    <row r="470" spans="1:7" ht="16.149999999999999" x14ac:dyDescent="0.7">
      <c r="A470" s="49">
        <v>44676.663417557866</v>
      </c>
      <c r="B470" s="50" t="s">
        <v>18</v>
      </c>
      <c r="C470" s="50" t="s">
        <v>305</v>
      </c>
      <c r="D470" s="50" t="s">
        <v>263</v>
      </c>
      <c r="E470" s="50">
        <v>-1</v>
      </c>
      <c r="F470" s="50">
        <v>-9.3751542718983671E-2</v>
      </c>
      <c r="G470" s="51" t="str">
        <v>中瀬 2022/05/15 (日)
休日午前</v>
      </c>
    </row>
    <row r="471" spans="1:7" ht="16.149999999999999" x14ac:dyDescent="0.7">
      <c r="A471" s="49">
        <v>44676.663417557866</v>
      </c>
      <c r="B471" s="50" t="s">
        <v>18</v>
      </c>
      <c r="C471" s="50" t="s">
        <v>306</v>
      </c>
      <c r="D471" s="50" t="s">
        <v>259</v>
      </c>
      <c r="E471" s="50">
        <v>0</v>
      </c>
      <c r="F471" s="50">
        <v>0.98071927583984264</v>
      </c>
      <c r="G471" s="51" t="str">
        <v>中瀬 2022/05/16 (月)
平日夜間</v>
      </c>
    </row>
    <row r="472" spans="1:7" ht="16.149999999999999" x14ac:dyDescent="0.7">
      <c r="A472" s="49">
        <v>44676.663417557866</v>
      </c>
      <c r="B472" s="50" t="s">
        <v>18</v>
      </c>
      <c r="C472" s="50" t="s">
        <v>307</v>
      </c>
      <c r="D472" s="50" t="s">
        <v>259</v>
      </c>
      <c r="E472" s="50">
        <v>2</v>
      </c>
      <c r="F472" s="50">
        <v>2.0440468176342756</v>
      </c>
      <c r="G472" s="51" t="str">
        <v>中瀬 2022/05/17 (火)
平日夜間</v>
      </c>
    </row>
    <row r="473" spans="1:7" ht="16.149999999999999" x14ac:dyDescent="0.7">
      <c r="A473" s="49">
        <v>44676.663417557866</v>
      </c>
      <c r="B473" s="50" t="s">
        <v>18</v>
      </c>
      <c r="C473" s="50" t="s">
        <v>308</v>
      </c>
      <c r="D473" s="50" t="s">
        <v>259</v>
      </c>
      <c r="E473" s="50">
        <v>0</v>
      </c>
      <c r="F473" s="50">
        <v>0.24241755080884109</v>
      </c>
      <c r="G473" s="51" t="str">
        <v>中瀬 2022/05/18 (水)
平日夜間</v>
      </c>
    </row>
    <row r="474" spans="1:7" ht="16.149999999999999" x14ac:dyDescent="0.7">
      <c r="A474" s="49">
        <v>44676.663417557866</v>
      </c>
      <c r="B474" s="50" t="s">
        <v>18</v>
      </c>
      <c r="C474" s="50" t="s">
        <v>309</v>
      </c>
      <c r="D474" s="50" t="s">
        <v>259</v>
      </c>
      <c r="E474" s="50">
        <v>0</v>
      </c>
      <c r="F474" s="50">
        <v>0.54181942343168066</v>
      </c>
      <c r="G474" s="51" t="str">
        <v>中瀬 2022/05/19 (木)
平日夜間</v>
      </c>
    </row>
    <row r="475" spans="1:7" ht="16.149999999999999" x14ac:dyDescent="0.7">
      <c r="A475" s="49">
        <v>44676.663417557866</v>
      </c>
      <c r="B475" s="50" t="s">
        <v>18</v>
      </c>
      <c r="C475" s="50" t="s">
        <v>310</v>
      </c>
      <c r="D475" s="50" t="s">
        <v>259</v>
      </c>
      <c r="E475" s="50">
        <v>-1</v>
      </c>
      <c r="F475" s="50">
        <v>-0.24516755830093162</v>
      </c>
      <c r="G475" s="51" t="str">
        <v>中瀬 2022/05/20 (金)
平日夜間</v>
      </c>
    </row>
    <row r="476" spans="1:7" ht="16.149999999999999" x14ac:dyDescent="0.7">
      <c r="A476" s="49">
        <v>44676.663417557866</v>
      </c>
      <c r="B476" s="50" t="s">
        <v>18</v>
      </c>
      <c r="C476" s="50" t="s">
        <v>311</v>
      </c>
      <c r="D476" s="50" t="s">
        <v>261</v>
      </c>
      <c r="E476" s="50">
        <v>-1</v>
      </c>
      <c r="F476" s="50">
        <v>-0.3459341205043569</v>
      </c>
      <c r="G476" s="51" t="str">
        <v>中瀬 2022/05/21 (土)
休日午後</v>
      </c>
    </row>
    <row r="477" spans="1:7" ht="16.149999999999999" x14ac:dyDescent="0.7">
      <c r="A477" s="49">
        <v>44676.663417557866</v>
      </c>
      <c r="B477" s="50" t="s">
        <v>18</v>
      </c>
      <c r="C477" s="50" t="s">
        <v>312</v>
      </c>
      <c r="D477" s="50" t="s">
        <v>263</v>
      </c>
      <c r="E477" s="50">
        <v>-1</v>
      </c>
      <c r="F477" s="50">
        <v>-0.86470980515449947</v>
      </c>
      <c r="G477" s="51" t="str">
        <v>中瀬 2022/05/21 (土)
休日午前</v>
      </c>
    </row>
    <row r="478" spans="1:7" ht="16.149999999999999" x14ac:dyDescent="0.7">
      <c r="A478" s="49">
        <v>44676.663417557866</v>
      </c>
      <c r="B478" s="50" t="s">
        <v>18</v>
      </c>
      <c r="C478" s="50" t="s">
        <v>313</v>
      </c>
      <c r="D478" s="50" t="s">
        <v>261</v>
      </c>
      <c r="E478" s="50">
        <v>-1</v>
      </c>
      <c r="F478" s="50">
        <v>-0.12453964348877977</v>
      </c>
      <c r="G478" s="51" t="str">
        <v>中瀬 2022/05/22 (日)
休日午後</v>
      </c>
    </row>
    <row r="479" spans="1:7" ht="16.149999999999999" x14ac:dyDescent="0.7">
      <c r="A479" s="49">
        <v>44676.663417557866</v>
      </c>
      <c r="B479" s="50" t="s">
        <v>18</v>
      </c>
      <c r="C479" s="50" t="s">
        <v>314</v>
      </c>
      <c r="D479" s="50" t="s">
        <v>263</v>
      </c>
      <c r="E479" s="50">
        <v>-1</v>
      </c>
      <c r="F479" s="50">
        <v>-0.47078859682261087</v>
      </c>
      <c r="G479" s="51" t="str">
        <v>中瀬 2022/05/22 (日)
休日午前</v>
      </c>
    </row>
    <row r="480" spans="1:7" ht="16.149999999999999" x14ac:dyDescent="0.7">
      <c r="A480" s="49">
        <v>44676.663417557866</v>
      </c>
      <c r="B480" s="50" t="s">
        <v>18</v>
      </c>
      <c r="C480" s="50" t="s">
        <v>315</v>
      </c>
      <c r="D480" s="50" t="s">
        <v>259</v>
      </c>
      <c r="E480" s="50">
        <v>0</v>
      </c>
      <c r="F480" s="50">
        <v>0.92181212297804693</v>
      </c>
      <c r="G480" s="51" t="str">
        <v>中瀬 2022/05/23 (月)
平日夜間</v>
      </c>
    </row>
    <row r="481" spans="1:7" ht="16.149999999999999" x14ac:dyDescent="0.7">
      <c r="A481" s="49">
        <v>44676.663417557866</v>
      </c>
      <c r="B481" s="50" t="s">
        <v>18</v>
      </c>
      <c r="C481" s="50" t="s">
        <v>316</v>
      </c>
      <c r="D481" s="50" t="s">
        <v>259</v>
      </c>
      <c r="E481" s="50">
        <v>0</v>
      </c>
      <c r="F481" s="50">
        <v>0.54767567283436125</v>
      </c>
      <c r="G481" s="51" t="str">
        <v>中瀬 2022/05/24 (火)
平日夜間</v>
      </c>
    </row>
    <row r="482" spans="1:7" ht="16.149999999999999" x14ac:dyDescent="0.7">
      <c r="A482" s="49">
        <v>44676.663417557866</v>
      </c>
      <c r="B482" s="50" t="s">
        <v>18</v>
      </c>
      <c r="C482" s="50" t="s">
        <v>317</v>
      </c>
      <c r="D482" s="50" t="s">
        <v>259</v>
      </c>
      <c r="E482" s="50">
        <v>0</v>
      </c>
      <c r="F482" s="50">
        <v>0.94889409334623287</v>
      </c>
      <c r="G482" s="51" t="str">
        <v>中瀬 2022/05/25 (水)
平日夜間</v>
      </c>
    </row>
    <row r="483" spans="1:7" ht="16.149999999999999" x14ac:dyDescent="0.7">
      <c r="A483" s="49">
        <v>44676.663417557866</v>
      </c>
      <c r="B483" s="50" t="s">
        <v>18</v>
      </c>
      <c r="C483" s="50" t="s">
        <v>318</v>
      </c>
      <c r="D483" s="50" t="s">
        <v>259</v>
      </c>
      <c r="E483" s="50">
        <v>0</v>
      </c>
      <c r="F483" s="50">
        <v>0.75669202180948525</v>
      </c>
      <c r="G483" s="51" t="str">
        <v>中瀬 2022/05/26 (木)
平日夜間</v>
      </c>
    </row>
    <row r="484" spans="1:7" ht="16.149999999999999" x14ac:dyDescent="0.7">
      <c r="A484" s="49">
        <v>44676.663417557866</v>
      </c>
      <c r="B484" s="50" t="s">
        <v>18</v>
      </c>
      <c r="C484" s="50" t="s">
        <v>319</v>
      </c>
      <c r="D484" s="50" t="s">
        <v>259</v>
      </c>
      <c r="E484" s="50">
        <v>0</v>
      </c>
      <c r="F484" s="50">
        <v>0.89173779966378941</v>
      </c>
      <c r="G484" s="51" t="str">
        <v>中瀬 2022/05/27 (金)
平日夜間</v>
      </c>
    </row>
    <row r="485" spans="1:7" ht="16.149999999999999" x14ac:dyDescent="0.7">
      <c r="A485" s="49">
        <v>44676.663417557866</v>
      </c>
      <c r="B485" s="50" t="s">
        <v>18</v>
      </c>
      <c r="C485" s="50" t="s">
        <v>320</v>
      </c>
      <c r="D485" s="50" t="s">
        <v>261</v>
      </c>
      <c r="E485" s="50">
        <v>0</v>
      </c>
      <c r="F485" s="50">
        <v>0.91350556372724978</v>
      </c>
      <c r="G485" s="51" t="str">
        <v>中瀬 2022/05/28 (土)
休日午後</v>
      </c>
    </row>
    <row r="486" spans="1:7" ht="16.149999999999999" x14ac:dyDescent="0.7">
      <c r="A486" s="49">
        <v>44676.663417557866</v>
      </c>
      <c r="B486" s="50" t="s">
        <v>18</v>
      </c>
      <c r="C486" s="50" t="s">
        <v>321</v>
      </c>
      <c r="D486" s="50" t="s">
        <v>263</v>
      </c>
      <c r="E486" s="50">
        <v>0</v>
      </c>
      <c r="F486" s="50">
        <v>0.10115077910343762</v>
      </c>
      <c r="G486" s="51" t="str">
        <v>中瀬 2022/05/28 (土)
休日午前</v>
      </c>
    </row>
    <row r="487" spans="1:7" ht="16.149999999999999" x14ac:dyDescent="0.7">
      <c r="A487" s="49">
        <v>44676.663417557866</v>
      </c>
      <c r="B487" s="50" t="s">
        <v>18</v>
      </c>
      <c r="C487" s="50" t="s">
        <v>322</v>
      </c>
      <c r="D487" s="50" t="s">
        <v>261</v>
      </c>
      <c r="E487" s="50">
        <v>-1</v>
      </c>
      <c r="F487" s="50">
        <v>-0.39973787859714482</v>
      </c>
      <c r="G487" s="51" t="str">
        <v>中瀬 2022/05/29 (日)
休日午後</v>
      </c>
    </row>
    <row r="488" spans="1:7" ht="16.149999999999999" x14ac:dyDescent="0.7">
      <c r="A488" s="49">
        <v>44676.663417557866</v>
      </c>
      <c r="B488" s="50" t="s">
        <v>18</v>
      </c>
      <c r="C488" s="50" t="s">
        <v>323</v>
      </c>
      <c r="D488" s="50" t="s">
        <v>263</v>
      </c>
      <c r="E488" s="50">
        <v>0</v>
      </c>
      <c r="F488" s="50">
        <v>0.82142140085909565</v>
      </c>
      <c r="G488" s="51" t="str">
        <v>中瀬 2022/05/29 (日)
休日午前</v>
      </c>
    </row>
    <row r="489" spans="1:7" ht="16.149999999999999" x14ac:dyDescent="0.7">
      <c r="A489" s="49">
        <v>44676.663417557866</v>
      </c>
      <c r="B489" s="50" t="s">
        <v>18</v>
      </c>
      <c r="C489" s="50" t="s">
        <v>324</v>
      </c>
      <c r="D489" s="50" t="s">
        <v>259</v>
      </c>
      <c r="E489" s="50">
        <v>0</v>
      </c>
      <c r="F489" s="50">
        <v>0.86030990996923129</v>
      </c>
      <c r="G489" s="51" t="str">
        <v>中瀬 2022/05/30 (月)
平日夜間</v>
      </c>
    </row>
    <row r="490" spans="1:7" ht="16.149999999999999" x14ac:dyDescent="0.7">
      <c r="A490" s="49">
        <v>44676.663417557866</v>
      </c>
      <c r="B490" s="50" t="s">
        <v>18</v>
      </c>
      <c r="C490" s="50" t="s">
        <v>325</v>
      </c>
      <c r="D490" s="50" t="s">
        <v>259</v>
      </c>
      <c r="E490" s="50">
        <v>0</v>
      </c>
      <c r="F490" s="50">
        <v>0.15703683236677279</v>
      </c>
      <c r="G490" s="51" t="str">
        <v>中瀬 2022/05/31 (火)
平日夜間</v>
      </c>
    </row>
    <row r="491" spans="1:7" ht="16.149999999999999" x14ac:dyDescent="0.7">
      <c r="A491" s="49">
        <v>44676.79270085648</v>
      </c>
      <c r="B491" s="50" t="s">
        <v>13</v>
      </c>
      <c r="C491" s="50" t="s">
        <v>297</v>
      </c>
      <c r="D491" s="50" t="s">
        <v>259</v>
      </c>
      <c r="E491" s="50">
        <v>0</v>
      </c>
      <c r="F491" s="50">
        <v>0.67958626122779964</v>
      </c>
      <c r="G491" s="51" t="str">
        <v>新美 2022/05/09 (月)
平日夜間</v>
      </c>
    </row>
    <row r="492" spans="1:7" ht="16.149999999999999" x14ac:dyDescent="0.7">
      <c r="A492" s="49">
        <v>44676.79270085648</v>
      </c>
      <c r="B492" s="50" t="s">
        <v>13</v>
      </c>
      <c r="C492" s="50" t="s">
        <v>298</v>
      </c>
      <c r="D492" s="50" t="s">
        <v>259</v>
      </c>
      <c r="E492" s="50">
        <v>0</v>
      </c>
      <c r="F492" s="50">
        <v>0.81721950955641298</v>
      </c>
      <c r="G492" s="51" t="str">
        <v>新美 2022/05/10 (火)
平日夜間</v>
      </c>
    </row>
    <row r="493" spans="1:7" ht="16.149999999999999" x14ac:dyDescent="0.7">
      <c r="A493" s="49">
        <v>44676.79270085648</v>
      </c>
      <c r="B493" s="50" t="s">
        <v>13</v>
      </c>
      <c r="C493" s="50" t="s">
        <v>299</v>
      </c>
      <c r="D493" s="50" t="s">
        <v>259</v>
      </c>
      <c r="E493" s="50">
        <v>-1</v>
      </c>
      <c r="F493" s="50">
        <v>-0.33296670482628543</v>
      </c>
      <c r="G493" s="51" t="str">
        <v>新美 2022/05/11 (水)
平日夜間</v>
      </c>
    </row>
    <row r="494" spans="1:7" ht="16.149999999999999" x14ac:dyDescent="0.7">
      <c r="A494" s="49">
        <v>44676.79270085648</v>
      </c>
      <c r="B494" s="50" t="s">
        <v>13</v>
      </c>
      <c r="C494" s="50" t="s">
        <v>300</v>
      </c>
      <c r="D494" s="50" t="s">
        <v>259</v>
      </c>
      <c r="E494" s="50">
        <v>0</v>
      </c>
      <c r="F494" s="50">
        <v>0.58285235555751735</v>
      </c>
      <c r="G494" s="51" t="str">
        <v>新美 2022/05/12 (木)
平日夜間</v>
      </c>
    </row>
    <row r="495" spans="1:7" ht="16.149999999999999" x14ac:dyDescent="0.7">
      <c r="A495" s="49">
        <v>44676.79270085648</v>
      </c>
      <c r="B495" s="50" t="s">
        <v>13</v>
      </c>
      <c r="C495" s="50" t="s">
        <v>301</v>
      </c>
      <c r="D495" s="50" t="s">
        <v>259</v>
      </c>
      <c r="E495" s="50">
        <v>0</v>
      </c>
      <c r="F495" s="50">
        <v>0.41087166538911646</v>
      </c>
      <c r="G495" s="51" t="str">
        <v>新美 2022/05/13 (金)
平日夜間</v>
      </c>
    </row>
    <row r="496" spans="1:7" ht="16.149999999999999" x14ac:dyDescent="0.7">
      <c r="A496" s="49">
        <v>44676.79270085648</v>
      </c>
      <c r="B496" s="50" t="s">
        <v>13</v>
      </c>
      <c r="C496" s="50" t="s">
        <v>302</v>
      </c>
      <c r="D496" s="50" t="s">
        <v>261</v>
      </c>
      <c r="E496" s="50">
        <v>0</v>
      </c>
      <c r="F496" s="50">
        <v>1.70137576849827E-2</v>
      </c>
      <c r="G496" s="51" t="str">
        <v>新美 2022/05/14 (土)
休日午後</v>
      </c>
    </row>
    <row r="497" spans="1:7" ht="16.149999999999999" x14ac:dyDescent="0.7">
      <c r="A497" s="49">
        <v>44676.79270085648</v>
      </c>
      <c r="B497" s="50" t="s">
        <v>13</v>
      </c>
      <c r="C497" s="50" t="s">
        <v>303</v>
      </c>
      <c r="D497" s="50" t="s">
        <v>263</v>
      </c>
      <c r="E497" s="50">
        <v>0</v>
      </c>
      <c r="F497" s="50">
        <v>0.82468952938058648</v>
      </c>
      <c r="G497" s="51" t="str">
        <v>新美 2022/05/14 (土)
休日午前</v>
      </c>
    </row>
    <row r="498" spans="1:7" ht="16.149999999999999" x14ac:dyDescent="0.7">
      <c r="A498" s="49">
        <v>44676.79270085648</v>
      </c>
      <c r="B498" s="50" t="s">
        <v>13</v>
      </c>
      <c r="C498" s="50" t="s">
        <v>304</v>
      </c>
      <c r="D498" s="50" t="s">
        <v>261</v>
      </c>
      <c r="E498" s="50">
        <v>0</v>
      </c>
      <c r="F498" s="50">
        <v>0.15409617696629918</v>
      </c>
      <c r="G498" s="51" t="str">
        <v>新美 2022/05/15 (日)
休日午後</v>
      </c>
    </row>
    <row r="499" spans="1:7" ht="16.149999999999999" x14ac:dyDescent="0.7">
      <c r="A499" s="49">
        <v>44676.79270085648</v>
      </c>
      <c r="B499" s="50" t="s">
        <v>13</v>
      </c>
      <c r="C499" s="50" t="s">
        <v>305</v>
      </c>
      <c r="D499" s="50" t="s">
        <v>263</v>
      </c>
      <c r="E499" s="50">
        <v>0</v>
      </c>
      <c r="F499" s="50">
        <v>0.31019384794751437</v>
      </c>
      <c r="G499" s="51" t="str">
        <v>新美 2022/05/15 (日)
休日午前</v>
      </c>
    </row>
    <row r="500" spans="1:7" ht="16.149999999999999" x14ac:dyDescent="0.7">
      <c r="A500" s="49">
        <v>44676.79270085648</v>
      </c>
      <c r="B500" s="50" t="s">
        <v>13</v>
      </c>
      <c r="C500" s="50" t="s">
        <v>306</v>
      </c>
      <c r="D500" s="50" t="s">
        <v>259</v>
      </c>
      <c r="E500" s="50">
        <v>0</v>
      </c>
      <c r="F500" s="50">
        <v>0.7801493032273803</v>
      </c>
      <c r="G500" s="51" t="str">
        <v>新美 2022/05/16 (月)
平日夜間</v>
      </c>
    </row>
    <row r="501" spans="1:7" ht="16.149999999999999" x14ac:dyDescent="0.7">
      <c r="A501" s="49">
        <v>44676.79270085648</v>
      </c>
      <c r="B501" s="50" t="s">
        <v>13</v>
      </c>
      <c r="C501" s="50" t="s">
        <v>307</v>
      </c>
      <c r="D501" s="50" t="s">
        <v>259</v>
      </c>
      <c r="E501" s="50">
        <v>-1</v>
      </c>
      <c r="F501" s="50">
        <v>-0.40599507427076897</v>
      </c>
      <c r="G501" s="51" t="str">
        <v>新美 2022/05/17 (火)
平日夜間</v>
      </c>
    </row>
    <row r="502" spans="1:7" ht="16.149999999999999" x14ac:dyDescent="0.7">
      <c r="A502" s="49">
        <v>44676.79270085648</v>
      </c>
      <c r="B502" s="50" t="s">
        <v>13</v>
      </c>
      <c r="C502" s="50" t="s">
        <v>308</v>
      </c>
      <c r="D502" s="50" t="s">
        <v>259</v>
      </c>
      <c r="E502" s="50">
        <v>-1</v>
      </c>
      <c r="F502" s="50">
        <v>-0.38750961263680606</v>
      </c>
      <c r="G502" s="51" t="str">
        <v>新美 2022/05/18 (水)
平日夜間</v>
      </c>
    </row>
    <row r="503" spans="1:7" ht="16.149999999999999" x14ac:dyDescent="0.7">
      <c r="A503" s="49">
        <v>44676.79270085648</v>
      </c>
      <c r="B503" s="50" t="s">
        <v>13</v>
      </c>
      <c r="C503" s="50" t="s">
        <v>309</v>
      </c>
      <c r="D503" s="50" t="s">
        <v>259</v>
      </c>
      <c r="E503" s="50">
        <v>0</v>
      </c>
      <c r="F503" s="50">
        <v>0.6249157912805432</v>
      </c>
      <c r="G503" s="51" t="str">
        <v>新美 2022/05/19 (木)
平日夜間</v>
      </c>
    </row>
    <row r="504" spans="1:7" ht="16.149999999999999" x14ac:dyDescent="0.7">
      <c r="A504" s="49">
        <v>44676.79270085648</v>
      </c>
      <c r="B504" s="50" t="s">
        <v>13</v>
      </c>
      <c r="C504" s="50" t="s">
        <v>310</v>
      </c>
      <c r="D504" s="50" t="s">
        <v>259</v>
      </c>
      <c r="E504" s="50">
        <v>0</v>
      </c>
      <c r="F504" s="50">
        <v>0.33281842899628789</v>
      </c>
      <c r="G504" s="51" t="str">
        <v>新美 2022/05/20 (金)
平日夜間</v>
      </c>
    </row>
    <row r="505" spans="1:7" ht="16.149999999999999" x14ac:dyDescent="0.7">
      <c r="A505" s="49">
        <v>44676.79270085648</v>
      </c>
      <c r="B505" s="50" t="s">
        <v>13</v>
      </c>
      <c r="C505" s="50" t="s">
        <v>311</v>
      </c>
      <c r="D505" s="50" t="s">
        <v>261</v>
      </c>
      <c r="E505" s="50">
        <v>0</v>
      </c>
      <c r="F505" s="50">
        <v>0.37480395424296153</v>
      </c>
      <c r="G505" s="51" t="str">
        <v>新美 2022/05/21 (土)
休日午後</v>
      </c>
    </row>
    <row r="506" spans="1:7" ht="16.149999999999999" x14ac:dyDescent="0.7">
      <c r="A506" s="49">
        <v>44676.79270085648</v>
      </c>
      <c r="B506" s="50" t="s">
        <v>13</v>
      </c>
      <c r="C506" s="50" t="s">
        <v>312</v>
      </c>
      <c r="D506" s="50" t="s">
        <v>263</v>
      </c>
      <c r="E506" s="50">
        <v>0</v>
      </c>
      <c r="F506" s="50">
        <v>0.46951111544406054</v>
      </c>
      <c r="G506" s="51" t="str">
        <v>新美 2022/05/21 (土)
休日午前</v>
      </c>
    </row>
    <row r="507" spans="1:7" ht="16.149999999999999" x14ac:dyDescent="0.7">
      <c r="A507" s="49">
        <v>44676.79270085648</v>
      </c>
      <c r="B507" s="50" t="s">
        <v>13</v>
      </c>
      <c r="C507" s="50" t="s">
        <v>313</v>
      </c>
      <c r="D507" s="50" t="s">
        <v>261</v>
      </c>
      <c r="E507" s="50">
        <v>0</v>
      </c>
      <c r="F507" s="50">
        <v>0.34639009628256945</v>
      </c>
      <c r="G507" s="51" t="str">
        <v>新美 2022/05/22 (日)
休日午後</v>
      </c>
    </row>
    <row r="508" spans="1:7" ht="16.149999999999999" x14ac:dyDescent="0.7">
      <c r="A508" s="49">
        <v>44676.79270085648</v>
      </c>
      <c r="B508" s="50" t="s">
        <v>13</v>
      </c>
      <c r="C508" s="50" t="s">
        <v>314</v>
      </c>
      <c r="D508" s="50" t="s">
        <v>263</v>
      </c>
      <c r="E508" s="50">
        <v>0</v>
      </c>
      <c r="F508" s="50">
        <v>0.73740787572040212</v>
      </c>
      <c r="G508" s="51" t="str">
        <v>新美 2022/05/22 (日)
休日午前</v>
      </c>
    </row>
    <row r="509" spans="1:7" ht="16.149999999999999" x14ac:dyDescent="0.7">
      <c r="A509" s="49">
        <v>44676.79270085648</v>
      </c>
      <c r="B509" s="50" t="s">
        <v>13</v>
      </c>
      <c r="C509" s="50" t="s">
        <v>315</v>
      </c>
      <c r="D509" s="50" t="s">
        <v>259</v>
      </c>
      <c r="E509" s="50">
        <v>-1</v>
      </c>
      <c r="F509" s="50">
        <v>-4.8259127974245919E-2</v>
      </c>
      <c r="G509" s="51" t="str">
        <v>新美 2022/05/23 (月)
平日夜間</v>
      </c>
    </row>
    <row r="510" spans="1:7" ht="16.149999999999999" x14ac:dyDescent="0.7">
      <c r="A510" s="49">
        <v>44676.79270085648</v>
      </c>
      <c r="B510" s="50" t="s">
        <v>13</v>
      </c>
      <c r="C510" s="50" t="s">
        <v>316</v>
      </c>
      <c r="D510" s="50" t="s">
        <v>259</v>
      </c>
      <c r="E510" s="50">
        <v>0</v>
      </c>
      <c r="F510" s="50">
        <v>0.87086325416929378</v>
      </c>
      <c r="G510" s="51" t="str">
        <v>新美 2022/05/24 (火)
平日夜間</v>
      </c>
    </row>
    <row r="511" spans="1:7" ht="16.149999999999999" x14ac:dyDescent="0.7">
      <c r="A511" s="49">
        <v>44676.79270085648</v>
      </c>
      <c r="B511" s="50" t="s">
        <v>13</v>
      </c>
      <c r="C511" s="50" t="s">
        <v>317</v>
      </c>
      <c r="D511" s="50" t="s">
        <v>259</v>
      </c>
      <c r="E511" s="50">
        <v>0</v>
      </c>
      <c r="F511" s="50">
        <v>0.30310742594482032</v>
      </c>
      <c r="G511" s="51" t="str">
        <v>新美 2022/05/25 (水)
平日夜間</v>
      </c>
    </row>
    <row r="512" spans="1:7" ht="16.149999999999999" x14ac:dyDescent="0.7">
      <c r="A512" s="49">
        <v>44676.79270085648</v>
      </c>
      <c r="B512" s="50" t="s">
        <v>13</v>
      </c>
      <c r="C512" s="50" t="s">
        <v>318</v>
      </c>
      <c r="D512" s="50" t="s">
        <v>259</v>
      </c>
      <c r="E512" s="50">
        <v>0</v>
      </c>
      <c r="F512" s="50">
        <v>0.60988653417980432</v>
      </c>
      <c r="G512" s="51" t="str">
        <v>新美 2022/05/26 (木)
平日夜間</v>
      </c>
    </row>
    <row r="513" spans="1:7" ht="16.149999999999999" x14ac:dyDescent="0.7">
      <c r="A513" s="49">
        <v>44676.79270085648</v>
      </c>
      <c r="B513" s="50" t="s">
        <v>13</v>
      </c>
      <c r="C513" s="50" t="s">
        <v>319</v>
      </c>
      <c r="D513" s="50" t="s">
        <v>259</v>
      </c>
      <c r="E513" s="50">
        <v>0</v>
      </c>
      <c r="F513" s="50">
        <v>0.74388068161973542</v>
      </c>
      <c r="G513" s="51" t="str">
        <v>新美 2022/05/27 (金)
平日夜間</v>
      </c>
    </row>
    <row r="514" spans="1:7" ht="16.149999999999999" x14ac:dyDescent="0.7">
      <c r="A514" s="49">
        <v>44676.79270085648</v>
      </c>
      <c r="B514" s="50" t="s">
        <v>13</v>
      </c>
      <c r="C514" s="50" t="s">
        <v>320</v>
      </c>
      <c r="D514" s="50" t="s">
        <v>261</v>
      </c>
      <c r="E514" s="50">
        <v>0</v>
      </c>
      <c r="F514" s="50">
        <v>0.44105624551234923</v>
      </c>
      <c r="G514" s="51" t="str">
        <v>新美 2022/05/28 (土)
休日午後</v>
      </c>
    </row>
    <row r="515" spans="1:7" ht="16.149999999999999" x14ac:dyDescent="0.7">
      <c r="A515" s="49">
        <v>44676.79270085648</v>
      </c>
      <c r="B515" s="50" t="s">
        <v>13</v>
      </c>
      <c r="C515" s="50" t="s">
        <v>321</v>
      </c>
      <c r="D515" s="50" t="s">
        <v>263</v>
      </c>
      <c r="E515" s="50">
        <v>0</v>
      </c>
      <c r="F515" s="50">
        <v>0.24050511413747655</v>
      </c>
      <c r="G515" s="51" t="str">
        <v>新美 2022/05/28 (土)
休日午前</v>
      </c>
    </row>
    <row r="516" spans="1:7" ht="16.149999999999999" x14ac:dyDescent="0.7">
      <c r="A516" s="49">
        <v>44676.79270085648</v>
      </c>
      <c r="B516" s="50" t="s">
        <v>13</v>
      </c>
      <c r="C516" s="50" t="s">
        <v>322</v>
      </c>
      <c r="D516" s="50" t="s">
        <v>261</v>
      </c>
      <c r="E516" s="50">
        <v>0</v>
      </c>
      <c r="F516" s="50">
        <v>0.75330317202387431</v>
      </c>
      <c r="G516" s="51" t="str">
        <v>新美 2022/05/29 (日)
休日午後</v>
      </c>
    </row>
    <row r="517" spans="1:7" ht="16.149999999999999" x14ac:dyDescent="0.7">
      <c r="A517" s="49">
        <v>44676.79270085648</v>
      </c>
      <c r="B517" s="50" t="s">
        <v>13</v>
      </c>
      <c r="C517" s="50" t="s">
        <v>323</v>
      </c>
      <c r="D517" s="50" t="s">
        <v>263</v>
      </c>
      <c r="E517" s="50">
        <v>0</v>
      </c>
      <c r="F517" s="50">
        <v>0.70253670151923941</v>
      </c>
      <c r="G517" s="51" t="str">
        <v>新美 2022/05/29 (日)
休日午前</v>
      </c>
    </row>
    <row r="518" spans="1:7" ht="16.149999999999999" x14ac:dyDescent="0.7">
      <c r="A518" s="49">
        <v>44676.79270085648</v>
      </c>
      <c r="B518" s="50" t="s">
        <v>13</v>
      </c>
      <c r="C518" s="50" t="s">
        <v>324</v>
      </c>
      <c r="D518" s="50" t="s">
        <v>259</v>
      </c>
      <c r="E518" s="50">
        <v>0</v>
      </c>
      <c r="F518" s="50">
        <v>0.15465048914142354</v>
      </c>
      <c r="G518" s="51" t="str">
        <v>新美 2022/05/30 (月)
平日夜間</v>
      </c>
    </row>
    <row r="519" spans="1:7" ht="16.149999999999999" x14ac:dyDescent="0.7">
      <c r="A519" s="49">
        <v>44676.79270085648</v>
      </c>
      <c r="B519" s="50" t="s">
        <v>13</v>
      </c>
      <c r="C519" s="50" t="s">
        <v>325</v>
      </c>
      <c r="D519" s="50" t="s">
        <v>259</v>
      </c>
      <c r="E519" s="50">
        <v>0</v>
      </c>
      <c r="F519" s="50">
        <v>9.8708867117003996E-2</v>
      </c>
      <c r="G519" s="51" t="str">
        <v>新美 2022/05/31 (火)
平日夜間</v>
      </c>
    </row>
    <row r="520" spans="1:7" ht="16.149999999999999" x14ac:dyDescent="0.7">
      <c r="A520" s="49">
        <v>44676.812792546298</v>
      </c>
      <c r="B520" s="50" t="s">
        <v>16</v>
      </c>
      <c r="C520" s="50" t="s">
        <v>297</v>
      </c>
      <c r="D520" s="50" t="s">
        <v>259</v>
      </c>
      <c r="E520" s="50">
        <v>0</v>
      </c>
      <c r="F520" s="50">
        <v>0.1560297886774149</v>
      </c>
      <c r="G520" s="51" t="str">
        <v>吉田 2022/05/09 (月)
平日夜間</v>
      </c>
    </row>
    <row r="521" spans="1:7" ht="16.149999999999999" x14ac:dyDescent="0.7">
      <c r="A521" s="49">
        <v>44676.812792546298</v>
      </c>
      <c r="B521" s="50" t="s">
        <v>16</v>
      </c>
      <c r="C521" s="50" t="s">
        <v>298</v>
      </c>
      <c r="D521" s="50" t="s">
        <v>259</v>
      </c>
      <c r="E521" s="50">
        <v>-1</v>
      </c>
      <c r="F521" s="50">
        <v>-0.20146623551576814</v>
      </c>
      <c r="G521" s="51" t="str">
        <v>吉田 2022/05/10 (火)
平日夜間</v>
      </c>
    </row>
    <row r="522" spans="1:7" ht="16.149999999999999" x14ac:dyDescent="0.7">
      <c r="A522" s="49">
        <v>44676.812792546298</v>
      </c>
      <c r="B522" s="50" t="s">
        <v>16</v>
      </c>
      <c r="C522" s="50" t="s">
        <v>299</v>
      </c>
      <c r="D522" s="50" t="s">
        <v>259</v>
      </c>
      <c r="E522" s="50">
        <v>0</v>
      </c>
      <c r="F522" s="50">
        <v>0.4543908386542963</v>
      </c>
      <c r="G522" s="51" t="str">
        <v>吉田 2022/05/11 (水)
平日夜間</v>
      </c>
    </row>
    <row r="523" spans="1:7" ht="16.149999999999999" x14ac:dyDescent="0.7">
      <c r="A523" s="49">
        <v>44676.812792546298</v>
      </c>
      <c r="B523" s="50" t="s">
        <v>16</v>
      </c>
      <c r="C523" s="50" t="s">
        <v>300</v>
      </c>
      <c r="D523" s="50" t="s">
        <v>259</v>
      </c>
      <c r="E523" s="50">
        <v>-1</v>
      </c>
      <c r="F523" s="50">
        <v>-0.43376694210250766</v>
      </c>
      <c r="G523" s="51" t="str">
        <v>吉田 2022/05/12 (木)
平日夜間</v>
      </c>
    </row>
    <row r="524" spans="1:7" ht="16.149999999999999" x14ac:dyDescent="0.7">
      <c r="A524" s="49">
        <v>44676.812792546298</v>
      </c>
      <c r="B524" s="50" t="s">
        <v>16</v>
      </c>
      <c r="C524" s="50" t="s">
        <v>301</v>
      </c>
      <c r="D524" s="50" t="s">
        <v>259</v>
      </c>
      <c r="E524" s="50">
        <v>-1</v>
      </c>
      <c r="F524" s="50">
        <v>-0.73033635239963002</v>
      </c>
      <c r="G524" s="51" t="str">
        <v>吉田 2022/05/13 (金)
平日夜間</v>
      </c>
    </row>
    <row r="525" spans="1:7" ht="16.149999999999999" x14ac:dyDescent="0.7">
      <c r="A525" s="49">
        <v>44676.812792546298</v>
      </c>
      <c r="B525" s="50" t="s">
        <v>16</v>
      </c>
      <c r="C525" s="50" t="s">
        <v>302</v>
      </c>
      <c r="D525" s="50" t="s">
        <v>261</v>
      </c>
      <c r="E525" s="50">
        <v>-1</v>
      </c>
      <c r="F525" s="50">
        <v>-0.17744267105017175</v>
      </c>
      <c r="G525" s="51" t="str">
        <v>吉田 2022/05/14 (土)
休日午後</v>
      </c>
    </row>
    <row r="526" spans="1:7" ht="16.149999999999999" x14ac:dyDescent="0.7">
      <c r="A526" s="49">
        <v>44676.812792546298</v>
      </c>
      <c r="B526" s="50" t="s">
        <v>16</v>
      </c>
      <c r="C526" s="50" t="s">
        <v>303</v>
      </c>
      <c r="D526" s="50" t="s">
        <v>263</v>
      </c>
      <c r="E526" s="50">
        <v>-1</v>
      </c>
      <c r="F526" s="50">
        <v>-0.58230605764836341</v>
      </c>
      <c r="G526" s="51" t="str">
        <v>吉田 2022/05/14 (土)
休日午前</v>
      </c>
    </row>
    <row r="527" spans="1:7" ht="16.149999999999999" x14ac:dyDescent="0.7">
      <c r="A527" s="49">
        <v>44676.812792546298</v>
      </c>
      <c r="B527" s="50" t="s">
        <v>16</v>
      </c>
      <c r="C527" s="50" t="s">
        <v>304</v>
      </c>
      <c r="D527" s="50" t="s">
        <v>261</v>
      </c>
      <c r="E527" s="50">
        <v>-1</v>
      </c>
      <c r="F527" s="50">
        <v>-0.86768145687865372</v>
      </c>
      <c r="G527" s="51" t="str">
        <v>吉田 2022/05/15 (日)
休日午後</v>
      </c>
    </row>
    <row r="528" spans="1:7" ht="16.149999999999999" x14ac:dyDescent="0.7">
      <c r="A528" s="49">
        <v>44676.812792546298</v>
      </c>
      <c r="B528" s="50" t="s">
        <v>16</v>
      </c>
      <c r="C528" s="50" t="s">
        <v>305</v>
      </c>
      <c r="D528" s="50" t="s">
        <v>263</v>
      </c>
      <c r="E528" s="50">
        <v>-1</v>
      </c>
      <c r="F528" s="50">
        <v>-0.43404040829768431</v>
      </c>
      <c r="G528" s="51" t="str">
        <v>吉田 2022/05/15 (日)
休日午前</v>
      </c>
    </row>
    <row r="529" spans="1:7" ht="16.149999999999999" x14ac:dyDescent="0.7">
      <c r="A529" s="49">
        <v>44676.812792546298</v>
      </c>
      <c r="B529" s="50" t="s">
        <v>16</v>
      </c>
      <c r="C529" s="50" t="s">
        <v>306</v>
      </c>
      <c r="D529" s="50" t="s">
        <v>259</v>
      </c>
      <c r="E529" s="50">
        <v>0</v>
      </c>
      <c r="F529" s="50">
        <v>0.98626462243297364</v>
      </c>
      <c r="G529" s="51" t="str">
        <v>吉田 2022/05/16 (月)
平日夜間</v>
      </c>
    </row>
    <row r="530" spans="1:7" ht="16.149999999999999" x14ac:dyDescent="0.7">
      <c r="A530" s="49">
        <v>44676.812792546298</v>
      </c>
      <c r="B530" s="50" t="s">
        <v>16</v>
      </c>
      <c r="C530" s="50" t="s">
        <v>307</v>
      </c>
      <c r="D530" s="50" t="s">
        <v>259</v>
      </c>
      <c r="E530" s="50">
        <v>-1</v>
      </c>
      <c r="F530" s="50">
        <v>-0.49532337645652524</v>
      </c>
      <c r="G530" s="51" t="str">
        <v>吉田 2022/05/17 (火)
平日夜間</v>
      </c>
    </row>
    <row r="531" spans="1:7" ht="16.149999999999999" x14ac:dyDescent="0.7">
      <c r="A531" s="49">
        <v>44676.812792546298</v>
      </c>
      <c r="B531" s="50" t="s">
        <v>16</v>
      </c>
      <c r="C531" s="50" t="s">
        <v>308</v>
      </c>
      <c r="D531" s="50" t="s">
        <v>259</v>
      </c>
      <c r="E531" s="50">
        <v>-1</v>
      </c>
      <c r="F531" s="50">
        <v>-0.71769699964245048</v>
      </c>
      <c r="G531" s="51" t="str">
        <v>吉田 2022/05/18 (水)
平日夜間</v>
      </c>
    </row>
    <row r="532" spans="1:7" ht="16.149999999999999" x14ac:dyDescent="0.7">
      <c r="A532" s="49">
        <v>44676.812792546298</v>
      </c>
      <c r="B532" s="50" t="s">
        <v>16</v>
      </c>
      <c r="C532" s="50" t="s">
        <v>309</v>
      </c>
      <c r="D532" s="50" t="s">
        <v>259</v>
      </c>
      <c r="E532" s="50">
        <v>0</v>
      </c>
      <c r="F532" s="50">
        <v>0.89785518342759563</v>
      </c>
      <c r="G532" s="51" t="str">
        <v>吉田 2022/05/19 (木)
平日夜間</v>
      </c>
    </row>
    <row r="533" spans="1:7" ht="16.149999999999999" x14ac:dyDescent="0.7">
      <c r="A533" s="49">
        <v>44676.812792546298</v>
      </c>
      <c r="B533" s="50" t="s">
        <v>16</v>
      </c>
      <c r="C533" s="50" t="s">
        <v>310</v>
      </c>
      <c r="D533" s="50" t="s">
        <v>259</v>
      </c>
      <c r="E533" s="50">
        <v>0</v>
      </c>
      <c r="F533" s="50">
        <v>0.3247349256367984</v>
      </c>
      <c r="G533" s="51" t="str">
        <v>吉田 2022/05/20 (金)
平日夜間</v>
      </c>
    </row>
    <row r="534" spans="1:7" ht="16.149999999999999" x14ac:dyDescent="0.7">
      <c r="A534" s="49">
        <v>44676.812792546298</v>
      </c>
      <c r="B534" s="50" t="s">
        <v>16</v>
      </c>
      <c r="C534" s="50" t="s">
        <v>311</v>
      </c>
      <c r="D534" s="50" t="s">
        <v>261</v>
      </c>
      <c r="E534" s="50">
        <v>0</v>
      </c>
      <c r="F534" s="50">
        <v>0.31174408218743177</v>
      </c>
      <c r="G534" s="51" t="str">
        <v>吉田 2022/05/21 (土)
休日午後</v>
      </c>
    </row>
    <row r="535" spans="1:7" ht="16.149999999999999" x14ac:dyDescent="0.7">
      <c r="A535" s="49">
        <v>44676.812792546298</v>
      </c>
      <c r="B535" s="50" t="s">
        <v>16</v>
      </c>
      <c r="C535" s="50" t="s">
        <v>312</v>
      </c>
      <c r="D535" s="50" t="s">
        <v>263</v>
      </c>
      <c r="E535" s="50">
        <v>0</v>
      </c>
      <c r="F535" s="50">
        <v>0.97736040353643938</v>
      </c>
      <c r="G535" s="51" t="str">
        <v>吉田 2022/05/21 (土)
休日午前</v>
      </c>
    </row>
    <row r="536" spans="1:7" ht="16.149999999999999" x14ac:dyDescent="0.7">
      <c r="A536" s="49">
        <v>44676.812792546298</v>
      </c>
      <c r="B536" s="50" t="s">
        <v>16</v>
      </c>
      <c r="C536" s="50" t="s">
        <v>313</v>
      </c>
      <c r="D536" s="50" t="s">
        <v>261</v>
      </c>
      <c r="E536" s="50">
        <v>0</v>
      </c>
      <c r="F536" s="50">
        <v>0.44894664759061675</v>
      </c>
      <c r="G536" s="51" t="str">
        <v>吉田 2022/05/22 (日)
休日午後</v>
      </c>
    </row>
    <row r="537" spans="1:7" ht="16.149999999999999" x14ac:dyDescent="0.7">
      <c r="A537" s="49">
        <v>44676.812792546298</v>
      </c>
      <c r="B537" s="50" t="s">
        <v>16</v>
      </c>
      <c r="C537" s="50" t="s">
        <v>314</v>
      </c>
      <c r="D537" s="50" t="s">
        <v>263</v>
      </c>
      <c r="E537" s="50">
        <v>0</v>
      </c>
      <c r="F537" s="50">
        <v>0.3033167088220543</v>
      </c>
      <c r="G537" s="51" t="str">
        <v>吉田 2022/05/22 (日)
休日午前</v>
      </c>
    </row>
    <row r="538" spans="1:7" ht="16.149999999999999" x14ac:dyDescent="0.7">
      <c r="A538" s="49">
        <v>44676.812792546298</v>
      </c>
      <c r="B538" s="50" t="s">
        <v>16</v>
      </c>
      <c r="C538" s="50" t="s">
        <v>315</v>
      </c>
      <c r="D538" s="50" t="s">
        <v>259</v>
      </c>
      <c r="E538" s="50">
        <v>0</v>
      </c>
      <c r="F538" s="50">
        <v>0.23981142145263346</v>
      </c>
      <c r="G538" s="51" t="str">
        <v>吉田 2022/05/23 (月)
平日夜間</v>
      </c>
    </row>
    <row r="539" spans="1:7" ht="16.149999999999999" x14ac:dyDescent="0.7">
      <c r="A539" s="49">
        <v>44676.812792546298</v>
      </c>
      <c r="B539" s="50" t="s">
        <v>16</v>
      </c>
      <c r="C539" s="50" t="s">
        <v>316</v>
      </c>
      <c r="D539" s="50" t="s">
        <v>259</v>
      </c>
      <c r="E539" s="50">
        <v>0</v>
      </c>
      <c r="F539" s="50">
        <v>8.8606160666370171E-2</v>
      </c>
      <c r="G539" s="51" t="str">
        <v>吉田 2022/05/24 (火)
平日夜間</v>
      </c>
    </row>
    <row r="540" spans="1:7" ht="16.149999999999999" x14ac:dyDescent="0.7">
      <c r="A540" s="49">
        <v>44676.812792546298</v>
      </c>
      <c r="B540" s="50" t="s">
        <v>16</v>
      </c>
      <c r="C540" s="50" t="s">
        <v>317</v>
      </c>
      <c r="D540" s="50" t="s">
        <v>259</v>
      </c>
      <c r="E540" s="50">
        <v>0</v>
      </c>
      <c r="F540" s="50">
        <v>0.56002076183946836</v>
      </c>
      <c r="G540" s="51" t="str">
        <v>吉田 2022/05/25 (水)
平日夜間</v>
      </c>
    </row>
    <row r="541" spans="1:7" ht="16.149999999999999" x14ac:dyDescent="0.7">
      <c r="A541" s="49">
        <v>44676.812792546298</v>
      </c>
      <c r="B541" s="50" t="s">
        <v>16</v>
      </c>
      <c r="C541" s="50" t="s">
        <v>318</v>
      </c>
      <c r="D541" s="50" t="s">
        <v>259</v>
      </c>
      <c r="E541" s="50">
        <v>0</v>
      </c>
      <c r="F541" s="50">
        <v>0.72065402640127285</v>
      </c>
      <c r="G541" s="51" t="str">
        <v>吉田 2022/05/26 (木)
平日夜間</v>
      </c>
    </row>
    <row r="542" spans="1:7" ht="16.149999999999999" x14ac:dyDescent="0.7">
      <c r="A542" s="49">
        <v>44676.812792546298</v>
      </c>
      <c r="B542" s="50" t="s">
        <v>16</v>
      </c>
      <c r="C542" s="50" t="s">
        <v>319</v>
      </c>
      <c r="D542" s="50" t="s">
        <v>259</v>
      </c>
      <c r="E542" s="50">
        <v>-1</v>
      </c>
      <c r="F542" s="50">
        <v>-0.22238183757749175</v>
      </c>
      <c r="G542" s="51" t="str">
        <v>吉田 2022/05/27 (金)
平日夜間</v>
      </c>
    </row>
    <row r="543" spans="1:7" ht="16.149999999999999" x14ac:dyDescent="0.7">
      <c r="A543" s="49">
        <v>44676.812792546298</v>
      </c>
      <c r="B543" s="50" t="s">
        <v>16</v>
      </c>
      <c r="C543" s="50" t="s">
        <v>320</v>
      </c>
      <c r="D543" s="50" t="s">
        <v>261</v>
      </c>
      <c r="E543" s="50">
        <v>2</v>
      </c>
      <c r="F543" s="50">
        <v>2.8471554891632671</v>
      </c>
      <c r="G543" s="51" t="str">
        <v>吉田 2022/05/28 (土)
休日午後</v>
      </c>
    </row>
    <row r="544" spans="1:7" ht="16.149999999999999" x14ac:dyDescent="0.7">
      <c r="A544" s="49">
        <v>44676.812792546298</v>
      </c>
      <c r="B544" s="50" t="s">
        <v>16</v>
      </c>
      <c r="C544" s="50" t="s">
        <v>321</v>
      </c>
      <c r="D544" s="50" t="s">
        <v>263</v>
      </c>
      <c r="E544" s="50">
        <v>0</v>
      </c>
      <c r="F544" s="50">
        <v>0.3106109131644974</v>
      </c>
      <c r="G544" s="51" t="str">
        <v>吉田 2022/05/28 (土)
休日午前</v>
      </c>
    </row>
    <row r="545" spans="1:7" ht="16.149999999999999" x14ac:dyDescent="0.7">
      <c r="A545" s="49">
        <v>44676.812792546298</v>
      </c>
      <c r="B545" s="50" t="s">
        <v>16</v>
      </c>
      <c r="C545" s="50" t="s">
        <v>322</v>
      </c>
      <c r="D545" s="50" t="s">
        <v>261</v>
      </c>
      <c r="E545" s="50">
        <v>-1</v>
      </c>
      <c r="F545" s="50">
        <v>-0.44111177211790964</v>
      </c>
      <c r="G545" s="51" t="str">
        <v>吉田 2022/05/29 (日)
休日午後</v>
      </c>
    </row>
    <row r="546" spans="1:7" ht="16.149999999999999" x14ac:dyDescent="0.7">
      <c r="A546" s="49">
        <v>44676.812792546298</v>
      </c>
      <c r="B546" s="50" t="s">
        <v>16</v>
      </c>
      <c r="C546" s="50" t="s">
        <v>323</v>
      </c>
      <c r="D546" s="50" t="s">
        <v>263</v>
      </c>
      <c r="E546" s="50">
        <v>-1</v>
      </c>
      <c r="F546" s="50">
        <v>-0.91547053913940357</v>
      </c>
      <c r="G546" s="51" t="str">
        <v>吉田 2022/05/29 (日)
休日午前</v>
      </c>
    </row>
    <row r="547" spans="1:7" ht="16.149999999999999" x14ac:dyDescent="0.7">
      <c r="A547" s="49">
        <v>44676.812792546298</v>
      </c>
      <c r="B547" s="50" t="s">
        <v>16</v>
      </c>
      <c r="C547" s="50" t="s">
        <v>324</v>
      </c>
      <c r="D547" s="50" t="s">
        <v>259</v>
      </c>
      <c r="E547" s="50">
        <v>0</v>
      </c>
      <c r="F547" s="50">
        <v>0.60803198865190899</v>
      </c>
      <c r="G547" s="51" t="str">
        <v>吉田 2022/05/30 (月)
平日夜間</v>
      </c>
    </row>
    <row r="548" spans="1:7" ht="16.149999999999999" x14ac:dyDescent="0.7">
      <c r="A548" s="49">
        <v>44676.812792546298</v>
      </c>
      <c r="B548" s="50" t="s">
        <v>16</v>
      </c>
      <c r="C548" s="50" t="s">
        <v>325</v>
      </c>
      <c r="D548" s="50" t="s">
        <v>259</v>
      </c>
      <c r="E548" s="50">
        <v>0</v>
      </c>
      <c r="F548" s="50">
        <v>0.31254974227335053</v>
      </c>
      <c r="G548" s="51" t="str">
        <v>吉田 2022/05/31 (火)
平日夜間</v>
      </c>
    </row>
    <row r="549" spans="1:7" ht="16.149999999999999" x14ac:dyDescent="0.7">
      <c r="A549" s="49">
        <v>44676.824991886577</v>
      </c>
      <c r="B549" s="50" t="s">
        <v>29</v>
      </c>
      <c r="C549" s="50" t="s">
        <v>297</v>
      </c>
      <c r="D549" s="50" t="s">
        <v>259</v>
      </c>
      <c r="E549" s="50">
        <v>0</v>
      </c>
      <c r="F549" s="50">
        <v>0.99984495680496344</v>
      </c>
      <c r="G549" s="51" t="str">
        <v>福里 2022/05/09 (月)
平日夜間</v>
      </c>
    </row>
    <row r="550" spans="1:7" ht="16.149999999999999" x14ac:dyDescent="0.7">
      <c r="A550" s="49">
        <v>44676.824991886577</v>
      </c>
      <c r="B550" s="50" t="s">
        <v>29</v>
      </c>
      <c r="C550" s="50" t="s">
        <v>298</v>
      </c>
      <c r="D550" s="50" t="s">
        <v>259</v>
      </c>
      <c r="E550" s="50">
        <v>0</v>
      </c>
      <c r="F550" s="50">
        <v>0.12562741313414705</v>
      </c>
      <c r="G550" s="51" t="str">
        <v>福里 2022/05/10 (火)
平日夜間</v>
      </c>
    </row>
    <row r="551" spans="1:7" ht="16.149999999999999" x14ac:dyDescent="0.7">
      <c r="A551" s="49">
        <v>44676.824991886577</v>
      </c>
      <c r="B551" s="50" t="s">
        <v>29</v>
      </c>
      <c r="C551" s="50" t="s">
        <v>299</v>
      </c>
      <c r="D551" s="50" t="s">
        <v>259</v>
      </c>
      <c r="E551" s="50">
        <v>0</v>
      </c>
      <c r="F551" s="50">
        <v>6.051132857291952E-2</v>
      </c>
      <c r="G551" s="51" t="str">
        <v>福里 2022/05/11 (水)
平日夜間</v>
      </c>
    </row>
    <row r="552" spans="1:7" ht="16.149999999999999" x14ac:dyDescent="0.7">
      <c r="A552" s="49">
        <v>44676.824991886577</v>
      </c>
      <c r="B552" s="50" t="s">
        <v>29</v>
      </c>
      <c r="C552" s="50" t="s">
        <v>300</v>
      </c>
      <c r="D552" s="50" t="s">
        <v>259</v>
      </c>
      <c r="E552" s="50">
        <v>0</v>
      </c>
      <c r="F552" s="50">
        <v>0.56769010331573555</v>
      </c>
      <c r="G552" s="51" t="str">
        <v>福里 2022/05/12 (木)
平日夜間</v>
      </c>
    </row>
    <row r="553" spans="1:7" ht="16.149999999999999" x14ac:dyDescent="0.7">
      <c r="A553" s="49">
        <v>44676.824991886577</v>
      </c>
      <c r="B553" s="50" t="s">
        <v>29</v>
      </c>
      <c r="C553" s="50" t="s">
        <v>301</v>
      </c>
      <c r="D553" s="50" t="s">
        <v>259</v>
      </c>
      <c r="E553" s="50">
        <v>0</v>
      </c>
      <c r="F553" s="50">
        <v>0.12113887126033451</v>
      </c>
      <c r="G553" s="51" t="str">
        <v>福里 2022/05/13 (金)
平日夜間</v>
      </c>
    </row>
    <row r="554" spans="1:7" ht="16.149999999999999" x14ac:dyDescent="0.7">
      <c r="A554" s="49">
        <v>44676.824991886577</v>
      </c>
      <c r="B554" s="50" t="s">
        <v>29</v>
      </c>
      <c r="C554" s="50" t="s">
        <v>302</v>
      </c>
      <c r="D554" s="50" t="s">
        <v>261</v>
      </c>
      <c r="E554" s="50">
        <v>2</v>
      </c>
      <c r="F554" s="50">
        <v>2.6242195959079577</v>
      </c>
      <c r="G554" s="51" t="str">
        <v>福里 2022/05/14 (土)
休日午後</v>
      </c>
    </row>
    <row r="555" spans="1:7" ht="16.149999999999999" x14ac:dyDescent="0.7">
      <c r="A555" s="49">
        <v>44676.824991886577</v>
      </c>
      <c r="B555" s="50" t="s">
        <v>29</v>
      </c>
      <c r="C555" s="50" t="s">
        <v>303</v>
      </c>
      <c r="D555" s="50" t="s">
        <v>263</v>
      </c>
      <c r="E555" s="50">
        <v>-1</v>
      </c>
      <c r="F555" s="50">
        <v>-6.9670153862255724E-3</v>
      </c>
      <c r="G555" s="51" t="str">
        <v>福里 2022/05/14 (土)
休日午前</v>
      </c>
    </row>
    <row r="556" spans="1:7" ht="16.149999999999999" x14ac:dyDescent="0.7">
      <c r="A556" s="49">
        <v>44676.824991886577</v>
      </c>
      <c r="B556" s="50" t="s">
        <v>29</v>
      </c>
      <c r="C556" s="50" t="s">
        <v>304</v>
      </c>
      <c r="D556" s="50" t="s">
        <v>261</v>
      </c>
      <c r="E556" s="50">
        <v>-1</v>
      </c>
      <c r="F556" s="50">
        <v>-0.95995487444325511</v>
      </c>
      <c r="G556" s="51" t="str">
        <v>福里 2022/05/15 (日)
休日午後</v>
      </c>
    </row>
    <row r="557" spans="1:7" ht="16.149999999999999" x14ac:dyDescent="0.7">
      <c r="A557" s="49">
        <v>44676.824991886577</v>
      </c>
      <c r="B557" s="50" t="s">
        <v>29</v>
      </c>
      <c r="C557" s="50" t="s">
        <v>305</v>
      </c>
      <c r="D557" s="50" t="s">
        <v>263</v>
      </c>
      <c r="E557" s="50">
        <v>-1</v>
      </c>
      <c r="F557" s="50">
        <v>-0.7114807180334668</v>
      </c>
      <c r="G557" s="51" t="str">
        <v>福里 2022/05/15 (日)
休日午前</v>
      </c>
    </row>
    <row r="558" spans="1:7" ht="16.149999999999999" x14ac:dyDescent="0.7">
      <c r="A558" s="49">
        <v>44676.824991886577</v>
      </c>
      <c r="B558" s="50" t="s">
        <v>29</v>
      </c>
      <c r="C558" s="50" t="s">
        <v>306</v>
      </c>
      <c r="D558" s="50" t="s">
        <v>259</v>
      </c>
      <c r="E558" s="50">
        <v>0</v>
      </c>
      <c r="F558" s="50">
        <v>0.79667956029711595</v>
      </c>
      <c r="G558" s="51" t="str">
        <v>福里 2022/05/16 (月)
平日夜間</v>
      </c>
    </row>
    <row r="559" spans="1:7" ht="16.149999999999999" x14ac:dyDescent="0.7">
      <c r="A559" s="49">
        <v>44676.824991886577</v>
      </c>
      <c r="B559" s="50" t="s">
        <v>29</v>
      </c>
      <c r="C559" s="50" t="s">
        <v>307</v>
      </c>
      <c r="D559" s="50" t="s">
        <v>259</v>
      </c>
      <c r="E559" s="50">
        <v>0</v>
      </c>
      <c r="F559" s="50">
        <v>6.1998582641705324E-2</v>
      </c>
      <c r="G559" s="51" t="str">
        <v>福里 2022/05/17 (火)
平日夜間</v>
      </c>
    </row>
    <row r="560" spans="1:7" ht="16.149999999999999" x14ac:dyDescent="0.7">
      <c r="A560" s="49">
        <v>44676.824991886577</v>
      </c>
      <c r="B560" s="50" t="s">
        <v>29</v>
      </c>
      <c r="C560" s="50" t="s">
        <v>308</v>
      </c>
      <c r="D560" s="50" t="s">
        <v>259</v>
      </c>
      <c r="E560" s="50">
        <v>0</v>
      </c>
      <c r="F560" s="50">
        <v>0.99042835534924412</v>
      </c>
      <c r="G560" s="51" t="str">
        <v>福里 2022/05/18 (水)
平日夜間</v>
      </c>
    </row>
    <row r="561" spans="1:7" ht="16.149999999999999" x14ac:dyDescent="0.7">
      <c r="A561" s="49">
        <v>44676.824991886577</v>
      </c>
      <c r="B561" s="50" t="s">
        <v>29</v>
      </c>
      <c r="C561" s="50" t="s">
        <v>309</v>
      </c>
      <c r="D561" s="50" t="s">
        <v>259</v>
      </c>
      <c r="E561" s="50">
        <v>0</v>
      </c>
      <c r="F561" s="50">
        <v>0.32365544165254589</v>
      </c>
      <c r="G561" s="51" t="str">
        <v>福里 2022/05/19 (木)
平日夜間</v>
      </c>
    </row>
    <row r="562" spans="1:7" ht="16.149999999999999" x14ac:dyDescent="0.7">
      <c r="A562" s="49">
        <v>44676.824991886577</v>
      </c>
      <c r="B562" s="50" t="s">
        <v>29</v>
      </c>
      <c r="C562" s="50" t="s">
        <v>310</v>
      </c>
      <c r="D562" s="50" t="s">
        <v>259</v>
      </c>
      <c r="E562" s="50">
        <v>0</v>
      </c>
      <c r="F562" s="50">
        <v>0.71529449163516801</v>
      </c>
      <c r="G562" s="51" t="str">
        <v>福里 2022/05/20 (金)
平日夜間</v>
      </c>
    </row>
    <row r="563" spans="1:7" ht="16.149999999999999" x14ac:dyDescent="0.7">
      <c r="A563" s="49">
        <v>44676.824991886577</v>
      </c>
      <c r="B563" s="50" t="s">
        <v>29</v>
      </c>
      <c r="C563" s="50" t="s">
        <v>311</v>
      </c>
      <c r="D563" s="50" t="s">
        <v>261</v>
      </c>
      <c r="E563" s="50">
        <v>0</v>
      </c>
      <c r="F563" s="50">
        <v>0.53926989440706086</v>
      </c>
      <c r="G563" s="51" t="str">
        <v>福里 2022/05/21 (土)
休日午後</v>
      </c>
    </row>
    <row r="564" spans="1:7" ht="16.149999999999999" x14ac:dyDescent="0.7">
      <c r="A564" s="49">
        <v>44676.824991886577</v>
      </c>
      <c r="B564" s="50" t="s">
        <v>29</v>
      </c>
      <c r="C564" s="50" t="s">
        <v>312</v>
      </c>
      <c r="D564" s="50" t="s">
        <v>263</v>
      </c>
      <c r="E564" s="50">
        <v>0</v>
      </c>
      <c r="F564" s="50">
        <v>0.98842169009703817</v>
      </c>
      <c r="G564" s="51" t="str">
        <v>福里 2022/05/21 (土)
休日午前</v>
      </c>
    </row>
    <row r="565" spans="1:7" ht="16.149999999999999" x14ac:dyDescent="0.7">
      <c r="A565" s="49">
        <v>44676.824991886577</v>
      </c>
      <c r="B565" s="50" t="s">
        <v>29</v>
      </c>
      <c r="C565" s="50" t="s">
        <v>313</v>
      </c>
      <c r="D565" s="50" t="s">
        <v>261</v>
      </c>
      <c r="E565" s="50">
        <v>0</v>
      </c>
      <c r="F565" s="50">
        <v>0.15176178256784767</v>
      </c>
      <c r="G565" s="51" t="str">
        <v>福里 2022/05/22 (日)
休日午後</v>
      </c>
    </row>
    <row r="566" spans="1:7" ht="16.149999999999999" x14ac:dyDescent="0.7">
      <c r="A566" s="49">
        <v>44676.824991886577</v>
      </c>
      <c r="B566" s="50" t="s">
        <v>29</v>
      </c>
      <c r="C566" s="50" t="s">
        <v>314</v>
      </c>
      <c r="D566" s="50" t="s">
        <v>263</v>
      </c>
      <c r="E566" s="50">
        <v>0</v>
      </c>
      <c r="F566" s="50">
        <v>0.71339389758284399</v>
      </c>
      <c r="G566" s="51" t="str">
        <v>福里 2022/05/22 (日)
休日午前</v>
      </c>
    </row>
    <row r="567" spans="1:7" ht="16.149999999999999" x14ac:dyDescent="0.7">
      <c r="A567" s="49">
        <v>44676.824991886577</v>
      </c>
      <c r="B567" s="50" t="s">
        <v>29</v>
      </c>
      <c r="C567" s="50" t="s">
        <v>315</v>
      </c>
      <c r="D567" s="50" t="s">
        <v>259</v>
      </c>
      <c r="E567" s="50">
        <v>0</v>
      </c>
      <c r="F567" s="50">
        <v>0.16098364876113846</v>
      </c>
      <c r="G567" s="51" t="str">
        <v>福里 2022/05/23 (月)
平日夜間</v>
      </c>
    </row>
    <row r="568" spans="1:7" ht="16.149999999999999" x14ac:dyDescent="0.7">
      <c r="A568" s="49">
        <v>44676.824991886577</v>
      </c>
      <c r="B568" s="50" t="s">
        <v>29</v>
      </c>
      <c r="C568" s="50" t="s">
        <v>316</v>
      </c>
      <c r="D568" s="50" t="s">
        <v>259</v>
      </c>
      <c r="E568" s="50">
        <v>0</v>
      </c>
      <c r="F568" s="50">
        <v>0.88320850485991809</v>
      </c>
      <c r="G568" s="51" t="str">
        <v>福里 2022/05/24 (火)
平日夜間</v>
      </c>
    </row>
    <row r="569" spans="1:7" ht="16.149999999999999" x14ac:dyDescent="0.7">
      <c r="A569" s="49">
        <v>44676.824991886577</v>
      </c>
      <c r="B569" s="50" t="s">
        <v>29</v>
      </c>
      <c r="C569" s="50" t="s">
        <v>317</v>
      </c>
      <c r="D569" s="50" t="s">
        <v>259</v>
      </c>
      <c r="E569" s="50">
        <v>0</v>
      </c>
      <c r="F569" s="50">
        <v>0.47610613089222209</v>
      </c>
      <c r="G569" s="51" t="str">
        <v>福里 2022/05/25 (水)
平日夜間</v>
      </c>
    </row>
    <row r="570" spans="1:7" ht="16.149999999999999" x14ac:dyDescent="0.7">
      <c r="A570" s="49">
        <v>44676.824991886577</v>
      </c>
      <c r="B570" s="50" t="s">
        <v>29</v>
      </c>
      <c r="C570" s="50" t="s">
        <v>318</v>
      </c>
      <c r="D570" s="50" t="s">
        <v>259</v>
      </c>
      <c r="E570" s="50">
        <v>-1</v>
      </c>
      <c r="F570" s="50">
        <v>-0.52369560204399623</v>
      </c>
      <c r="G570" s="51" t="str">
        <v>福里 2022/05/26 (木)
平日夜間</v>
      </c>
    </row>
    <row r="571" spans="1:7" ht="16.149999999999999" x14ac:dyDescent="0.7">
      <c r="A571" s="49">
        <v>44676.824991886577</v>
      </c>
      <c r="B571" s="50" t="s">
        <v>29</v>
      </c>
      <c r="C571" s="50" t="s">
        <v>319</v>
      </c>
      <c r="D571" s="50" t="s">
        <v>259</v>
      </c>
      <c r="E571" s="50">
        <v>-1</v>
      </c>
      <c r="F571" s="50">
        <v>-0.66850598677086692</v>
      </c>
      <c r="G571" s="51" t="str">
        <v>福里 2022/05/27 (金)
平日夜間</v>
      </c>
    </row>
    <row r="572" spans="1:7" ht="16.149999999999999" x14ac:dyDescent="0.7">
      <c r="A572" s="49">
        <v>44676.824991886577</v>
      </c>
      <c r="B572" s="50" t="s">
        <v>29</v>
      </c>
      <c r="C572" s="50" t="s">
        <v>320</v>
      </c>
      <c r="D572" s="50" t="s">
        <v>261</v>
      </c>
      <c r="E572" s="50">
        <v>-1</v>
      </c>
      <c r="F572" s="50">
        <v>-0.34352864115691384</v>
      </c>
      <c r="G572" s="51" t="str">
        <v>福里 2022/05/28 (土)
休日午後</v>
      </c>
    </row>
    <row r="573" spans="1:7" ht="16.149999999999999" x14ac:dyDescent="0.7">
      <c r="A573" s="49">
        <v>44676.824991886577</v>
      </c>
      <c r="B573" s="50" t="s">
        <v>29</v>
      </c>
      <c r="C573" s="50" t="s">
        <v>321</v>
      </c>
      <c r="D573" s="50" t="s">
        <v>263</v>
      </c>
      <c r="E573" s="50">
        <v>-1</v>
      </c>
      <c r="F573" s="50">
        <v>-0.90361616498678976</v>
      </c>
      <c r="G573" s="51" t="str">
        <v>福里 2022/05/28 (土)
休日午前</v>
      </c>
    </row>
    <row r="574" spans="1:7" ht="16.149999999999999" x14ac:dyDescent="0.7">
      <c r="A574" s="49">
        <v>44676.824991886577</v>
      </c>
      <c r="B574" s="50" t="s">
        <v>29</v>
      </c>
      <c r="C574" s="50" t="s">
        <v>322</v>
      </c>
      <c r="D574" s="50" t="s">
        <v>261</v>
      </c>
      <c r="E574" s="50">
        <v>-1</v>
      </c>
      <c r="F574" s="50">
        <v>-6.9814172936306873E-2</v>
      </c>
      <c r="G574" s="51" t="str">
        <v>福里 2022/05/29 (日)
休日午後</v>
      </c>
    </row>
    <row r="575" spans="1:7" ht="16.149999999999999" x14ac:dyDescent="0.7">
      <c r="A575" s="49">
        <v>44676.824991886577</v>
      </c>
      <c r="B575" s="50" t="s">
        <v>29</v>
      </c>
      <c r="C575" s="50" t="s">
        <v>323</v>
      </c>
      <c r="D575" s="50" t="s">
        <v>263</v>
      </c>
      <c r="E575" s="50">
        <v>-1</v>
      </c>
      <c r="F575" s="50">
        <v>-0.98794511533149376</v>
      </c>
      <c r="G575" s="51" t="str">
        <v>福里 2022/05/29 (日)
休日午前</v>
      </c>
    </row>
    <row r="576" spans="1:7" ht="16.149999999999999" x14ac:dyDescent="0.7">
      <c r="A576" s="49">
        <v>44676.824991886577</v>
      </c>
      <c r="B576" s="50" t="s">
        <v>29</v>
      </c>
      <c r="C576" s="50" t="s">
        <v>324</v>
      </c>
      <c r="D576" s="50" t="s">
        <v>259</v>
      </c>
      <c r="E576" s="50">
        <v>0</v>
      </c>
      <c r="F576" s="50">
        <v>0.96706999589377651</v>
      </c>
      <c r="G576" s="51" t="str">
        <v>福里 2022/05/30 (月)
平日夜間</v>
      </c>
    </row>
    <row r="577" spans="1:7" ht="16.149999999999999" x14ac:dyDescent="0.7">
      <c r="A577" s="49">
        <v>44676.824991886577</v>
      </c>
      <c r="B577" s="50" t="s">
        <v>29</v>
      </c>
      <c r="C577" s="50" t="s">
        <v>325</v>
      </c>
      <c r="D577" s="50" t="s">
        <v>259</v>
      </c>
      <c r="E577" s="50">
        <v>0</v>
      </c>
      <c r="F577" s="50">
        <v>0.438940812803015</v>
      </c>
      <c r="G577" s="51" t="str">
        <v>福里 2022/05/31 (火)
平日夜間</v>
      </c>
    </row>
    <row r="578" spans="1:7" ht="16.149999999999999" x14ac:dyDescent="0.7">
      <c r="A578" s="49">
        <v>44676.836918402776</v>
      </c>
      <c r="B578" s="50" t="s">
        <v>38</v>
      </c>
      <c r="C578" s="50" t="s">
        <v>297</v>
      </c>
      <c r="D578" s="50" t="s">
        <v>259</v>
      </c>
      <c r="E578" s="50">
        <v>0</v>
      </c>
      <c r="F578" s="50">
        <v>0.85113063108475751</v>
      </c>
      <c r="G578" s="51" t="str">
        <v>森岳 2022/05/09 (月)
平日夜間</v>
      </c>
    </row>
    <row r="579" spans="1:7" ht="16.149999999999999" x14ac:dyDescent="0.7">
      <c r="A579" s="49">
        <v>44676.836918402776</v>
      </c>
      <c r="B579" s="50" t="s">
        <v>38</v>
      </c>
      <c r="C579" s="50" t="s">
        <v>298</v>
      </c>
      <c r="D579" s="50" t="s">
        <v>259</v>
      </c>
      <c r="E579" s="50">
        <v>0</v>
      </c>
      <c r="F579" s="50">
        <v>0.5886419908257674</v>
      </c>
      <c r="G579" s="51" t="str">
        <v>森岳 2022/05/10 (火)
平日夜間</v>
      </c>
    </row>
    <row r="580" spans="1:7" ht="16.149999999999999" x14ac:dyDescent="0.7">
      <c r="A580" s="49">
        <v>44676.836918402776</v>
      </c>
      <c r="B580" s="50" t="s">
        <v>38</v>
      </c>
      <c r="C580" s="50" t="s">
        <v>299</v>
      </c>
      <c r="D580" s="50" t="s">
        <v>259</v>
      </c>
      <c r="E580" s="50">
        <v>0</v>
      </c>
      <c r="F580" s="50">
        <v>3.8796696222992644E-2</v>
      </c>
      <c r="G580" s="51" t="str">
        <v>森岳 2022/05/11 (水)
平日夜間</v>
      </c>
    </row>
    <row r="581" spans="1:7" ht="16.149999999999999" x14ac:dyDescent="0.7">
      <c r="A581" s="49">
        <v>44676.836918402776</v>
      </c>
      <c r="B581" s="50" t="s">
        <v>38</v>
      </c>
      <c r="C581" s="50" t="s">
        <v>300</v>
      </c>
      <c r="D581" s="50" t="s">
        <v>259</v>
      </c>
      <c r="E581" s="50">
        <v>-1</v>
      </c>
      <c r="F581" s="50">
        <v>-0.17762526224987307</v>
      </c>
      <c r="G581" s="51" t="str">
        <v>森岳 2022/05/12 (木)
平日夜間</v>
      </c>
    </row>
    <row r="582" spans="1:7" ht="16.149999999999999" x14ac:dyDescent="0.7">
      <c r="A582" s="49">
        <v>44676.836918402776</v>
      </c>
      <c r="B582" s="50" t="s">
        <v>38</v>
      </c>
      <c r="C582" s="50" t="s">
        <v>301</v>
      </c>
      <c r="D582" s="50" t="s">
        <v>259</v>
      </c>
      <c r="E582" s="50">
        <v>0</v>
      </c>
      <c r="F582" s="50">
        <v>0.79931462926877628</v>
      </c>
      <c r="G582" s="51" t="str">
        <v>森岳 2022/05/13 (金)
平日夜間</v>
      </c>
    </row>
    <row r="583" spans="1:7" ht="16.149999999999999" x14ac:dyDescent="0.7">
      <c r="A583" s="49">
        <v>44676.836918402776</v>
      </c>
      <c r="B583" s="50" t="s">
        <v>38</v>
      </c>
      <c r="C583" s="50" t="s">
        <v>302</v>
      </c>
      <c r="D583" s="50" t="s">
        <v>261</v>
      </c>
      <c r="E583" s="50">
        <v>-1</v>
      </c>
      <c r="F583" s="50">
        <v>-0.5606914988051126</v>
      </c>
      <c r="G583" s="51" t="str">
        <v>森岳 2022/05/14 (土)
休日午後</v>
      </c>
    </row>
    <row r="584" spans="1:7" ht="16.149999999999999" x14ac:dyDescent="0.7">
      <c r="A584" s="49">
        <v>44676.836918402776</v>
      </c>
      <c r="B584" s="50" t="s">
        <v>38</v>
      </c>
      <c r="C584" s="50" t="s">
        <v>303</v>
      </c>
      <c r="D584" s="50" t="s">
        <v>263</v>
      </c>
      <c r="E584" s="50">
        <v>-1</v>
      </c>
      <c r="F584" s="50">
        <v>-0.55335373603222626</v>
      </c>
      <c r="G584" s="51" t="str">
        <v>森岳 2022/05/14 (土)
休日午前</v>
      </c>
    </row>
    <row r="585" spans="1:7" ht="16.149999999999999" x14ac:dyDescent="0.7">
      <c r="A585" s="49">
        <v>44676.836918402776</v>
      </c>
      <c r="B585" s="50" t="s">
        <v>38</v>
      </c>
      <c r="C585" s="50" t="s">
        <v>304</v>
      </c>
      <c r="D585" s="50" t="s">
        <v>261</v>
      </c>
      <c r="E585" s="50">
        <v>-1</v>
      </c>
      <c r="F585" s="50">
        <v>-0.59307922115218914</v>
      </c>
      <c r="G585" s="51" t="str">
        <v>森岳 2022/05/15 (日)
休日午後</v>
      </c>
    </row>
    <row r="586" spans="1:7" ht="16.149999999999999" x14ac:dyDescent="0.7">
      <c r="A586" s="49">
        <v>44676.836918402776</v>
      </c>
      <c r="B586" s="50" t="s">
        <v>38</v>
      </c>
      <c r="C586" s="50" t="s">
        <v>305</v>
      </c>
      <c r="D586" s="50" t="s">
        <v>263</v>
      </c>
      <c r="E586" s="50">
        <v>2</v>
      </c>
      <c r="F586" s="50">
        <v>2.9952143416297878</v>
      </c>
      <c r="G586" s="51" t="str">
        <v>森岳 2022/05/15 (日)
休日午前</v>
      </c>
    </row>
    <row r="587" spans="1:7" ht="16.149999999999999" x14ac:dyDescent="0.7">
      <c r="A587" s="49">
        <v>44676.836918402776</v>
      </c>
      <c r="B587" s="50" t="s">
        <v>38</v>
      </c>
      <c r="C587" s="50" t="s">
        <v>306</v>
      </c>
      <c r="D587" s="50" t="s">
        <v>259</v>
      </c>
      <c r="E587" s="50">
        <v>-1</v>
      </c>
      <c r="F587" s="50">
        <v>-0.15141197302554765</v>
      </c>
      <c r="G587" s="51" t="str">
        <v>森岳 2022/05/16 (月)
平日夜間</v>
      </c>
    </row>
    <row r="588" spans="1:7" ht="16.149999999999999" x14ac:dyDescent="0.7">
      <c r="A588" s="49">
        <v>44676.836918402776</v>
      </c>
      <c r="B588" s="50" t="s">
        <v>38</v>
      </c>
      <c r="C588" s="50" t="s">
        <v>307</v>
      </c>
      <c r="D588" s="50" t="s">
        <v>259</v>
      </c>
      <c r="E588" s="50">
        <v>-1</v>
      </c>
      <c r="F588" s="50">
        <v>-0.76922624836651488</v>
      </c>
      <c r="G588" s="51" t="str">
        <v>森岳 2022/05/17 (火)
平日夜間</v>
      </c>
    </row>
    <row r="589" spans="1:7" ht="16.149999999999999" x14ac:dyDescent="0.7">
      <c r="A589" s="49">
        <v>44676.836918402776</v>
      </c>
      <c r="B589" s="50" t="s">
        <v>38</v>
      </c>
      <c r="C589" s="50" t="s">
        <v>308</v>
      </c>
      <c r="D589" s="50" t="s">
        <v>259</v>
      </c>
      <c r="E589" s="50">
        <v>0</v>
      </c>
      <c r="F589" s="50">
        <v>0.62627342459364899</v>
      </c>
      <c r="G589" s="51" t="str">
        <v>森岳 2022/05/18 (水)
平日夜間</v>
      </c>
    </row>
    <row r="590" spans="1:7" ht="16.149999999999999" x14ac:dyDescent="0.7">
      <c r="A590" s="49">
        <v>44676.836918402776</v>
      </c>
      <c r="B590" s="50" t="s">
        <v>38</v>
      </c>
      <c r="C590" s="50" t="s">
        <v>309</v>
      </c>
      <c r="D590" s="50" t="s">
        <v>259</v>
      </c>
      <c r="E590" s="50">
        <v>-1</v>
      </c>
      <c r="F590" s="50">
        <v>-0.27698491404725911</v>
      </c>
      <c r="G590" s="51" t="str">
        <v>森岳 2022/05/19 (木)
平日夜間</v>
      </c>
    </row>
    <row r="591" spans="1:7" ht="16.149999999999999" x14ac:dyDescent="0.7">
      <c r="A591" s="49">
        <v>44676.836918402776</v>
      </c>
      <c r="B591" s="50" t="s">
        <v>38</v>
      </c>
      <c r="C591" s="50" t="s">
        <v>310</v>
      </c>
      <c r="D591" s="50" t="s">
        <v>259</v>
      </c>
      <c r="E591" s="50">
        <v>0</v>
      </c>
      <c r="F591" s="50">
        <v>0.82644984630823504</v>
      </c>
      <c r="G591" s="51" t="str">
        <v>森岳 2022/05/20 (金)
平日夜間</v>
      </c>
    </row>
    <row r="592" spans="1:7" ht="16.149999999999999" x14ac:dyDescent="0.7">
      <c r="A592" s="49">
        <v>44676.836918402776</v>
      </c>
      <c r="B592" s="50" t="s">
        <v>38</v>
      </c>
      <c r="C592" s="50" t="s">
        <v>311</v>
      </c>
      <c r="D592" s="50" t="s">
        <v>261</v>
      </c>
      <c r="E592" s="50">
        <v>0</v>
      </c>
      <c r="F592" s="50">
        <v>9.7459277720816306E-2</v>
      </c>
      <c r="G592" s="51" t="str">
        <v>森岳 2022/05/21 (土)
休日午後</v>
      </c>
    </row>
    <row r="593" spans="1:7" ht="16.149999999999999" x14ac:dyDescent="0.7">
      <c r="A593" s="49">
        <v>44676.836918402776</v>
      </c>
      <c r="B593" s="50" t="s">
        <v>38</v>
      </c>
      <c r="C593" s="50" t="s">
        <v>312</v>
      </c>
      <c r="D593" s="50" t="s">
        <v>263</v>
      </c>
      <c r="E593" s="50">
        <v>0</v>
      </c>
      <c r="F593" s="50">
        <v>0.39894307248440497</v>
      </c>
      <c r="G593" s="51" t="str">
        <v>森岳 2022/05/21 (土)
休日午前</v>
      </c>
    </row>
    <row r="594" spans="1:7" ht="16.149999999999999" x14ac:dyDescent="0.7">
      <c r="A594" s="49">
        <v>44676.836918402776</v>
      </c>
      <c r="B594" s="50" t="s">
        <v>38</v>
      </c>
      <c r="C594" s="50" t="s">
        <v>313</v>
      </c>
      <c r="D594" s="50" t="s">
        <v>261</v>
      </c>
      <c r="E594" s="50">
        <v>0</v>
      </c>
      <c r="F594" s="50">
        <v>0.50864187526432625</v>
      </c>
      <c r="G594" s="51" t="str">
        <v>森岳 2022/05/22 (日)
休日午後</v>
      </c>
    </row>
    <row r="595" spans="1:7" ht="16.149999999999999" x14ac:dyDescent="0.7">
      <c r="A595" s="49">
        <v>44676.836918402776</v>
      </c>
      <c r="B595" s="50" t="s">
        <v>38</v>
      </c>
      <c r="C595" s="50" t="s">
        <v>314</v>
      </c>
      <c r="D595" s="50" t="s">
        <v>263</v>
      </c>
      <c r="E595" s="50">
        <v>0</v>
      </c>
      <c r="F595" s="50">
        <v>0.84015460767538364</v>
      </c>
      <c r="G595" s="51" t="str">
        <v>森岳 2022/05/22 (日)
休日午前</v>
      </c>
    </row>
    <row r="596" spans="1:7" ht="16.149999999999999" x14ac:dyDescent="0.7">
      <c r="A596" s="49">
        <v>44676.836918402776</v>
      </c>
      <c r="B596" s="50" t="s">
        <v>38</v>
      </c>
      <c r="C596" s="50" t="s">
        <v>315</v>
      </c>
      <c r="D596" s="50" t="s">
        <v>259</v>
      </c>
      <c r="E596" s="50">
        <v>0</v>
      </c>
      <c r="F596" s="50">
        <v>0.38694920678464273</v>
      </c>
      <c r="G596" s="51" t="str">
        <v>森岳 2022/05/23 (月)
平日夜間</v>
      </c>
    </row>
    <row r="597" spans="1:7" ht="16.149999999999999" x14ac:dyDescent="0.7">
      <c r="A597" s="49">
        <v>44676.836918402776</v>
      </c>
      <c r="B597" s="50" t="s">
        <v>38</v>
      </c>
      <c r="C597" s="50" t="s">
        <v>316</v>
      </c>
      <c r="D597" s="50" t="s">
        <v>259</v>
      </c>
      <c r="E597" s="50">
        <v>-1</v>
      </c>
      <c r="F597" s="50">
        <v>-0.83282759229223391</v>
      </c>
      <c r="G597" s="51" t="str">
        <v>森岳 2022/05/24 (火)
平日夜間</v>
      </c>
    </row>
    <row r="598" spans="1:7" ht="16.149999999999999" x14ac:dyDescent="0.7">
      <c r="A598" s="49">
        <v>44676.836918402776</v>
      </c>
      <c r="B598" s="50" t="s">
        <v>38</v>
      </c>
      <c r="C598" s="50" t="s">
        <v>317</v>
      </c>
      <c r="D598" s="50" t="s">
        <v>259</v>
      </c>
      <c r="E598" s="50">
        <v>2</v>
      </c>
      <c r="F598" s="50">
        <v>2.1852077723837615</v>
      </c>
      <c r="G598" s="51" t="str">
        <v>森岳 2022/05/25 (水)
平日夜間</v>
      </c>
    </row>
    <row r="599" spans="1:7" ht="16.149999999999999" x14ac:dyDescent="0.7">
      <c r="A599" s="49">
        <v>44676.836918402776</v>
      </c>
      <c r="B599" s="50" t="s">
        <v>38</v>
      </c>
      <c r="C599" s="50" t="s">
        <v>318</v>
      </c>
      <c r="D599" s="50" t="s">
        <v>259</v>
      </c>
      <c r="E599" s="50">
        <v>-1</v>
      </c>
      <c r="F599" s="50">
        <v>-0.27943256598324973</v>
      </c>
      <c r="G599" s="51" t="str">
        <v>森岳 2022/05/26 (木)
平日夜間</v>
      </c>
    </row>
    <row r="600" spans="1:7" ht="16.149999999999999" x14ac:dyDescent="0.7">
      <c r="A600" s="49">
        <v>44676.836918402776</v>
      </c>
      <c r="B600" s="50" t="s">
        <v>38</v>
      </c>
      <c r="C600" s="50" t="s">
        <v>319</v>
      </c>
      <c r="D600" s="50" t="s">
        <v>259</v>
      </c>
      <c r="E600" s="50">
        <v>-1</v>
      </c>
      <c r="F600" s="50">
        <v>-0.69790889588465443</v>
      </c>
      <c r="G600" s="51" t="str">
        <v>森岳 2022/05/27 (金)
平日夜間</v>
      </c>
    </row>
    <row r="601" spans="1:7" ht="16.149999999999999" x14ac:dyDescent="0.7">
      <c r="A601" s="49">
        <v>44676.836918402776</v>
      </c>
      <c r="B601" s="50" t="s">
        <v>38</v>
      </c>
      <c r="C601" s="50" t="s">
        <v>320</v>
      </c>
      <c r="D601" s="50" t="s">
        <v>261</v>
      </c>
      <c r="E601" s="50">
        <v>-1</v>
      </c>
      <c r="F601" s="50">
        <v>-9.7216006090172336E-2</v>
      </c>
      <c r="G601" s="51" t="str">
        <v>森岳 2022/05/28 (土)
休日午後</v>
      </c>
    </row>
    <row r="602" spans="1:7" ht="16.149999999999999" x14ac:dyDescent="0.7">
      <c r="A602" s="49">
        <v>44676.836918402776</v>
      </c>
      <c r="B602" s="50" t="s">
        <v>38</v>
      </c>
      <c r="C602" s="50" t="s">
        <v>321</v>
      </c>
      <c r="D602" s="50" t="s">
        <v>263</v>
      </c>
      <c r="E602" s="50">
        <v>-1</v>
      </c>
      <c r="F602" s="50">
        <v>-0.36398990827142885</v>
      </c>
      <c r="G602" s="51" t="str">
        <v>森岳 2022/05/28 (土)
休日午前</v>
      </c>
    </row>
    <row r="603" spans="1:7" ht="16.149999999999999" x14ac:dyDescent="0.7">
      <c r="A603" s="49">
        <v>44676.836918402776</v>
      </c>
      <c r="B603" s="50" t="s">
        <v>38</v>
      </c>
      <c r="C603" s="50" t="s">
        <v>322</v>
      </c>
      <c r="D603" s="50" t="s">
        <v>261</v>
      </c>
      <c r="E603" s="50">
        <v>-1</v>
      </c>
      <c r="F603" s="50">
        <v>-0.34093407551805299</v>
      </c>
      <c r="G603" s="51" t="str">
        <v>森岳 2022/05/29 (日)
休日午後</v>
      </c>
    </row>
    <row r="604" spans="1:7" ht="16.149999999999999" x14ac:dyDescent="0.7">
      <c r="A604" s="49">
        <v>44676.836918402776</v>
      </c>
      <c r="B604" s="50" t="s">
        <v>38</v>
      </c>
      <c r="C604" s="50" t="s">
        <v>323</v>
      </c>
      <c r="D604" s="50" t="s">
        <v>263</v>
      </c>
      <c r="E604" s="50">
        <v>-1</v>
      </c>
      <c r="F604" s="50">
        <v>-0.12348596487152608</v>
      </c>
      <c r="G604" s="51" t="str">
        <v>森岳 2022/05/29 (日)
休日午前</v>
      </c>
    </row>
    <row r="605" spans="1:7" ht="16.149999999999999" x14ac:dyDescent="0.7">
      <c r="A605" s="49">
        <v>44676.836918402776</v>
      </c>
      <c r="B605" s="50" t="s">
        <v>38</v>
      </c>
      <c r="C605" s="50" t="s">
        <v>324</v>
      </c>
      <c r="D605" s="50" t="s">
        <v>259</v>
      </c>
      <c r="E605" s="50">
        <v>0</v>
      </c>
      <c r="F605" s="50">
        <v>0.89915033381317522</v>
      </c>
      <c r="G605" s="51" t="str">
        <v>森岳 2022/05/30 (月)
平日夜間</v>
      </c>
    </row>
    <row r="606" spans="1:7" ht="16.149999999999999" x14ac:dyDescent="0.7">
      <c r="A606" s="49">
        <v>44676.836918402776</v>
      </c>
      <c r="B606" s="50" t="s">
        <v>38</v>
      </c>
      <c r="C606" s="50" t="s">
        <v>325</v>
      </c>
      <c r="D606" s="50" t="s">
        <v>259</v>
      </c>
      <c r="E606" s="50">
        <v>0</v>
      </c>
      <c r="F606" s="50">
        <v>0.84769983197611753</v>
      </c>
      <c r="G606" s="51" t="str">
        <v>森岳 2022/05/31 (火)
平日夜間</v>
      </c>
    </row>
    <row r="607" spans="1:7" ht="16.149999999999999" x14ac:dyDescent="0.7">
      <c r="A607" s="49">
        <v>44676.856003148147</v>
      </c>
      <c r="B607" s="50" t="s">
        <v>4</v>
      </c>
      <c r="C607" s="50" t="s">
        <v>297</v>
      </c>
      <c r="D607" s="50" t="s">
        <v>259</v>
      </c>
      <c r="E607" s="50">
        <v>-1</v>
      </c>
      <c r="F607" s="50">
        <v>-0.46824399925551408</v>
      </c>
      <c r="G607" s="51" t="str">
        <v>井上 2022/05/09 (月)
平日夜間</v>
      </c>
    </row>
    <row r="608" spans="1:7" ht="16.149999999999999" x14ac:dyDescent="0.7">
      <c r="A608" s="49">
        <v>44676.856003148147</v>
      </c>
      <c r="B608" s="50" t="s">
        <v>4</v>
      </c>
      <c r="C608" s="50" t="s">
        <v>298</v>
      </c>
      <c r="D608" s="50" t="s">
        <v>259</v>
      </c>
      <c r="E608" s="50">
        <v>-1</v>
      </c>
      <c r="F608" s="50">
        <v>-0.68848283377560615</v>
      </c>
      <c r="G608" s="51" t="str">
        <v>井上 2022/05/10 (火)
平日夜間</v>
      </c>
    </row>
    <row r="609" spans="1:7" ht="16.149999999999999" x14ac:dyDescent="0.7">
      <c r="A609" s="49">
        <v>44676.856003148147</v>
      </c>
      <c r="B609" s="50" t="s">
        <v>4</v>
      </c>
      <c r="C609" s="50" t="s">
        <v>299</v>
      </c>
      <c r="D609" s="50" t="s">
        <v>259</v>
      </c>
      <c r="E609" s="50">
        <v>0</v>
      </c>
      <c r="F609" s="50">
        <v>0.40077801096730847</v>
      </c>
      <c r="G609" s="51" t="str">
        <v>井上 2022/05/11 (水)
平日夜間</v>
      </c>
    </row>
    <row r="610" spans="1:7" ht="16.149999999999999" x14ac:dyDescent="0.7">
      <c r="A610" s="49">
        <v>44676.856003148147</v>
      </c>
      <c r="B610" s="50" t="s">
        <v>4</v>
      </c>
      <c r="C610" s="50" t="s">
        <v>300</v>
      </c>
      <c r="D610" s="50" t="s">
        <v>259</v>
      </c>
      <c r="E610" s="50">
        <v>0</v>
      </c>
      <c r="F610" s="50">
        <v>0.12186362877506984</v>
      </c>
      <c r="G610" s="51" t="str">
        <v>井上 2022/05/12 (木)
平日夜間</v>
      </c>
    </row>
    <row r="611" spans="1:7" ht="16.149999999999999" x14ac:dyDescent="0.7">
      <c r="A611" s="49">
        <v>44676.856003148147</v>
      </c>
      <c r="B611" s="50" t="s">
        <v>4</v>
      </c>
      <c r="C611" s="50" t="s">
        <v>301</v>
      </c>
      <c r="D611" s="50" t="s">
        <v>259</v>
      </c>
      <c r="E611" s="50">
        <v>0</v>
      </c>
      <c r="F611" s="50">
        <v>0.46821499544577616</v>
      </c>
      <c r="G611" s="51" t="str">
        <v>井上 2022/05/13 (金)
平日夜間</v>
      </c>
    </row>
    <row r="612" spans="1:7" ht="16.149999999999999" x14ac:dyDescent="0.7">
      <c r="A612" s="49">
        <v>44676.856003148147</v>
      </c>
      <c r="B612" s="50" t="s">
        <v>4</v>
      </c>
      <c r="C612" s="50" t="s">
        <v>302</v>
      </c>
      <c r="D612" s="50" t="s">
        <v>261</v>
      </c>
      <c r="E612" s="50">
        <v>-1</v>
      </c>
      <c r="F612" s="50">
        <v>-8.467472247346719E-2</v>
      </c>
      <c r="G612" s="51" t="str">
        <v>井上 2022/05/14 (土)
休日午後</v>
      </c>
    </row>
    <row r="613" spans="1:7" ht="16.149999999999999" x14ac:dyDescent="0.7">
      <c r="A613" s="49">
        <v>44676.856003148147</v>
      </c>
      <c r="B613" s="50" t="s">
        <v>4</v>
      </c>
      <c r="C613" s="50" t="s">
        <v>303</v>
      </c>
      <c r="D613" s="50" t="s">
        <v>263</v>
      </c>
      <c r="E613" s="50">
        <v>-1</v>
      </c>
      <c r="F613" s="50">
        <v>-0.56407320151932039</v>
      </c>
      <c r="G613" s="51" t="str">
        <v>井上 2022/05/14 (土)
休日午前</v>
      </c>
    </row>
    <row r="614" spans="1:7" ht="16.149999999999999" x14ac:dyDescent="0.7">
      <c r="A614" s="49">
        <v>44676.856003148147</v>
      </c>
      <c r="B614" s="50" t="s">
        <v>4</v>
      </c>
      <c r="C614" s="50" t="s">
        <v>304</v>
      </c>
      <c r="D614" s="50" t="s">
        <v>261</v>
      </c>
      <c r="E614" s="50">
        <v>-1</v>
      </c>
      <c r="F614" s="50">
        <v>-0.58143809389509538</v>
      </c>
      <c r="G614" s="51" t="str">
        <v>井上 2022/05/15 (日)
休日午後</v>
      </c>
    </row>
    <row r="615" spans="1:7" ht="16.149999999999999" x14ac:dyDescent="0.7">
      <c r="A615" s="49">
        <v>44676.856003148147</v>
      </c>
      <c r="B615" s="50" t="s">
        <v>4</v>
      </c>
      <c r="C615" s="50" t="s">
        <v>305</v>
      </c>
      <c r="D615" s="50" t="s">
        <v>263</v>
      </c>
      <c r="E615" s="50">
        <v>-1</v>
      </c>
      <c r="F615" s="50">
        <v>-0.74808516832291105</v>
      </c>
      <c r="G615" s="51" t="str">
        <v>井上 2022/05/15 (日)
休日午前</v>
      </c>
    </row>
    <row r="616" spans="1:7" ht="16.149999999999999" x14ac:dyDescent="0.7">
      <c r="A616" s="49">
        <v>44676.856003148147</v>
      </c>
      <c r="B616" s="50" t="s">
        <v>4</v>
      </c>
      <c r="C616" s="50" t="s">
        <v>306</v>
      </c>
      <c r="D616" s="50" t="s">
        <v>259</v>
      </c>
      <c r="E616" s="50">
        <v>0</v>
      </c>
      <c r="F616" s="50">
        <v>0.92118343735838137</v>
      </c>
      <c r="G616" s="51" t="str">
        <v>井上 2022/05/16 (月)
平日夜間</v>
      </c>
    </row>
    <row r="617" spans="1:7" ht="16.149999999999999" x14ac:dyDescent="0.7">
      <c r="A617" s="49">
        <v>44676.856003148147</v>
      </c>
      <c r="B617" s="50" t="s">
        <v>4</v>
      </c>
      <c r="C617" s="50" t="s">
        <v>307</v>
      </c>
      <c r="D617" s="50" t="s">
        <v>259</v>
      </c>
      <c r="E617" s="50">
        <v>-1</v>
      </c>
      <c r="F617" s="50">
        <v>-0.56917405931988019</v>
      </c>
      <c r="G617" s="51" t="str">
        <v>井上 2022/05/17 (火)
平日夜間</v>
      </c>
    </row>
    <row r="618" spans="1:7" ht="16.149999999999999" x14ac:dyDescent="0.7">
      <c r="A618" s="49">
        <v>44676.856003148147</v>
      </c>
      <c r="B618" s="50" t="s">
        <v>4</v>
      </c>
      <c r="C618" s="50" t="s">
        <v>308</v>
      </c>
      <c r="D618" s="50" t="s">
        <v>259</v>
      </c>
      <c r="E618" s="50">
        <v>0</v>
      </c>
      <c r="F618" s="50">
        <v>0.83463612953120614</v>
      </c>
      <c r="G618" s="51" t="str">
        <v>井上 2022/05/18 (水)
平日夜間</v>
      </c>
    </row>
    <row r="619" spans="1:7" ht="16.149999999999999" x14ac:dyDescent="0.7">
      <c r="A619" s="49">
        <v>44676.856003148147</v>
      </c>
      <c r="B619" s="50" t="s">
        <v>4</v>
      </c>
      <c r="C619" s="50" t="s">
        <v>309</v>
      </c>
      <c r="D619" s="50" t="s">
        <v>259</v>
      </c>
      <c r="E619" s="50">
        <v>0</v>
      </c>
      <c r="F619" s="50">
        <v>0.36765502672428907</v>
      </c>
      <c r="G619" s="51" t="str">
        <v>井上 2022/05/19 (木)
平日夜間</v>
      </c>
    </row>
    <row r="620" spans="1:7" ht="16.149999999999999" x14ac:dyDescent="0.7">
      <c r="A620" s="49">
        <v>44676.856003148147</v>
      </c>
      <c r="B620" s="50" t="s">
        <v>4</v>
      </c>
      <c r="C620" s="50" t="s">
        <v>310</v>
      </c>
      <c r="D620" s="50" t="s">
        <v>259</v>
      </c>
      <c r="E620" s="50">
        <v>0</v>
      </c>
      <c r="F620" s="50">
        <v>0.55813193569688235</v>
      </c>
      <c r="G620" s="51" t="str">
        <v>井上 2022/05/20 (金)
平日夜間</v>
      </c>
    </row>
    <row r="621" spans="1:7" ht="16.149999999999999" x14ac:dyDescent="0.7">
      <c r="A621" s="49">
        <v>44676.856003148147</v>
      </c>
      <c r="B621" s="50" t="s">
        <v>4</v>
      </c>
      <c r="C621" s="50" t="s">
        <v>311</v>
      </c>
      <c r="D621" s="50" t="s">
        <v>261</v>
      </c>
      <c r="E621" s="50">
        <v>0</v>
      </c>
      <c r="F621" s="50">
        <v>7.9098105924289008E-2</v>
      </c>
      <c r="G621" s="51" t="str">
        <v>井上 2022/05/21 (土)
休日午後</v>
      </c>
    </row>
    <row r="622" spans="1:7" ht="16.149999999999999" x14ac:dyDescent="0.7">
      <c r="A622" s="49">
        <v>44676.856003148147</v>
      </c>
      <c r="B622" s="50" t="s">
        <v>4</v>
      </c>
      <c r="C622" s="50" t="s">
        <v>312</v>
      </c>
      <c r="D622" s="50" t="s">
        <v>263</v>
      </c>
      <c r="E622" s="50">
        <v>0</v>
      </c>
      <c r="F622" s="50">
        <v>0.60865930243459609</v>
      </c>
      <c r="G622" s="51" t="str">
        <v>井上 2022/05/21 (土)
休日午前</v>
      </c>
    </row>
    <row r="623" spans="1:7" ht="16.149999999999999" x14ac:dyDescent="0.7">
      <c r="A623" s="49">
        <v>44676.856003148147</v>
      </c>
      <c r="B623" s="50" t="s">
        <v>4</v>
      </c>
      <c r="C623" s="50" t="s">
        <v>313</v>
      </c>
      <c r="D623" s="50" t="s">
        <v>261</v>
      </c>
      <c r="E623" s="50">
        <v>-1</v>
      </c>
      <c r="F623" s="50">
        <v>-0.79529366962408776</v>
      </c>
      <c r="G623" s="51" t="str">
        <v>井上 2022/05/22 (日)
休日午後</v>
      </c>
    </row>
    <row r="624" spans="1:7" ht="16.149999999999999" x14ac:dyDescent="0.7">
      <c r="A624" s="49">
        <v>44676.856003148147</v>
      </c>
      <c r="B624" s="50" t="s">
        <v>4</v>
      </c>
      <c r="C624" s="50" t="s">
        <v>314</v>
      </c>
      <c r="D624" s="50" t="s">
        <v>263</v>
      </c>
      <c r="E624" s="50">
        <v>0</v>
      </c>
      <c r="F624" s="50">
        <v>3.6251011612239425E-2</v>
      </c>
      <c r="G624" s="51" t="str">
        <v>井上 2022/05/22 (日)
休日午前</v>
      </c>
    </row>
    <row r="625" spans="1:7" ht="16.149999999999999" x14ac:dyDescent="0.7">
      <c r="A625" s="49">
        <v>44676.856003148147</v>
      </c>
      <c r="B625" s="50" t="s">
        <v>4</v>
      </c>
      <c r="C625" s="50" t="s">
        <v>315</v>
      </c>
      <c r="D625" s="50" t="s">
        <v>259</v>
      </c>
      <c r="E625" s="50">
        <v>-1</v>
      </c>
      <c r="F625" s="50">
        <v>-0.54831000486962478</v>
      </c>
      <c r="G625" s="51" t="str">
        <v>井上 2022/05/23 (月)
平日夜間</v>
      </c>
    </row>
    <row r="626" spans="1:7" ht="16.149999999999999" x14ac:dyDescent="0.7">
      <c r="A626" s="49">
        <v>44676.856003148147</v>
      </c>
      <c r="B626" s="50" t="s">
        <v>4</v>
      </c>
      <c r="C626" s="50" t="s">
        <v>316</v>
      </c>
      <c r="D626" s="50" t="s">
        <v>259</v>
      </c>
      <c r="E626" s="50">
        <v>-1</v>
      </c>
      <c r="F626" s="50">
        <v>-0.16597526414841424</v>
      </c>
      <c r="G626" s="51" t="str">
        <v>井上 2022/05/24 (火)
平日夜間</v>
      </c>
    </row>
    <row r="627" spans="1:7" ht="16.149999999999999" x14ac:dyDescent="0.7">
      <c r="A627" s="49">
        <v>44676.856003148147</v>
      </c>
      <c r="B627" s="50" t="s">
        <v>4</v>
      </c>
      <c r="C627" s="50" t="s">
        <v>317</v>
      </c>
      <c r="D627" s="50" t="s">
        <v>259</v>
      </c>
      <c r="E627" s="50">
        <v>-1</v>
      </c>
      <c r="F627" s="50">
        <v>-0.30414067767409358</v>
      </c>
      <c r="G627" s="51" t="str">
        <v>井上 2022/05/25 (水)
平日夜間</v>
      </c>
    </row>
    <row r="628" spans="1:7" ht="16.149999999999999" x14ac:dyDescent="0.7">
      <c r="A628" s="49">
        <v>44676.856003148147</v>
      </c>
      <c r="B628" s="50" t="s">
        <v>4</v>
      </c>
      <c r="C628" s="50" t="s">
        <v>318</v>
      </c>
      <c r="D628" s="50" t="s">
        <v>259</v>
      </c>
      <c r="E628" s="50">
        <v>0</v>
      </c>
      <c r="F628" s="50">
        <v>0.22618119338268827</v>
      </c>
      <c r="G628" s="51" t="str">
        <v>井上 2022/05/26 (木)
平日夜間</v>
      </c>
    </row>
    <row r="629" spans="1:7" ht="16.149999999999999" x14ac:dyDescent="0.7">
      <c r="A629" s="49">
        <v>44676.856003148147</v>
      </c>
      <c r="B629" s="50" t="s">
        <v>4</v>
      </c>
      <c r="C629" s="50" t="s">
        <v>319</v>
      </c>
      <c r="D629" s="50" t="s">
        <v>259</v>
      </c>
      <c r="E629" s="50">
        <v>0</v>
      </c>
      <c r="F629" s="50">
        <v>0.46672785130778394</v>
      </c>
      <c r="G629" s="51" t="str">
        <v>井上 2022/05/27 (金)
平日夜間</v>
      </c>
    </row>
    <row r="630" spans="1:7" ht="16.149999999999999" x14ac:dyDescent="0.7">
      <c r="A630" s="49">
        <v>44676.856003148147</v>
      </c>
      <c r="B630" s="50" t="s">
        <v>4</v>
      </c>
      <c r="C630" s="50" t="s">
        <v>320</v>
      </c>
      <c r="D630" s="50" t="s">
        <v>261</v>
      </c>
      <c r="E630" s="50">
        <v>0</v>
      </c>
      <c r="F630" s="50">
        <v>0.66070397330080666</v>
      </c>
      <c r="G630" s="51" t="str">
        <v>井上 2022/05/28 (土)
休日午後</v>
      </c>
    </row>
    <row r="631" spans="1:7" ht="16.149999999999999" x14ac:dyDescent="0.7">
      <c r="A631" s="49">
        <v>44676.856003148147</v>
      </c>
      <c r="B631" s="50" t="s">
        <v>4</v>
      </c>
      <c r="C631" s="50" t="s">
        <v>321</v>
      </c>
      <c r="D631" s="50" t="s">
        <v>263</v>
      </c>
      <c r="E631" s="50">
        <v>0</v>
      </c>
      <c r="F631" s="50">
        <v>0.486535810897752</v>
      </c>
      <c r="G631" s="51" t="str">
        <v>井上 2022/05/28 (土)
休日午前</v>
      </c>
    </row>
    <row r="632" spans="1:7" ht="16.149999999999999" x14ac:dyDescent="0.7">
      <c r="A632" s="49">
        <v>44676.856003148147</v>
      </c>
      <c r="B632" s="50" t="s">
        <v>4</v>
      </c>
      <c r="C632" s="50" t="s">
        <v>322</v>
      </c>
      <c r="D632" s="50" t="s">
        <v>261</v>
      </c>
      <c r="E632" s="50">
        <v>-1</v>
      </c>
      <c r="F632" s="50">
        <v>-0.19976816129614683</v>
      </c>
      <c r="G632" s="51" t="str">
        <v>井上 2022/05/29 (日)
休日午後</v>
      </c>
    </row>
    <row r="633" spans="1:7" ht="16.149999999999999" x14ac:dyDescent="0.7">
      <c r="A633" s="49">
        <v>44676.856003148147</v>
      </c>
      <c r="B633" s="50" t="s">
        <v>4</v>
      </c>
      <c r="C633" s="50" t="s">
        <v>323</v>
      </c>
      <c r="D633" s="50" t="s">
        <v>263</v>
      </c>
      <c r="E633" s="50">
        <v>-1</v>
      </c>
      <c r="F633" s="50">
        <v>-0.68063562901841967</v>
      </c>
      <c r="G633" s="51" t="str">
        <v>井上 2022/05/29 (日)
休日午前</v>
      </c>
    </row>
    <row r="634" spans="1:7" ht="16.149999999999999" x14ac:dyDescent="0.7">
      <c r="A634" s="49">
        <v>44676.856003148147</v>
      </c>
      <c r="B634" s="50" t="s">
        <v>4</v>
      </c>
      <c r="C634" s="50" t="s">
        <v>324</v>
      </c>
      <c r="D634" s="50" t="s">
        <v>259</v>
      </c>
      <c r="E634" s="50">
        <v>0</v>
      </c>
      <c r="F634" s="50">
        <v>4.4766496138869183E-2</v>
      </c>
      <c r="G634" s="51" t="str">
        <v>井上 2022/05/30 (月)
平日夜間</v>
      </c>
    </row>
    <row r="635" spans="1:7" ht="16.149999999999999" x14ac:dyDescent="0.7">
      <c r="A635" s="49">
        <v>44676.856003148147</v>
      </c>
      <c r="B635" s="50" t="s">
        <v>4</v>
      </c>
      <c r="C635" s="50" t="s">
        <v>325</v>
      </c>
      <c r="D635" s="50" t="s">
        <v>259</v>
      </c>
      <c r="E635" s="50">
        <v>-1</v>
      </c>
      <c r="F635" s="50">
        <v>-6.9372873018716419E-2</v>
      </c>
      <c r="G635" s="51" t="str">
        <v>井上 2022/05/31 (火)
平日夜間</v>
      </c>
    </row>
    <row r="636" spans="1:7" ht="16.149999999999999" x14ac:dyDescent="0.7">
      <c r="A636" s="49">
        <v>44676.886979826391</v>
      </c>
      <c r="B636" s="50" t="s">
        <v>14</v>
      </c>
      <c r="C636" s="50" t="s">
        <v>297</v>
      </c>
      <c r="D636" s="50" t="s">
        <v>259</v>
      </c>
      <c r="E636" s="50">
        <v>0</v>
      </c>
      <c r="F636" s="50">
        <v>0.84238515989093776</v>
      </c>
      <c r="G636" s="51" t="str">
        <v>林智 2022/05/09 (月)
平日夜間</v>
      </c>
    </row>
    <row r="637" spans="1:7" ht="16.149999999999999" x14ac:dyDescent="0.7">
      <c r="A637" s="49">
        <v>44676.886979826391</v>
      </c>
      <c r="B637" s="50" t="s">
        <v>14</v>
      </c>
      <c r="C637" s="50" t="s">
        <v>298</v>
      </c>
      <c r="D637" s="50" t="s">
        <v>259</v>
      </c>
      <c r="E637" s="50">
        <v>0</v>
      </c>
      <c r="F637" s="50">
        <v>0.14353671176411442</v>
      </c>
      <c r="G637" s="51" t="str">
        <v>林智 2022/05/10 (火)
平日夜間</v>
      </c>
    </row>
    <row r="638" spans="1:7" ht="16.149999999999999" x14ac:dyDescent="0.7">
      <c r="A638" s="49">
        <v>44676.886979826391</v>
      </c>
      <c r="B638" s="50" t="s">
        <v>14</v>
      </c>
      <c r="C638" s="50" t="s">
        <v>299</v>
      </c>
      <c r="D638" s="50" t="s">
        <v>259</v>
      </c>
      <c r="E638" s="50">
        <v>0</v>
      </c>
      <c r="F638" s="50">
        <v>0.86505927817166017</v>
      </c>
      <c r="G638" s="51" t="str">
        <v>林智 2022/05/11 (水)
平日夜間</v>
      </c>
    </row>
    <row r="639" spans="1:7" ht="16.149999999999999" x14ac:dyDescent="0.7">
      <c r="A639" s="49">
        <v>44676.886979826391</v>
      </c>
      <c r="B639" s="50" t="s">
        <v>14</v>
      </c>
      <c r="C639" s="50" t="s">
        <v>300</v>
      </c>
      <c r="D639" s="50" t="s">
        <v>259</v>
      </c>
      <c r="E639" s="50">
        <v>0</v>
      </c>
      <c r="F639" s="50">
        <v>0.29322918637485529</v>
      </c>
      <c r="G639" s="51" t="str">
        <v>林智 2022/05/12 (木)
平日夜間</v>
      </c>
    </row>
    <row r="640" spans="1:7" ht="16.149999999999999" x14ac:dyDescent="0.7">
      <c r="A640" s="49">
        <v>44676.886979826391</v>
      </c>
      <c r="B640" s="50" t="s">
        <v>14</v>
      </c>
      <c r="C640" s="50" t="s">
        <v>301</v>
      </c>
      <c r="D640" s="50" t="s">
        <v>259</v>
      </c>
      <c r="E640" s="50">
        <v>0</v>
      </c>
      <c r="F640" s="50">
        <v>0.34957323181241051</v>
      </c>
      <c r="G640" s="51" t="str">
        <v>林智 2022/05/13 (金)
平日夜間</v>
      </c>
    </row>
    <row r="641" spans="1:7" ht="16.149999999999999" x14ac:dyDescent="0.7">
      <c r="A641" s="49">
        <v>44676.886979826391</v>
      </c>
      <c r="B641" s="50" t="s">
        <v>14</v>
      </c>
      <c r="C641" s="50" t="s">
        <v>302</v>
      </c>
      <c r="D641" s="50" t="s">
        <v>261</v>
      </c>
      <c r="E641" s="50">
        <v>-1</v>
      </c>
      <c r="F641" s="50">
        <v>-0.4877770766630487</v>
      </c>
      <c r="G641" s="51" t="str">
        <v>林智 2022/05/14 (土)
休日午後</v>
      </c>
    </row>
    <row r="642" spans="1:7" ht="16.149999999999999" x14ac:dyDescent="0.7">
      <c r="A642" s="49">
        <v>44676.886979826391</v>
      </c>
      <c r="B642" s="50" t="s">
        <v>14</v>
      </c>
      <c r="C642" s="50" t="s">
        <v>303</v>
      </c>
      <c r="D642" s="50" t="s">
        <v>263</v>
      </c>
      <c r="E642" s="50">
        <v>-1</v>
      </c>
      <c r="F642" s="50">
        <v>-0.4154663645617318</v>
      </c>
      <c r="G642" s="51" t="str">
        <v>林智 2022/05/14 (土)
休日午前</v>
      </c>
    </row>
    <row r="643" spans="1:7" ht="16.149999999999999" x14ac:dyDescent="0.7">
      <c r="A643" s="49">
        <v>44676.886979826391</v>
      </c>
      <c r="B643" s="50" t="s">
        <v>14</v>
      </c>
      <c r="C643" s="50" t="s">
        <v>304</v>
      </c>
      <c r="D643" s="50" t="s">
        <v>261</v>
      </c>
      <c r="E643" s="50">
        <v>-1</v>
      </c>
      <c r="F643" s="50">
        <v>-0.63563866397306845</v>
      </c>
      <c r="G643" s="51" t="str">
        <v>林智 2022/05/15 (日)
休日午後</v>
      </c>
    </row>
    <row r="644" spans="1:7" ht="16.149999999999999" x14ac:dyDescent="0.7">
      <c r="A644" s="49">
        <v>44676.886979826391</v>
      </c>
      <c r="B644" s="50" t="s">
        <v>14</v>
      </c>
      <c r="C644" s="50" t="s">
        <v>305</v>
      </c>
      <c r="D644" s="50" t="s">
        <v>263</v>
      </c>
      <c r="E644" s="50">
        <v>0</v>
      </c>
      <c r="F644" s="50">
        <v>0.70878739838719929</v>
      </c>
      <c r="G644" s="51" t="str">
        <v>林智 2022/05/15 (日)
休日午前</v>
      </c>
    </row>
    <row r="645" spans="1:7" ht="16.149999999999999" x14ac:dyDescent="0.7">
      <c r="A645" s="49">
        <v>44676.886979826391</v>
      </c>
      <c r="B645" s="50" t="s">
        <v>14</v>
      </c>
      <c r="C645" s="50" t="s">
        <v>306</v>
      </c>
      <c r="D645" s="50" t="s">
        <v>259</v>
      </c>
      <c r="E645" s="50">
        <v>0</v>
      </c>
      <c r="F645" s="50">
        <v>0.98672021397960696</v>
      </c>
      <c r="G645" s="51" t="str">
        <v>林智 2022/05/16 (月)
平日夜間</v>
      </c>
    </row>
    <row r="646" spans="1:7" ht="16.149999999999999" x14ac:dyDescent="0.7">
      <c r="A646" s="49">
        <v>44676.886979826391</v>
      </c>
      <c r="B646" s="50" t="s">
        <v>14</v>
      </c>
      <c r="C646" s="50" t="s">
        <v>307</v>
      </c>
      <c r="D646" s="50" t="s">
        <v>259</v>
      </c>
      <c r="E646" s="50">
        <v>0</v>
      </c>
      <c r="F646" s="50">
        <v>0.70043183237551454</v>
      </c>
      <c r="G646" s="51" t="str">
        <v>林智 2022/05/17 (火)
平日夜間</v>
      </c>
    </row>
    <row r="647" spans="1:7" ht="16.149999999999999" x14ac:dyDescent="0.7">
      <c r="A647" s="49">
        <v>44676.886979826391</v>
      </c>
      <c r="B647" s="50" t="s">
        <v>14</v>
      </c>
      <c r="C647" s="50" t="s">
        <v>308</v>
      </c>
      <c r="D647" s="50" t="s">
        <v>259</v>
      </c>
      <c r="E647" s="50">
        <v>-1</v>
      </c>
      <c r="F647" s="50">
        <v>-0.98579951540761135</v>
      </c>
      <c r="G647" s="51" t="str">
        <v>林智 2022/05/18 (水)
平日夜間</v>
      </c>
    </row>
    <row r="648" spans="1:7" ht="16.149999999999999" x14ac:dyDescent="0.7">
      <c r="A648" s="49">
        <v>44676.886979826391</v>
      </c>
      <c r="B648" s="50" t="s">
        <v>14</v>
      </c>
      <c r="C648" s="50" t="s">
        <v>309</v>
      </c>
      <c r="D648" s="50" t="s">
        <v>259</v>
      </c>
      <c r="E648" s="50">
        <v>0</v>
      </c>
      <c r="F648" s="50">
        <v>0.26425945167282205</v>
      </c>
      <c r="G648" s="51" t="str">
        <v>林智 2022/05/19 (木)
平日夜間</v>
      </c>
    </row>
    <row r="649" spans="1:7" ht="16.149999999999999" x14ac:dyDescent="0.7">
      <c r="A649" s="49">
        <v>44676.886979826391</v>
      </c>
      <c r="B649" s="50" t="s">
        <v>14</v>
      </c>
      <c r="C649" s="50" t="s">
        <v>310</v>
      </c>
      <c r="D649" s="50" t="s">
        <v>259</v>
      </c>
      <c r="E649" s="50">
        <v>0</v>
      </c>
      <c r="F649" s="50">
        <v>0.27231228616852388</v>
      </c>
      <c r="G649" s="51" t="str">
        <v>林智 2022/05/20 (金)
平日夜間</v>
      </c>
    </row>
    <row r="650" spans="1:7" ht="16.149999999999999" x14ac:dyDescent="0.7">
      <c r="A650" s="49">
        <v>44676.886979826391</v>
      </c>
      <c r="B650" s="50" t="s">
        <v>14</v>
      </c>
      <c r="C650" s="50" t="s">
        <v>311</v>
      </c>
      <c r="D650" s="50" t="s">
        <v>261</v>
      </c>
      <c r="E650" s="50">
        <v>-1</v>
      </c>
      <c r="F650" s="50">
        <v>-0.77972690964124691</v>
      </c>
      <c r="G650" s="51" t="str">
        <v>林智 2022/05/21 (土)
休日午後</v>
      </c>
    </row>
    <row r="651" spans="1:7" ht="16.149999999999999" x14ac:dyDescent="0.7">
      <c r="A651" s="49">
        <v>44676.886979826391</v>
      </c>
      <c r="B651" s="50" t="s">
        <v>14</v>
      </c>
      <c r="C651" s="50" t="s">
        <v>312</v>
      </c>
      <c r="D651" s="50" t="s">
        <v>263</v>
      </c>
      <c r="E651" s="50">
        <v>-1</v>
      </c>
      <c r="F651" s="50">
        <v>-9.9761023930460713E-2</v>
      </c>
      <c r="G651" s="51" t="str">
        <v>林智 2022/05/21 (土)
休日午前</v>
      </c>
    </row>
    <row r="652" spans="1:7" ht="16.149999999999999" x14ac:dyDescent="0.7">
      <c r="A652" s="49">
        <v>44676.886979826391</v>
      </c>
      <c r="B652" s="50" t="s">
        <v>14</v>
      </c>
      <c r="C652" s="50" t="s">
        <v>313</v>
      </c>
      <c r="D652" s="50" t="s">
        <v>261</v>
      </c>
      <c r="E652" s="50">
        <v>0</v>
      </c>
      <c r="F652" s="50">
        <v>4.4492769118636089E-2</v>
      </c>
      <c r="G652" s="51" t="str">
        <v>林智 2022/05/22 (日)
休日午後</v>
      </c>
    </row>
    <row r="653" spans="1:7" ht="16.149999999999999" x14ac:dyDescent="0.7">
      <c r="A653" s="49">
        <v>44676.886979826391</v>
      </c>
      <c r="B653" s="50" t="s">
        <v>14</v>
      </c>
      <c r="C653" s="50" t="s">
        <v>314</v>
      </c>
      <c r="D653" s="50" t="s">
        <v>263</v>
      </c>
      <c r="E653" s="50">
        <v>0</v>
      </c>
      <c r="F653" s="50">
        <v>0.33256465718890293</v>
      </c>
      <c r="G653" s="51" t="str">
        <v>林智 2022/05/22 (日)
休日午前</v>
      </c>
    </row>
    <row r="654" spans="1:7" ht="16.149999999999999" x14ac:dyDescent="0.7">
      <c r="A654" s="49">
        <v>44676.886979826391</v>
      </c>
      <c r="B654" s="50" t="s">
        <v>14</v>
      </c>
      <c r="C654" s="50" t="s">
        <v>315</v>
      </c>
      <c r="D654" s="50" t="s">
        <v>259</v>
      </c>
      <c r="E654" s="50">
        <v>0</v>
      </c>
      <c r="F654" s="50">
        <v>0.49090279821203864</v>
      </c>
      <c r="G654" s="51" t="str">
        <v>林智 2022/05/23 (月)
平日夜間</v>
      </c>
    </row>
    <row r="655" spans="1:7" ht="16.149999999999999" x14ac:dyDescent="0.7">
      <c r="A655" s="49">
        <v>44676.886979826391</v>
      </c>
      <c r="B655" s="50" t="s">
        <v>14</v>
      </c>
      <c r="C655" s="50" t="s">
        <v>316</v>
      </c>
      <c r="D655" s="50" t="s">
        <v>259</v>
      </c>
      <c r="E655" s="50">
        <v>0</v>
      </c>
      <c r="F655" s="50">
        <v>2.8420858810044525E-2</v>
      </c>
      <c r="G655" s="51" t="str">
        <v>林智 2022/05/24 (火)
平日夜間</v>
      </c>
    </row>
    <row r="656" spans="1:7" ht="16.149999999999999" x14ac:dyDescent="0.7">
      <c r="A656" s="49">
        <v>44676.886979826391</v>
      </c>
      <c r="B656" s="50" t="s">
        <v>14</v>
      </c>
      <c r="C656" s="50" t="s">
        <v>317</v>
      </c>
      <c r="D656" s="50" t="s">
        <v>259</v>
      </c>
      <c r="E656" s="50">
        <v>-1</v>
      </c>
      <c r="F656" s="50">
        <v>-0.63149712759455956</v>
      </c>
      <c r="G656" s="51" t="str">
        <v>林智 2022/05/25 (水)
平日夜間</v>
      </c>
    </row>
    <row r="657" spans="1:7" ht="16.149999999999999" x14ac:dyDescent="0.7">
      <c r="A657" s="49">
        <v>44676.886979826391</v>
      </c>
      <c r="B657" s="50" t="s">
        <v>14</v>
      </c>
      <c r="C657" s="50" t="s">
        <v>318</v>
      </c>
      <c r="D657" s="50" t="s">
        <v>259</v>
      </c>
      <c r="E657" s="50">
        <v>-1</v>
      </c>
      <c r="F657" s="50">
        <v>-4.3379344996357316E-2</v>
      </c>
      <c r="G657" s="51" t="str">
        <v>林智 2022/05/26 (木)
平日夜間</v>
      </c>
    </row>
    <row r="658" spans="1:7" ht="16.149999999999999" x14ac:dyDescent="0.7">
      <c r="A658" s="49">
        <v>44676.886979826391</v>
      </c>
      <c r="B658" s="50" t="s">
        <v>14</v>
      </c>
      <c r="C658" s="50" t="s">
        <v>319</v>
      </c>
      <c r="D658" s="50" t="s">
        <v>259</v>
      </c>
      <c r="E658" s="50">
        <v>0</v>
      </c>
      <c r="F658" s="50">
        <v>0.36609279692350749</v>
      </c>
      <c r="G658" s="51" t="str">
        <v>林智 2022/05/27 (金)
平日夜間</v>
      </c>
    </row>
    <row r="659" spans="1:7" ht="16.149999999999999" x14ac:dyDescent="0.7">
      <c r="A659" s="49">
        <v>44676.886979826391</v>
      </c>
      <c r="B659" s="50" t="s">
        <v>14</v>
      </c>
      <c r="C659" s="50" t="s">
        <v>320</v>
      </c>
      <c r="D659" s="50" t="s">
        <v>261</v>
      </c>
      <c r="E659" s="50">
        <v>0</v>
      </c>
      <c r="F659" s="50">
        <v>0.47895627466877722</v>
      </c>
      <c r="G659" s="51" t="str">
        <v>林智 2022/05/28 (土)
休日午後</v>
      </c>
    </row>
    <row r="660" spans="1:7" ht="16.149999999999999" x14ac:dyDescent="0.7">
      <c r="A660" s="49">
        <v>44676.886979826391</v>
      </c>
      <c r="B660" s="50" t="s">
        <v>14</v>
      </c>
      <c r="C660" s="50" t="s">
        <v>321</v>
      </c>
      <c r="D660" s="50" t="s">
        <v>263</v>
      </c>
      <c r="E660" s="50">
        <v>0</v>
      </c>
      <c r="F660" s="50">
        <v>0.28445290101244169</v>
      </c>
      <c r="G660" s="51" t="str">
        <v>林智 2022/05/28 (土)
休日午前</v>
      </c>
    </row>
    <row r="661" spans="1:7" ht="16.149999999999999" x14ac:dyDescent="0.7">
      <c r="A661" s="49">
        <v>44676.886979826391</v>
      </c>
      <c r="B661" s="50" t="s">
        <v>14</v>
      </c>
      <c r="C661" s="50" t="s">
        <v>322</v>
      </c>
      <c r="D661" s="50" t="s">
        <v>261</v>
      </c>
      <c r="E661" s="50">
        <v>0</v>
      </c>
      <c r="F661" s="50">
        <v>0.84678266636408628</v>
      </c>
      <c r="G661" s="51" t="str">
        <v>林智 2022/05/29 (日)
休日午後</v>
      </c>
    </row>
    <row r="662" spans="1:7" ht="16.149999999999999" x14ac:dyDescent="0.7">
      <c r="A662" s="49">
        <v>44676.886979826391</v>
      </c>
      <c r="B662" s="50" t="s">
        <v>14</v>
      </c>
      <c r="C662" s="50" t="s">
        <v>323</v>
      </c>
      <c r="D662" s="50" t="s">
        <v>263</v>
      </c>
      <c r="E662" s="50">
        <v>0</v>
      </c>
      <c r="F662" s="50">
        <v>0.48131385886970213</v>
      </c>
      <c r="G662" s="51" t="str">
        <v>林智 2022/05/29 (日)
休日午前</v>
      </c>
    </row>
    <row r="663" spans="1:7" ht="16.149999999999999" x14ac:dyDescent="0.7">
      <c r="A663" s="49">
        <v>44676.886979826391</v>
      </c>
      <c r="B663" s="50" t="s">
        <v>14</v>
      </c>
      <c r="C663" s="50" t="s">
        <v>324</v>
      </c>
      <c r="D663" s="50" t="s">
        <v>259</v>
      </c>
      <c r="E663" s="50">
        <v>0</v>
      </c>
      <c r="F663" s="50">
        <v>0.21057708100475558</v>
      </c>
      <c r="G663" s="51" t="str">
        <v>林智 2022/05/30 (月)
平日夜間</v>
      </c>
    </row>
    <row r="664" spans="1:7" ht="16.149999999999999" x14ac:dyDescent="0.7">
      <c r="A664" s="49">
        <v>44676.886979826391</v>
      </c>
      <c r="B664" s="50" t="s">
        <v>14</v>
      </c>
      <c r="C664" s="50" t="s">
        <v>325</v>
      </c>
      <c r="D664" s="50" t="s">
        <v>259</v>
      </c>
      <c r="E664" s="50">
        <v>0</v>
      </c>
      <c r="F664" s="50">
        <v>0.11877762678817216</v>
      </c>
      <c r="G664" s="51" t="str">
        <v>林智 2022/05/31 (火)
平日夜間</v>
      </c>
    </row>
    <row r="665" spans="1:7" ht="16.149999999999999" x14ac:dyDescent="0.7">
      <c r="A665" s="49">
        <v>44676.95676184028</v>
      </c>
      <c r="B665" s="50" t="s">
        <v>11</v>
      </c>
      <c r="C665" s="50" t="s">
        <v>297</v>
      </c>
      <c r="D665" s="50" t="s">
        <v>259</v>
      </c>
      <c r="E665" s="50">
        <v>0</v>
      </c>
      <c r="F665" s="50">
        <v>0.92058622679630364</v>
      </c>
      <c r="G665" s="51" t="str">
        <v>宮坂 2022/05/09 (月)
平日夜間</v>
      </c>
    </row>
    <row r="666" spans="1:7" ht="16.149999999999999" x14ac:dyDescent="0.7">
      <c r="A666" s="49">
        <v>44676.95676184028</v>
      </c>
      <c r="B666" s="50" t="s">
        <v>11</v>
      </c>
      <c r="C666" s="50" t="s">
        <v>298</v>
      </c>
      <c r="D666" s="50" t="s">
        <v>259</v>
      </c>
      <c r="E666" s="50">
        <v>0</v>
      </c>
      <c r="F666" s="50">
        <v>0.29341674302584586</v>
      </c>
      <c r="G666" s="51" t="str">
        <v>宮坂 2022/05/10 (火)
平日夜間</v>
      </c>
    </row>
    <row r="667" spans="1:7" ht="16.149999999999999" x14ac:dyDescent="0.7">
      <c r="A667" s="49">
        <v>44676.95676184028</v>
      </c>
      <c r="B667" s="50" t="s">
        <v>11</v>
      </c>
      <c r="C667" s="50" t="s">
        <v>299</v>
      </c>
      <c r="D667" s="50" t="s">
        <v>259</v>
      </c>
      <c r="E667" s="50">
        <v>0</v>
      </c>
      <c r="F667" s="50">
        <v>0.97425369632802772</v>
      </c>
      <c r="G667" s="51" t="str">
        <v>宮坂 2022/05/11 (水)
平日夜間</v>
      </c>
    </row>
    <row r="668" spans="1:7" ht="16.149999999999999" x14ac:dyDescent="0.7">
      <c r="A668" s="49">
        <v>44676.95676184028</v>
      </c>
      <c r="B668" s="50" t="s">
        <v>11</v>
      </c>
      <c r="C668" s="50" t="s">
        <v>300</v>
      </c>
      <c r="D668" s="50" t="s">
        <v>259</v>
      </c>
      <c r="E668" s="50">
        <v>0</v>
      </c>
      <c r="F668" s="50">
        <v>0.28574692985239603</v>
      </c>
      <c r="G668" s="51" t="str">
        <v>宮坂 2022/05/12 (木)
平日夜間</v>
      </c>
    </row>
    <row r="669" spans="1:7" ht="16.149999999999999" x14ac:dyDescent="0.7">
      <c r="A669" s="49">
        <v>44676.95676184028</v>
      </c>
      <c r="B669" s="50" t="s">
        <v>11</v>
      </c>
      <c r="C669" s="50" t="s">
        <v>301</v>
      </c>
      <c r="D669" s="50" t="s">
        <v>259</v>
      </c>
      <c r="E669" s="50">
        <v>0</v>
      </c>
      <c r="F669" s="50">
        <v>0.97648063754058878</v>
      </c>
      <c r="G669" s="51" t="str">
        <v>宮坂 2022/05/13 (金)
平日夜間</v>
      </c>
    </row>
    <row r="670" spans="1:7" ht="16.149999999999999" x14ac:dyDescent="0.7">
      <c r="A670" s="49">
        <v>44676.95676184028</v>
      </c>
      <c r="B670" s="50" t="s">
        <v>11</v>
      </c>
      <c r="C670" s="50" t="s">
        <v>302</v>
      </c>
      <c r="D670" s="50" t="s">
        <v>261</v>
      </c>
      <c r="E670" s="50">
        <v>0</v>
      </c>
      <c r="F670" s="50">
        <v>0.2376556005942525</v>
      </c>
      <c r="G670" s="51" t="str">
        <v>宮坂 2022/05/14 (土)
休日午後</v>
      </c>
    </row>
    <row r="671" spans="1:7" ht="16.149999999999999" x14ac:dyDescent="0.7">
      <c r="A671" s="49">
        <v>44676.95676184028</v>
      </c>
      <c r="B671" s="50" t="s">
        <v>11</v>
      </c>
      <c r="C671" s="50" t="s">
        <v>303</v>
      </c>
      <c r="D671" s="50" t="s">
        <v>263</v>
      </c>
      <c r="E671" s="50">
        <v>0</v>
      </c>
      <c r="F671" s="50">
        <v>0.4103647292684407</v>
      </c>
      <c r="G671" s="51" t="str">
        <v>宮坂 2022/05/14 (土)
休日午前</v>
      </c>
    </row>
    <row r="672" spans="1:7" ht="16.149999999999999" x14ac:dyDescent="0.7">
      <c r="A672" s="49">
        <v>44676.95676184028</v>
      </c>
      <c r="B672" s="50" t="s">
        <v>11</v>
      </c>
      <c r="C672" s="50" t="s">
        <v>304</v>
      </c>
      <c r="D672" s="50" t="s">
        <v>261</v>
      </c>
      <c r="E672" s="50">
        <v>0</v>
      </c>
      <c r="F672" s="50">
        <v>0.63196186499176221</v>
      </c>
      <c r="G672" s="51" t="str">
        <v>宮坂 2022/05/15 (日)
休日午後</v>
      </c>
    </row>
    <row r="673" spans="1:7" ht="16.149999999999999" x14ac:dyDescent="0.7">
      <c r="A673" s="49">
        <v>44676.95676184028</v>
      </c>
      <c r="B673" s="50" t="s">
        <v>11</v>
      </c>
      <c r="C673" s="50" t="s">
        <v>305</v>
      </c>
      <c r="D673" s="50" t="s">
        <v>263</v>
      </c>
      <c r="E673" s="50">
        <v>0</v>
      </c>
      <c r="F673" s="50">
        <v>0.77399415708901498</v>
      </c>
      <c r="G673" s="51" t="str">
        <v>宮坂 2022/05/15 (日)
休日午前</v>
      </c>
    </row>
    <row r="674" spans="1:7" ht="16.149999999999999" x14ac:dyDescent="0.7">
      <c r="A674" s="49">
        <v>44676.95676184028</v>
      </c>
      <c r="B674" s="50" t="s">
        <v>11</v>
      </c>
      <c r="C674" s="50" t="s">
        <v>306</v>
      </c>
      <c r="D674" s="50" t="s">
        <v>259</v>
      </c>
      <c r="E674" s="50">
        <v>0</v>
      </c>
      <c r="F674" s="50">
        <v>0.88685494889231542</v>
      </c>
      <c r="G674" s="51" t="str">
        <v>宮坂 2022/05/16 (月)
平日夜間</v>
      </c>
    </row>
    <row r="675" spans="1:7" ht="16.149999999999999" x14ac:dyDescent="0.7">
      <c r="A675" s="49">
        <v>44676.95676184028</v>
      </c>
      <c r="B675" s="50" t="s">
        <v>11</v>
      </c>
      <c r="C675" s="50" t="s">
        <v>307</v>
      </c>
      <c r="D675" s="50" t="s">
        <v>259</v>
      </c>
      <c r="E675" s="50">
        <v>0</v>
      </c>
      <c r="F675" s="50">
        <v>0.39591910299072208</v>
      </c>
      <c r="G675" s="51" t="str">
        <v>宮坂 2022/05/17 (火)
平日夜間</v>
      </c>
    </row>
    <row r="676" spans="1:7" ht="16.149999999999999" x14ac:dyDescent="0.7">
      <c r="A676" s="49">
        <v>44676.95676184028</v>
      </c>
      <c r="B676" s="50" t="s">
        <v>11</v>
      </c>
      <c r="C676" s="50" t="s">
        <v>308</v>
      </c>
      <c r="D676" s="50" t="s">
        <v>259</v>
      </c>
      <c r="E676" s="50">
        <v>0</v>
      </c>
      <c r="F676" s="50">
        <v>0.86782101936818457</v>
      </c>
      <c r="G676" s="51" t="str">
        <v>宮坂 2022/05/18 (水)
平日夜間</v>
      </c>
    </row>
    <row r="677" spans="1:7" ht="16.149999999999999" x14ac:dyDescent="0.7">
      <c r="A677" s="49">
        <v>44676.95676184028</v>
      </c>
      <c r="B677" s="50" t="s">
        <v>11</v>
      </c>
      <c r="C677" s="50" t="s">
        <v>309</v>
      </c>
      <c r="D677" s="50" t="s">
        <v>259</v>
      </c>
      <c r="E677" s="50">
        <v>0</v>
      </c>
      <c r="F677" s="50">
        <v>0.26708459815661834</v>
      </c>
      <c r="G677" s="51" t="str">
        <v>宮坂 2022/05/19 (木)
平日夜間</v>
      </c>
    </row>
    <row r="678" spans="1:7" ht="16.149999999999999" x14ac:dyDescent="0.7">
      <c r="A678" s="49">
        <v>44676.95676184028</v>
      </c>
      <c r="B678" s="50" t="s">
        <v>11</v>
      </c>
      <c r="C678" s="50" t="s">
        <v>310</v>
      </c>
      <c r="D678" s="50" t="s">
        <v>259</v>
      </c>
      <c r="E678" s="50">
        <v>0</v>
      </c>
      <c r="F678" s="50">
        <v>0.38625096929758884</v>
      </c>
      <c r="G678" s="51" t="str">
        <v>宮坂 2022/05/20 (金)
平日夜間</v>
      </c>
    </row>
    <row r="679" spans="1:7" ht="16.149999999999999" x14ac:dyDescent="0.7">
      <c r="A679" s="49">
        <v>44676.95676184028</v>
      </c>
      <c r="B679" s="50" t="s">
        <v>11</v>
      </c>
      <c r="C679" s="50" t="s">
        <v>311</v>
      </c>
      <c r="D679" s="50" t="s">
        <v>261</v>
      </c>
      <c r="E679" s="50">
        <v>0</v>
      </c>
      <c r="F679" s="50">
        <v>0.15406336013086097</v>
      </c>
      <c r="G679" s="51" t="str">
        <v>宮坂 2022/05/21 (土)
休日午後</v>
      </c>
    </row>
    <row r="680" spans="1:7" ht="16.149999999999999" x14ac:dyDescent="0.7">
      <c r="A680" s="49">
        <v>44676.95676184028</v>
      </c>
      <c r="B680" s="50" t="s">
        <v>11</v>
      </c>
      <c r="C680" s="50" t="s">
        <v>312</v>
      </c>
      <c r="D680" s="50" t="s">
        <v>263</v>
      </c>
      <c r="E680" s="50">
        <v>0</v>
      </c>
      <c r="F680" s="50">
        <v>0.40312054825343879</v>
      </c>
      <c r="G680" s="51" t="str">
        <v>宮坂 2022/05/21 (土)
休日午前</v>
      </c>
    </row>
    <row r="681" spans="1:7" ht="16.149999999999999" x14ac:dyDescent="0.7">
      <c r="A681" s="49">
        <v>44676.95676184028</v>
      </c>
      <c r="B681" s="50" t="s">
        <v>11</v>
      </c>
      <c r="C681" s="50" t="s">
        <v>313</v>
      </c>
      <c r="D681" s="50" t="s">
        <v>261</v>
      </c>
      <c r="E681" s="50">
        <v>0</v>
      </c>
      <c r="F681" s="50">
        <v>0.11205947078768719</v>
      </c>
      <c r="G681" s="51" t="str">
        <v>宮坂 2022/05/22 (日)
休日午後</v>
      </c>
    </row>
    <row r="682" spans="1:7" ht="16.149999999999999" x14ac:dyDescent="0.7">
      <c r="A682" s="49">
        <v>44676.95676184028</v>
      </c>
      <c r="B682" s="50" t="s">
        <v>11</v>
      </c>
      <c r="C682" s="50" t="s">
        <v>314</v>
      </c>
      <c r="D682" s="50" t="s">
        <v>263</v>
      </c>
      <c r="E682" s="50">
        <v>0</v>
      </c>
      <c r="F682" s="50">
        <v>0.76076620934311667</v>
      </c>
      <c r="G682" s="51" t="str">
        <v>宮坂 2022/05/22 (日)
休日午前</v>
      </c>
    </row>
    <row r="683" spans="1:7" ht="16.149999999999999" x14ac:dyDescent="0.7">
      <c r="A683" s="49">
        <v>44676.95676184028</v>
      </c>
      <c r="B683" s="50" t="s">
        <v>11</v>
      </c>
      <c r="C683" s="50" t="s">
        <v>315</v>
      </c>
      <c r="D683" s="50" t="s">
        <v>259</v>
      </c>
      <c r="E683" s="50">
        <v>0</v>
      </c>
      <c r="F683" s="50">
        <v>0.8480383192492964</v>
      </c>
      <c r="G683" s="51" t="str">
        <v>宮坂 2022/05/23 (月)
平日夜間</v>
      </c>
    </row>
    <row r="684" spans="1:7" ht="16.149999999999999" x14ac:dyDescent="0.7">
      <c r="A684" s="49">
        <v>44676.95676184028</v>
      </c>
      <c r="B684" s="50" t="s">
        <v>11</v>
      </c>
      <c r="C684" s="50" t="s">
        <v>316</v>
      </c>
      <c r="D684" s="50" t="s">
        <v>259</v>
      </c>
      <c r="E684" s="50">
        <v>0</v>
      </c>
      <c r="F684" s="50">
        <v>0.11930499749042145</v>
      </c>
      <c r="G684" s="51" t="str">
        <v>宮坂 2022/05/24 (火)
平日夜間</v>
      </c>
    </row>
    <row r="685" spans="1:7" ht="16.149999999999999" x14ac:dyDescent="0.7">
      <c r="A685" s="49">
        <v>44676.95676184028</v>
      </c>
      <c r="B685" s="50" t="s">
        <v>11</v>
      </c>
      <c r="C685" s="50" t="s">
        <v>317</v>
      </c>
      <c r="D685" s="50" t="s">
        <v>259</v>
      </c>
      <c r="E685" s="50">
        <v>0</v>
      </c>
      <c r="F685" s="50">
        <v>0.80052102147122906</v>
      </c>
      <c r="G685" s="51" t="str">
        <v>宮坂 2022/05/25 (水)
平日夜間</v>
      </c>
    </row>
    <row r="686" spans="1:7" ht="16.149999999999999" x14ac:dyDescent="0.7">
      <c r="A686" s="49">
        <v>44676.95676184028</v>
      </c>
      <c r="B686" s="50" t="s">
        <v>11</v>
      </c>
      <c r="C686" s="50" t="s">
        <v>318</v>
      </c>
      <c r="D686" s="50" t="s">
        <v>259</v>
      </c>
      <c r="E686" s="50">
        <v>-1</v>
      </c>
      <c r="F686" s="50">
        <v>-5.1735505161269124E-2</v>
      </c>
      <c r="G686" s="51" t="str">
        <v>宮坂 2022/05/26 (木)
平日夜間</v>
      </c>
    </row>
    <row r="687" spans="1:7" ht="16.149999999999999" x14ac:dyDescent="0.7">
      <c r="A687" s="49">
        <v>44676.95676184028</v>
      </c>
      <c r="B687" s="50" t="s">
        <v>11</v>
      </c>
      <c r="C687" s="50" t="s">
        <v>319</v>
      </c>
      <c r="D687" s="50" t="s">
        <v>259</v>
      </c>
      <c r="E687" s="50">
        <v>2</v>
      </c>
      <c r="F687" s="50">
        <v>2.2406976240195569</v>
      </c>
      <c r="G687" s="51" t="str">
        <v>宮坂 2022/05/27 (金)
平日夜間</v>
      </c>
    </row>
    <row r="688" spans="1:7" ht="16.149999999999999" x14ac:dyDescent="0.7">
      <c r="A688" s="49">
        <v>44676.95676184028</v>
      </c>
      <c r="B688" s="50" t="s">
        <v>11</v>
      </c>
      <c r="C688" s="50" t="s">
        <v>320</v>
      </c>
      <c r="D688" s="50" t="s">
        <v>261</v>
      </c>
      <c r="E688" s="50">
        <v>0</v>
      </c>
      <c r="F688" s="50">
        <v>0.40792318852757403</v>
      </c>
      <c r="G688" s="51" t="str">
        <v>宮坂 2022/05/28 (土)
休日午後</v>
      </c>
    </row>
    <row r="689" spans="1:7" ht="16.149999999999999" x14ac:dyDescent="0.7">
      <c r="A689" s="49">
        <v>44676.95676184028</v>
      </c>
      <c r="B689" s="50" t="s">
        <v>11</v>
      </c>
      <c r="C689" s="50" t="s">
        <v>321</v>
      </c>
      <c r="D689" s="50" t="s">
        <v>263</v>
      </c>
      <c r="E689" s="50">
        <v>0</v>
      </c>
      <c r="F689" s="50">
        <v>0.92558767072499126</v>
      </c>
      <c r="G689" s="51" t="str">
        <v>宮坂 2022/05/28 (土)
休日午前</v>
      </c>
    </row>
    <row r="690" spans="1:7" ht="16.149999999999999" x14ac:dyDescent="0.7">
      <c r="A690" s="49">
        <v>44676.95676184028</v>
      </c>
      <c r="B690" s="50" t="s">
        <v>11</v>
      </c>
      <c r="C690" s="50" t="s">
        <v>322</v>
      </c>
      <c r="D690" s="50" t="s">
        <v>261</v>
      </c>
      <c r="E690" s="50">
        <v>0</v>
      </c>
      <c r="F690" s="50">
        <v>0.60823854636003016</v>
      </c>
      <c r="G690" s="51" t="str">
        <v>宮坂 2022/05/29 (日)
休日午後</v>
      </c>
    </row>
    <row r="691" spans="1:7" ht="16.149999999999999" x14ac:dyDescent="0.7">
      <c r="A691" s="49">
        <v>44676.95676184028</v>
      </c>
      <c r="B691" s="50" t="s">
        <v>11</v>
      </c>
      <c r="C691" s="50" t="s">
        <v>323</v>
      </c>
      <c r="D691" s="50" t="s">
        <v>263</v>
      </c>
      <c r="E691" s="50">
        <v>0</v>
      </c>
      <c r="F691" s="50">
        <v>0.31146285456397704</v>
      </c>
      <c r="G691" s="51" t="str">
        <v>宮坂 2022/05/29 (日)
休日午前</v>
      </c>
    </row>
    <row r="692" spans="1:7" ht="16.149999999999999" x14ac:dyDescent="0.7">
      <c r="A692" s="49">
        <v>44676.95676184028</v>
      </c>
      <c r="B692" s="50" t="s">
        <v>11</v>
      </c>
      <c r="C692" s="50" t="s">
        <v>324</v>
      </c>
      <c r="D692" s="50" t="s">
        <v>259</v>
      </c>
      <c r="E692" s="50">
        <v>0</v>
      </c>
      <c r="F692" s="50">
        <v>0.24898051270570742</v>
      </c>
      <c r="G692" s="51" t="str">
        <v>宮坂 2022/05/30 (月)
平日夜間</v>
      </c>
    </row>
    <row r="693" spans="1:7" ht="16.149999999999999" x14ac:dyDescent="0.7">
      <c r="A693" s="49">
        <v>44676.95676184028</v>
      </c>
      <c r="B693" s="50" t="s">
        <v>11</v>
      </c>
      <c r="C693" s="50" t="s">
        <v>325</v>
      </c>
      <c r="D693" s="50" t="s">
        <v>259</v>
      </c>
      <c r="E693" s="50">
        <v>0</v>
      </c>
      <c r="F693" s="50">
        <v>0.19963867546810499</v>
      </c>
      <c r="G693" s="51" t="str">
        <v>宮坂 2022/05/31 (火)
平日夜間</v>
      </c>
    </row>
    <row r="694" spans="1:7" ht="16.149999999999999" x14ac:dyDescent="0.7">
      <c r="A694" s="49">
        <v>44677.556324988429</v>
      </c>
      <c r="B694" s="50" t="s">
        <v>31</v>
      </c>
      <c r="C694" s="50" t="s">
        <v>297</v>
      </c>
      <c r="D694" s="50" t="s">
        <v>259</v>
      </c>
      <c r="E694" s="50">
        <v>-1</v>
      </c>
      <c r="F694" s="50">
        <v>-0.33140310159169895</v>
      </c>
      <c r="G694" s="51" t="str">
        <v>湯川 2022/05/09 (月)
平日夜間</v>
      </c>
    </row>
    <row r="695" spans="1:7" ht="16.149999999999999" x14ac:dyDescent="0.7">
      <c r="A695" s="49">
        <v>44677.556324988429</v>
      </c>
      <c r="B695" s="50" t="s">
        <v>31</v>
      </c>
      <c r="C695" s="50" t="s">
        <v>298</v>
      </c>
      <c r="D695" s="50" t="s">
        <v>259</v>
      </c>
      <c r="E695" s="50">
        <v>0</v>
      </c>
      <c r="F695" s="50">
        <v>0.34890709144578258</v>
      </c>
      <c r="G695" s="51" t="str">
        <v>湯川 2022/05/10 (火)
平日夜間</v>
      </c>
    </row>
    <row r="696" spans="1:7" ht="16.149999999999999" x14ac:dyDescent="0.7">
      <c r="A696" s="49">
        <v>44677.556324988429</v>
      </c>
      <c r="B696" s="50" t="s">
        <v>31</v>
      </c>
      <c r="C696" s="50" t="s">
        <v>299</v>
      </c>
      <c r="D696" s="50" t="s">
        <v>259</v>
      </c>
      <c r="E696" s="50">
        <v>0</v>
      </c>
      <c r="F696" s="50">
        <v>0.61720578953390337</v>
      </c>
      <c r="G696" s="51" t="str">
        <v>湯川 2022/05/11 (水)
平日夜間</v>
      </c>
    </row>
    <row r="697" spans="1:7" ht="16.149999999999999" x14ac:dyDescent="0.7">
      <c r="A697" s="49">
        <v>44677.556324988429</v>
      </c>
      <c r="B697" s="50" t="s">
        <v>31</v>
      </c>
      <c r="C697" s="50" t="s">
        <v>300</v>
      </c>
      <c r="D697" s="50" t="s">
        <v>259</v>
      </c>
      <c r="E697" s="50">
        <v>0</v>
      </c>
      <c r="F697" s="50">
        <v>0.42932470642075504</v>
      </c>
      <c r="G697" s="51" t="str">
        <v>湯川 2022/05/12 (木)
平日夜間</v>
      </c>
    </row>
    <row r="698" spans="1:7" ht="16.149999999999999" x14ac:dyDescent="0.7">
      <c r="A698" s="49">
        <v>44677.556324988429</v>
      </c>
      <c r="B698" s="50" t="s">
        <v>31</v>
      </c>
      <c r="C698" s="50" t="s">
        <v>301</v>
      </c>
      <c r="D698" s="50" t="s">
        <v>259</v>
      </c>
      <c r="E698" s="50">
        <v>0</v>
      </c>
      <c r="F698" s="50">
        <v>0.67782811747627281</v>
      </c>
      <c r="G698" s="51" t="str">
        <v>湯川 2022/05/13 (金)
平日夜間</v>
      </c>
    </row>
    <row r="699" spans="1:7" ht="16.149999999999999" x14ac:dyDescent="0.7">
      <c r="A699" s="49">
        <v>44677.556324988429</v>
      </c>
      <c r="B699" s="50" t="s">
        <v>31</v>
      </c>
      <c r="C699" s="50" t="s">
        <v>302</v>
      </c>
      <c r="D699" s="50" t="s">
        <v>261</v>
      </c>
      <c r="E699" s="50">
        <v>-1</v>
      </c>
      <c r="F699" s="50">
        <v>-3.5648087061325384E-2</v>
      </c>
      <c r="G699" s="51" t="str">
        <v>湯川 2022/05/14 (土)
休日午後</v>
      </c>
    </row>
    <row r="700" spans="1:7" ht="16.149999999999999" x14ac:dyDescent="0.7">
      <c r="A700" s="49">
        <v>44677.556324988429</v>
      </c>
      <c r="B700" s="50" t="s">
        <v>31</v>
      </c>
      <c r="C700" s="50" t="s">
        <v>303</v>
      </c>
      <c r="D700" s="50" t="s">
        <v>263</v>
      </c>
      <c r="E700" s="50">
        <v>-1</v>
      </c>
      <c r="F700" s="50">
        <v>-0.55985239857546842</v>
      </c>
      <c r="G700" s="51" t="str">
        <v>湯川 2022/05/14 (土)
休日午前</v>
      </c>
    </row>
    <row r="701" spans="1:7" ht="16.149999999999999" x14ac:dyDescent="0.7">
      <c r="A701" s="49">
        <v>44677.556324988429</v>
      </c>
      <c r="B701" s="50" t="s">
        <v>31</v>
      </c>
      <c r="C701" s="50" t="s">
        <v>304</v>
      </c>
      <c r="D701" s="50" t="s">
        <v>261</v>
      </c>
      <c r="E701" s="50">
        <v>-1</v>
      </c>
      <c r="F701" s="50">
        <v>-0.94802883955911099</v>
      </c>
      <c r="G701" s="51" t="str">
        <v>湯川 2022/05/15 (日)
休日午後</v>
      </c>
    </row>
    <row r="702" spans="1:7" ht="16.149999999999999" x14ac:dyDescent="0.7">
      <c r="A702" s="49">
        <v>44677.556324988429</v>
      </c>
      <c r="B702" s="50" t="s">
        <v>31</v>
      </c>
      <c r="C702" s="50" t="s">
        <v>305</v>
      </c>
      <c r="D702" s="50" t="s">
        <v>263</v>
      </c>
      <c r="E702" s="50">
        <v>-1</v>
      </c>
      <c r="F702" s="50">
        <v>-0.70842721460479896</v>
      </c>
      <c r="G702" s="51" t="str">
        <v>湯川 2022/05/15 (日)
休日午前</v>
      </c>
    </row>
    <row r="703" spans="1:7" ht="16.149999999999999" x14ac:dyDescent="0.7">
      <c r="A703" s="49">
        <v>44677.556324988429</v>
      </c>
      <c r="B703" s="50" t="s">
        <v>31</v>
      </c>
      <c r="C703" s="50" t="s">
        <v>306</v>
      </c>
      <c r="D703" s="50" t="s">
        <v>259</v>
      </c>
      <c r="E703" s="50">
        <v>-1</v>
      </c>
      <c r="F703" s="50">
        <v>-0.60870729211710795</v>
      </c>
      <c r="G703" s="51" t="str">
        <v>湯川 2022/05/16 (月)
平日夜間</v>
      </c>
    </row>
    <row r="704" spans="1:7" ht="16.149999999999999" x14ac:dyDescent="0.7">
      <c r="A704" s="49">
        <v>44677.556324988429</v>
      </c>
      <c r="B704" s="50" t="s">
        <v>31</v>
      </c>
      <c r="C704" s="50" t="s">
        <v>307</v>
      </c>
      <c r="D704" s="50" t="s">
        <v>259</v>
      </c>
      <c r="E704" s="50">
        <v>0</v>
      </c>
      <c r="F704" s="50">
        <v>0.57103240270430766</v>
      </c>
      <c r="G704" s="51" t="str">
        <v>湯川 2022/05/17 (火)
平日夜間</v>
      </c>
    </row>
    <row r="705" spans="1:7" ht="16.149999999999999" x14ac:dyDescent="0.7">
      <c r="A705" s="49">
        <v>44677.556324988429</v>
      </c>
      <c r="B705" s="50" t="s">
        <v>31</v>
      </c>
      <c r="C705" s="50" t="s">
        <v>308</v>
      </c>
      <c r="D705" s="50" t="s">
        <v>259</v>
      </c>
      <c r="E705" s="50">
        <v>0</v>
      </c>
      <c r="F705" s="50">
        <v>4.8588473491226747E-3</v>
      </c>
      <c r="G705" s="51" t="str">
        <v>湯川 2022/05/18 (水)
平日夜間</v>
      </c>
    </row>
    <row r="706" spans="1:7" ht="16.149999999999999" x14ac:dyDescent="0.7">
      <c r="A706" s="49">
        <v>44677.556324988429</v>
      </c>
      <c r="B706" s="50" t="s">
        <v>31</v>
      </c>
      <c r="C706" s="50" t="s">
        <v>309</v>
      </c>
      <c r="D706" s="50" t="s">
        <v>259</v>
      </c>
      <c r="E706" s="50">
        <v>0</v>
      </c>
      <c r="F706" s="50">
        <v>3.5054377793164448E-4</v>
      </c>
      <c r="G706" s="51" t="str">
        <v>湯川 2022/05/19 (木)
平日夜間</v>
      </c>
    </row>
    <row r="707" spans="1:7" ht="16.149999999999999" x14ac:dyDescent="0.7">
      <c r="A707" s="49">
        <v>44677.556324988429</v>
      </c>
      <c r="B707" s="50" t="s">
        <v>31</v>
      </c>
      <c r="C707" s="50" t="s">
        <v>310</v>
      </c>
      <c r="D707" s="50" t="s">
        <v>259</v>
      </c>
      <c r="E707" s="50">
        <v>0</v>
      </c>
      <c r="F707" s="50">
        <v>0.85990653794261984</v>
      </c>
      <c r="G707" s="51" t="str">
        <v>湯川 2022/05/20 (金)
平日夜間</v>
      </c>
    </row>
    <row r="708" spans="1:7" ht="16.149999999999999" x14ac:dyDescent="0.7">
      <c r="A708" s="49">
        <v>44677.556324988429</v>
      </c>
      <c r="B708" s="50" t="s">
        <v>31</v>
      </c>
      <c r="C708" s="50" t="s">
        <v>311</v>
      </c>
      <c r="D708" s="50" t="s">
        <v>261</v>
      </c>
      <c r="E708" s="50">
        <v>0</v>
      </c>
      <c r="F708" s="50">
        <v>0.55022442417535466</v>
      </c>
      <c r="G708" s="51" t="str">
        <v>湯川 2022/05/21 (土)
休日午後</v>
      </c>
    </row>
    <row r="709" spans="1:7" ht="16.149999999999999" x14ac:dyDescent="0.7">
      <c r="A709" s="49">
        <v>44677.556324988429</v>
      </c>
      <c r="B709" s="50" t="s">
        <v>31</v>
      </c>
      <c r="C709" s="50" t="s">
        <v>312</v>
      </c>
      <c r="D709" s="50" t="s">
        <v>263</v>
      </c>
      <c r="E709" s="50">
        <v>0</v>
      </c>
      <c r="F709" s="50">
        <v>0.3178179922556954</v>
      </c>
      <c r="G709" s="51" t="str">
        <v>湯川 2022/05/21 (土)
休日午前</v>
      </c>
    </row>
    <row r="710" spans="1:7" ht="16.149999999999999" x14ac:dyDescent="0.7">
      <c r="A710" s="49">
        <v>44677.556324988429</v>
      </c>
      <c r="B710" s="50" t="s">
        <v>31</v>
      </c>
      <c r="C710" s="50" t="s">
        <v>313</v>
      </c>
      <c r="D710" s="50" t="s">
        <v>261</v>
      </c>
      <c r="E710" s="50">
        <v>0</v>
      </c>
      <c r="F710" s="50">
        <v>0.76106616749702494</v>
      </c>
      <c r="G710" s="51" t="str">
        <v>湯川 2022/05/22 (日)
休日午後</v>
      </c>
    </row>
    <row r="711" spans="1:7" ht="16.149999999999999" x14ac:dyDescent="0.7">
      <c r="A711" s="49">
        <v>44677.556324988429</v>
      </c>
      <c r="B711" s="50" t="s">
        <v>31</v>
      </c>
      <c r="C711" s="50" t="s">
        <v>314</v>
      </c>
      <c r="D711" s="50" t="s">
        <v>263</v>
      </c>
      <c r="E711" s="50">
        <v>0</v>
      </c>
      <c r="F711" s="50">
        <v>0.95191123253446808</v>
      </c>
      <c r="G711" s="51" t="str">
        <v>湯川 2022/05/22 (日)
休日午前</v>
      </c>
    </row>
    <row r="712" spans="1:7" ht="16.149999999999999" x14ac:dyDescent="0.7">
      <c r="A712" s="49">
        <v>44677.556324988429</v>
      </c>
      <c r="B712" s="50" t="s">
        <v>31</v>
      </c>
      <c r="C712" s="50" t="s">
        <v>315</v>
      </c>
      <c r="D712" s="50" t="s">
        <v>259</v>
      </c>
      <c r="E712" s="50">
        <v>0</v>
      </c>
      <c r="F712" s="50">
        <v>0.44505634929078841</v>
      </c>
      <c r="G712" s="51" t="str">
        <v>湯川 2022/05/23 (月)
平日夜間</v>
      </c>
    </row>
    <row r="713" spans="1:7" ht="16.149999999999999" x14ac:dyDescent="0.7">
      <c r="A713" s="49">
        <v>44677.556324988429</v>
      </c>
      <c r="B713" s="50" t="s">
        <v>31</v>
      </c>
      <c r="C713" s="50" t="s">
        <v>316</v>
      </c>
      <c r="D713" s="50" t="s">
        <v>259</v>
      </c>
      <c r="E713" s="50">
        <v>0</v>
      </c>
      <c r="F713" s="50">
        <v>0.26967620393255887</v>
      </c>
      <c r="G713" s="51" t="str">
        <v>湯川 2022/05/24 (火)
平日夜間</v>
      </c>
    </row>
    <row r="714" spans="1:7" ht="16.149999999999999" x14ac:dyDescent="0.7">
      <c r="A714" s="49">
        <v>44677.556324988429</v>
      </c>
      <c r="B714" s="50" t="s">
        <v>31</v>
      </c>
      <c r="C714" s="50" t="s">
        <v>317</v>
      </c>
      <c r="D714" s="50" t="s">
        <v>259</v>
      </c>
      <c r="E714" s="50">
        <v>0</v>
      </c>
      <c r="F714" s="50">
        <v>0.96543440397526958</v>
      </c>
      <c r="G714" s="51" t="str">
        <v>湯川 2022/05/25 (水)
平日夜間</v>
      </c>
    </row>
    <row r="715" spans="1:7" ht="16.149999999999999" x14ac:dyDescent="0.7">
      <c r="A715" s="49">
        <v>44677.556324988429</v>
      </c>
      <c r="B715" s="50" t="s">
        <v>31</v>
      </c>
      <c r="C715" s="50" t="s">
        <v>318</v>
      </c>
      <c r="D715" s="50" t="s">
        <v>259</v>
      </c>
      <c r="E715" s="50">
        <v>0</v>
      </c>
      <c r="F715" s="50">
        <v>0.97542718593112321</v>
      </c>
      <c r="G715" s="51" t="str">
        <v>湯川 2022/05/26 (木)
平日夜間</v>
      </c>
    </row>
    <row r="716" spans="1:7" ht="16.149999999999999" x14ac:dyDescent="0.7">
      <c r="A716" s="49">
        <v>44677.556324988429</v>
      </c>
      <c r="B716" s="50" t="s">
        <v>31</v>
      </c>
      <c r="C716" s="50" t="s">
        <v>319</v>
      </c>
      <c r="D716" s="50" t="s">
        <v>259</v>
      </c>
      <c r="E716" s="50">
        <v>0</v>
      </c>
      <c r="F716" s="50">
        <v>0.9485310298655889</v>
      </c>
      <c r="G716" s="51" t="str">
        <v>湯川 2022/05/27 (金)
平日夜間</v>
      </c>
    </row>
    <row r="717" spans="1:7" ht="16.149999999999999" x14ac:dyDescent="0.7">
      <c r="A717" s="49">
        <v>44677.556324988429</v>
      </c>
      <c r="B717" s="50" t="s">
        <v>31</v>
      </c>
      <c r="C717" s="50" t="s">
        <v>320</v>
      </c>
      <c r="D717" s="50" t="s">
        <v>261</v>
      </c>
      <c r="E717" s="50">
        <v>-1</v>
      </c>
      <c r="F717" s="50">
        <v>-0.8404286739584228</v>
      </c>
      <c r="G717" s="51" t="str">
        <v>湯川 2022/05/28 (土)
休日午後</v>
      </c>
    </row>
    <row r="718" spans="1:7" ht="16.149999999999999" x14ac:dyDescent="0.7">
      <c r="A718" s="49">
        <v>44677.556324988429</v>
      </c>
      <c r="B718" s="50" t="s">
        <v>31</v>
      </c>
      <c r="C718" s="50" t="s">
        <v>321</v>
      </c>
      <c r="D718" s="50" t="s">
        <v>263</v>
      </c>
      <c r="E718" s="50">
        <v>-1</v>
      </c>
      <c r="F718" s="50">
        <v>-0.40883867619929615</v>
      </c>
      <c r="G718" s="51" t="str">
        <v>湯川 2022/05/28 (土)
休日午前</v>
      </c>
    </row>
    <row r="719" spans="1:7" ht="16.149999999999999" x14ac:dyDescent="0.7">
      <c r="A719" s="49">
        <v>44677.556324988429</v>
      </c>
      <c r="B719" s="50" t="s">
        <v>31</v>
      </c>
      <c r="C719" s="50" t="s">
        <v>322</v>
      </c>
      <c r="D719" s="50" t="s">
        <v>261</v>
      </c>
      <c r="E719" s="50">
        <v>-1</v>
      </c>
      <c r="F719" s="50">
        <v>-0.78115816186022147</v>
      </c>
      <c r="G719" s="51" t="str">
        <v>湯川 2022/05/29 (日)
休日午後</v>
      </c>
    </row>
    <row r="720" spans="1:7" ht="16.149999999999999" x14ac:dyDescent="0.7">
      <c r="A720" s="49">
        <v>44677.556324988429</v>
      </c>
      <c r="B720" s="50" t="s">
        <v>31</v>
      </c>
      <c r="C720" s="50" t="s">
        <v>323</v>
      </c>
      <c r="D720" s="50" t="s">
        <v>263</v>
      </c>
      <c r="E720" s="50">
        <v>-1</v>
      </c>
      <c r="F720" s="50">
        <v>-0.54600861122995092</v>
      </c>
      <c r="G720" s="51" t="str">
        <v>湯川 2022/05/29 (日)
休日午前</v>
      </c>
    </row>
    <row r="721" spans="1:7" ht="16.149999999999999" x14ac:dyDescent="0.7">
      <c r="A721" s="49">
        <v>44677.556324988429</v>
      </c>
      <c r="B721" s="50" t="s">
        <v>31</v>
      </c>
      <c r="C721" s="50" t="s">
        <v>324</v>
      </c>
      <c r="D721" s="50" t="s">
        <v>259</v>
      </c>
      <c r="E721" s="50">
        <v>0</v>
      </c>
      <c r="F721" s="50">
        <v>0.46029439285347862</v>
      </c>
      <c r="G721" s="51" t="str">
        <v>湯川 2022/05/30 (月)
平日夜間</v>
      </c>
    </row>
    <row r="722" spans="1:7" ht="16.149999999999999" x14ac:dyDescent="0.7">
      <c r="A722" s="49">
        <v>44677.556324988429</v>
      </c>
      <c r="B722" s="50" t="s">
        <v>31</v>
      </c>
      <c r="C722" s="50" t="s">
        <v>325</v>
      </c>
      <c r="D722" s="50" t="s">
        <v>259</v>
      </c>
      <c r="E722" s="50">
        <v>0</v>
      </c>
      <c r="F722" s="50">
        <v>0.33316279603207355</v>
      </c>
      <c r="G722" s="51" t="str">
        <v>湯川 2022/05/31 (火)
平日夜間</v>
      </c>
    </row>
    <row r="723" spans="1:7" ht="16.149999999999999" x14ac:dyDescent="0.7">
      <c r="A723" s="49">
        <v>44677.936078865736</v>
      </c>
      <c r="B723" s="50" t="s">
        <v>19</v>
      </c>
      <c r="C723" s="50" t="s">
        <v>297</v>
      </c>
      <c r="D723" s="50" t="s">
        <v>259</v>
      </c>
      <c r="E723" s="50">
        <v>0</v>
      </c>
      <c r="F723" s="50">
        <v>2.0285587740191957E-2</v>
      </c>
      <c r="G723" s="51" t="str">
        <v>佐藤 2022/05/09 (月)
平日夜間</v>
      </c>
    </row>
    <row r="724" spans="1:7" ht="16.149999999999999" x14ac:dyDescent="0.7">
      <c r="A724" s="49">
        <v>44677.936078865736</v>
      </c>
      <c r="B724" s="50" t="s">
        <v>19</v>
      </c>
      <c r="C724" s="50" t="s">
        <v>298</v>
      </c>
      <c r="D724" s="50" t="s">
        <v>259</v>
      </c>
      <c r="E724" s="50">
        <v>1</v>
      </c>
      <c r="F724" s="50">
        <v>1.6523618582841499</v>
      </c>
      <c r="G724" s="51" t="str">
        <v>佐藤 2022/05/10 (火)
平日夜間</v>
      </c>
    </row>
    <row r="725" spans="1:7" ht="16.149999999999999" x14ac:dyDescent="0.7">
      <c r="A725" s="49">
        <v>44677.936078865736</v>
      </c>
      <c r="B725" s="50" t="s">
        <v>19</v>
      </c>
      <c r="C725" s="50" t="s">
        <v>299</v>
      </c>
      <c r="D725" s="50" t="s">
        <v>259</v>
      </c>
      <c r="E725" s="50">
        <v>1</v>
      </c>
      <c r="F725" s="50">
        <v>1.028443532748512</v>
      </c>
      <c r="G725" s="51" t="str">
        <v>佐藤 2022/05/11 (水)
平日夜間</v>
      </c>
    </row>
    <row r="726" spans="1:7" ht="16.149999999999999" x14ac:dyDescent="0.7">
      <c r="A726" s="49">
        <v>44677.936078865736</v>
      </c>
      <c r="B726" s="50" t="s">
        <v>19</v>
      </c>
      <c r="C726" s="50" t="s">
        <v>300</v>
      </c>
      <c r="D726" s="50" t="s">
        <v>259</v>
      </c>
      <c r="E726" s="50">
        <v>1</v>
      </c>
      <c r="F726" s="50">
        <v>1.1853442859061667</v>
      </c>
      <c r="G726" s="51" t="str">
        <v>佐藤 2022/05/12 (木)
平日夜間</v>
      </c>
    </row>
    <row r="727" spans="1:7" ht="16.149999999999999" x14ac:dyDescent="0.7">
      <c r="A727" s="49">
        <v>44677.936078865736</v>
      </c>
      <c r="B727" s="50" t="s">
        <v>19</v>
      </c>
      <c r="C727" s="50" t="s">
        <v>301</v>
      </c>
      <c r="D727" s="50" t="s">
        <v>259</v>
      </c>
      <c r="E727" s="50">
        <v>0</v>
      </c>
      <c r="F727" s="50">
        <v>4.1994945601913969E-2</v>
      </c>
      <c r="G727" s="51" t="str">
        <v>佐藤 2022/05/13 (金)
平日夜間</v>
      </c>
    </row>
    <row r="728" spans="1:7" ht="16.149999999999999" x14ac:dyDescent="0.7">
      <c r="A728" s="49">
        <v>44677.936078865736</v>
      </c>
      <c r="B728" s="50" t="s">
        <v>19</v>
      </c>
      <c r="C728" s="50" t="s">
        <v>302</v>
      </c>
      <c r="D728" s="50" t="s">
        <v>261</v>
      </c>
      <c r="E728" s="50">
        <v>0</v>
      </c>
      <c r="F728" s="50">
        <v>0.17023527004891226</v>
      </c>
      <c r="G728" s="51" t="str">
        <v>佐藤 2022/05/14 (土)
休日午後</v>
      </c>
    </row>
    <row r="729" spans="1:7" ht="16.149999999999999" x14ac:dyDescent="0.7">
      <c r="A729" s="49">
        <v>44677.936078865736</v>
      </c>
      <c r="B729" s="50" t="s">
        <v>19</v>
      </c>
      <c r="C729" s="50" t="s">
        <v>303</v>
      </c>
      <c r="D729" s="50" t="s">
        <v>263</v>
      </c>
      <c r="E729" s="50">
        <v>0</v>
      </c>
      <c r="F729" s="50">
        <v>0.82780301121306654</v>
      </c>
      <c r="G729" s="51" t="str">
        <v>佐藤 2022/05/14 (土)
休日午前</v>
      </c>
    </row>
    <row r="730" spans="1:7" ht="16.149999999999999" x14ac:dyDescent="0.7">
      <c r="A730" s="49">
        <v>44677.936078865736</v>
      </c>
      <c r="B730" s="50" t="s">
        <v>19</v>
      </c>
      <c r="C730" s="50" t="s">
        <v>304</v>
      </c>
      <c r="D730" s="50" t="s">
        <v>261</v>
      </c>
      <c r="E730" s="50">
        <v>0</v>
      </c>
      <c r="F730" s="50">
        <v>0.7436853839679467</v>
      </c>
      <c r="G730" s="51" t="str">
        <v>佐藤 2022/05/15 (日)
休日午後</v>
      </c>
    </row>
    <row r="731" spans="1:7" ht="16.149999999999999" x14ac:dyDescent="0.7">
      <c r="A731" s="49">
        <v>44677.936078865736</v>
      </c>
      <c r="B731" s="50" t="s">
        <v>19</v>
      </c>
      <c r="C731" s="50" t="s">
        <v>305</v>
      </c>
      <c r="D731" s="50" t="s">
        <v>263</v>
      </c>
      <c r="E731" s="50">
        <v>0</v>
      </c>
      <c r="F731" s="50">
        <v>0.73689273225875729</v>
      </c>
      <c r="G731" s="51" t="str">
        <v>佐藤 2022/05/15 (日)
休日午前</v>
      </c>
    </row>
    <row r="732" spans="1:7" ht="16.149999999999999" x14ac:dyDescent="0.7">
      <c r="A732" s="49">
        <v>44677.936078865736</v>
      </c>
      <c r="B732" s="50" t="s">
        <v>19</v>
      </c>
      <c r="C732" s="50" t="s">
        <v>306</v>
      </c>
      <c r="D732" s="50" t="s">
        <v>259</v>
      </c>
      <c r="E732" s="50">
        <v>0</v>
      </c>
      <c r="F732" s="50">
        <v>0.57001037298158996</v>
      </c>
      <c r="G732" s="51" t="str">
        <v>佐藤 2022/05/16 (月)
平日夜間</v>
      </c>
    </row>
    <row r="733" spans="1:7" ht="16.149999999999999" x14ac:dyDescent="0.7">
      <c r="A733" s="49">
        <v>44677.936078865736</v>
      </c>
      <c r="B733" s="50" t="s">
        <v>19</v>
      </c>
      <c r="C733" s="50" t="s">
        <v>307</v>
      </c>
      <c r="D733" s="50" t="s">
        <v>259</v>
      </c>
      <c r="E733" s="50">
        <v>1</v>
      </c>
      <c r="F733" s="50">
        <v>1.7341135239127234</v>
      </c>
      <c r="G733" s="51" t="str">
        <v>佐藤 2022/05/17 (火)
平日夜間</v>
      </c>
    </row>
    <row r="734" spans="1:7" ht="16.149999999999999" x14ac:dyDescent="0.7">
      <c r="A734" s="49">
        <v>44677.936078865736</v>
      </c>
      <c r="B734" s="50" t="s">
        <v>19</v>
      </c>
      <c r="C734" s="50" t="s">
        <v>308</v>
      </c>
      <c r="D734" s="50" t="s">
        <v>259</v>
      </c>
      <c r="E734" s="50">
        <v>1</v>
      </c>
      <c r="F734" s="50">
        <v>1.8015653971553498</v>
      </c>
      <c r="G734" s="51" t="str">
        <v>佐藤 2022/05/18 (水)
平日夜間</v>
      </c>
    </row>
    <row r="735" spans="1:7" ht="16.149999999999999" x14ac:dyDescent="0.7">
      <c r="A735" s="49">
        <v>44677.936078865736</v>
      </c>
      <c r="B735" s="50" t="s">
        <v>19</v>
      </c>
      <c r="C735" s="50" t="s">
        <v>309</v>
      </c>
      <c r="D735" s="50" t="s">
        <v>259</v>
      </c>
      <c r="E735" s="50">
        <v>2</v>
      </c>
      <c r="F735" s="50">
        <v>2.3520629615473601</v>
      </c>
      <c r="G735" s="51" t="str">
        <v>佐藤 2022/05/19 (木)
平日夜間</v>
      </c>
    </row>
    <row r="736" spans="1:7" ht="16.149999999999999" x14ac:dyDescent="0.7">
      <c r="A736" s="49">
        <v>44677.936078865736</v>
      </c>
      <c r="B736" s="50" t="s">
        <v>19</v>
      </c>
      <c r="C736" s="50" t="s">
        <v>310</v>
      </c>
      <c r="D736" s="50" t="s">
        <v>259</v>
      </c>
      <c r="E736" s="50">
        <v>-1</v>
      </c>
      <c r="F736" s="50">
        <v>-0.20169933358821823</v>
      </c>
      <c r="G736" s="51" t="str">
        <v>佐藤 2022/05/20 (金)
平日夜間</v>
      </c>
    </row>
    <row r="737" spans="1:7" ht="16.149999999999999" x14ac:dyDescent="0.7">
      <c r="A737" s="49">
        <v>44677.936078865736</v>
      </c>
      <c r="B737" s="50" t="s">
        <v>19</v>
      </c>
      <c r="C737" s="50" t="s">
        <v>311</v>
      </c>
      <c r="D737" s="50" t="s">
        <v>261</v>
      </c>
      <c r="E737" s="50">
        <v>-1</v>
      </c>
      <c r="F737" s="50">
        <v>-0.1467715032779271</v>
      </c>
      <c r="G737" s="51" t="str">
        <v>佐藤 2022/05/21 (土)
休日午後</v>
      </c>
    </row>
    <row r="738" spans="1:7" ht="16.149999999999999" x14ac:dyDescent="0.7">
      <c r="A738" s="49">
        <v>44677.936078865736</v>
      </c>
      <c r="B738" s="50" t="s">
        <v>19</v>
      </c>
      <c r="C738" s="50" t="s">
        <v>312</v>
      </c>
      <c r="D738" s="50" t="s">
        <v>263</v>
      </c>
      <c r="E738" s="50">
        <v>-1</v>
      </c>
      <c r="F738" s="50">
        <v>-0.55261231727111126</v>
      </c>
      <c r="G738" s="51" t="str">
        <v>佐藤 2022/05/21 (土)
休日午前</v>
      </c>
    </row>
    <row r="739" spans="1:7" ht="16.149999999999999" x14ac:dyDescent="0.7">
      <c r="A739" s="49">
        <v>44677.936078865736</v>
      </c>
      <c r="B739" s="50" t="s">
        <v>19</v>
      </c>
      <c r="C739" s="50" t="s">
        <v>313</v>
      </c>
      <c r="D739" s="50" t="s">
        <v>261</v>
      </c>
      <c r="E739" s="50">
        <v>-1</v>
      </c>
      <c r="F739" s="50">
        <v>-0.8283456515760963</v>
      </c>
      <c r="G739" s="51" t="str">
        <v>佐藤 2022/05/22 (日)
休日午後</v>
      </c>
    </row>
    <row r="740" spans="1:7" ht="16.149999999999999" x14ac:dyDescent="0.7">
      <c r="A740" s="49">
        <v>44677.936078865736</v>
      </c>
      <c r="B740" s="50" t="s">
        <v>19</v>
      </c>
      <c r="C740" s="50" t="s">
        <v>314</v>
      </c>
      <c r="D740" s="50" t="s">
        <v>263</v>
      </c>
      <c r="E740" s="50">
        <v>-1</v>
      </c>
      <c r="F740" s="50">
        <v>-1.6517242796880716E-2</v>
      </c>
      <c r="G740" s="51" t="str">
        <v>佐藤 2022/05/22 (日)
休日午前</v>
      </c>
    </row>
    <row r="741" spans="1:7" ht="16.149999999999999" x14ac:dyDescent="0.7">
      <c r="A741" s="49">
        <v>44677.936078865736</v>
      </c>
      <c r="B741" s="50" t="s">
        <v>19</v>
      </c>
      <c r="C741" s="50" t="s">
        <v>315</v>
      </c>
      <c r="D741" s="50" t="s">
        <v>259</v>
      </c>
      <c r="E741" s="50">
        <v>0</v>
      </c>
      <c r="F741" s="50">
        <v>0.8681190079249228</v>
      </c>
      <c r="G741" s="51" t="str">
        <v>佐藤 2022/05/23 (月)
平日夜間</v>
      </c>
    </row>
    <row r="742" spans="1:7" ht="16.149999999999999" x14ac:dyDescent="0.7">
      <c r="A742" s="49">
        <v>44677.936078865736</v>
      </c>
      <c r="B742" s="50" t="s">
        <v>19</v>
      </c>
      <c r="C742" s="50" t="s">
        <v>316</v>
      </c>
      <c r="D742" s="50" t="s">
        <v>259</v>
      </c>
      <c r="E742" s="50">
        <v>1</v>
      </c>
      <c r="F742" s="50">
        <v>1.3949194628904562</v>
      </c>
      <c r="G742" s="51" t="str">
        <v>佐藤 2022/05/24 (火)
平日夜間</v>
      </c>
    </row>
    <row r="743" spans="1:7" ht="16.149999999999999" x14ac:dyDescent="0.7">
      <c r="A743" s="49">
        <v>44677.936078865736</v>
      </c>
      <c r="B743" s="50" t="s">
        <v>19</v>
      </c>
      <c r="C743" s="50" t="s">
        <v>317</v>
      </c>
      <c r="D743" s="50" t="s">
        <v>259</v>
      </c>
      <c r="E743" s="50">
        <v>1</v>
      </c>
      <c r="F743" s="50">
        <v>1.5501369498413655</v>
      </c>
      <c r="G743" s="51" t="str">
        <v>佐藤 2022/05/25 (水)
平日夜間</v>
      </c>
    </row>
    <row r="744" spans="1:7" ht="16.149999999999999" x14ac:dyDescent="0.7">
      <c r="A744" s="49">
        <v>44677.936078865736</v>
      </c>
      <c r="B744" s="50" t="s">
        <v>19</v>
      </c>
      <c r="C744" s="50" t="s">
        <v>318</v>
      </c>
      <c r="D744" s="50" t="s">
        <v>259</v>
      </c>
      <c r="E744" s="50">
        <v>1</v>
      </c>
      <c r="F744" s="50">
        <v>1.7257682457697083</v>
      </c>
      <c r="G744" s="51" t="str">
        <v>佐藤 2022/05/26 (木)
平日夜間</v>
      </c>
    </row>
    <row r="745" spans="1:7" ht="16.149999999999999" x14ac:dyDescent="0.7">
      <c r="A745" s="49">
        <v>44677.936078865736</v>
      </c>
      <c r="B745" s="50" t="s">
        <v>19</v>
      </c>
      <c r="C745" s="50" t="s">
        <v>319</v>
      </c>
      <c r="D745" s="50" t="s">
        <v>259</v>
      </c>
      <c r="E745" s="50">
        <v>-1</v>
      </c>
      <c r="F745" s="50">
        <v>-0.99863645933611167</v>
      </c>
      <c r="G745" s="51" t="str">
        <v>佐藤 2022/05/27 (金)
平日夜間</v>
      </c>
    </row>
    <row r="746" spans="1:7" ht="16.149999999999999" x14ac:dyDescent="0.7">
      <c r="A746" s="49">
        <v>44677.936078865736</v>
      </c>
      <c r="B746" s="50" t="s">
        <v>19</v>
      </c>
      <c r="C746" s="50" t="s">
        <v>320</v>
      </c>
      <c r="D746" s="50" t="s">
        <v>261</v>
      </c>
      <c r="E746" s="50">
        <v>-1</v>
      </c>
      <c r="F746" s="50">
        <v>-0.14291020503389285</v>
      </c>
      <c r="G746" s="51" t="str">
        <v>佐藤 2022/05/28 (土)
休日午後</v>
      </c>
    </row>
    <row r="747" spans="1:7" ht="16.149999999999999" x14ac:dyDescent="0.7">
      <c r="A747" s="49">
        <v>44677.936078865736</v>
      </c>
      <c r="B747" s="50" t="s">
        <v>19</v>
      </c>
      <c r="C747" s="50" t="s">
        <v>321</v>
      </c>
      <c r="D747" s="50" t="s">
        <v>263</v>
      </c>
      <c r="E747" s="50">
        <v>-1</v>
      </c>
      <c r="F747" s="50">
        <v>-0.41898188871090025</v>
      </c>
      <c r="G747" s="51" t="str">
        <v>佐藤 2022/05/28 (土)
休日午前</v>
      </c>
    </row>
    <row r="748" spans="1:7" ht="16.149999999999999" x14ac:dyDescent="0.7">
      <c r="A748" s="49">
        <v>44677.936078865736</v>
      </c>
      <c r="B748" s="50" t="s">
        <v>19</v>
      </c>
      <c r="C748" s="50" t="s">
        <v>322</v>
      </c>
      <c r="D748" s="50" t="s">
        <v>261</v>
      </c>
      <c r="E748" s="50">
        <v>-1</v>
      </c>
      <c r="F748" s="50">
        <v>-0.75128236903432333</v>
      </c>
      <c r="G748" s="51" t="str">
        <v>佐藤 2022/05/29 (日)
休日午後</v>
      </c>
    </row>
    <row r="749" spans="1:7" ht="16.149999999999999" x14ac:dyDescent="0.7">
      <c r="A749" s="49">
        <v>44677.936078865736</v>
      </c>
      <c r="B749" s="50" t="s">
        <v>19</v>
      </c>
      <c r="C749" s="50" t="s">
        <v>323</v>
      </c>
      <c r="D749" s="50" t="s">
        <v>263</v>
      </c>
      <c r="E749" s="50">
        <v>-1</v>
      </c>
      <c r="F749" s="50">
        <v>-0.68081139103406141</v>
      </c>
      <c r="G749" s="51" t="str">
        <v>佐藤 2022/05/29 (日)
休日午前</v>
      </c>
    </row>
    <row r="750" spans="1:7" ht="16.149999999999999" x14ac:dyDescent="0.7">
      <c r="A750" s="49">
        <v>44677.936078865736</v>
      </c>
      <c r="B750" s="50" t="s">
        <v>19</v>
      </c>
      <c r="C750" s="50" t="s">
        <v>324</v>
      </c>
      <c r="D750" s="50" t="s">
        <v>259</v>
      </c>
      <c r="E750" s="50">
        <v>-1</v>
      </c>
      <c r="F750" s="50">
        <v>-0.77483769146483206</v>
      </c>
      <c r="G750" s="51" t="str">
        <v>佐藤 2022/05/30 (月)
平日夜間</v>
      </c>
    </row>
    <row r="751" spans="1:7" ht="16.149999999999999" x14ac:dyDescent="0.7">
      <c r="A751" s="49">
        <v>44677.936078865736</v>
      </c>
      <c r="B751" s="50" t="s">
        <v>19</v>
      </c>
      <c r="C751" s="50" t="s">
        <v>325</v>
      </c>
      <c r="D751" s="50" t="s">
        <v>259</v>
      </c>
      <c r="E751" s="50">
        <v>1</v>
      </c>
      <c r="F751" s="50">
        <v>1.0526626163419255</v>
      </c>
      <c r="G751" s="51" t="str">
        <v>佐藤 2022/05/31 (火)
平日夜間</v>
      </c>
    </row>
    <row r="752" spans="1:7" ht="16.149999999999999" x14ac:dyDescent="0.7">
      <c r="A752" s="49">
        <v>44681.388747384262</v>
      </c>
      <c r="B752" s="50" t="s">
        <v>1</v>
      </c>
      <c r="C752" s="50" t="s">
        <v>297</v>
      </c>
      <c r="D752" s="50" t="s">
        <v>259</v>
      </c>
      <c r="E752" s="50">
        <v>0</v>
      </c>
      <c r="F752" s="50">
        <v>0.9660597609679844</v>
      </c>
      <c r="G752" s="51" t="str">
        <v>菊野 2022/05/09 (月)
平日夜間</v>
      </c>
    </row>
    <row r="753" spans="1:7" ht="16.149999999999999" x14ac:dyDescent="0.7">
      <c r="A753" s="49">
        <v>44681.388747384262</v>
      </c>
      <c r="B753" s="50" t="s">
        <v>1</v>
      </c>
      <c r="C753" s="50" t="s">
        <v>298</v>
      </c>
      <c r="D753" s="50" t="s">
        <v>259</v>
      </c>
      <c r="E753" s="50">
        <v>0</v>
      </c>
      <c r="F753" s="50">
        <v>0.46249888205127587</v>
      </c>
      <c r="G753" s="51" t="str">
        <v>菊野 2022/05/10 (火)
平日夜間</v>
      </c>
    </row>
    <row r="754" spans="1:7" ht="16.149999999999999" x14ac:dyDescent="0.7">
      <c r="A754" s="49">
        <v>44681.388747384262</v>
      </c>
      <c r="B754" s="50" t="s">
        <v>1</v>
      </c>
      <c r="C754" s="50" t="s">
        <v>299</v>
      </c>
      <c r="D754" s="50" t="s">
        <v>259</v>
      </c>
      <c r="E754" s="50">
        <v>0</v>
      </c>
      <c r="F754" s="50">
        <v>0.34056423140024883</v>
      </c>
      <c r="G754" s="51" t="str">
        <v>菊野 2022/05/11 (水)
平日夜間</v>
      </c>
    </row>
    <row r="755" spans="1:7" ht="16.149999999999999" x14ac:dyDescent="0.7">
      <c r="A755" s="49">
        <v>44681.388747384262</v>
      </c>
      <c r="B755" s="50" t="s">
        <v>1</v>
      </c>
      <c r="C755" s="50" t="s">
        <v>300</v>
      </c>
      <c r="D755" s="50" t="s">
        <v>259</v>
      </c>
      <c r="E755" s="50">
        <v>0</v>
      </c>
      <c r="F755" s="50">
        <v>2.2911684858619719E-2</v>
      </c>
      <c r="G755" s="51" t="str">
        <v>菊野 2022/05/12 (木)
平日夜間</v>
      </c>
    </row>
    <row r="756" spans="1:7" ht="16.149999999999999" x14ac:dyDescent="0.7">
      <c r="A756" s="49">
        <v>44681.388747384262</v>
      </c>
      <c r="B756" s="50" t="s">
        <v>1</v>
      </c>
      <c r="C756" s="50" t="s">
        <v>301</v>
      </c>
      <c r="D756" s="50" t="s">
        <v>259</v>
      </c>
      <c r="E756" s="50">
        <v>0</v>
      </c>
      <c r="F756" s="50">
        <v>0.50367222074826556</v>
      </c>
      <c r="G756" s="51" t="str">
        <v>菊野 2022/05/13 (金)
平日夜間</v>
      </c>
    </row>
    <row r="757" spans="1:7" ht="16.149999999999999" x14ac:dyDescent="0.7">
      <c r="A757" s="49">
        <v>44681.388747384262</v>
      </c>
      <c r="B757" s="50" t="s">
        <v>1</v>
      </c>
      <c r="C757" s="50" t="s">
        <v>302</v>
      </c>
      <c r="D757" s="50" t="s">
        <v>261</v>
      </c>
      <c r="E757" s="50">
        <v>0</v>
      </c>
      <c r="F757" s="50">
        <v>0.8809163883104616</v>
      </c>
      <c r="G757" s="51" t="str">
        <v>菊野 2022/05/14 (土)
休日午後</v>
      </c>
    </row>
    <row r="758" spans="1:7" ht="16.149999999999999" x14ac:dyDescent="0.7">
      <c r="A758" s="49">
        <v>44681.388747384262</v>
      </c>
      <c r="B758" s="50" t="s">
        <v>1</v>
      </c>
      <c r="C758" s="50" t="s">
        <v>303</v>
      </c>
      <c r="D758" s="50" t="s">
        <v>263</v>
      </c>
      <c r="E758" s="50">
        <v>0</v>
      </c>
      <c r="F758" s="50">
        <v>0.13411911179855496</v>
      </c>
      <c r="G758" s="51" t="str">
        <v>菊野 2022/05/14 (土)
休日午前</v>
      </c>
    </row>
    <row r="759" spans="1:7" ht="16.149999999999999" x14ac:dyDescent="0.7">
      <c r="A759" s="49">
        <v>44681.388747384262</v>
      </c>
      <c r="B759" s="50" t="s">
        <v>1</v>
      </c>
      <c r="C759" s="50" t="s">
        <v>304</v>
      </c>
      <c r="D759" s="50" t="s">
        <v>261</v>
      </c>
      <c r="E759" s="50">
        <v>0</v>
      </c>
      <c r="F759" s="50">
        <v>0.60043484894374144</v>
      </c>
      <c r="G759" s="51" t="str">
        <v>菊野 2022/05/15 (日)
休日午後</v>
      </c>
    </row>
    <row r="760" spans="1:7" ht="16.149999999999999" x14ac:dyDescent="0.7">
      <c r="A760" s="49">
        <v>44681.388747384262</v>
      </c>
      <c r="B760" s="50" t="s">
        <v>1</v>
      </c>
      <c r="C760" s="50" t="s">
        <v>305</v>
      </c>
      <c r="D760" s="50" t="s">
        <v>263</v>
      </c>
      <c r="E760" s="50">
        <v>0</v>
      </c>
      <c r="F760" s="50">
        <v>0.92185070000428682</v>
      </c>
      <c r="G760" s="51" t="str">
        <v>菊野 2022/05/15 (日)
休日午前</v>
      </c>
    </row>
    <row r="761" spans="1:7" ht="16.149999999999999" x14ac:dyDescent="0.7">
      <c r="A761" s="49">
        <v>44681.388747384262</v>
      </c>
      <c r="B761" s="50" t="s">
        <v>1</v>
      </c>
      <c r="C761" s="50" t="s">
        <v>306</v>
      </c>
      <c r="D761" s="50" t="s">
        <v>259</v>
      </c>
      <c r="E761" s="50">
        <v>0</v>
      </c>
      <c r="F761" s="50">
        <v>0.20363298357008097</v>
      </c>
      <c r="G761" s="51" t="str">
        <v>菊野 2022/05/16 (月)
平日夜間</v>
      </c>
    </row>
    <row r="762" spans="1:7" ht="16.149999999999999" x14ac:dyDescent="0.7">
      <c r="A762" s="49">
        <v>44681.388747384262</v>
      </c>
      <c r="B762" s="50" t="s">
        <v>1</v>
      </c>
      <c r="C762" s="50" t="s">
        <v>307</v>
      </c>
      <c r="D762" s="50" t="s">
        <v>259</v>
      </c>
      <c r="E762" s="50">
        <v>0</v>
      </c>
      <c r="F762" s="50">
        <v>4.7656849791054556E-2</v>
      </c>
      <c r="G762" s="51" t="str">
        <v>菊野 2022/05/17 (火)
平日夜間</v>
      </c>
    </row>
    <row r="763" spans="1:7" ht="16.149999999999999" x14ac:dyDescent="0.7">
      <c r="A763" s="49">
        <v>44681.388747384262</v>
      </c>
      <c r="B763" s="50" t="s">
        <v>1</v>
      </c>
      <c r="C763" s="50" t="s">
        <v>308</v>
      </c>
      <c r="D763" s="50" t="s">
        <v>259</v>
      </c>
      <c r="E763" s="50">
        <v>0</v>
      </c>
      <c r="F763" s="50">
        <v>0.8181424035641105</v>
      </c>
      <c r="G763" s="51" t="str">
        <v>菊野 2022/05/18 (水)
平日夜間</v>
      </c>
    </row>
    <row r="764" spans="1:7" ht="16.149999999999999" x14ac:dyDescent="0.7">
      <c r="A764" s="49">
        <v>44681.388747384262</v>
      </c>
      <c r="B764" s="50" t="s">
        <v>1</v>
      </c>
      <c r="C764" s="50" t="s">
        <v>309</v>
      </c>
      <c r="D764" s="50" t="s">
        <v>259</v>
      </c>
      <c r="E764" s="50">
        <v>0</v>
      </c>
      <c r="F764" s="50">
        <v>0.17957650903950562</v>
      </c>
      <c r="G764" s="51" t="str">
        <v>菊野 2022/05/19 (木)
平日夜間</v>
      </c>
    </row>
    <row r="765" spans="1:7" ht="16.149999999999999" x14ac:dyDescent="0.7">
      <c r="A765" s="49">
        <v>44681.388747384262</v>
      </c>
      <c r="B765" s="50" t="s">
        <v>1</v>
      </c>
      <c r="C765" s="50" t="s">
        <v>310</v>
      </c>
      <c r="D765" s="50" t="s">
        <v>259</v>
      </c>
      <c r="E765" s="50">
        <v>0</v>
      </c>
      <c r="F765" s="50">
        <v>0.17330990025773363</v>
      </c>
      <c r="G765" s="51" t="str">
        <v>菊野 2022/05/20 (金)
平日夜間</v>
      </c>
    </row>
    <row r="766" spans="1:7" ht="16.149999999999999" x14ac:dyDescent="0.7">
      <c r="A766" s="49">
        <v>44681.388747384262</v>
      </c>
      <c r="B766" s="50" t="s">
        <v>1</v>
      </c>
      <c r="C766" s="50" t="s">
        <v>311</v>
      </c>
      <c r="D766" s="50" t="s">
        <v>261</v>
      </c>
      <c r="E766" s="50">
        <v>0</v>
      </c>
      <c r="F766" s="50">
        <v>0.83868493310557501</v>
      </c>
      <c r="G766" s="51" t="str">
        <v>菊野 2022/05/21 (土)
休日午後</v>
      </c>
    </row>
    <row r="767" spans="1:7" ht="16.149999999999999" x14ac:dyDescent="0.7">
      <c r="A767" s="49">
        <v>44681.388747384262</v>
      </c>
      <c r="B767" s="50" t="s">
        <v>1</v>
      </c>
      <c r="C767" s="50" t="s">
        <v>312</v>
      </c>
      <c r="D767" s="50" t="s">
        <v>263</v>
      </c>
      <c r="E767" s="50">
        <v>0</v>
      </c>
      <c r="F767" s="50">
        <v>0.84865496722297817</v>
      </c>
      <c r="G767" s="51" t="str">
        <v>菊野 2022/05/21 (土)
休日午前</v>
      </c>
    </row>
    <row r="768" spans="1:7" ht="16.149999999999999" x14ac:dyDescent="0.7">
      <c r="A768" s="49">
        <v>44681.388747384262</v>
      </c>
      <c r="B768" s="50" t="s">
        <v>1</v>
      </c>
      <c r="C768" s="50" t="s">
        <v>313</v>
      </c>
      <c r="D768" s="50" t="s">
        <v>261</v>
      </c>
      <c r="E768" s="50">
        <v>0</v>
      </c>
      <c r="F768" s="50">
        <v>0.25708302241218162</v>
      </c>
      <c r="G768" s="51" t="str">
        <v>菊野 2022/05/22 (日)
休日午後</v>
      </c>
    </row>
    <row r="769" spans="1:7" ht="16.149999999999999" x14ac:dyDescent="0.7">
      <c r="A769" s="49">
        <v>44681.388747384262</v>
      </c>
      <c r="B769" s="50" t="s">
        <v>1</v>
      </c>
      <c r="C769" s="50" t="s">
        <v>314</v>
      </c>
      <c r="D769" s="50" t="s">
        <v>263</v>
      </c>
      <c r="E769" s="50">
        <v>0</v>
      </c>
      <c r="F769" s="50">
        <v>0.14713623112722307</v>
      </c>
      <c r="G769" s="51" t="str">
        <v>菊野 2022/05/22 (日)
休日午前</v>
      </c>
    </row>
    <row r="770" spans="1:7" ht="16.149999999999999" x14ac:dyDescent="0.7">
      <c r="A770" s="49">
        <v>44681.388747384262</v>
      </c>
      <c r="B770" s="50" t="s">
        <v>1</v>
      </c>
      <c r="C770" s="50" t="s">
        <v>315</v>
      </c>
      <c r="D770" s="50" t="s">
        <v>259</v>
      </c>
      <c r="E770" s="50">
        <v>0</v>
      </c>
      <c r="F770" s="50">
        <v>0.20309869550145043</v>
      </c>
      <c r="G770" s="51" t="str">
        <v>菊野 2022/05/23 (月)
平日夜間</v>
      </c>
    </row>
    <row r="771" spans="1:7" ht="16.149999999999999" x14ac:dyDescent="0.7">
      <c r="A771" s="49">
        <v>44681.388747384262</v>
      </c>
      <c r="B771" s="50" t="s">
        <v>1</v>
      </c>
      <c r="C771" s="50" t="s">
        <v>316</v>
      </c>
      <c r="D771" s="50" t="s">
        <v>259</v>
      </c>
      <c r="E771" s="50">
        <v>0</v>
      </c>
      <c r="F771" s="50">
        <v>0.97013766060399398</v>
      </c>
      <c r="G771" s="51" t="str">
        <v>菊野 2022/05/24 (火)
平日夜間</v>
      </c>
    </row>
    <row r="772" spans="1:7" ht="16.149999999999999" x14ac:dyDescent="0.7">
      <c r="A772" s="49">
        <v>44681.388747384262</v>
      </c>
      <c r="B772" s="50" t="s">
        <v>1</v>
      </c>
      <c r="C772" s="50" t="s">
        <v>317</v>
      </c>
      <c r="D772" s="50" t="s">
        <v>259</v>
      </c>
      <c r="E772" s="50">
        <v>0</v>
      </c>
      <c r="F772" s="50">
        <v>0.22492002797760113</v>
      </c>
      <c r="G772" s="51" t="str">
        <v>菊野 2022/05/25 (水)
平日夜間</v>
      </c>
    </row>
    <row r="773" spans="1:7" ht="16.149999999999999" x14ac:dyDescent="0.7">
      <c r="A773" s="49">
        <v>44681.388747384262</v>
      </c>
      <c r="B773" s="50" t="s">
        <v>1</v>
      </c>
      <c r="C773" s="50" t="s">
        <v>318</v>
      </c>
      <c r="D773" s="50" t="s">
        <v>259</v>
      </c>
      <c r="E773" s="50">
        <v>0</v>
      </c>
      <c r="F773" s="50">
        <v>0.47436436667563986</v>
      </c>
      <c r="G773" s="51" t="str">
        <v>菊野 2022/05/26 (木)
平日夜間</v>
      </c>
    </row>
    <row r="774" spans="1:7" ht="16.149999999999999" x14ac:dyDescent="0.7">
      <c r="A774" s="49">
        <v>44681.388747384262</v>
      </c>
      <c r="B774" s="50" t="s">
        <v>1</v>
      </c>
      <c r="C774" s="50" t="s">
        <v>319</v>
      </c>
      <c r="D774" s="50" t="s">
        <v>259</v>
      </c>
      <c r="E774" s="50">
        <v>0</v>
      </c>
      <c r="F774" s="50">
        <v>0.58824513406706092</v>
      </c>
      <c r="G774" s="51" t="str">
        <v>菊野 2022/05/27 (金)
平日夜間</v>
      </c>
    </row>
    <row r="775" spans="1:7" ht="16.149999999999999" x14ac:dyDescent="0.7">
      <c r="A775" s="49">
        <v>44681.388747384262</v>
      </c>
      <c r="B775" s="50" t="s">
        <v>1</v>
      </c>
      <c r="C775" s="50" t="s">
        <v>320</v>
      </c>
      <c r="D775" s="50" t="s">
        <v>261</v>
      </c>
      <c r="E775" s="50">
        <v>0</v>
      </c>
      <c r="F775" s="50">
        <v>8.9430615845966788E-3</v>
      </c>
      <c r="G775" s="51" t="str">
        <v>菊野 2022/05/28 (土)
休日午後</v>
      </c>
    </row>
    <row r="776" spans="1:7" ht="16.149999999999999" x14ac:dyDescent="0.7">
      <c r="A776" s="49">
        <v>44681.388747384262</v>
      </c>
      <c r="B776" s="50" t="s">
        <v>1</v>
      </c>
      <c r="C776" s="50" t="s">
        <v>321</v>
      </c>
      <c r="D776" s="50" t="s">
        <v>263</v>
      </c>
      <c r="E776" s="50">
        <v>0</v>
      </c>
      <c r="F776" s="50">
        <v>0.25917538145208385</v>
      </c>
      <c r="G776" s="51" t="str">
        <v>菊野 2022/05/28 (土)
休日午前</v>
      </c>
    </row>
    <row r="777" spans="1:7" ht="16.149999999999999" x14ac:dyDescent="0.7">
      <c r="A777" s="49">
        <v>44681.388747384262</v>
      </c>
      <c r="B777" s="50" t="s">
        <v>1</v>
      </c>
      <c r="C777" s="50" t="s">
        <v>322</v>
      </c>
      <c r="D777" s="50" t="s">
        <v>261</v>
      </c>
      <c r="E777" s="50">
        <v>0</v>
      </c>
      <c r="F777" s="50">
        <v>0.45814304340116818</v>
      </c>
      <c r="G777" s="51" t="str">
        <v>菊野 2022/05/29 (日)
休日午後</v>
      </c>
    </row>
    <row r="778" spans="1:7" ht="16.149999999999999" x14ac:dyDescent="0.7">
      <c r="A778" s="49">
        <v>44681.388747384262</v>
      </c>
      <c r="B778" s="50" t="s">
        <v>1</v>
      </c>
      <c r="C778" s="50" t="s">
        <v>323</v>
      </c>
      <c r="D778" s="50" t="s">
        <v>263</v>
      </c>
      <c r="E778" s="50">
        <v>0</v>
      </c>
      <c r="F778" s="50">
        <v>6.6968955666242946E-2</v>
      </c>
      <c r="G778" s="51" t="str">
        <v>菊野 2022/05/29 (日)
休日午前</v>
      </c>
    </row>
    <row r="779" spans="1:7" ht="16.149999999999999" x14ac:dyDescent="0.7">
      <c r="A779" s="49">
        <v>44681.388747384262</v>
      </c>
      <c r="B779" s="50" t="s">
        <v>1</v>
      </c>
      <c r="C779" s="50" t="s">
        <v>324</v>
      </c>
      <c r="D779" s="50" t="s">
        <v>259</v>
      </c>
      <c r="E779" s="50">
        <v>0</v>
      </c>
      <c r="F779" s="50">
        <v>0.19660000047667059</v>
      </c>
      <c r="G779" s="51" t="str">
        <v>菊野 2022/05/30 (月)
平日夜間</v>
      </c>
    </row>
    <row r="780" spans="1:7" ht="16.149999999999999" x14ac:dyDescent="0.7">
      <c r="A780" s="49">
        <v>44681.388747384262</v>
      </c>
      <c r="B780" s="50" t="s">
        <v>1</v>
      </c>
      <c r="C780" s="50" t="s">
        <v>325</v>
      </c>
      <c r="D780" s="50" t="s">
        <v>259</v>
      </c>
      <c r="E780" s="50">
        <v>0</v>
      </c>
      <c r="F780" s="50">
        <v>0.67546700498491097</v>
      </c>
      <c r="G780" s="51" t="str">
        <v>菊野 2022/05/31 (火)
平日夜間</v>
      </c>
    </row>
    <row r="781" spans="1:7" ht="16.149999999999999" x14ac:dyDescent="0.7">
      <c r="A781" s="49">
        <v>44681.388859293977</v>
      </c>
      <c r="B781" s="50" t="s">
        <v>15</v>
      </c>
      <c r="C781" s="50" t="s">
        <v>297</v>
      </c>
      <c r="D781" s="50" t="s">
        <v>259</v>
      </c>
      <c r="E781" s="50">
        <v>-1</v>
      </c>
      <c r="F781" s="50">
        <v>-0.85404346519983387</v>
      </c>
      <c r="G781" s="51" t="str">
        <v>太良 2022/05/09 (月)
平日夜間</v>
      </c>
    </row>
    <row r="782" spans="1:7" ht="16.149999999999999" x14ac:dyDescent="0.7">
      <c r="A782" s="49">
        <v>44681.388859293977</v>
      </c>
      <c r="B782" s="50" t="s">
        <v>15</v>
      </c>
      <c r="C782" s="50" t="s">
        <v>298</v>
      </c>
      <c r="D782" s="50" t="s">
        <v>259</v>
      </c>
      <c r="E782" s="50">
        <v>0</v>
      </c>
      <c r="F782" s="50">
        <v>0.10672823255435349</v>
      </c>
      <c r="G782" s="51" t="str">
        <v>太良 2022/05/10 (火)
平日夜間</v>
      </c>
    </row>
    <row r="783" spans="1:7" ht="16.149999999999999" x14ac:dyDescent="0.7">
      <c r="A783" s="49">
        <v>44681.388859293977</v>
      </c>
      <c r="B783" s="50" t="s">
        <v>15</v>
      </c>
      <c r="C783" s="50" t="s">
        <v>299</v>
      </c>
      <c r="D783" s="50" t="s">
        <v>259</v>
      </c>
      <c r="E783" s="50">
        <v>0</v>
      </c>
      <c r="F783" s="50">
        <v>0.59562595489305603</v>
      </c>
      <c r="G783" s="51" t="str">
        <v>太良 2022/05/11 (水)
平日夜間</v>
      </c>
    </row>
    <row r="784" spans="1:7" ht="16.149999999999999" x14ac:dyDescent="0.7">
      <c r="A784" s="49">
        <v>44681.388859293977</v>
      </c>
      <c r="B784" s="50" t="s">
        <v>15</v>
      </c>
      <c r="C784" s="50" t="s">
        <v>300</v>
      </c>
      <c r="D784" s="50" t="s">
        <v>259</v>
      </c>
      <c r="E784" s="50">
        <v>0</v>
      </c>
      <c r="F784" s="50">
        <v>0.19466873397679052</v>
      </c>
      <c r="G784" s="51" t="str">
        <v>太良 2022/05/12 (木)
平日夜間</v>
      </c>
    </row>
    <row r="785" spans="1:7" ht="16.149999999999999" x14ac:dyDescent="0.7">
      <c r="A785" s="49">
        <v>44681.388859293977</v>
      </c>
      <c r="B785" s="50" t="s">
        <v>15</v>
      </c>
      <c r="C785" s="50" t="s">
        <v>301</v>
      </c>
      <c r="D785" s="50" t="s">
        <v>259</v>
      </c>
      <c r="E785" s="50">
        <v>-1</v>
      </c>
      <c r="F785" s="50">
        <v>-0.3124490856785318</v>
      </c>
      <c r="G785" s="51" t="str">
        <v>太良 2022/05/13 (金)
平日夜間</v>
      </c>
    </row>
    <row r="786" spans="1:7" ht="16.149999999999999" x14ac:dyDescent="0.7">
      <c r="A786" s="49">
        <v>44681.388859293977</v>
      </c>
      <c r="B786" s="50" t="s">
        <v>15</v>
      </c>
      <c r="C786" s="50" t="s">
        <v>302</v>
      </c>
      <c r="D786" s="50" t="s">
        <v>261</v>
      </c>
      <c r="E786" s="50">
        <v>-1</v>
      </c>
      <c r="F786" s="50">
        <v>-0.82201797649882424</v>
      </c>
      <c r="G786" s="51" t="str">
        <v>太良 2022/05/14 (土)
休日午後</v>
      </c>
    </row>
    <row r="787" spans="1:7" ht="16.149999999999999" x14ac:dyDescent="0.7">
      <c r="A787" s="49">
        <v>44681.388859293977</v>
      </c>
      <c r="B787" s="50" t="s">
        <v>15</v>
      </c>
      <c r="C787" s="50" t="s">
        <v>303</v>
      </c>
      <c r="D787" s="50" t="s">
        <v>263</v>
      </c>
      <c r="E787" s="50">
        <v>-1</v>
      </c>
      <c r="F787" s="50">
        <v>-6.042296375602918E-2</v>
      </c>
      <c r="G787" s="51" t="str">
        <v>太良 2022/05/14 (土)
休日午前</v>
      </c>
    </row>
    <row r="788" spans="1:7" ht="16.149999999999999" x14ac:dyDescent="0.7">
      <c r="A788" s="49">
        <v>44681.388859293977</v>
      </c>
      <c r="B788" s="50" t="s">
        <v>15</v>
      </c>
      <c r="C788" s="50" t="s">
        <v>304</v>
      </c>
      <c r="D788" s="50" t="s">
        <v>261</v>
      </c>
      <c r="E788" s="50">
        <v>-1</v>
      </c>
      <c r="F788" s="50">
        <v>-0.54321169111991963</v>
      </c>
      <c r="G788" s="51" t="str">
        <v>太良 2022/05/15 (日)
休日午後</v>
      </c>
    </row>
    <row r="789" spans="1:7" ht="16.149999999999999" x14ac:dyDescent="0.7">
      <c r="A789" s="49">
        <v>44681.388859293977</v>
      </c>
      <c r="B789" s="50" t="s">
        <v>15</v>
      </c>
      <c r="C789" s="50" t="s">
        <v>305</v>
      </c>
      <c r="D789" s="50" t="s">
        <v>263</v>
      </c>
      <c r="E789" s="50">
        <v>-1</v>
      </c>
      <c r="F789" s="50">
        <v>-0.66194205937292128</v>
      </c>
      <c r="G789" s="51" t="str">
        <v>太良 2022/05/15 (日)
休日午前</v>
      </c>
    </row>
    <row r="790" spans="1:7" ht="16.149999999999999" x14ac:dyDescent="0.7">
      <c r="A790" s="49">
        <v>44681.388859293977</v>
      </c>
      <c r="B790" s="50" t="s">
        <v>15</v>
      </c>
      <c r="C790" s="50" t="s">
        <v>306</v>
      </c>
      <c r="D790" s="50" t="s">
        <v>259</v>
      </c>
      <c r="E790" s="50">
        <v>0</v>
      </c>
      <c r="F790" s="50">
        <v>0.56275769435536405</v>
      </c>
      <c r="G790" s="51" t="str">
        <v>太良 2022/05/16 (月)
平日夜間</v>
      </c>
    </row>
    <row r="791" spans="1:7" ht="16.149999999999999" x14ac:dyDescent="0.7">
      <c r="A791" s="49">
        <v>44681.388859293977</v>
      </c>
      <c r="B791" s="50" t="s">
        <v>15</v>
      </c>
      <c r="C791" s="50" t="s">
        <v>307</v>
      </c>
      <c r="D791" s="50" t="s">
        <v>259</v>
      </c>
      <c r="E791" s="50">
        <v>0</v>
      </c>
      <c r="F791" s="50">
        <v>0.18298957227832147</v>
      </c>
      <c r="G791" s="51" t="str">
        <v>太良 2022/05/17 (火)
平日夜間</v>
      </c>
    </row>
    <row r="792" spans="1:7" ht="16.149999999999999" x14ac:dyDescent="0.7">
      <c r="A792" s="49">
        <v>44681.388859293977</v>
      </c>
      <c r="B792" s="50" t="s">
        <v>15</v>
      </c>
      <c r="C792" s="50" t="s">
        <v>308</v>
      </c>
      <c r="D792" s="50" t="s">
        <v>259</v>
      </c>
      <c r="E792" s="50">
        <v>-1</v>
      </c>
      <c r="F792" s="50">
        <v>-0.88920192300138834</v>
      </c>
      <c r="G792" s="51" t="str">
        <v>太良 2022/05/18 (水)
平日夜間</v>
      </c>
    </row>
    <row r="793" spans="1:7" ht="16.149999999999999" x14ac:dyDescent="0.7">
      <c r="A793" s="49">
        <v>44681.388859293977</v>
      </c>
      <c r="B793" s="50" t="s">
        <v>15</v>
      </c>
      <c r="C793" s="50" t="s">
        <v>309</v>
      </c>
      <c r="D793" s="50" t="s">
        <v>259</v>
      </c>
      <c r="E793" s="50">
        <v>0</v>
      </c>
      <c r="F793" s="50">
        <v>0.39993349691069979</v>
      </c>
      <c r="G793" s="51" t="str">
        <v>太良 2022/05/19 (木)
平日夜間</v>
      </c>
    </row>
    <row r="794" spans="1:7" ht="16.149999999999999" x14ac:dyDescent="0.7">
      <c r="A794" s="49">
        <v>44681.388859293977</v>
      </c>
      <c r="B794" s="50" t="s">
        <v>15</v>
      </c>
      <c r="C794" s="50" t="s">
        <v>310</v>
      </c>
      <c r="D794" s="50" t="s">
        <v>259</v>
      </c>
      <c r="E794" s="50">
        <v>-1</v>
      </c>
      <c r="F794" s="50">
        <v>-0.94309419920668347</v>
      </c>
      <c r="G794" s="51" t="str">
        <v>太良 2022/05/20 (金)
平日夜間</v>
      </c>
    </row>
    <row r="795" spans="1:7" ht="16.149999999999999" x14ac:dyDescent="0.7">
      <c r="A795" s="49">
        <v>44681.388859293977</v>
      </c>
      <c r="B795" s="50" t="s">
        <v>15</v>
      </c>
      <c r="C795" s="50" t="s">
        <v>311</v>
      </c>
      <c r="D795" s="50" t="s">
        <v>261</v>
      </c>
      <c r="E795" s="50">
        <v>0</v>
      </c>
      <c r="F795" s="50">
        <v>0.71687603665682453</v>
      </c>
      <c r="G795" s="51" t="str">
        <v>太良 2022/05/21 (土)
休日午後</v>
      </c>
    </row>
    <row r="796" spans="1:7" ht="16.149999999999999" x14ac:dyDescent="0.7">
      <c r="A796" s="49">
        <v>44681.388859293977</v>
      </c>
      <c r="B796" s="50" t="s">
        <v>15</v>
      </c>
      <c r="C796" s="50" t="s">
        <v>312</v>
      </c>
      <c r="D796" s="50" t="s">
        <v>263</v>
      </c>
      <c r="E796" s="50">
        <v>-1</v>
      </c>
      <c r="F796" s="50">
        <v>-0.28404046607782973</v>
      </c>
      <c r="G796" s="51" t="str">
        <v>太良 2022/05/21 (土)
休日午前</v>
      </c>
    </row>
    <row r="797" spans="1:7" ht="16.149999999999999" x14ac:dyDescent="0.7">
      <c r="A797" s="49">
        <v>44681.388859293977</v>
      </c>
      <c r="B797" s="50" t="s">
        <v>15</v>
      </c>
      <c r="C797" s="50" t="s">
        <v>313</v>
      </c>
      <c r="D797" s="50" t="s">
        <v>261</v>
      </c>
      <c r="E797" s="50">
        <v>0</v>
      </c>
      <c r="F797" s="50">
        <v>0.64455484215246894</v>
      </c>
      <c r="G797" s="51" t="str">
        <v>太良 2022/05/22 (日)
休日午後</v>
      </c>
    </row>
    <row r="798" spans="1:7" ht="16.149999999999999" x14ac:dyDescent="0.7">
      <c r="A798" s="49">
        <v>44681.388859293977</v>
      </c>
      <c r="B798" s="50" t="s">
        <v>15</v>
      </c>
      <c r="C798" s="50" t="s">
        <v>314</v>
      </c>
      <c r="D798" s="50" t="s">
        <v>263</v>
      </c>
      <c r="E798" s="50">
        <v>0</v>
      </c>
      <c r="F798" s="50">
        <v>0.95810520161886359</v>
      </c>
      <c r="G798" s="51" t="str">
        <v>太良 2022/05/22 (日)
休日午前</v>
      </c>
    </row>
    <row r="799" spans="1:7" ht="16.149999999999999" x14ac:dyDescent="0.7">
      <c r="A799" s="49">
        <v>44681.388859293977</v>
      </c>
      <c r="B799" s="50" t="s">
        <v>15</v>
      </c>
      <c r="C799" s="50" t="s">
        <v>315</v>
      </c>
      <c r="D799" s="50" t="s">
        <v>259</v>
      </c>
      <c r="E799" s="50">
        <v>0</v>
      </c>
      <c r="F799" s="50">
        <v>0.55595861285939607</v>
      </c>
      <c r="G799" s="51" t="str">
        <v>太良 2022/05/23 (月)
平日夜間</v>
      </c>
    </row>
    <row r="800" spans="1:7" ht="16.149999999999999" x14ac:dyDescent="0.7">
      <c r="A800" s="49">
        <v>44681.388859293977</v>
      </c>
      <c r="B800" s="50" t="s">
        <v>15</v>
      </c>
      <c r="C800" s="50" t="s">
        <v>316</v>
      </c>
      <c r="D800" s="50" t="s">
        <v>259</v>
      </c>
      <c r="E800" s="50">
        <v>0</v>
      </c>
      <c r="F800" s="50">
        <v>0.36495500348862508</v>
      </c>
      <c r="G800" s="51" t="str">
        <v>太良 2022/05/24 (火)
平日夜間</v>
      </c>
    </row>
    <row r="801" spans="1:7" ht="16.149999999999999" x14ac:dyDescent="0.7">
      <c r="A801" s="49">
        <v>44681.388859293977</v>
      </c>
      <c r="B801" s="50" t="s">
        <v>15</v>
      </c>
      <c r="C801" s="50" t="s">
        <v>317</v>
      </c>
      <c r="D801" s="50" t="s">
        <v>259</v>
      </c>
      <c r="E801" s="50">
        <v>-1</v>
      </c>
      <c r="F801" s="50">
        <v>-2.1084289232614628E-2</v>
      </c>
      <c r="G801" s="51" t="str">
        <v>太良 2022/05/25 (水)
平日夜間</v>
      </c>
    </row>
    <row r="802" spans="1:7" ht="16.149999999999999" x14ac:dyDescent="0.7">
      <c r="A802" s="49">
        <v>44681.388859293977</v>
      </c>
      <c r="B802" s="50" t="s">
        <v>15</v>
      </c>
      <c r="C802" s="50" t="s">
        <v>318</v>
      </c>
      <c r="D802" s="50" t="s">
        <v>259</v>
      </c>
      <c r="E802" s="50">
        <v>-1</v>
      </c>
      <c r="F802" s="50">
        <v>-0.87706295002301693</v>
      </c>
      <c r="G802" s="51" t="str">
        <v>太良 2022/05/26 (木)
平日夜間</v>
      </c>
    </row>
    <row r="803" spans="1:7" ht="16.149999999999999" x14ac:dyDescent="0.7">
      <c r="A803" s="49">
        <v>44681.388859293977</v>
      </c>
      <c r="B803" s="50" t="s">
        <v>15</v>
      </c>
      <c r="C803" s="50" t="s">
        <v>319</v>
      </c>
      <c r="D803" s="50" t="s">
        <v>259</v>
      </c>
      <c r="E803" s="50">
        <v>-1</v>
      </c>
      <c r="F803" s="50">
        <v>-0.99235428679169435</v>
      </c>
      <c r="G803" s="51" t="str">
        <v>太良 2022/05/27 (金)
平日夜間</v>
      </c>
    </row>
    <row r="804" spans="1:7" ht="16.149999999999999" x14ac:dyDescent="0.7">
      <c r="A804" s="49">
        <v>44681.388859293977</v>
      </c>
      <c r="B804" s="50" t="s">
        <v>15</v>
      </c>
      <c r="C804" s="50" t="s">
        <v>320</v>
      </c>
      <c r="D804" s="50" t="s">
        <v>261</v>
      </c>
      <c r="E804" s="50">
        <v>-1</v>
      </c>
      <c r="F804" s="50">
        <v>-2.2416833266123204E-2</v>
      </c>
      <c r="G804" s="51" t="str">
        <v>太良 2022/05/28 (土)
休日午後</v>
      </c>
    </row>
    <row r="805" spans="1:7" ht="16.149999999999999" x14ac:dyDescent="0.7">
      <c r="A805" s="49">
        <v>44681.388859293977</v>
      </c>
      <c r="B805" s="50" t="s">
        <v>15</v>
      </c>
      <c r="C805" s="50" t="s">
        <v>321</v>
      </c>
      <c r="D805" s="50" t="s">
        <v>263</v>
      </c>
      <c r="E805" s="50">
        <v>-1</v>
      </c>
      <c r="F805" s="50">
        <v>-0.98960791707783535</v>
      </c>
      <c r="G805" s="51" t="str">
        <v>太良 2022/05/28 (土)
休日午前</v>
      </c>
    </row>
    <row r="806" spans="1:7" ht="16.149999999999999" x14ac:dyDescent="0.7">
      <c r="A806" s="49">
        <v>44681.388859293977</v>
      </c>
      <c r="B806" s="50" t="s">
        <v>15</v>
      </c>
      <c r="C806" s="50" t="s">
        <v>322</v>
      </c>
      <c r="D806" s="50" t="s">
        <v>261</v>
      </c>
      <c r="E806" s="50">
        <v>-1</v>
      </c>
      <c r="F806" s="50">
        <v>-0.34743734723360697</v>
      </c>
      <c r="G806" s="51" t="str">
        <v>太良 2022/05/29 (日)
休日午後</v>
      </c>
    </row>
    <row r="807" spans="1:7" ht="16.149999999999999" x14ac:dyDescent="0.7">
      <c r="A807" s="49">
        <v>44681.388859293977</v>
      </c>
      <c r="B807" s="50" t="s">
        <v>15</v>
      </c>
      <c r="C807" s="50" t="s">
        <v>323</v>
      </c>
      <c r="D807" s="50" t="s">
        <v>263</v>
      </c>
      <c r="E807" s="50">
        <v>-1</v>
      </c>
      <c r="F807" s="50">
        <v>-0.90893090528723275</v>
      </c>
      <c r="G807" s="51" t="str">
        <v>太良 2022/05/29 (日)
休日午前</v>
      </c>
    </row>
    <row r="808" spans="1:7" ht="16.149999999999999" x14ac:dyDescent="0.7">
      <c r="A808" s="49">
        <v>44681.388859293977</v>
      </c>
      <c r="B808" s="50" t="s">
        <v>15</v>
      </c>
      <c r="C808" s="50" t="s">
        <v>324</v>
      </c>
      <c r="D808" s="50" t="s">
        <v>259</v>
      </c>
      <c r="E808" s="50">
        <v>0</v>
      </c>
      <c r="F808" s="50">
        <v>0.12282236627473297</v>
      </c>
      <c r="G808" s="51" t="str">
        <v>太良 2022/05/30 (月)
平日夜間</v>
      </c>
    </row>
    <row r="809" spans="1:7" ht="16.149999999999999" x14ac:dyDescent="0.7">
      <c r="A809" s="49">
        <v>44681.388859293977</v>
      </c>
      <c r="B809" s="50" t="s">
        <v>15</v>
      </c>
      <c r="C809" s="50" t="s">
        <v>325</v>
      </c>
      <c r="D809" s="50" t="s">
        <v>259</v>
      </c>
      <c r="E809" s="50">
        <v>0</v>
      </c>
      <c r="F809" s="50">
        <v>0.51659181539447396</v>
      </c>
      <c r="G809" s="51" t="str">
        <v>太良 2022/05/31 (火)
平日夜間</v>
      </c>
    </row>
    <row r="810" spans="1:7" ht="16.149999999999999" x14ac:dyDescent="0.7">
      <c r="A810" s="49">
        <v>44681.461849432875</v>
      </c>
      <c r="B810" s="50" t="s">
        <v>10</v>
      </c>
      <c r="C810" s="50" t="s">
        <v>297</v>
      </c>
      <c r="D810" s="50" t="s">
        <v>259</v>
      </c>
      <c r="E810" s="50">
        <v>0</v>
      </c>
      <c r="F810" s="50">
        <v>0.83686807103671956</v>
      </c>
      <c r="G810" s="51" t="str">
        <v>福井 2022/05/09 (月)
平日夜間</v>
      </c>
    </row>
    <row r="811" spans="1:7" ht="16.149999999999999" x14ac:dyDescent="0.7">
      <c r="A811" s="49">
        <v>44681.461849432875</v>
      </c>
      <c r="B811" s="50" t="s">
        <v>10</v>
      </c>
      <c r="C811" s="50" t="s">
        <v>298</v>
      </c>
      <c r="D811" s="50" t="s">
        <v>259</v>
      </c>
      <c r="E811" s="50">
        <v>0</v>
      </c>
      <c r="F811" s="50">
        <v>0.97195865743968279</v>
      </c>
      <c r="G811" s="51" t="str">
        <v>福井 2022/05/10 (火)
平日夜間</v>
      </c>
    </row>
    <row r="812" spans="1:7" ht="16.149999999999999" x14ac:dyDescent="0.7">
      <c r="A812" s="49">
        <v>44681.461849432875</v>
      </c>
      <c r="B812" s="50" t="s">
        <v>10</v>
      </c>
      <c r="C812" s="50" t="s">
        <v>299</v>
      </c>
      <c r="D812" s="50" t="s">
        <v>259</v>
      </c>
      <c r="E812" s="50">
        <v>0</v>
      </c>
      <c r="F812" s="50">
        <v>0.73189003286010967</v>
      </c>
      <c r="G812" s="51" t="str">
        <v>福井 2022/05/11 (水)
平日夜間</v>
      </c>
    </row>
    <row r="813" spans="1:7" ht="16.149999999999999" x14ac:dyDescent="0.7">
      <c r="A813" s="49">
        <v>44681.461849432875</v>
      </c>
      <c r="B813" s="50" t="s">
        <v>10</v>
      </c>
      <c r="C813" s="50" t="s">
        <v>300</v>
      </c>
      <c r="D813" s="50" t="s">
        <v>259</v>
      </c>
      <c r="E813" s="50">
        <v>-1</v>
      </c>
      <c r="F813" s="50">
        <v>-0.851444793150262</v>
      </c>
      <c r="G813" s="51" t="str">
        <v>福井 2022/05/12 (木)
平日夜間</v>
      </c>
    </row>
    <row r="814" spans="1:7" ht="16.149999999999999" x14ac:dyDescent="0.7">
      <c r="A814" s="49">
        <v>44681.461849432875</v>
      </c>
      <c r="B814" s="50" t="s">
        <v>10</v>
      </c>
      <c r="C814" s="50" t="s">
        <v>301</v>
      </c>
      <c r="D814" s="50" t="s">
        <v>259</v>
      </c>
      <c r="E814" s="50">
        <v>0</v>
      </c>
      <c r="F814" s="50">
        <v>0.77744333183429104</v>
      </c>
      <c r="G814" s="51" t="str">
        <v>福井 2022/05/13 (金)
平日夜間</v>
      </c>
    </row>
    <row r="815" spans="1:7" ht="16.149999999999999" x14ac:dyDescent="0.7">
      <c r="A815" s="49">
        <v>44681.461849432875</v>
      </c>
      <c r="B815" s="50" t="s">
        <v>10</v>
      </c>
      <c r="C815" s="50" t="s">
        <v>302</v>
      </c>
      <c r="D815" s="50" t="s">
        <v>261</v>
      </c>
      <c r="E815" s="50">
        <v>1</v>
      </c>
      <c r="F815" s="50">
        <v>1.2820795089929375</v>
      </c>
      <c r="G815" s="51" t="str">
        <v>福井 2022/05/14 (土)
休日午後</v>
      </c>
    </row>
    <row r="816" spans="1:7" ht="16.149999999999999" x14ac:dyDescent="0.7">
      <c r="A816" s="49">
        <v>44681.461849432875</v>
      </c>
      <c r="B816" s="50" t="s">
        <v>10</v>
      </c>
      <c r="C816" s="50" t="s">
        <v>303</v>
      </c>
      <c r="D816" s="50" t="s">
        <v>263</v>
      </c>
      <c r="E816" s="50">
        <v>1</v>
      </c>
      <c r="F816" s="50">
        <v>1.8898812545485468</v>
      </c>
      <c r="G816" s="51" t="str">
        <v>福井 2022/05/14 (土)
休日午前</v>
      </c>
    </row>
    <row r="817" spans="1:7" ht="16.149999999999999" x14ac:dyDescent="0.7">
      <c r="A817" s="49">
        <v>44681.461849432875</v>
      </c>
      <c r="B817" s="50" t="s">
        <v>10</v>
      </c>
      <c r="C817" s="50" t="s">
        <v>304</v>
      </c>
      <c r="D817" s="50" t="s">
        <v>261</v>
      </c>
      <c r="E817" s="50">
        <v>1</v>
      </c>
      <c r="F817" s="50">
        <v>1.9823077222783074</v>
      </c>
      <c r="G817" s="51" t="str">
        <v>福井 2022/05/15 (日)
休日午後</v>
      </c>
    </row>
    <row r="818" spans="1:7" ht="16.149999999999999" x14ac:dyDescent="0.7">
      <c r="A818" s="49">
        <v>44681.461849432875</v>
      </c>
      <c r="B818" s="50" t="s">
        <v>10</v>
      </c>
      <c r="C818" s="50" t="s">
        <v>305</v>
      </c>
      <c r="D818" s="50" t="s">
        <v>263</v>
      </c>
      <c r="E818" s="50">
        <v>1</v>
      </c>
      <c r="F818" s="50">
        <v>1.8502657945833776</v>
      </c>
      <c r="G818" s="51" t="str">
        <v>福井 2022/05/15 (日)
休日午前</v>
      </c>
    </row>
    <row r="819" spans="1:7" ht="16.149999999999999" x14ac:dyDescent="0.7">
      <c r="A819" s="49">
        <v>44681.461849432875</v>
      </c>
      <c r="B819" s="50" t="s">
        <v>10</v>
      </c>
      <c r="C819" s="50" t="s">
        <v>306</v>
      </c>
      <c r="D819" s="50" t="s">
        <v>259</v>
      </c>
      <c r="E819" s="50">
        <v>0</v>
      </c>
      <c r="F819" s="50">
        <v>0.93984625595171245</v>
      </c>
      <c r="G819" s="51" t="str">
        <v>福井 2022/05/16 (月)
平日夜間</v>
      </c>
    </row>
    <row r="820" spans="1:7" ht="16.149999999999999" x14ac:dyDescent="0.7">
      <c r="A820" s="49">
        <v>44681.461849432875</v>
      </c>
      <c r="B820" s="50" t="s">
        <v>10</v>
      </c>
      <c r="C820" s="50" t="s">
        <v>307</v>
      </c>
      <c r="D820" s="50" t="s">
        <v>259</v>
      </c>
      <c r="E820" s="50">
        <v>0</v>
      </c>
      <c r="F820" s="50">
        <v>0.73876687464975399</v>
      </c>
      <c r="G820" s="51" t="str">
        <v>福井 2022/05/17 (火)
平日夜間</v>
      </c>
    </row>
    <row r="821" spans="1:7" ht="16.149999999999999" x14ac:dyDescent="0.7">
      <c r="A821" s="49">
        <v>44681.461849432875</v>
      </c>
      <c r="B821" s="50" t="s">
        <v>10</v>
      </c>
      <c r="C821" s="50" t="s">
        <v>308</v>
      </c>
      <c r="D821" s="50" t="s">
        <v>259</v>
      </c>
      <c r="E821" s="50">
        <v>0</v>
      </c>
      <c r="F821" s="50">
        <v>0.27360952438437058</v>
      </c>
      <c r="G821" s="51" t="str">
        <v>福井 2022/05/18 (水)
平日夜間</v>
      </c>
    </row>
    <row r="822" spans="1:7" ht="16.149999999999999" x14ac:dyDescent="0.7">
      <c r="A822" s="49">
        <v>44681.461849432875</v>
      </c>
      <c r="B822" s="50" t="s">
        <v>10</v>
      </c>
      <c r="C822" s="50" t="s">
        <v>309</v>
      </c>
      <c r="D822" s="50" t="s">
        <v>259</v>
      </c>
      <c r="E822" s="50">
        <v>-1</v>
      </c>
      <c r="F822" s="50">
        <v>-0.77434387672029903</v>
      </c>
      <c r="G822" s="51" t="str">
        <v>福井 2022/05/19 (木)
平日夜間</v>
      </c>
    </row>
    <row r="823" spans="1:7" ht="16.149999999999999" x14ac:dyDescent="0.7">
      <c r="A823" s="49">
        <v>44681.461849432875</v>
      </c>
      <c r="B823" s="50" t="s">
        <v>10</v>
      </c>
      <c r="C823" s="50" t="s">
        <v>310</v>
      </c>
      <c r="D823" s="50" t="s">
        <v>259</v>
      </c>
      <c r="E823" s="50">
        <v>-1</v>
      </c>
      <c r="F823" s="50">
        <v>-0.91350669696921716</v>
      </c>
      <c r="G823" s="51" t="str">
        <v>福井 2022/05/20 (金)
平日夜間</v>
      </c>
    </row>
    <row r="824" spans="1:7" ht="16.149999999999999" x14ac:dyDescent="0.7">
      <c r="A824" s="49">
        <v>44681.461849432875</v>
      </c>
      <c r="B824" s="50" t="s">
        <v>10</v>
      </c>
      <c r="C824" s="50" t="s">
        <v>311</v>
      </c>
      <c r="D824" s="50" t="s">
        <v>261</v>
      </c>
      <c r="E824" s="50">
        <v>-1</v>
      </c>
      <c r="F824" s="50">
        <v>-0.27184468109285365</v>
      </c>
      <c r="G824" s="51" t="str">
        <v>福井 2022/05/21 (土)
休日午後</v>
      </c>
    </row>
    <row r="825" spans="1:7" ht="16.149999999999999" x14ac:dyDescent="0.7">
      <c r="A825" s="49">
        <v>44681.461849432875</v>
      </c>
      <c r="B825" s="50" t="s">
        <v>10</v>
      </c>
      <c r="C825" s="50" t="s">
        <v>312</v>
      </c>
      <c r="D825" s="50" t="s">
        <v>263</v>
      </c>
      <c r="E825" s="50">
        <v>-1</v>
      </c>
      <c r="F825" s="50">
        <v>-0.85640370327319681</v>
      </c>
      <c r="G825" s="51" t="str">
        <v>福井 2022/05/21 (土)
休日午前</v>
      </c>
    </row>
    <row r="826" spans="1:7" ht="16.149999999999999" x14ac:dyDescent="0.7">
      <c r="A826" s="49">
        <v>44681.461849432875</v>
      </c>
      <c r="B826" s="50" t="s">
        <v>10</v>
      </c>
      <c r="C826" s="50" t="s">
        <v>313</v>
      </c>
      <c r="D826" s="50" t="s">
        <v>261</v>
      </c>
      <c r="E826" s="50">
        <v>-1</v>
      </c>
      <c r="F826" s="50">
        <v>-0.72823179392969228</v>
      </c>
      <c r="G826" s="51" t="str">
        <v>福井 2022/05/22 (日)
休日午後</v>
      </c>
    </row>
    <row r="827" spans="1:7" ht="16.149999999999999" x14ac:dyDescent="0.7">
      <c r="A827" s="49">
        <v>44681.461849432875</v>
      </c>
      <c r="B827" s="50" t="s">
        <v>10</v>
      </c>
      <c r="C827" s="50" t="s">
        <v>314</v>
      </c>
      <c r="D827" s="50" t="s">
        <v>263</v>
      </c>
      <c r="E827" s="50">
        <v>-1</v>
      </c>
      <c r="F827" s="50">
        <v>-0.94751446518575233</v>
      </c>
      <c r="G827" s="51" t="str">
        <v>福井 2022/05/22 (日)
休日午前</v>
      </c>
    </row>
    <row r="828" spans="1:7" ht="16.149999999999999" x14ac:dyDescent="0.7">
      <c r="A828" s="49">
        <v>44681.461849432875</v>
      </c>
      <c r="B828" s="50" t="s">
        <v>10</v>
      </c>
      <c r="C828" s="50" t="s">
        <v>315</v>
      </c>
      <c r="D828" s="50" t="s">
        <v>259</v>
      </c>
      <c r="E828" s="50">
        <v>0</v>
      </c>
      <c r="F828" s="50">
        <v>0.67305396715584731</v>
      </c>
      <c r="G828" s="51" t="str">
        <v>福井 2022/05/23 (月)
平日夜間</v>
      </c>
    </row>
    <row r="829" spans="1:7" ht="16.149999999999999" x14ac:dyDescent="0.7">
      <c r="A829" s="49">
        <v>44681.461849432875</v>
      </c>
      <c r="B829" s="50" t="s">
        <v>10</v>
      </c>
      <c r="C829" s="50" t="s">
        <v>316</v>
      </c>
      <c r="D829" s="50" t="s">
        <v>259</v>
      </c>
      <c r="E829" s="50">
        <v>0</v>
      </c>
      <c r="F829" s="50">
        <v>0.16939756391011973</v>
      </c>
      <c r="G829" s="51" t="str">
        <v>福井 2022/05/24 (火)
平日夜間</v>
      </c>
    </row>
    <row r="830" spans="1:7" ht="16.149999999999999" x14ac:dyDescent="0.7">
      <c r="A830" s="49">
        <v>44681.461849432875</v>
      </c>
      <c r="B830" s="50" t="s">
        <v>10</v>
      </c>
      <c r="C830" s="50" t="s">
        <v>317</v>
      </c>
      <c r="D830" s="50" t="s">
        <v>259</v>
      </c>
      <c r="E830" s="50">
        <v>0</v>
      </c>
      <c r="F830" s="50">
        <v>0.50251615406209105</v>
      </c>
      <c r="G830" s="51" t="str">
        <v>福井 2022/05/25 (水)
平日夜間</v>
      </c>
    </row>
    <row r="831" spans="1:7" ht="16.149999999999999" x14ac:dyDescent="0.7">
      <c r="A831" s="49">
        <v>44681.461849432875</v>
      </c>
      <c r="B831" s="50" t="s">
        <v>10</v>
      </c>
      <c r="C831" s="50" t="s">
        <v>318</v>
      </c>
      <c r="D831" s="50" t="s">
        <v>259</v>
      </c>
      <c r="E831" s="50">
        <v>0</v>
      </c>
      <c r="F831" s="50">
        <v>0.43690595222871198</v>
      </c>
      <c r="G831" s="51" t="str">
        <v>福井 2022/05/26 (木)
平日夜間</v>
      </c>
    </row>
    <row r="832" spans="1:7" ht="16.149999999999999" x14ac:dyDescent="0.7">
      <c r="A832" s="49">
        <v>44681.461849432875</v>
      </c>
      <c r="B832" s="50" t="s">
        <v>10</v>
      </c>
      <c r="C832" s="50" t="s">
        <v>319</v>
      </c>
      <c r="D832" s="50" t="s">
        <v>259</v>
      </c>
      <c r="E832" s="50">
        <v>-1</v>
      </c>
      <c r="F832" s="50">
        <v>-0.33326825228244661</v>
      </c>
      <c r="G832" s="51" t="str">
        <v>福井 2022/05/27 (金)
平日夜間</v>
      </c>
    </row>
    <row r="833" spans="1:7" ht="16.149999999999999" x14ac:dyDescent="0.7">
      <c r="A833" s="49">
        <v>44681.461849432875</v>
      </c>
      <c r="B833" s="50" t="s">
        <v>10</v>
      </c>
      <c r="C833" s="50" t="s">
        <v>320</v>
      </c>
      <c r="D833" s="50" t="s">
        <v>261</v>
      </c>
      <c r="E833" s="50">
        <v>-1</v>
      </c>
      <c r="F833" s="50">
        <v>-0.10993048265220695</v>
      </c>
      <c r="G833" s="51" t="str">
        <v>福井 2022/05/28 (土)
休日午後</v>
      </c>
    </row>
    <row r="834" spans="1:7" ht="16.149999999999999" x14ac:dyDescent="0.7">
      <c r="A834" s="49">
        <v>44681.461849432875</v>
      </c>
      <c r="B834" s="50" t="s">
        <v>10</v>
      </c>
      <c r="C834" s="50" t="s">
        <v>321</v>
      </c>
      <c r="D834" s="50" t="s">
        <v>263</v>
      </c>
      <c r="E834" s="50">
        <v>-1</v>
      </c>
      <c r="F834" s="50">
        <v>-0.93989112503761874</v>
      </c>
      <c r="G834" s="51" t="str">
        <v>福井 2022/05/28 (土)
休日午前</v>
      </c>
    </row>
    <row r="835" spans="1:7" ht="16.149999999999999" x14ac:dyDescent="0.7">
      <c r="A835" s="49">
        <v>44681.461849432875</v>
      </c>
      <c r="B835" s="50" t="s">
        <v>10</v>
      </c>
      <c r="C835" s="50" t="s">
        <v>322</v>
      </c>
      <c r="D835" s="50" t="s">
        <v>261</v>
      </c>
      <c r="E835" s="50">
        <v>0</v>
      </c>
      <c r="F835" s="50">
        <v>0.69127078597100788</v>
      </c>
      <c r="G835" s="51" t="str">
        <v>福井 2022/05/29 (日)
休日午後</v>
      </c>
    </row>
    <row r="836" spans="1:7" ht="16.149999999999999" x14ac:dyDescent="0.7">
      <c r="A836" s="49">
        <v>44681.461849432875</v>
      </c>
      <c r="B836" s="50" t="s">
        <v>10</v>
      </c>
      <c r="C836" s="50" t="s">
        <v>323</v>
      </c>
      <c r="D836" s="50" t="s">
        <v>263</v>
      </c>
      <c r="E836" s="50">
        <v>0</v>
      </c>
      <c r="F836" s="50">
        <v>0.96134854603284681</v>
      </c>
      <c r="G836" s="51" t="str">
        <v>福井 2022/05/29 (日)
休日午前</v>
      </c>
    </row>
    <row r="837" spans="1:7" ht="16.149999999999999" x14ac:dyDescent="0.7">
      <c r="A837" s="49">
        <v>44681.461849432875</v>
      </c>
      <c r="B837" s="50" t="s">
        <v>10</v>
      </c>
      <c r="C837" s="50" t="s">
        <v>324</v>
      </c>
      <c r="D837" s="50" t="s">
        <v>259</v>
      </c>
      <c r="E837" s="50">
        <v>0</v>
      </c>
      <c r="F837" s="50">
        <v>0.17640774500025413</v>
      </c>
      <c r="G837" s="51" t="str">
        <v>福井 2022/05/30 (月)
平日夜間</v>
      </c>
    </row>
    <row r="838" spans="1:7" ht="16.149999999999999" x14ac:dyDescent="0.7">
      <c r="A838" s="49">
        <v>44681.461849432875</v>
      </c>
      <c r="B838" s="50" t="s">
        <v>10</v>
      </c>
      <c r="C838" s="50" t="s">
        <v>325</v>
      </c>
      <c r="D838" s="50" t="s">
        <v>259</v>
      </c>
      <c r="E838" s="50">
        <v>0</v>
      </c>
      <c r="F838" s="50">
        <v>7.1565575687148275E-2</v>
      </c>
      <c r="G838" s="51" t="str">
        <v>福井 2022/05/31 (火)
平日夜間</v>
      </c>
    </row>
    <row r="839" spans="1:7" ht="16.149999999999999" x14ac:dyDescent="0.7">
      <c r="A839" s="49">
        <v>44681.576305231487</v>
      </c>
      <c r="B839" s="50" t="s">
        <v>2</v>
      </c>
      <c r="C839" s="50" t="s">
        <v>297</v>
      </c>
      <c r="D839" s="50" t="s">
        <v>259</v>
      </c>
      <c r="E839" s="50">
        <v>0</v>
      </c>
      <c r="F839" s="50">
        <v>0.41197517416938823</v>
      </c>
      <c r="G839" s="51" t="str">
        <v>伊藤 2022/05/09 (月)
平日夜間</v>
      </c>
    </row>
    <row r="840" spans="1:7" ht="16.149999999999999" x14ac:dyDescent="0.7">
      <c r="A840" s="49">
        <v>44681.576305231487</v>
      </c>
      <c r="B840" s="50" t="s">
        <v>2</v>
      </c>
      <c r="C840" s="50" t="s">
        <v>298</v>
      </c>
      <c r="D840" s="50" t="s">
        <v>259</v>
      </c>
      <c r="E840" s="50">
        <v>0</v>
      </c>
      <c r="F840" s="50">
        <v>3.1824013921564642E-2</v>
      </c>
      <c r="G840" s="51" t="str">
        <v>伊藤 2022/05/10 (火)
平日夜間</v>
      </c>
    </row>
    <row r="841" spans="1:7" ht="16.149999999999999" x14ac:dyDescent="0.7">
      <c r="A841" s="49">
        <v>44681.576305231487</v>
      </c>
      <c r="B841" s="50" t="s">
        <v>2</v>
      </c>
      <c r="C841" s="50" t="s">
        <v>299</v>
      </c>
      <c r="D841" s="50" t="s">
        <v>259</v>
      </c>
      <c r="E841" s="50">
        <v>0</v>
      </c>
      <c r="F841" s="50">
        <v>0.94956285612005087</v>
      </c>
      <c r="G841" s="51" t="str">
        <v>伊藤 2022/05/11 (水)
平日夜間</v>
      </c>
    </row>
    <row r="842" spans="1:7" ht="16.149999999999999" x14ac:dyDescent="0.7">
      <c r="A842" s="49">
        <v>44681.576305231487</v>
      </c>
      <c r="B842" s="50" t="s">
        <v>2</v>
      </c>
      <c r="C842" s="50" t="s">
        <v>300</v>
      </c>
      <c r="D842" s="50" t="s">
        <v>259</v>
      </c>
      <c r="E842" s="50">
        <v>0</v>
      </c>
      <c r="F842" s="50">
        <v>0.80315759343070203</v>
      </c>
      <c r="G842" s="51" t="str">
        <v>伊藤 2022/05/12 (木)
平日夜間</v>
      </c>
    </row>
    <row r="843" spans="1:7" ht="16.149999999999999" x14ac:dyDescent="0.7">
      <c r="A843" s="49">
        <v>44681.576305231487</v>
      </c>
      <c r="B843" s="50" t="s">
        <v>2</v>
      </c>
      <c r="C843" s="50" t="s">
        <v>301</v>
      </c>
      <c r="D843" s="50" t="s">
        <v>259</v>
      </c>
      <c r="E843" s="50">
        <v>0</v>
      </c>
      <c r="F843" s="50">
        <v>0.9339878342961867</v>
      </c>
      <c r="G843" s="51" t="str">
        <v>伊藤 2022/05/13 (金)
平日夜間</v>
      </c>
    </row>
    <row r="844" spans="1:7" ht="16.149999999999999" x14ac:dyDescent="0.7">
      <c r="A844" s="49">
        <v>44681.576305231487</v>
      </c>
      <c r="B844" s="50" t="s">
        <v>2</v>
      </c>
      <c r="C844" s="50" t="s">
        <v>302</v>
      </c>
      <c r="D844" s="50" t="s">
        <v>261</v>
      </c>
      <c r="E844" s="50">
        <v>0</v>
      </c>
      <c r="F844" s="50">
        <v>0.74223090315872464</v>
      </c>
      <c r="G844" s="51" t="str">
        <v>伊藤 2022/05/14 (土)
休日午後</v>
      </c>
    </row>
    <row r="845" spans="1:7" ht="16.149999999999999" x14ac:dyDescent="0.7">
      <c r="A845" s="49">
        <v>44681.576305231487</v>
      </c>
      <c r="B845" s="50" t="s">
        <v>2</v>
      </c>
      <c r="C845" s="50" t="s">
        <v>303</v>
      </c>
      <c r="D845" s="50" t="s">
        <v>263</v>
      </c>
      <c r="E845" s="50">
        <v>0</v>
      </c>
      <c r="F845" s="50">
        <v>0.27553598771186549</v>
      </c>
      <c r="G845" s="51" t="str">
        <v>伊藤 2022/05/14 (土)
休日午前</v>
      </c>
    </row>
    <row r="846" spans="1:7" ht="16.149999999999999" x14ac:dyDescent="0.7">
      <c r="A846" s="49">
        <v>44681.576305231487</v>
      </c>
      <c r="B846" s="50" t="s">
        <v>2</v>
      </c>
      <c r="C846" s="50" t="s">
        <v>304</v>
      </c>
      <c r="D846" s="50" t="s">
        <v>261</v>
      </c>
      <c r="E846" s="50">
        <v>0</v>
      </c>
      <c r="F846" s="50">
        <v>0.28466291671090826</v>
      </c>
      <c r="G846" s="51" t="str">
        <v>伊藤 2022/05/15 (日)
休日午後</v>
      </c>
    </row>
    <row r="847" spans="1:7" ht="16.149999999999999" x14ac:dyDescent="0.7">
      <c r="A847" s="49">
        <v>44681.576305231487</v>
      </c>
      <c r="B847" s="50" t="s">
        <v>2</v>
      </c>
      <c r="C847" s="50" t="s">
        <v>305</v>
      </c>
      <c r="D847" s="50" t="s">
        <v>263</v>
      </c>
      <c r="E847" s="50">
        <v>0</v>
      </c>
      <c r="F847" s="50">
        <v>0.40639085346283577</v>
      </c>
      <c r="G847" s="51" t="str">
        <v>伊藤 2022/05/15 (日)
休日午前</v>
      </c>
    </row>
    <row r="848" spans="1:7" ht="16.149999999999999" x14ac:dyDescent="0.7">
      <c r="A848" s="49">
        <v>44681.576305231487</v>
      </c>
      <c r="B848" s="50" t="s">
        <v>2</v>
      </c>
      <c r="C848" s="50" t="s">
        <v>306</v>
      </c>
      <c r="D848" s="50" t="s">
        <v>259</v>
      </c>
      <c r="E848" s="50">
        <v>0</v>
      </c>
      <c r="F848" s="50">
        <v>0.35400908927629304</v>
      </c>
      <c r="G848" s="51" t="str">
        <v>伊藤 2022/05/16 (月)
平日夜間</v>
      </c>
    </row>
    <row r="849" spans="1:7" ht="16.149999999999999" x14ac:dyDescent="0.7">
      <c r="A849" s="49">
        <v>44681.576305231487</v>
      </c>
      <c r="B849" s="50" t="s">
        <v>2</v>
      </c>
      <c r="C849" s="50" t="s">
        <v>307</v>
      </c>
      <c r="D849" s="50" t="s">
        <v>259</v>
      </c>
      <c r="E849" s="50">
        <v>-1</v>
      </c>
      <c r="F849" s="50">
        <v>-0.18176343895897151</v>
      </c>
      <c r="G849" s="51" t="str">
        <v>伊藤 2022/05/17 (火)
平日夜間</v>
      </c>
    </row>
    <row r="850" spans="1:7" ht="16.149999999999999" x14ac:dyDescent="0.7">
      <c r="A850" s="49">
        <v>44681.576305231487</v>
      </c>
      <c r="B850" s="50" t="s">
        <v>2</v>
      </c>
      <c r="C850" s="50" t="s">
        <v>308</v>
      </c>
      <c r="D850" s="50" t="s">
        <v>259</v>
      </c>
      <c r="E850" s="50">
        <v>0</v>
      </c>
      <c r="F850" s="50">
        <v>0.7051871117742281</v>
      </c>
      <c r="G850" s="51" t="str">
        <v>伊藤 2022/05/18 (水)
平日夜間</v>
      </c>
    </row>
    <row r="851" spans="1:7" ht="16.149999999999999" x14ac:dyDescent="0.7">
      <c r="A851" s="49">
        <v>44681.576305231487</v>
      </c>
      <c r="B851" s="50" t="s">
        <v>2</v>
      </c>
      <c r="C851" s="50" t="s">
        <v>309</v>
      </c>
      <c r="D851" s="50" t="s">
        <v>259</v>
      </c>
      <c r="E851" s="50">
        <v>0</v>
      </c>
      <c r="F851" s="50">
        <v>0.82146510096831271</v>
      </c>
      <c r="G851" s="51" t="str">
        <v>伊藤 2022/05/19 (木)
平日夜間</v>
      </c>
    </row>
    <row r="852" spans="1:7" ht="16.149999999999999" x14ac:dyDescent="0.7">
      <c r="A852" s="49">
        <v>44681.576305231487</v>
      </c>
      <c r="B852" s="50" t="s">
        <v>2</v>
      </c>
      <c r="C852" s="50" t="s">
        <v>310</v>
      </c>
      <c r="D852" s="50" t="s">
        <v>259</v>
      </c>
      <c r="E852" s="50">
        <v>0</v>
      </c>
      <c r="F852" s="50">
        <v>0.97018571131509268</v>
      </c>
      <c r="G852" s="51" t="str">
        <v>伊藤 2022/05/20 (金)
平日夜間</v>
      </c>
    </row>
    <row r="853" spans="1:7" ht="16.149999999999999" x14ac:dyDescent="0.7">
      <c r="A853" s="49">
        <v>44681.576305231487</v>
      </c>
      <c r="B853" s="50" t="s">
        <v>2</v>
      </c>
      <c r="C853" s="50" t="s">
        <v>311</v>
      </c>
      <c r="D853" s="50" t="s">
        <v>261</v>
      </c>
      <c r="E853" s="50">
        <v>0</v>
      </c>
      <c r="F853" s="50">
        <v>0.18207173894743311</v>
      </c>
      <c r="G853" s="51" t="str">
        <v>伊藤 2022/05/21 (土)
休日午後</v>
      </c>
    </row>
    <row r="854" spans="1:7" ht="16.149999999999999" x14ac:dyDescent="0.7">
      <c r="A854" s="49">
        <v>44681.576305231487</v>
      </c>
      <c r="B854" s="50" t="s">
        <v>2</v>
      </c>
      <c r="C854" s="50" t="s">
        <v>312</v>
      </c>
      <c r="D854" s="50" t="s">
        <v>263</v>
      </c>
      <c r="E854" s="50">
        <v>0</v>
      </c>
      <c r="F854" s="50">
        <v>0.64412624339637481</v>
      </c>
      <c r="G854" s="51" t="str">
        <v>伊藤 2022/05/21 (土)
休日午前</v>
      </c>
    </row>
    <row r="855" spans="1:7" ht="16.149999999999999" x14ac:dyDescent="0.7">
      <c r="A855" s="49">
        <v>44681.576305231487</v>
      </c>
      <c r="B855" s="50" t="s">
        <v>2</v>
      </c>
      <c r="C855" s="50" t="s">
        <v>313</v>
      </c>
      <c r="D855" s="50" t="s">
        <v>261</v>
      </c>
      <c r="E855" s="50">
        <v>0</v>
      </c>
      <c r="F855" s="50">
        <v>0.51914167158146252</v>
      </c>
      <c r="G855" s="51" t="str">
        <v>伊藤 2022/05/22 (日)
休日午後</v>
      </c>
    </row>
    <row r="856" spans="1:7" ht="16.149999999999999" x14ac:dyDescent="0.7">
      <c r="A856" s="49">
        <v>44681.576305231487</v>
      </c>
      <c r="B856" s="50" t="s">
        <v>2</v>
      </c>
      <c r="C856" s="50" t="s">
        <v>314</v>
      </c>
      <c r="D856" s="50" t="s">
        <v>263</v>
      </c>
      <c r="E856" s="50">
        <v>0</v>
      </c>
      <c r="F856" s="50">
        <v>0.31563530615683155</v>
      </c>
      <c r="G856" s="51" t="str">
        <v>伊藤 2022/05/22 (日)
休日午前</v>
      </c>
    </row>
    <row r="857" spans="1:7" ht="16.149999999999999" x14ac:dyDescent="0.7">
      <c r="A857" s="49">
        <v>44681.576305231487</v>
      </c>
      <c r="B857" s="50" t="s">
        <v>2</v>
      </c>
      <c r="C857" s="50" t="s">
        <v>315</v>
      </c>
      <c r="D857" s="50" t="s">
        <v>259</v>
      </c>
      <c r="E857" s="50">
        <v>0</v>
      </c>
      <c r="F857" s="50">
        <v>0.44143386425761277</v>
      </c>
      <c r="G857" s="51" t="str">
        <v>伊藤 2022/05/23 (月)
平日夜間</v>
      </c>
    </row>
    <row r="858" spans="1:7" ht="16.149999999999999" x14ac:dyDescent="0.7">
      <c r="A858" s="49">
        <v>44681.576305231487</v>
      </c>
      <c r="B858" s="50" t="s">
        <v>2</v>
      </c>
      <c r="C858" s="50" t="s">
        <v>316</v>
      </c>
      <c r="D858" s="50" t="s">
        <v>259</v>
      </c>
      <c r="E858" s="50">
        <v>0</v>
      </c>
      <c r="F858" s="50">
        <v>0.4111703171615162</v>
      </c>
      <c r="G858" s="51" t="str">
        <v>伊藤 2022/05/24 (火)
平日夜間</v>
      </c>
    </row>
    <row r="859" spans="1:7" ht="16.149999999999999" x14ac:dyDescent="0.7">
      <c r="A859" s="49">
        <v>44681.576305231487</v>
      </c>
      <c r="B859" s="50" t="s">
        <v>2</v>
      </c>
      <c r="C859" s="50" t="s">
        <v>317</v>
      </c>
      <c r="D859" s="50" t="s">
        <v>259</v>
      </c>
      <c r="E859" s="50">
        <v>0</v>
      </c>
      <c r="F859" s="50">
        <v>0.33851949075051957</v>
      </c>
      <c r="G859" s="51" t="str">
        <v>伊藤 2022/05/25 (水)
平日夜間</v>
      </c>
    </row>
    <row r="860" spans="1:7" ht="16.149999999999999" x14ac:dyDescent="0.7">
      <c r="A860" s="49">
        <v>44681.576305231487</v>
      </c>
      <c r="B860" s="50" t="s">
        <v>2</v>
      </c>
      <c r="C860" s="50" t="s">
        <v>318</v>
      </c>
      <c r="D860" s="50" t="s">
        <v>259</v>
      </c>
      <c r="E860" s="50">
        <v>0</v>
      </c>
      <c r="F860" s="50">
        <v>0.22442031213859281</v>
      </c>
      <c r="G860" s="51" t="str">
        <v>伊藤 2022/05/26 (木)
平日夜間</v>
      </c>
    </row>
    <row r="861" spans="1:7" ht="16.149999999999999" x14ac:dyDescent="0.7">
      <c r="A861" s="49">
        <v>44681.576305231487</v>
      </c>
      <c r="B861" s="50" t="s">
        <v>2</v>
      </c>
      <c r="C861" s="50" t="s">
        <v>319</v>
      </c>
      <c r="D861" s="50" t="s">
        <v>259</v>
      </c>
      <c r="E861" s="50">
        <v>0</v>
      </c>
      <c r="F861" s="50">
        <v>0.14985195245787875</v>
      </c>
      <c r="G861" s="51" t="str">
        <v>伊藤 2022/05/27 (金)
平日夜間</v>
      </c>
    </row>
    <row r="862" spans="1:7" ht="16.149999999999999" x14ac:dyDescent="0.7">
      <c r="A862" s="49">
        <v>44681.576305231487</v>
      </c>
      <c r="B862" s="50" t="s">
        <v>2</v>
      </c>
      <c r="C862" s="50" t="s">
        <v>320</v>
      </c>
      <c r="D862" s="50" t="s">
        <v>261</v>
      </c>
      <c r="E862" s="50">
        <v>0</v>
      </c>
      <c r="F862" s="50">
        <v>0.38779772864334827</v>
      </c>
      <c r="G862" s="51" t="str">
        <v>伊藤 2022/05/28 (土)
休日午後</v>
      </c>
    </row>
    <row r="863" spans="1:7" ht="16.149999999999999" x14ac:dyDescent="0.7">
      <c r="A863" s="49">
        <v>44681.576305231487</v>
      </c>
      <c r="B863" s="50" t="s">
        <v>2</v>
      </c>
      <c r="C863" s="50" t="s">
        <v>321</v>
      </c>
      <c r="D863" s="50" t="s">
        <v>263</v>
      </c>
      <c r="E863" s="50">
        <v>0</v>
      </c>
      <c r="F863" s="50">
        <v>0.39801174159806818</v>
      </c>
      <c r="G863" s="51" t="str">
        <v>伊藤 2022/05/28 (土)
休日午前</v>
      </c>
    </row>
    <row r="864" spans="1:7" ht="16.149999999999999" x14ac:dyDescent="0.7">
      <c r="A864" s="49">
        <v>44681.576305231487</v>
      </c>
      <c r="B864" s="50" t="s">
        <v>2</v>
      </c>
      <c r="C864" s="50" t="s">
        <v>322</v>
      </c>
      <c r="D864" s="50" t="s">
        <v>261</v>
      </c>
      <c r="E864" s="50">
        <v>0</v>
      </c>
      <c r="F864" s="50">
        <v>0.64785133885157631</v>
      </c>
      <c r="G864" s="51" t="str">
        <v>伊藤 2022/05/29 (日)
休日午後</v>
      </c>
    </row>
    <row r="865" spans="1:7" ht="16.149999999999999" x14ac:dyDescent="0.7">
      <c r="A865" s="49">
        <v>44681.576305231487</v>
      </c>
      <c r="B865" s="50" t="s">
        <v>2</v>
      </c>
      <c r="C865" s="50" t="s">
        <v>323</v>
      </c>
      <c r="D865" s="50" t="s">
        <v>263</v>
      </c>
      <c r="E865" s="50">
        <v>0</v>
      </c>
      <c r="F865" s="50">
        <v>0.16448595222287299</v>
      </c>
      <c r="G865" s="51" t="str">
        <v>伊藤 2022/05/29 (日)
休日午前</v>
      </c>
    </row>
    <row r="866" spans="1:7" ht="16.149999999999999" x14ac:dyDescent="0.7">
      <c r="A866" s="49">
        <v>44681.576305231487</v>
      </c>
      <c r="B866" s="50" t="s">
        <v>2</v>
      </c>
      <c r="C866" s="50" t="s">
        <v>324</v>
      </c>
      <c r="D866" s="50" t="s">
        <v>259</v>
      </c>
      <c r="E866" s="50">
        <v>0</v>
      </c>
      <c r="F866" s="50">
        <v>0.58706046340292395</v>
      </c>
      <c r="G866" s="51" t="str">
        <v>伊藤 2022/05/30 (月)
平日夜間</v>
      </c>
    </row>
    <row r="867" spans="1:7" ht="16.149999999999999" x14ac:dyDescent="0.7">
      <c r="A867" s="49">
        <v>44681.576305231487</v>
      </c>
      <c r="B867" s="50" t="s">
        <v>2</v>
      </c>
      <c r="C867" s="50" t="s">
        <v>325</v>
      </c>
      <c r="D867" s="50" t="s">
        <v>259</v>
      </c>
      <c r="E867" s="50">
        <v>2</v>
      </c>
      <c r="F867" s="50">
        <v>2.8002955910928904</v>
      </c>
      <c r="G867" s="51" t="str">
        <v>伊藤 2022/05/31 (火)
平日夜間</v>
      </c>
    </row>
    <row r="868" spans="1:7" ht="16.149999999999999" x14ac:dyDescent="0.7">
      <c r="A868" s="49">
        <v>44682.555651724542</v>
      </c>
      <c r="B868" s="50" t="s">
        <v>13</v>
      </c>
      <c r="C868" s="50" t="s">
        <v>326</v>
      </c>
      <c r="D868" s="50" t="s">
        <v>259</v>
      </c>
      <c r="E868" s="50">
        <v>-1</v>
      </c>
      <c r="F868" s="50">
        <v>-0.60756050607388334</v>
      </c>
      <c r="G868" s="51" t="str">
        <v>新美 2022/06/01 (水)
平日夜間</v>
      </c>
    </row>
    <row r="869" spans="1:7" ht="16.149999999999999" x14ac:dyDescent="0.7">
      <c r="A869" s="49">
        <v>44682.555651724542</v>
      </c>
      <c r="B869" s="50" t="s">
        <v>13</v>
      </c>
      <c r="C869" s="50" t="s">
        <v>327</v>
      </c>
      <c r="D869" s="50" t="s">
        <v>259</v>
      </c>
      <c r="E869" s="50">
        <v>0</v>
      </c>
      <c r="F869" s="50">
        <v>0.11051695749966761</v>
      </c>
      <c r="G869" s="51" t="str">
        <v>新美 2022/06/02 (木)
平日夜間</v>
      </c>
    </row>
    <row r="870" spans="1:7" ht="16.149999999999999" x14ac:dyDescent="0.7">
      <c r="A870" s="49">
        <v>44682.555651724542</v>
      </c>
      <c r="B870" s="50" t="s">
        <v>13</v>
      </c>
      <c r="C870" s="50" t="s">
        <v>328</v>
      </c>
      <c r="D870" s="50" t="s">
        <v>259</v>
      </c>
      <c r="E870" s="50">
        <v>0</v>
      </c>
      <c r="F870" s="50">
        <v>0.70576689232464274</v>
      </c>
      <c r="G870" s="51" t="str">
        <v>新美 2022/06/03 (金)
平日夜間</v>
      </c>
    </row>
    <row r="871" spans="1:7" ht="16.149999999999999" x14ac:dyDescent="0.7">
      <c r="A871" s="49">
        <v>44682.555651724542</v>
      </c>
      <c r="B871" s="50" t="s">
        <v>13</v>
      </c>
      <c r="C871" s="50" t="s">
        <v>329</v>
      </c>
      <c r="D871" s="50" t="s">
        <v>261</v>
      </c>
      <c r="E871" s="50">
        <v>0</v>
      </c>
      <c r="F871" s="50">
        <v>0.84426213164318531</v>
      </c>
      <c r="G871" s="51" t="str">
        <v>新美 2022/06/04 (土)
休日午後</v>
      </c>
    </row>
    <row r="872" spans="1:7" ht="16.149999999999999" x14ac:dyDescent="0.7">
      <c r="A872" s="49">
        <v>44682.555651724542</v>
      </c>
      <c r="B872" s="50" t="s">
        <v>13</v>
      </c>
      <c r="C872" s="50" t="s">
        <v>330</v>
      </c>
      <c r="D872" s="50" t="s">
        <v>263</v>
      </c>
      <c r="E872" s="50">
        <v>1</v>
      </c>
      <c r="F872" s="50">
        <v>1.4954914852262866</v>
      </c>
      <c r="G872" s="51" t="str">
        <v>新美 2022/06/04 (土)
休日午前</v>
      </c>
    </row>
    <row r="873" spans="1:7" ht="16.149999999999999" x14ac:dyDescent="0.7">
      <c r="A873" s="49">
        <v>44682.555651724542</v>
      </c>
      <c r="B873" s="50" t="s">
        <v>13</v>
      </c>
      <c r="C873" s="50" t="s">
        <v>331</v>
      </c>
      <c r="D873" s="50" t="s">
        <v>261</v>
      </c>
      <c r="E873" s="50">
        <v>0</v>
      </c>
      <c r="F873" s="50">
        <v>0.8047632410773391</v>
      </c>
      <c r="G873" s="51" t="str">
        <v>新美 2022/06/05 (日)
休日午後</v>
      </c>
    </row>
    <row r="874" spans="1:7" ht="16.149999999999999" x14ac:dyDescent="0.7">
      <c r="A874" s="49">
        <v>44682.555651724542</v>
      </c>
      <c r="B874" s="50" t="s">
        <v>13</v>
      </c>
      <c r="C874" s="50" t="s">
        <v>332</v>
      </c>
      <c r="D874" s="50" t="s">
        <v>263</v>
      </c>
      <c r="E874" s="50">
        <v>1</v>
      </c>
      <c r="F874" s="50">
        <v>1.2914534715927537</v>
      </c>
      <c r="G874" s="51" t="str">
        <v>新美 2022/06/05 (日)
休日午前</v>
      </c>
    </row>
    <row r="875" spans="1:7" ht="16.149999999999999" x14ac:dyDescent="0.7">
      <c r="A875" s="49">
        <v>44682.555651724542</v>
      </c>
      <c r="B875" s="50" t="s">
        <v>13</v>
      </c>
      <c r="C875" s="50" t="s">
        <v>333</v>
      </c>
      <c r="D875" s="50" t="s">
        <v>259</v>
      </c>
      <c r="E875" s="50">
        <v>0</v>
      </c>
      <c r="F875" s="50">
        <v>0.18219323932898335</v>
      </c>
      <c r="G875" s="51" t="str">
        <v>新美 2022/06/06 (月)
平日夜間</v>
      </c>
    </row>
    <row r="876" spans="1:7" ht="16.149999999999999" x14ac:dyDescent="0.7">
      <c r="A876" s="49">
        <v>44682.555651724542</v>
      </c>
      <c r="B876" s="50" t="s">
        <v>13</v>
      </c>
      <c r="C876" s="50" t="s">
        <v>334</v>
      </c>
      <c r="D876" s="50" t="s">
        <v>259</v>
      </c>
      <c r="E876" s="50">
        <v>0</v>
      </c>
      <c r="F876" s="50">
        <v>0.68914357609724464</v>
      </c>
      <c r="G876" s="51" t="str">
        <v>新美 2022/06/07 (火)
平日夜間</v>
      </c>
    </row>
    <row r="877" spans="1:7" ht="16.149999999999999" x14ac:dyDescent="0.7">
      <c r="A877" s="49">
        <v>44682.555651724542</v>
      </c>
      <c r="B877" s="50" t="s">
        <v>13</v>
      </c>
      <c r="C877" s="50" t="s">
        <v>335</v>
      </c>
      <c r="D877" s="50" t="s">
        <v>259</v>
      </c>
      <c r="E877" s="50">
        <v>-1</v>
      </c>
      <c r="F877" s="50">
        <v>-0.22186835390235138</v>
      </c>
      <c r="G877" s="51" t="str">
        <v>新美 2022/06/08 (水)
平日夜間</v>
      </c>
    </row>
    <row r="878" spans="1:7" ht="16.149999999999999" x14ac:dyDescent="0.7">
      <c r="A878" s="49">
        <v>44682.555651724542</v>
      </c>
      <c r="B878" s="50" t="s">
        <v>13</v>
      </c>
      <c r="C878" s="50" t="s">
        <v>336</v>
      </c>
      <c r="D878" s="50" t="s">
        <v>259</v>
      </c>
      <c r="E878" s="50">
        <v>0</v>
      </c>
      <c r="F878" s="50">
        <v>0.87600059392886909</v>
      </c>
      <c r="G878" s="51" t="str">
        <v>新美 2022/06/09 (木)
平日夜間</v>
      </c>
    </row>
    <row r="879" spans="1:7" ht="16.149999999999999" x14ac:dyDescent="0.7">
      <c r="A879" s="49">
        <v>44682.555651724542</v>
      </c>
      <c r="B879" s="50" t="s">
        <v>13</v>
      </c>
      <c r="C879" s="50" t="s">
        <v>337</v>
      </c>
      <c r="D879" s="50" t="s">
        <v>259</v>
      </c>
      <c r="E879" s="50">
        <v>0</v>
      </c>
      <c r="F879" s="50">
        <v>0.8305020276055044</v>
      </c>
      <c r="G879" s="51" t="str">
        <v>新美 2022/06/10 (金)
平日夜間</v>
      </c>
    </row>
    <row r="880" spans="1:7" ht="16.149999999999999" x14ac:dyDescent="0.7">
      <c r="A880" s="49">
        <v>44682.555651724542</v>
      </c>
      <c r="B880" s="50" t="s">
        <v>13</v>
      </c>
      <c r="C880" s="50" t="s">
        <v>338</v>
      </c>
      <c r="D880" s="50" t="s">
        <v>261</v>
      </c>
      <c r="E880" s="50">
        <v>-1</v>
      </c>
      <c r="F880" s="50">
        <v>-5.8526130690228495E-3</v>
      </c>
      <c r="G880" s="51" t="str">
        <v>新美 2022/06/11 (土)
休日午後</v>
      </c>
    </row>
    <row r="881" spans="1:7" ht="16.149999999999999" x14ac:dyDescent="0.7">
      <c r="A881" s="49">
        <v>44682.555651724542</v>
      </c>
      <c r="B881" s="50" t="s">
        <v>13</v>
      </c>
      <c r="C881" s="50" t="s">
        <v>339</v>
      </c>
      <c r="D881" s="50" t="s">
        <v>263</v>
      </c>
      <c r="E881" s="50">
        <v>-1</v>
      </c>
      <c r="F881" s="50">
        <v>-0.42490701010133702</v>
      </c>
      <c r="G881" s="51" t="str">
        <v>新美 2022/06/11 (土)
休日午前</v>
      </c>
    </row>
    <row r="882" spans="1:7" ht="16.149999999999999" x14ac:dyDescent="0.7">
      <c r="A882" s="49">
        <v>44682.555651724542</v>
      </c>
      <c r="B882" s="50" t="s">
        <v>13</v>
      </c>
      <c r="C882" s="50" t="s">
        <v>340</v>
      </c>
      <c r="D882" s="50" t="s">
        <v>261</v>
      </c>
      <c r="E882" s="50">
        <v>0</v>
      </c>
      <c r="F882" s="50">
        <v>0.64876703968528604</v>
      </c>
      <c r="G882" s="51" t="str">
        <v>新美 2022/06/12 (日)
休日午後</v>
      </c>
    </row>
    <row r="883" spans="1:7" ht="16.149999999999999" x14ac:dyDescent="0.7">
      <c r="A883" s="49">
        <v>44682.555651724542</v>
      </c>
      <c r="B883" s="50" t="s">
        <v>13</v>
      </c>
      <c r="C883" s="50" t="s">
        <v>341</v>
      </c>
      <c r="D883" s="50" t="s">
        <v>263</v>
      </c>
      <c r="E883" s="50">
        <v>1</v>
      </c>
      <c r="F883" s="50">
        <v>1.2246159707308553</v>
      </c>
      <c r="G883" s="51" t="str">
        <v>新美 2022/06/12 (日)
休日午前</v>
      </c>
    </row>
    <row r="884" spans="1:7" ht="16.149999999999999" x14ac:dyDescent="0.7">
      <c r="A884" s="49">
        <v>44682.555651724542</v>
      </c>
      <c r="B884" s="50" t="s">
        <v>13</v>
      </c>
      <c r="C884" s="50" t="s">
        <v>342</v>
      </c>
      <c r="D884" s="50" t="s">
        <v>259</v>
      </c>
      <c r="E884" s="50">
        <v>0</v>
      </c>
      <c r="F884" s="50">
        <v>0.52893723221103328</v>
      </c>
      <c r="G884" s="51" t="str">
        <v>新美 2022/06/13 (月)
平日夜間</v>
      </c>
    </row>
    <row r="885" spans="1:7" ht="16.149999999999999" x14ac:dyDescent="0.7">
      <c r="A885" s="49">
        <v>44682.555651724542</v>
      </c>
      <c r="B885" s="50" t="s">
        <v>13</v>
      </c>
      <c r="C885" s="50" t="s">
        <v>343</v>
      </c>
      <c r="D885" s="50" t="s">
        <v>259</v>
      </c>
      <c r="E885" s="50">
        <v>0</v>
      </c>
      <c r="F885" s="50">
        <v>0.98601172728858311</v>
      </c>
      <c r="G885" s="51" t="str">
        <v>新美 2022/06/14 (火)
平日夜間</v>
      </c>
    </row>
    <row r="886" spans="1:7" ht="16.149999999999999" x14ac:dyDescent="0.7">
      <c r="A886" s="49">
        <v>44682.555651724542</v>
      </c>
      <c r="B886" s="50" t="s">
        <v>13</v>
      </c>
      <c r="C886" s="50" t="s">
        <v>344</v>
      </c>
      <c r="D886" s="50" t="s">
        <v>259</v>
      </c>
      <c r="E886" s="50">
        <v>-1</v>
      </c>
      <c r="F886" s="50">
        <v>-0.22824814982124564</v>
      </c>
      <c r="G886" s="51" t="str">
        <v>新美 2022/06/15 (水)
平日夜間</v>
      </c>
    </row>
    <row r="887" spans="1:7" ht="16.149999999999999" x14ac:dyDescent="0.7">
      <c r="A887" s="49">
        <v>44682.555651724542</v>
      </c>
      <c r="B887" s="50" t="s">
        <v>13</v>
      </c>
      <c r="C887" s="50" t="s">
        <v>345</v>
      </c>
      <c r="D887" s="50" t="s">
        <v>259</v>
      </c>
      <c r="E887" s="50">
        <v>0</v>
      </c>
      <c r="F887" s="50">
        <v>0.39431910078702037</v>
      </c>
      <c r="G887" s="51" t="str">
        <v>新美 2022/06/16 (木)
平日夜間</v>
      </c>
    </row>
    <row r="888" spans="1:7" ht="16.149999999999999" x14ac:dyDescent="0.7">
      <c r="A888" s="49">
        <v>44682.555651724542</v>
      </c>
      <c r="B888" s="50" t="s">
        <v>13</v>
      </c>
      <c r="C888" s="50" t="s">
        <v>346</v>
      </c>
      <c r="D888" s="50" t="s">
        <v>259</v>
      </c>
      <c r="E888" s="50">
        <v>0</v>
      </c>
      <c r="F888" s="50">
        <v>0.61130526527505724</v>
      </c>
      <c r="G888" s="51" t="str">
        <v>新美 2022/06/17 (金)
平日夜間</v>
      </c>
    </row>
    <row r="889" spans="1:7" ht="16.149999999999999" x14ac:dyDescent="0.7">
      <c r="A889" s="49">
        <v>44682.555651724542</v>
      </c>
      <c r="B889" s="50" t="s">
        <v>13</v>
      </c>
      <c r="C889" s="50" t="s">
        <v>347</v>
      </c>
      <c r="D889" s="50" t="s">
        <v>261</v>
      </c>
      <c r="E889" s="50">
        <v>0</v>
      </c>
      <c r="F889" s="50">
        <v>7.9072578554460593E-2</v>
      </c>
      <c r="G889" s="51" t="str">
        <v>新美 2022/06/18 (土)
休日午後</v>
      </c>
    </row>
    <row r="890" spans="1:7" ht="16.149999999999999" x14ac:dyDescent="0.7">
      <c r="A890" s="49">
        <v>44682.555651724542</v>
      </c>
      <c r="B890" s="50" t="s">
        <v>13</v>
      </c>
      <c r="C890" s="50" t="s">
        <v>348</v>
      </c>
      <c r="D890" s="50" t="s">
        <v>263</v>
      </c>
      <c r="E890" s="50">
        <v>1</v>
      </c>
      <c r="F890" s="50">
        <v>1.3328182314280068</v>
      </c>
      <c r="G890" s="51" t="str">
        <v>新美 2022/06/18 (土)
休日午前</v>
      </c>
    </row>
    <row r="891" spans="1:7" ht="16.149999999999999" x14ac:dyDescent="0.7">
      <c r="A891" s="49">
        <v>44682.555651724542</v>
      </c>
      <c r="B891" s="50" t="s">
        <v>13</v>
      </c>
      <c r="C891" s="50" t="s">
        <v>349</v>
      </c>
      <c r="D891" s="50" t="s">
        <v>261</v>
      </c>
      <c r="E891" s="50">
        <v>0</v>
      </c>
      <c r="F891" s="50">
        <v>0.76741571476945492</v>
      </c>
      <c r="G891" s="51" t="str">
        <v>新美 2022/06/19 (日)
休日午後</v>
      </c>
    </row>
    <row r="892" spans="1:7" ht="16.149999999999999" x14ac:dyDescent="0.7">
      <c r="A892" s="49">
        <v>44682.555651724542</v>
      </c>
      <c r="B892" s="50" t="s">
        <v>13</v>
      </c>
      <c r="C892" s="50" t="s">
        <v>350</v>
      </c>
      <c r="D892" s="50" t="s">
        <v>263</v>
      </c>
      <c r="E892" s="50">
        <v>1</v>
      </c>
      <c r="F892" s="50">
        <v>1.2925553377304086</v>
      </c>
      <c r="G892" s="51" t="str">
        <v>新美 2022/06/19 (日)
休日午前</v>
      </c>
    </row>
    <row r="893" spans="1:7" ht="16.149999999999999" x14ac:dyDescent="0.7">
      <c r="A893" s="49">
        <v>44682.555651724542</v>
      </c>
      <c r="B893" s="50" t="s">
        <v>13</v>
      </c>
      <c r="C893" s="50" t="s">
        <v>351</v>
      </c>
      <c r="D893" s="50" t="s">
        <v>259</v>
      </c>
      <c r="E893" s="50">
        <v>0</v>
      </c>
      <c r="F893" s="50">
        <v>0.70399942745412258</v>
      </c>
      <c r="G893" s="51" t="str">
        <v>新美 2022/06/20 (月)
平日夜間</v>
      </c>
    </row>
    <row r="894" spans="1:7" ht="16.149999999999999" x14ac:dyDescent="0.7">
      <c r="A894" s="49">
        <v>44682.555651724542</v>
      </c>
      <c r="B894" s="50" t="s">
        <v>13</v>
      </c>
      <c r="C894" s="50" t="s">
        <v>352</v>
      </c>
      <c r="D894" s="50" t="s">
        <v>259</v>
      </c>
      <c r="E894" s="50">
        <v>0</v>
      </c>
      <c r="F894" s="50">
        <v>0.70508060082651092</v>
      </c>
      <c r="G894" s="51" t="str">
        <v>新美 2022/06/21 (火)
平日夜間</v>
      </c>
    </row>
    <row r="895" spans="1:7" ht="16.149999999999999" x14ac:dyDescent="0.7">
      <c r="A895" s="49">
        <v>44682.555651724542</v>
      </c>
      <c r="B895" s="50" t="s">
        <v>13</v>
      </c>
      <c r="C895" s="50" t="s">
        <v>353</v>
      </c>
      <c r="D895" s="50" t="s">
        <v>259</v>
      </c>
      <c r="E895" s="50">
        <v>-1</v>
      </c>
      <c r="F895" s="50">
        <v>-0.48630910961884033</v>
      </c>
      <c r="G895" s="51" t="str">
        <v>新美 2022/06/22 (水)
平日夜間</v>
      </c>
    </row>
    <row r="896" spans="1:7" ht="16.149999999999999" x14ac:dyDescent="0.7">
      <c r="A896" s="49">
        <v>44682.555651724542</v>
      </c>
      <c r="B896" s="50" t="s">
        <v>13</v>
      </c>
      <c r="C896" s="50" t="s">
        <v>354</v>
      </c>
      <c r="D896" s="50" t="s">
        <v>259</v>
      </c>
      <c r="E896" s="50">
        <v>0</v>
      </c>
      <c r="F896" s="50">
        <v>0.52245315292100458</v>
      </c>
      <c r="G896" s="51" t="str">
        <v>新美 2022/06/23 (木)
平日夜間</v>
      </c>
    </row>
    <row r="897" spans="1:7" ht="16.149999999999999" x14ac:dyDescent="0.7">
      <c r="A897" s="49">
        <v>44682.555651724542</v>
      </c>
      <c r="B897" s="50" t="s">
        <v>13</v>
      </c>
      <c r="C897" s="50" t="s">
        <v>355</v>
      </c>
      <c r="D897" s="50" t="s">
        <v>259</v>
      </c>
      <c r="E897" s="50">
        <v>0</v>
      </c>
      <c r="F897" s="50">
        <v>0.7119189130572765</v>
      </c>
      <c r="G897" s="51" t="str">
        <v>新美 2022/06/24 (金)
平日夜間</v>
      </c>
    </row>
    <row r="898" spans="1:7" ht="16.149999999999999" x14ac:dyDescent="0.7">
      <c r="A898" s="49">
        <v>44682.555651724542</v>
      </c>
      <c r="B898" s="50" t="s">
        <v>13</v>
      </c>
      <c r="C898" s="50" t="s">
        <v>356</v>
      </c>
      <c r="D898" s="50" t="s">
        <v>261</v>
      </c>
      <c r="E898" s="50">
        <v>0</v>
      </c>
      <c r="F898" s="50">
        <v>0.28625309272868327</v>
      </c>
      <c r="G898" s="51" t="str">
        <v>新美 2022/06/25 (土)
休日午後</v>
      </c>
    </row>
    <row r="899" spans="1:7" ht="16.149999999999999" x14ac:dyDescent="0.7">
      <c r="A899" s="49">
        <v>44682.555651724542</v>
      </c>
      <c r="B899" s="50" t="s">
        <v>13</v>
      </c>
      <c r="C899" s="50" t="s">
        <v>357</v>
      </c>
      <c r="D899" s="50" t="s">
        <v>263</v>
      </c>
      <c r="E899" s="50">
        <v>1</v>
      </c>
      <c r="F899" s="50">
        <v>1.0188738364593044</v>
      </c>
      <c r="G899" s="51" t="str">
        <v>新美 2022/06/25 (土)
休日午前</v>
      </c>
    </row>
    <row r="900" spans="1:7" ht="16.149999999999999" x14ac:dyDescent="0.7">
      <c r="A900" s="49">
        <v>44682.555651724542</v>
      </c>
      <c r="B900" s="50" t="s">
        <v>13</v>
      </c>
      <c r="C900" s="50" t="s">
        <v>358</v>
      </c>
      <c r="D900" s="50" t="s">
        <v>261</v>
      </c>
      <c r="E900" s="50">
        <v>0</v>
      </c>
      <c r="F900" s="50">
        <v>0.80173184937629993</v>
      </c>
      <c r="G900" s="51" t="str">
        <v>新美 2022/06/26 (日)
休日午後</v>
      </c>
    </row>
    <row r="901" spans="1:7" ht="16.149999999999999" x14ac:dyDescent="0.7">
      <c r="A901" s="49">
        <v>44682.555651724542</v>
      </c>
      <c r="B901" s="50" t="s">
        <v>13</v>
      </c>
      <c r="C901" s="50" t="s">
        <v>359</v>
      </c>
      <c r="D901" s="50" t="s">
        <v>263</v>
      </c>
      <c r="E901" s="50">
        <v>1</v>
      </c>
      <c r="F901" s="50">
        <v>1.6909807908654153</v>
      </c>
      <c r="G901" s="51" t="str">
        <v>新美 2022/06/26 (日)
休日午前</v>
      </c>
    </row>
    <row r="902" spans="1:7" ht="16.149999999999999" x14ac:dyDescent="0.7">
      <c r="A902" s="49">
        <v>44682.555651724542</v>
      </c>
      <c r="B902" s="50" t="s">
        <v>13</v>
      </c>
      <c r="C902" s="50" t="s">
        <v>360</v>
      </c>
      <c r="D902" s="50" t="s">
        <v>259</v>
      </c>
      <c r="E902" s="50">
        <v>0</v>
      </c>
      <c r="F902" s="50">
        <v>0.72094020495915423</v>
      </c>
      <c r="G902" s="51" t="str">
        <v>新美 2022/06/27 (月)
平日夜間</v>
      </c>
    </row>
    <row r="903" spans="1:7" ht="16.149999999999999" x14ac:dyDescent="0.7">
      <c r="A903" s="49">
        <v>44682.555651724542</v>
      </c>
      <c r="B903" s="50" t="s">
        <v>13</v>
      </c>
      <c r="C903" s="50" t="s">
        <v>361</v>
      </c>
      <c r="D903" s="50" t="s">
        <v>259</v>
      </c>
      <c r="E903" s="50">
        <v>0</v>
      </c>
      <c r="F903" s="50">
        <v>0.88080794587834688</v>
      </c>
      <c r="G903" s="51" t="str">
        <v>新美 2022/06/28 (火)
平日夜間</v>
      </c>
    </row>
    <row r="904" spans="1:7" ht="16.149999999999999" x14ac:dyDescent="0.7">
      <c r="A904" s="49">
        <v>44682.555651724542</v>
      </c>
      <c r="B904" s="50" t="s">
        <v>13</v>
      </c>
      <c r="C904" s="50" t="s">
        <v>362</v>
      </c>
      <c r="D904" s="50" t="s">
        <v>259</v>
      </c>
      <c r="E904" s="50">
        <v>-1</v>
      </c>
      <c r="F904" s="50">
        <v>-0.64657687975895062</v>
      </c>
      <c r="G904" s="51" t="str">
        <v>新美 2022/06/29 (水)
平日夜間</v>
      </c>
    </row>
    <row r="905" spans="1:7" ht="16.149999999999999" x14ac:dyDescent="0.7">
      <c r="A905" s="49">
        <v>44682.555651724542</v>
      </c>
      <c r="B905" s="50" t="s">
        <v>13</v>
      </c>
      <c r="C905" s="50" t="s">
        <v>363</v>
      </c>
      <c r="D905" s="50" t="s">
        <v>259</v>
      </c>
      <c r="E905" s="50">
        <v>0</v>
      </c>
      <c r="F905" s="50">
        <v>0.59483279439879033</v>
      </c>
      <c r="G905" s="51" t="str">
        <v>新美 2022/06/30 (木)
平日夜間</v>
      </c>
    </row>
    <row r="906" spans="1:7" ht="16.149999999999999" x14ac:dyDescent="0.7">
      <c r="A906" s="49">
        <v>44682.558712025464</v>
      </c>
      <c r="B906" s="50" t="s">
        <v>13</v>
      </c>
      <c r="C906" s="50" t="s">
        <v>326</v>
      </c>
      <c r="D906" s="50" t="s">
        <v>259</v>
      </c>
      <c r="E906" s="50">
        <v>-1</v>
      </c>
      <c r="F906" s="50">
        <v>-0.26241671094800667</v>
      </c>
      <c r="G906" s="51" t="str">
        <v>新美 2022/06/01 (水)
平日夜間</v>
      </c>
    </row>
    <row r="907" spans="1:7" ht="16.149999999999999" x14ac:dyDescent="0.7">
      <c r="A907" s="49">
        <v>44682.558712025464</v>
      </c>
      <c r="B907" s="50" t="s">
        <v>13</v>
      </c>
      <c r="C907" s="50" t="s">
        <v>327</v>
      </c>
      <c r="D907" s="50" t="s">
        <v>259</v>
      </c>
      <c r="E907" s="50">
        <v>0</v>
      </c>
      <c r="F907" s="50">
        <v>0.32709774198503205</v>
      </c>
      <c r="G907" s="51" t="str">
        <v>新美 2022/06/02 (木)
平日夜間</v>
      </c>
    </row>
    <row r="908" spans="1:7" ht="16.149999999999999" x14ac:dyDescent="0.7">
      <c r="A908" s="49">
        <v>44682.558712025464</v>
      </c>
      <c r="B908" s="50" t="s">
        <v>13</v>
      </c>
      <c r="C908" s="50" t="s">
        <v>328</v>
      </c>
      <c r="D908" s="50" t="s">
        <v>259</v>
      </c>
      <c r="E908" s="50">
        <v>0</v>
      </c>
      <c r="F908" s="50">
        <v>0.84002580884673606</v>
      </c>
      <c r="G908" s="51" t="str">
        <v>新美 2022/06/03 (金)
平日夜間</v>
      </c>
    </row>
    <row r="909" spans="1:7" ht="16.149999999999999" x14ac:dyDescent="0.7">
      <c r="A909" s="49">
        <v>44682.558712025464</v>
      </c>
      <c r="B909" s="50" t="s">
        <v>13</v>
      </c>
      <c r="C909" s="50" t="s">
        <v>329</v>
      </c>
      <c r="D909" s="50" t="s">
        <v>261</v>
      </c>
      <c r="E909" s="50">
        <v>0</v>
      </c>
      <c r="F909" s="50">
        <v>0.39468618897829022</v>
      </c>
      <c r="G909" s="51" t="str">
        <v>新美 2022/06/04 (土)
休日午後</v>
      </c>
    </row>
    <row r="910" spans="1:7" ht="16.149999999999999" x14ac:dyDescent="0.7">
      <c r="A910" s="49">
        <v>44682.558712025464</v>
      </c>
      <c r="B910" s="50" t="s">
        <v>13</v>
      </c>
      <c r="C910" s="50" t="s">
        <v>330</v>
      </c>
      <c r="D910" s="50" t="s">
        <v>263</v>
      </c>
      <c r="E910" s="50">
        <v>1</v>
      </c>
      <c r="F910" s="50">
        <v>1.0426899857606775</v>
      </c>
      <c r="G910" s="51" t="str">
        <v>新美 2022/06/04 (土)
休日午前</v>
      </c>
    </row>
    <row r="911" spans="1:7" ht="16.149999999999999" x14ac:dyDescent="0.7">
      <c r="A911" s="49">
        <v>44682.558712025464</v>
      </c>
      <c r="B911" s="50" t="s">
        <v>13</v>
      </c>
      <c r="C911" s="50" t="s">
        <v>331</v>
      </c>
      <c r="D911" s="50" t="s">
        <v>261</v>
      </c>
      <c r="E911" s="50">
        <v>0</v>
      </c>
      <c r="F911" s="50">
        <v>8.2650080000834514E-2</v>
      </c>
      <c r="G911" s="51" t="str">
        <v>新美 2022/06/05 (日)
休日午後</v>
      </c>
    </row>
    <row r="912" spans="1:7" ht="16.149999999999999" x14ac:dyDescent="0.7">
      <c r="A912" s="49">
        <v>44682.558712025464</v>
      </c>
      <c r="B912" s="50" t="s">
        <v>13</v>
      </c>
      <c r="C912" s="50" t="s">
        <v>332</v>
      </c>
      <c r="D912" s="50" t="s">
        <v>263</v>
      </c>
      <c r="E912" s="50">
        <v>1</v>
      </c>
      <c r="F912" s="50">
        <v>1.4352478983560353</v>
      </c>
      <c r="G912" s="51" t="str">
        <v>新美 2022/06/05 (日)
休日午前</v>
      </c>
    </row>
    <row r="913" spans="1:7" ht="16.149999999999999" x14ac:dyDescent="0.7">
      <c r="A913" s="49">
        <v>44682.558712025464</v>
      </c>
      <c r="B913" s="50" t="s">
        <v>13</v>
      </c>
      <c r="C913" s="50" t="s">
        <v>333</v>
      </c>
      <c r="D913" s="50" t="s">
        <v>259</v>
      </c>
      <c r="E913" s="50">
        <v>0</v>
      </c>
      <c r="F913" s="50">
        <v>0.9391943859733376</v>
      </c>
      <c r="G913" s="51" t="str">
        <v>新美 2022/06/06 (月)
平日夜間</v>
      </c>
    </row>
    <row r="914" spans="1:7" ht="16.149999999999999" x14ac:dyDescent="0.7">
      <c r="A914" s="49">
        <v>44682.558712025464</v>
      </c>
      <c r="B914" s="50" t="s">
        <v>13</v>
      </c>
      <c r="C914" s="50" t="s">
        <v>334</v>
      </c>
      <c r="D914" s="50" t="s">
        <v>259</v>
      </c>
      <c r="E914" s="50">
        <v>0</v>
      </c>
      <c r="F914" s="50">
        <v>0.12101268569921508</v>
      </c>
      <c r="G914" s="51" t="str">
        <v>新美 2022/06/07 (火)
平日夜間</v>
      </c>
    </row>
    <row r="915" spans="1:7" ht="16.149999999999999" x14ac:dyDescent="0.7">
      <c r="A915" s="49">
        <v>44682.558712025464</v>
      </c>
      <c r="B915" s="50" t="s">
        <v>13</v>
      </c>
      <c r="C915" s="50" t="s">
        <v>335</v>
      </c>
      <c r="D915" s="50" t="s">
        <v>259</v>
      </c>
      <c r="E915" s="50">
        <v>-1</v>
      </c>
      <c r="F915" s="50">
        <v>-0.81726613625785549</v>
      </c>
      <c r="G915" s="51" t="str">
        <v>新美 2022/06/08 (水)
平日夜間</v>
      </c>
    </row>
    <row r="916" spans="1:7" ht="16.149999999999999" x14ac:dyDescent="0.7">
      <c r="A916" s="49">
        <v>44682.558712025464</v>
      </c>
      <c r="B916" s="50" t="s">
        <v>13</v>
      </c>
      <c r="C916" s="50" t="s">
        <v>336</v>
      </c>
      <c r="D916" s="50" t="s">
        <v>259</v>
      </c>
      <c r="E916" s="50">
        <v>0</v>
      </c>
      <c r="F916" s="50">
        <v>0.20244693939186487</v>
      </c>
      <c r="G916" s="51" t="str">
        <v>新美 2022/06/09 (木)
平日夜間</v>
      </c>
    </row>
    <row r="917" spans="1:7" ht="16.149999999999999" x14ac:dyDescent="0.7">
      <c r="A917" s="49">
        <v>44682.558712025464</v>
      </c>
      <c r="B917" s="50" t="s">
        <v>13</v>
      </c>
      <c r="C917" s="50" t="s">
        <v>337</v>
      </c>
      <c r="D917" s="50" t="s">
        <v>259</v>
      </c>
      <c r="E917" s="50">
        <v>-1</v>
      </c>
      <c r="F917" s="50">
        <v>-0.45991914377641652</v>
      </c>
      <c r="G917" s="51" t="str">
        <v>新美 2022/06/10 (金)
平日夜間</v>
      </c>
    </row>
    <row r="918" spans="1:7" ht="16.149999999999999" x14ac:dyDescent="0.7">
      <c r="A918" s="49">
        <v>44682.558712025464</v>
      </c>
      <c r="B918" s="50" t="s">
        <v>13</v>
      </c>
      <c r="C918" s="50" t="s">
        <v>338</v>
      </c>
      <c r="D918" s="50" t="s">
        <v>261</v>
      </c>
      <c r="E918" s="50">
        <v>-1</v>
      </c>
      <c r="F918" s="50">
        <v>-4.6939046404035789E-2</v>
      </c>
      <c r="G918" s="51" t="str">
        <v>新美 2022/06/11 (土)
休日午後</v>
      </c>
    </row>
    <row r="919" spans="1:7" ht="16.149999999999999" x14ac:dyDescent="0.7">
      <c r="A919" s="49">
        <v>44682.558712025464</v>
      </c>
      <c r="B919" s="50" t="s">
        <v>13</v>
      </c>
      <c r="C919" s="50" t="s">
        <v>339</v>
      </c>
      <c r="D919" s="50" t="s">
        <v>263</v>
      </c>
      <c r="E919" s="50">
        <v>-1</v>
      </c>
      <c r="F919" s="50">
        <v>-0.23101312047740508</v>
      </c>
      <c r="G919" s="51" t="str">
        <v>新美 2022/06/11 (土)
休日午前</v>
      </c>
    </row>
    <row r="920" spans="1:7" ht="16.149999999999999" x14ac:dyDescent="0.7">
      <c r="A920" s="49">
        <v>44682.558712025464</v>
      </c>
      <c r="B920" s="50" t="s">
        <v>13</v>
      </c>
      <c r="C920" s="50" t="s">
        <v>340</v>
      </c>
      <c r="D920" s="50" t="s">
        <v>261</v>
      </c>
      <c r="E920" s="50">
        <v>0</v>
      </c>
      <c r="F920" s="50">
        <v>0.60164261231070637</v>
      </c>
      <c r="G920" s="51" t="str">
        <v>新美 2022/06/12 (日)
休日午後</v>
      </c>
    </row>
    <row r="921" spans="1:7" ht="16.149999999999999" x14ac:dyDescent="0.7">
      <c r="A921" s="49">
        <v>44682.558712025464</v>
      </c>
      <c r="B921" s="50" t="s">
        <v>13</v>
      </c>
      <c r="C921" s="50" t="s">
        <v>341</v>
      </c>
      <c r="D921" s="50" t="s">
        <v>263</v>
      </c>
      <c r="E921" s="50">
        <v>1</v>
      </c>
      <c r="F921" s="50">
        <v>1.4301500735925046</v>
      </c>
      <c r="G921" s="51" t="str">
        <v>新美 2022/06/12 (日)
休日午前</v>
      </c>
    </row>
    <row r="922" spans="1:7" ht="16.149999999999999" x14ac:dyDescent="0.7">
      <c r="A922" s="49">
        <v>44682.558712025464</v>
      </c>
      <c r="B922" s="50" t="s">
        <v>13</v>
      </c>
      <c r="C922" s="50" t="s">
        <v>342</v>
      </c>
      <c r="D922" s="50" t="s">
        <v>259</v>
      </c>
      <c r="E922" s="50">
        <v>0</v>
      </c>
      <c r="F922" s="50">
        <v>0.71463588015656443</v>
      </c>
      <c r="G922" s="51" t="str">
        <v>新美 2022/06/13 (月)
平日夜間</v>
      </c>
    </row>
    <row r="923" spans="1:7" ht="16.149999999999999" x14ac:dyDescent="0.7">
      <c r="A923" s="49">
        <v>44682.558712025464</v>
      </c>
      <c r="B923" s="50" t="s">
        <v>13</v>
      </c>
      <c r="C923" s="50" t="s">
        <v>343</v>
      </c>
      <c r="D923" s="50" t="s">
        <v>259</v>
      </c>
      <c r="E923" s="50">
        <v>0</v>
      </c>
      <c r="F923" s="50">
        <v>0.32241564919037646</v>
      </c>
      <c r="G923" s="51" t="str">
        <v>新美 2022/06/14 (火)
平日夜間</v>
      </c>
    </row>
    <row r="924" spans="1:7" ht="16.149999999999999" x14ac:dyDescent="0.7">
      <c r="A924" s="49">
        <v>44682.558712025464</v>
      </c>
      <c r="B924" s="50" t="s">
        <v>13</v>
      </c>
      <c r="C924" s="50" t="s">
        <v>344</v>
      </c>
      <c r="D924" s="50" t="s">
        <v>259</v>
      </c>
      <c r="E924" s="50">
        <v>-1</v>
      </c>
      <c r="F924" s="50">
        <v>-0.40777582493360365</v>
      </c>
      <c r="G924" s="51" t="str">
        <v>新美 2022/06/15 (水)
平日夜間</v>
      </c>
    </row>
    <row r="925" spans="1:7" ht="16.149999999999999" x14ac:dyDescent="0.7">
      <c r="A925" s="49">
        <v>44682.558712025464</v>
      </c>
      <c r="B925" s="50" t="s">
        <v>13</v>
      </c>
      <c r="C925" s="50" t="s">
        <v>345</v>
      </c>
      <c r="D925" s="50" t="s">
        <v>259</v>
      </c>
      <c r="E925" s="50">
        <v>0</v>
      </c>
      <c r="F925" s="50">
        <v>0.35583873002458355</v>
      </c>
      <c r="G925" s="51" t="str">
        <v>新美 2022/06/16 (木)
平日夜間</v>
      </c>
    </row>
    <row r="926" spans="1:7" ht="16.149999999999999" x14ac:dyDescent="0.7">
      <c r="A926" s="49">
        <v>44682.558712025464</v>
      </c>
      <c r="B926" s="50" t="s">
        <v>13</v>
      </c>
      <c r="C926" s="50" t="s">
        <v>346</v>
      </c>
      <c r="D926" s="50" t="s">
        <v>259</v>
      </c>
      <c r="E926" s="50">
        <v>0</v>
      </c>
      <c r="F926" s="50">
        <v>0.5030852911557635</v>
      </c>
      <c r="G926" s="51" t="str">
        <v>新美 2022/06/17 (金)
平日夜間</v>
      </c>
    </row>
    <row r="927" spans="1:7" ht="16.149999999999999" x14ac:dyDescent="0.7">
      <c r="A927" s="49">
        <v>44682.558712025464</v>
      </c>
      <c r="B927" s="50" t="s">
        <v>13</v>
      </c>
      <c r="C927" s="50" t="s">
        <v>347</v>
      </c>
      <c r="D927" s="50" t="s">
        <v>261</v>
      </c>
      <c r="E927" s="50">
        <v>0</v>
      </c>
      <c r="F927" s="50">
        <v>0.80073874809436174</v>
      </c>
      <c r="G927" s="51" t="str">
        <v>新美 2022/06/18 (土)
休日午後</v>
      </c>
    </row>
    <row r="928" spans="1:7" ht="16.149999999999999" x14ac:dyDescent="0.7">
      <c r="A928" s="49">
        <v>44682.558712025464</v>
      </c>
      <c r="B928" s="50" t="s">
        <v>13</v>
      </c>
      <c r="C928" s="50" t="s">
        <v>348</v>
      </c>
      <c r="D928" s="50" t="s">
        <v>263</v>
      </c>
      <c r="E928" s="50">
        <v>1</v>
      </c>
      <c r="F928" s="50">
        <v>1.2340869755707875</v>
      </c>
      <c r="G928" s="51" t="str">
        <v>新美 2022/06/18 (土)
休日午前</v>
      </c>
    </row>
    <row r="929" spans="1:7" ht="16.149999999999999" x14ac:dyDescent="0.7">
      <c r="A929" s="49">
        <v>44682.558712025464</v>
      </c>
      <c r="B929" s="50" t="s">
        <v>13</v>
      </c>
      <c r="C929" s="50" t="s">
        <v>349</v>
      </c>
      <c r="D929" s="50" t="s">
        <v>261</v>
      </c>
      <c r="E929" s="50">
        <v>0</v>
      </c>
      <c r="F929" s="50">
        <v>0.72124445421425976</v>
      </c>
      <c r="G929" s="51" t="str">
        <v>新美 2022/06/19 (日)
休日午後</v>
      </c>
    </row>
    <row r="930" spans="1:7" ht="16.149999999999999" x14ac:dyDescent="0.7">
      <c r="A930" s="49">
        <v>44682.558712025464</v>
      </c>
      <c r="B930" s="50" t="s">
        <v>13</v>
      </c>
      <c r="C930" s="50" t="s">
        <v>350</v>
      </c>
      <c r="D930" s="50" t="s">
        <v>263</v>
      </c>
      <c r="E930" s="50">
        <v>1</v>
      </c>
      <c r="F930" s="50">
        <v>1.5468240365971326</v>
      </c>
      <c r="G930" s="51" t="str">
        <v>新美 2022/06/19 (日)
休日午前</v>
      </c>
    </row>
    <row r="931" spans="1:7" ht="16.149999999999999" x14ac:dyDescent="0.7">
      <c r="A931" s="49">
        <v>44682.558712025464</v>
      </c>
      <c r="B931" s="50" t="s">
        <v>13</v>
      </c>
      <c r="C931" s="50" t="s">
        <v>351</v>
      </c>
      <c r="D931" s="50" t="s">
        <v>259</v>
      </c>
      <c r="E931" s="50">
        <v>0</v>
      </c>
      <c r="F931" s="50">
        <v>8.6329954338799419E-2</v>
      </c>
      <c r="G931" s="51" t="str">
        <v>新美 2022/06/20 (月)
平日夜間</v>
      </c>
    </row>
    <row r="932" spans="1:7" ht="16.149999999999999" x14ac:dyDescent="0.7">
      <c r="A932" s="49">
        <v>44682.558712025464</v>
      </c>
      <c r="B932" s="50" t="s">
        <v>13</v>
      </c>
      <c r="C932" s="50" t="s">
        <v>352</v>
      </c>
      <c r="D932" s="50" t="s">
        <v>259</v>
      </c>
      <c r="E932" s="50">
        <v>0</v>
      </c>
      <c r="F932" s="50">
        <v>0.74787796372851845</v>
      </c>
      <c r="G932" s="51" t="str">
        <v>新美 2022/06/21 (火)
平日夜間</v>
      </c>
    </row>
    <row r="933" spans="1:7" ht="16.149999999999999" x14ac:dyDescent="0.7">
      <c r="A933" s="49">
        <v>44682.558712025464</v>
      </c>
      <c r="B933" s="50" t="s">
        <v>13</v>
      </c>
      <c r="C933" s="50" t="s">
        <v>353</v>
      </c>
      <c r="D933" s="50" t="s">
        <v>259</v>
      </c>
      <c r="E933" s="50">
        <v>-1</v>
      </c>
      <c r="F933" s="50">
        <v>-0.76814394340924386</v>
      </c>
      <c r="G933" s="51" t="str">
        <v>新美 2022/06/22 (水)
平日夜間</v>
      </c>
    </row>
    <row r="934" spans="1:7" ht="16.149999999999999" x14ac:dyDescent="0.7">
      <c r="A934" s="49">
        <v>44682.558712025464</v>
      </c>
      <c r="B934" s="50" t="s">
        <v>13</v>
      </c>
      <c r="C934" s="50" t="s">
        <v>354</v>
      </c>
      <c r="D934" s="50" t="s">
        <v>259</v>
      </c>
      <c r="E934" s="50">
        <v>0</v>
      </c>
      <c r="F934" s="50">
        <v>0.95686035643038259</v>
      </c>
      <c r="G934" s="51" t="str">
        <v>新美 2022/06/23 (木)
平日夜間</v>
      </c>
    </row>
    <row r="935" spans="1:7" ht="16.149999999999999" x14ac:dyDescent="0.7">
      <c r="A935" s="49">
        <v>44682.558712025464</v>
      </c>
      <c r="B935" s="50" t="s">
        <v>13</v>
      </c>
      <c r="C935" s="50" t="s">
        <v>355</v>
      </c>
      <c r="D935" s="50" t="s">
        <v>259</v>
      </c>
      <c r="E935" s="50">
        <v>0</v>
      </c>
      <c r="F935" s="50">
        <v>0.98197462633277333</v>
      </c>
      <c r="G935" s="51" t="str">
        <v>新美 2022/06/24 (金)
平日夜間</v>
      </c>
    </row>
    <row r="936" spans="1:7" ht="16.149999999999999" x14ac:dyDescent="0.7">
      <c r="A936" s="49">
        <v>44682.558712025464</v>
      </c>
      <c r="B936" s="50" t="s">
        <v>13</v>
      </c>
      <c r="C936" s="50" t="s">
        <v>356</v>
      </c>
      <c r="D936" s="50" t="s">
        <v>261</v>
      </c>
      <c r="E936" s="50">
        <v>0</v>
      </c>
      <c r="F936" s="50">
        <v>0.64211458579338188</v>
      </c>
      <c r="G936" s="51" t="str">
        <v>新美 2022/06/25 (土)
休日午後</v>
      </c>
    </row>
    <row r="937" spans="1:7" ht="16.149999999999999" x14ac:dyDescent="0.7">
      <c r="A937" s="49">
        <v>44682.558712025464</v>
      </c>
      <c r="B937" s="50" t="s">
        <v>13</v>
      </c>
      <c r="C937" s="50" t="s">
        <v>357</v>
      </c>
      <c r="D937" s="50" t="s">
        <v>263</v>
      </c>
      <c r="E937" s="50">
        <v>1</v>
      </c>
      <c r="F937" s="50">
        <v>1.8208166201210556</v>
      </c>
      <c r="G937" s="51" t="str">
        <v>新美 2022/06/25 (土)
休日午前</v>
      </c>
    </row>
    <row r="938" spans="1:7" ht="16.149999999999999" x14ac:dyDescent="0.7">
      <c r="A938" s="49">
        <v>44682.558712025464</v>
      </c>
      <c r="B938" s="50" t="s">
        <v>13</v>
      </c>
      <c r="C938" s="50" t="s">
        <v>358</v>
      </c>
      <c r="D938" s="50" t="s">
        <v>261</v>
      </c>
      <c r="E938" s="50">
        <v>0</v>
      </c>
      <c r="F938" s="50">
        <v>0.60855498042373846</v>
      </c>
      <c r="G938" s="51" t="str">
        <v>新美 2022/06/26 (日)
休日午後</v>
      </c>
    </row>
    <row r="939" spans="1:7" ht="16.149999999999999" x14ac:dyDescent="0.7">
      <c r="A939" s="49">
        <v>44682.558712025464</v>
      </c>
      <c r="B939" s="50" t="s">
        <v>13</v>
      </c>
      <c r="C939" s="50" t="s">
        <v>359</v>
      </c>
      <c r="D939" s="50" t="s">
        <v>263</v>
      </c>
      <c r="E939" s="50">
        <v>1</v>
      </c>
      <c r="F939" s="50">
        <v>1.0740654937496386</v>
      </c>
      <c r="G939" s="51" t="str">
        <v>新美 2022/06/26 (日)
休日午前</v>
      </c>
    </row>
    <row r="940" spans="1:7" ht="16.149999999999999" x14ac:dyDescent="0.7">
      <c r="A940" s="49">
        <v>44682.558712025464</v>
      </c>
      <c r="B940" s="50" t="s">
        <v>13</v>
      </c>
      <c r="C940" s="50" t="s">
        <v>360</v>
      </c>
      <c r="D940" s="50" t="s">
        <v>259</v>
      </c>
      <c r="E940" s="50">
        <v>0</v>
      </c>
      <c r="F940" s="50">
        <v>0.19281550887473986</v>
      </c>
      <c r="G940" s="51" t="str">
        <v>新美 2022/06/27 (月)
平日夜間</v>
      </c>
    </row>
    <row r="941" spans="1:7" ht="16.149999999999999" x14ac:dyDescent="0.7">
      <c r="A941" s="49">
        <v>44682.558712025464</v>
      </c>
      <c r="B941" s="50" t="s">
        <v>13</v>
      </c>
      <c r="C941" s="50" t="s">
        <v>361</v>
      </c>
      <c r="D941" s="50" t="s">
        <v>259</v>
      </c>
      <c r="E941" s="50">
        <v>0</v>
      </c>
      <c r="F941" s="50">
        <v>0.26897095809735339</v>
      </c>
      <c r="G941" s="51" t="str">
        <v>新美 2022/06/28 (火)
平日夜間</v>
      </c>
    </row>
    <row r="942" spans="1:7" ht="16.149999999999999" x14ac:dyDescent="0.7">
      <c r="A942" s="49">
        <v>44682.558712025464</v>
      </c>
      <c r="B942" s="50" t="s">
        <v>13</v>
      </c>
      <c r="C942" s="50" t="s">
        <v>362</v>
      </c>
      <c r="D942" s="50" t="s">
        <v>259</v>
      </c>
      <c r="E942" s="50">
        <v>-1</v>
      </c>
      <c r="F942" s="50">
        <v>-0.38325954582690502</v>
      </c>
      <c r="G942" s="51" t="str">
        <v>新美 2022/06/29 (水)
平日夜間</v>
      </c>
    </row>
    <row r="943" spans="1:7" ht="16.149999999999999" x14ac:dyDescent="0.7">
      <c r="A943" s="49">
        <v>44682.558712025464</v>
      </c>
      <c r="B943" s="50" t="s">
        <v>13</v>
      </c>
      <c r="C943" s="50" t="s">
        <v>363</v>
      </c>
      <c r="D943" s="50" t="s">
        <v>259</v>
      </c>
      <c r="E943" s="50">
        <v>0</v>
      </c>
      <c r="F943" s="50">
        <v>0.29954893402218086</v>
      </c>
      <c r="G943" s="51" t="str">
        <v>新美 2022/06/30 (木)
平日夜間</v>
      </c>
    </row>
    <row r="944" spans="1:7" ht="16.149999999999999" x14ac:dyDescent="0.7">
      <c r="A944" s="49">
        <v>44701.489840995375</v>
      </c>
      <c r="B944" s="50" t="s">
        <v>1</v>
      </c>
      <c r="C944" s="50" t="s">
        <v>326</v>
      </c>
      <c r="D944" s="50" t="s">
        <v>259</v>
      </c>
      <c r="E944" s="50">
        <v>0</v>
      </c>
      <c r="F944" s="50">
        <v>0.75414595873683044</v>
      </c>
      <c r="G944" s="51" t="str">
        <v>菊野 2022/06/01 (水)
平日夜間</v>
      </c>
    </row>
    <row r="945" spans="1:7" ht="16.149999999999999" x14ac:dyDescent="0.7">
      <c r="A945" s="49">
        <v>44701.489840995375</v>
      </c>
      <c r="B945" s="50" t="s">
        <v>1</v>
      </c>
      <c r="C945" s="50" t="s">
        <v>327</v>
      </c>
      <c r="D945" s="50" t="s">
        <v>259</v>
      </c>
      <c r="E945" s="50">
        <v>0</v>
      </c>
      <c r="F945" s="50">
        <v>0.60555483035490165</v>
      </c>
      <c r="G945" s="51" t="str">
        <v>菊野 2022/06/02 (木)
平日夜間</v>
      </c>
    </row>
    <row r="946" spans="1:7" ht="16.149999999999999" x14ac:dyDescent="0.7">
      <c r="A946" s="49">
        <v>44701.489840995375</v>
      </c>
      <c r="B946" s="50" t="s">
        <v>1</v>
      </c>
      <c r="C946" s="50" t="s">
        <v>328</v>
      </c>
      <c r="D946" s="50" t="s">
        <v>259</v>
      </c>
      <c r="E946" s="50">
        <v>0</v>
      </c>
      <c r="F946" s="50">
        <v>0.45962157083703592</v>
      </c>
      <c r="G946" s="51" t="str">
        <v>菊野 2022/06/03 (金)
平日夜間</v>
      </c>
    </row>
    <row r="947" spans="1:7" ht="16.149999999999999" x14ac:dyDescent="0.7">
      <c r="A947" s="49">
        <v>44701.489840995375</v>
      </c>
      <c r="B947" s="50" t="s">
        <v>1</v>
      </c>
      <c r="C947" s="50" t="s">
        <v>329</v>
      </c>
      <c r="D947" s="50" t="s">
        <v>261</v>
      </c>
      <c r="E947" s="50">
        <v>0</v>
      </c>
      <c r="F947" s="50">
        <v>0.7740584444899381</v>
      </c>
      <c r="G947" s="51" t="str">
        <v>菊野 2022/06/04 (土)
休日午後</v>
      </c>
    </row>
    <row r="948" spans="1:7" ht="16.149999999999999" x14ac:dyDescent="0.7">
      <c r="A948" s="49">
        <v>44701.489840995375</v>
      </c>
      <c r="B948" s="50" t="s">
        <v>1</v>
      </c>
      <c r="C948" s="50" t="s">
        <v>330</v>
      </c>
      <c r="D948" s="50" t="s">
        <v>263</v>
      </c>
      <c r="E948" s="50">
        <v>0</v>
      </c>
      <c r="F948" s="50">
        <v>0.43606656838913782</v>
      </c>
      <c r="G948" s="51" t="str">
        <v>菊野 2022/06/04 (土)
休日午前</v>
      </c>
    </row>
    <row r="949" spans="1:7" ht="16.149999999999999" x14ac:dyDescent="0.7">
      <c r="A949" s="49">
        <v>44701.489840995375</v>
      </c>
      <c r="B949" s="50" t="s">
        <v>1</v>
      </c>
      <c r="C949" s="50" t="s">
        <v>331</v>
      </c>
      <c r="D949" s="50" t="s">
        <v>261</v>
      </c>
      <c r="E949" s="50">
        <v>0</v>
      </c>
      <c r="F949" s="50">
        <v>9.4119482396676446E-2</v>
      </c>
      <c r="G949" s="51" t="str">
        <v>菊野 2022/06/05 (日)
休日午後</v>
      </c>
    </row>
    <row r="950" spans="1:7" ht="16.149999999999999" x14ac:dyDescent="0.7">
      <c r="A950" s="49">
        <v>44701.489840995375</v>
      </c>
      <c r="B950" s="50" t="s">
        <v>1</v>
      </c>
      <c r="C950" s="50" t="s">
        <v>332</v>
      </c>
      <c r="D950" s="50" t="s">
        <v>263</v>
      </c>
      <c r="E950" s="50">
        <v>0</v>
      </c>
      <c r="F950" s="50">
        <v>0.68492126784606633</v>
      </c>
      <c r="G950" s="51" t="str">
        <v>菊野 2022/06/05 (日)
休日午前</v>
      </c>
    </row>
    <row r="951" spans="1:7" ht="16.149999999999999" x14ac:dyDescent="0.7">
      <c r="A951" s="49">
        <v>44701.489840995375</v>
      </c>
      <c r="B951" s="50" t="s">
        <v>1</v>
      </c>
      <c r="C951" s="50" t="s">
        <v>333</v>
      </c>
      <c r="D951" s="50" t="s">
        <v>259</v>
      </c>
      <c r="E951" s="50">
        <v>0</v>
      </c>
      <c r="F951" s="50">
        <v>0.40086565251167561</v>
      </c>
      <c r="G951" s="51" t="str">
        <v>菊野 2022/06/06 (月)
平日夜間</v>
      </c>
    </row>
    <row r="952" spans="1:7" ht="16.149999999999999" x14ac:dyDescent="0.7">
      <c r="A952" s="49">
        <v>44701.489840995375</v>
      </c>
      <c r="B952" s="50" t="s">
        <v>1</v>
      </c>
      <c r="C952" s="50" t="s">
        <v>334</v>
      </c>
      <c r="D952" s="50" t="s">
        <v>259</v>
      </c>
      <c r="E952" s="50">
        <v>0</v>
      </c>
      <c r="F952" s="50">
        <v>0.58478867039160165</v>
      </c>
      <c r="G952" s="51" t="str">
        <v>菊野 2022/06/07 (火)
平日夜間</v>
      </c>
    </row>
    <row r="953" spans="1:7" ht="16.149999999999999" x14ac:dyDescent="0.7">
      <c r="A953" s="49">
        <v>44701.489840995375</v>
      </c>
      <c r="B953" s="50" t="s">
        <v>1</v>
      </c>
      <c r="C953" s="50" t="s">
        <v>335</v>
      </c>
      <c r="D953" s="50" t="s">
        <v>259</v>
      </c>
      <c r="E953" s="50">
        <v>0</v>
      </c>
      <c r="F953" s="50">
        <v>0.46584862676211558</v>
      </c>
      <c r="G953" s="51" t="str">
        <v>菊野 2022/06/08 (水)
平日夜間</v>
      </c>
    </row>
    <row r="954" spans="1:7" ht="16.149999999999999" x14ac:dyDescent="0.7">
      <c r="A954" s="49">
        <v>44701.489840995375</v>
      </c>
      <c r="B954" s="50" t="s">
        <v>1</v>
      </c>
      <c r="C954" s="50" t="s">
        <v>336</v>
      </c>
      <c r="D954" s="50" t="s">
        <v>259</v>
      </c>
      <c r="E954" s="50">
        <v>0</v>
      </c>
      <c r="F954" s="50">
        <v>0.20031938782857206</v>
      </c>
      <c r="G954" s="51" t="str">
        <v>菊野 2022/06/09 (木)
平日夜間</v>
      </c>
    </row>
    <row r="955" spans="1:7" ht="16.149999999999999" x14ac:dyDescent="0.7">
      <c r="A955" s="49">
        <v>44701.489840995375</v>
      </c>
      <c r="B955" s="50" t="s">
        <v>1</v>
      </c>
      <c r="C955" s="50" t="s">
        <v>337</v>
      </c>
      <c r="D955" s="50" t="s">
        <v>259</v>
      </c>
      <c r="E955" s="50">
        <v>0</v>
      </c>
      <c r="F955" s="50">
        <v>8.7650099059629838E-2</v>
      </c>
      <c r="G955" s="51" t="str">
        <v>菊野 2022/06/10 (金)
平日夜間</v>
      </c>
    </row>
    <row r="956" spans="1:7" ht="16.149999999999999" x14ac:dyDescent="0.7">
      <c r="A956" s="49">
        <v>44701.489840995375</v>
      </c>
      <c r="B956" s="50" t="s">
        <v>1</v>
      </c>
      <c r="C956" s="50" t="s">
        <v>338</v>
      </c>
      <c r="D956" s="50" t="s">
        <v>261</v>
      </c>
      <c r="E956" s="50">
        <v>0</v>
      </c>
      <c r="F956" s="50">
        <v>0.67826036694177794</v>
      </c>
      <c r="G956" s="51" t="str">
        <v>菊野 2022/06/11 (土)
休日午後</v>
      </c>
    </row>
    <row r="957" spans="1:7" ht="16.149999999999999" x14ac:dyDescent="0.7">
      <c r="A957" s="49">
        <v>44701.489840995375</v>
      </c>
      <c r="B957" s="50" t="s">
        <v>1</v>
      </c>
      <c r="C957" s="50" t="s">
        <v>339</v>
      </c>
      <c r="D957" s="50" t="s">
        <v>263</v>
      </c>
      <c r="E957" s="50">
        <v>0</v>
      </c>
      <c r="F957" s="50">
        <v>0.92496046887067984</v>
      </c>
      <c r="G957" s="51" t="str">
        <v>菊野 2022/06/11 (土)
休日午前</v>
      </c>
    </row>
    <row r="958" spans="1:7" ht="16.149999999999999" x14ac:dyDescent="0.7">
      <c r="A958" s="49">
        <v>44701.489840995375</v>
      </c>
      <c r="B958" s="50" t="s">
        <v>1</v>
      </c>
      <c r="C958" s="50" t="s">
        <v>340</v>
      </c>
      <c r="D958" s="50" t="s">
        <v>261</v>
      </c>
      <c r="E958" s="50">
        <v>0</v>
      </c>
      <c r="F958" s="50">
        <v>0.5224185115543194</v>
      </c>
      <c r="G958" s="51" t="str">
        <v>菊野 2022/06/12 (日)
休日午後</v>
      </c>
    </row>
    <row r="959" spans="1:7" ht="16.149999999999999" x14ac:dyDescent="0.7">
      <c r="A959" s="49">
        <v>44701.489840995375</v>
      </c>
      <c r="B959" s="50" t="s">
        <v>1</v>
      </c>
      <c r="C959" s="50" t="s">
        <v>341</v>
      </c>
      <c r="D959" s="50" t="s">
        <v>263</v>
      </c>
      <c r="E959" s="50">
        <v>0</v>
      </c>
      <c r="F959" s="50">
        <v>0.19883328096842412</v>
      </c>
      <c r="G959" s="51" t="str">
        <v>菊野 2022/06/12 (日)
休日午前</v>
      </c>
    </row>
    <row r="960" spans="1:7" ht="16.149999999999999" x14ac:dyDescent="0.7">
      <c r="A960" s="49">
        <v>44701.489840995375</v>
      </c>
      <c r="B960" s="50" t="s">
        <v>1</v>
      </c>
      <c r="C960" s="50" t="s">
        <v>342</v>
      </c>
      <c r="D960" s="50" t="s">
        <v>259</v>
      </c>
      <c r="E960" s="50">
        <v>0</v>
      </c>
      <c r="F960" s="50">
        <v>0.11398013423253439</v>
      </c>
      <c r="G960" s="51" t="str">
        <v>菊野 2022/06/13 (月)
平日夜間</v>
      </c>
    </row>
    <row r="961" spans="1:7" ht="16.149999999999999" x14ac:dyDescent="0.7">
      <c r="A961" s="49">
        <v>44701.489840995375</v>
      </c>
      <c r="B961" s="50" t="s">
        <v>1</v>
      </c>
      <c r="C961" s="50" t="s">
        <v>343</v>
      </c>
      <c r="D961" s="50" t="s">
        <v>259</v>
      </c>
      <c r="E961" s="50">
        <v>2</v>
      </c>
      <c r="F961" s="50">
        <v>2.9672648231754972</v>
      </c>
      <c r="G961" s="51" t="str">
        <v>菊野 2022/06/14 (火)
平日夜間</v>
      </c>
    </row>
    <row r="962" spans="1:7" ht="16.149999999999999" x14ac:dyDescent="0.7">
      <c r="A962" s="49">
        <v>44701.489840995375</v>
      </c>
      <c r="B962" s="50" t="s">
        <v>1</v>
      </c>
      <c r="C962" s="50" t="s">
        <v>344</v>
      </c>
      <c r="D962" s="50" t="s">
        <v>259</v>
      </c>
      <c r="E962" s="50">
        <v>0</v>
      </c>
      <c r="F962" s="50">
        <v>0.11934267927096442</v>
      </c>
      <c r="G962" s="51" t="str">
        <v>菊野 2022/06/15 (水)
平日夜間</v>
      </c>
    </row>
    <row r="963" spans="1:7" ht="16.149999999999999" x14ac:dyDescent="0.7">
      <c r="A963" s="49">
        <v>44701.489840995375</v>
      </c>
      <c r="B963" s="50" t="s">
        <v>1</v>
      </c>
      <c r="C963" s="50" t="s">
        <v>345</v>
      </c>
      <c r="D963" s="50" t="s">
        <v>259</v>
      </c>
      <c r="E963" s="50">
        <v>0</v>
      </c>
      <c r="F963" s="50">
        <v>0.5885481237072927</v>
      </c>
      <c r="G963" s="51" t="str">
        <v>菊野 2022/06/16 (木)
平日夜間</v>
      </c>
    </row>
    <row r="964" spans="1:7" ht="16.149999999999999" x14ac:dyDescent="0.7">
      <c r="A964" s="49">
        <v>44701.489840995375</v>
      </c>
      <c r="B964" s="50" t="s">
        <v>1</v>
      </c>
      <c r="C964" s="50" t="s">
        <v>346</v>
      </c>
      <c r="D964" s="50" t="s">
        <v>259</v>
      </c>
      <c r="E964" s="50">
        <v>-1</v>
      </c>
      <c r="F964" s="50">
        <v>-0.60220528489355041</v>
      </c>
      <c r="G964" s="51" t="str">
        <v>菊野 2022/06/17 (金)
平日夜間</v>
      </c>
    </row>
    <row r="965" spans="1:7" ht="16.149999999999999" x14ac:dyDescent="0.7">
      <c r="A965" s="49">
        <v>44701.489840995375</v>
      </c>
      <c r="B965" s="50" t="s">
        <v>1</v>
      </c>
      <c r="C965" s="50" t="s">
        <v>347</v>
      </c>
      <c r="D965" s="50" t="s">
        <v>261</v>
      </c>
      <c r="E965" s="50">
        <v>-1</v>
      </c>
      <c r="F965" s="50">
        <v>-0.75001864304858112</v>
      </c>
      <c r="G965" s="51" t="str">
        <v>菊野 2022/06/18 (土)
休日午後</v>
      </c>
    </row>
    <row r="966" spans="1:7" ht="16.149999999999999" x14ac:dyDescent="0.7">
      <c r="A966" s="49">
        <v>44701.489840995375</v>
      </c>
      <c r="B966" s="50" t="s">
        <v>1</v>
      </c>
      <c r="C966" s="50" t="s">
        <v>348</v>
      </c>
      <c r="D966" s="50" t="s">
        <v>263</v>
      </c>
      <c r="E966" s="50">
        <v>-1</v>
      </c>
      <c r="F966" s="50">
        <v>-0.22483930501335503</v>
      </c>
      <c r="G966" s="51" t="str">
        <v>菊野 2022/06/18 (土)
休日午前</v>
      </c>
    </row>
    <row r="967" spans="1:7" ht="16.149999999999999" x14ac:dyDescent="0.7">
      <c r="A967" s="49">
        <v>44701.489840995375</v>
      </c>
      <c r="B967" s="50" t="s">
        <v>1</v>
      </c>
      <c r="C967" s="50" t="s">
        <v>349</v>
      </c>
      <c r="D967" s="50" t="s">
        <v>261</v>
      </c>
      <c r="E967" s="50">
        <v>-1</v>
      </c>
      <c r="F967" s="50">
        <v>-0.47888845807484381</v>
      </c>
      <c r="G967" s="51" t="str">
        <v>菊野 2022/06/19 (日)
休日午後</v>
      </c>
    </row>
    <row r="968" spans="1:7" ht="16.149999999999999" x14ac:dyDescent="0.7">
      <c r="A968" s="49">
        <v>44701.489840995375</v>
      </c>
      <c r="B968" s="50" t="s">
        <v>1</v>
      </c>
      <c r="C968" s="50" t="s">
        <v>350</v>
      </c>
      <c r="D968" s="50" t="s">
        <v>263</v>
      </c>
      <c r="E968" s="50">
        <v>-1</v>
      </c>
      <c r="F968" s="50">
        <v>-0.21276364474391607</v>
      </c>
      <c r="G968" s="51" t="str">
        <v>菊野 2022/06/19 (日)
休日午前</v>
      </c>
    </row>
    <row r="969" spans="1:7" ht="16.149999999999999" x14ac:dyDescent="0.7">
      <c r="A969" s="49">
        <v>44701.489840995375</v>
      </c>
      <c r="B969" s="50" t="s">
        <v>1</v>
      </c>
      <c r="C969" s="50" t="s">
        <v>351</v>
      </c>
      <c r="D969" s="50" t="s">
        <v>259</v>
      </c>
      <c r="E969" s="50">
        <v>0</v>
      </c>
      <c r="F969" s="50">
        <v>0.61181042363841298</v>
      </c>
      <c r="G969" s="51" t="str">
        <v>菊野 2022/06/20 (月)
平日夜間</v>
      </c>
    </row>
    <row r="970" spans="1:7" ht="16.149999999999999" x14ac:dyDescent="0.7">
      <c r="A970" s="49">
        <v>44701.489840995375</v>
      </c>
      <c r="B970" s="50" t="s">
        <v>1</v>
      </c>
      <c r="C970" s="50" t="s">
        <v>352</v>
      </c>
      <c r="D970" s="50" t="s">
        <v>259</v>
      </c>
      <c r="E970" s="50">
        <v>0</v>
      </c>
      <c r="F970" s="50">
        <v>0.19611849440268103</v>
      </c>
      <c r="G970" s="51" t="str">
        <v>菊野 2022/06/21 (火)
平日夜間</v>
      </c>
    </row>
    <row r="971" spans="1:7" ht="16.149999999999999" x14ac:dyDescent="0.7">
      <c r="A971" s="49">
        <v>44701.489840995375</v>
      </c>
      <c r="B971" s="50" t="s">
        <v>1</v>
      </c>
      <c r="C971" s="50" t="s">
        <v>353</v>
      </c>
      <c r="D971" s="50" t="s">
        <v>259</v>
      </c>
      <c r="E971" s="50">
        <v>0</v>
      </c>
      <c r="F971" s="50">
        <v>0.30671344706180581</v>
      </c>
      <c r="G971" s="51" t="str">
        <v>菊野 2022/06/22 (水)
平日夜間</v>
      </c>
    </row>
    <row r="972" spans="1:7" ht="16.149999999999999" x14ac:dyDescent="0.7">
      <c r="A972" s="49">
        <v>44701.489840995375</v>
      </c>
      <c r="B972" s="50" t="s">
        <v>1</v>
      </c>
      <c r="C972" s="50" t="s">
        <v>354</v>
      </c>
      <c r="D972" s="50" t="s">
        <v>259</v>
      </c>
      <c r="E972" s="50">
        <v>0</v>
      </c>
      <c r="F972" s="50">
        <v>7.3635629570851791E-2</v>
      </c>
      <c r="G972" s="51" t="str">
        <v>菊野 2022/06/23 (木)
平日夜間</v>
      </c>
    </row>
    <row r="973" spans="1:7" ht="16.149999999999999" x14ac:dyDescent="0.7">
      <c r="A973" s="49">
        <v>44701.489840995375</v>
      </c>
      <c r="B973" s="50" t="s">
        <v>1</v>
      </c>
      <c r="C973" s="50" t="s">
        <v>355</v>
      </c>
      <c r="D973" s="50" t="s">
        <v>259</v>
      </c>
      <c r="E973" s="50">
        <v>0</v>
      </c>
      <c r="F973" s="50">
        <v>0.6599758810644889</v>
      </c>
      <c r="G973" s="51" t="str">
        <v>菊野 2022/06/24 (金)
平日夜間</v>
      </c>
    </row>
    <row r="974" spans="1:7" ht="16.149999999999999" x14ac:dyDescent="0.7">
      <c r="A974" s="49">
        <v>44701.489840995375</v>
      </c>
      <c r="B974" s="50" t="s">
        <v>1</v>
      </c>
      <c r="C974" s="50" t="s">
        <v>356</v>
      </c>
      <c r="D974" s="50" t="s">
        <v>261</v>
      </c>
      <c r="E974" s="50">
        <v>0</v>
      </c>
      <c r="F974" s="50">
        <v>0.63171823832534102</v>
      </c>
      <c r="G974" s="51" t="str">
        <v>菊野 2022/06/25 (土)
休日午後</v>
      </c>
    </row>
    <row r="975" spans="1:7" ht="16.149999999999999" x14ac:dyDescent="0.7">
      <c r="A975" s="49">
        <v>44701.489840995375</v>
      </c>
      <c r="B975" s="50" t="s">
        <v>1</v>
      </c>
      <c r="C975" s="50" t="s">
        <v>357</v>
      </c>
      <c r="D975" s="50" t="s">
        <v>263</v>
      </c>
      <c r="E975" s="50">
        <v>0</v>
      </c>
      <c r="F975" s="50">
        <v>0.6396188855063103</v>
      </c>
      <c r="G975" s="51" t="str">
        <v>菊野 2022/06/25 (土)
休日午前</v>
      </c>
    </row>
    <row r="976" spans="1:7" ht="16.149999999999999" x14ac:dyDescent="0.7">
      <c r="A976" s="49">
        <v>44701.489840995375</v>
      </c>
      <c r="B976" s="50" t="s">
        <v>1</v>
      </c>
      <c r="C976" s="50" t="s">
        <v>358</v>
      </c>
      <c r="D976" s="50" t="s">
        <v>261</v>
      </c>
      <c r="E976" s="50">
        <v>0</v>
      </c>
      <c r="F976" s="50">
        <v>2.8510478934508532E-2</v>
      </c>
      <c r="G976" s="51" t="str">
        <v>菊野 2022/06/26 (日)
休日午後</v>
      </c>
    </row>
    <row r="977" spans="1:7" ht="16.149999999999999" x14ac:dyDescent="0.7">
      <c r="A977" s="49">
        <v>44701.489840995375</v>
      </c>
      <c r="B977" s="50" t="s">
        <v>1</v>
      </c>
      <c r="C977" s="50" t="s">
        <v>359</v>
      </c>
      <c r="D977" s="50" t="s">
        <v>263</v>
      </c>
      <c r="E977" s="50">
        <v>0</v>
      </c>
      <c r="F977" s="50">
        <v>0.61613245296123464</v>
      </c>
      <c r="G977" s="51" t="str">
        <v>菊野 2022/06/26 (日)
休日午前</v>
      </c>
    </row>
    <row r="978" spans="1:7" ht="16.149999999999999" x14ac:dyDescent="0.7">
      <c r="A978" s="49">
        <v>44701.489840995375</v>
      </c>
      <c r="B978" s="50" t="s">
        <v>1</v>
      </c>
      <c r="C978" s="50" t="s">
        <v>360</v>
      </c>
      <c r="D978" s="50" t="s">
        <v>259</v>
      </c>
      <c r="E978" s="50">
        <v>0</v>
      </c>
      <c r="F978" s="50">
        <v>0.15884562691823101</v>
      </c>
      <c r="G978" s="51" t="str">
        <v>菊野 2022/06/27 (月)
平日夜間</v>
      </c>
    </row>
    <row r="979" spans="1:7" ht="16.149999999999999" x14ac:dyDescent="0.7">
      <c r="A979" s="49">
        <v>44701.489840995375</v>
      </c>
      <c r="B979" s="50" t="s">
        <v>1</v>
      </c>
      <c r="C979" s="50" t="s">
        <v>361</v>
      </c>
      <c r="D979" s="50" t="s">
        <v>259</v>
      </c>
      <c r="E979" s="50">
        <v>0</v>
      </c>
      <c r="F979" s="50">
        <v>0.23683560792273384</v>
      </c>
      <c r="G979" s="51" t="str">
        <v>菊野 2022/06/28 (火)
平日夜間</v>
      </c>
    </row>
    <row r="980" spans="1:7" ht="16.149999999999999" x14ac:dyDescent="0.7">
      <c r="A980" s="49">
        <v>44701.489840995375</v>
      </c>
      <c r="B980" s="50" t="s">
        <v>1</v>
      </c>
      <c r="C980" s="50" t="s">
        <v>362</v>
      </c>
      <c r="D980" s="50" t="s">
        <v>259</v>
      </c>
      <c r="E980" s="50">
        <v>0</v>
      </c>
      <c r="F980" s="50">
        <v>0.28843943675106187</v>
      </c>
      <c r="G980" s="51" t="str">
        <v>菊野 2022/06/29 (水)
平日夜間</v>
      </c>
    </row>
    <row r="981" spans="1:7" ht="16.149999999999999" x14ac:dyDescent="0.7">
      <c r="A981" s="49">
        <v>44701.489840995375</v>
      </c>
      <c r="B981" s="50" t="s">
        <v>1</v>
      </c>
      <c r="C981" s="50" t="s">
        <v>363</v>
      </c>
      <c r="D981" s="50" t="s">
        <v>259</v>
      </c>
      <c r="E981" s="50">
        <v>0</v>
      </c>
      <c r="F981" s="50">
        <v>0.83952684868820482</v>
      </c>
      <c r="G981" s="51" t="str">
        <v>菊野 2022/06/30 (木)
平日夜間</v>
      </c>
    </row>
    <row r="982" spans="1:7" ht="16.149999999999999" x14ac:dyDescent="0.7">
      <c r="A982" s="49">
        <v>44702.446361087961</v>
      </c>
      <c r="B982" s="50" t="s">
        <v>11</v>
      </c>
      <c r="C982" s="50" t="s">
        <v>326</v>
      </c>
      <c r="D982" s="50" t="s">
        <v>259</v>
      </c>
      <c r="E982" s="50">
        <v>0</v>
      </c>
      <c r="F982" s="50">
        <v>0.66002035938985526</v>
      </c>
      <c r="G982" s="51" t="str">
        <v>宮坂 2022/06/01 (水)
平日夜間</v>
      </c>
    </row>
    <row r="983" spans="1:7" ht="16.149999999999999" x14ac:dyDescent="0.7">
      <c r="A983" s="49">
        <v>44702.446361087961</v>
      </c>
      <c r="B983" s="50" t="s">
        <v>11</v>
      </c>
      <c r="C983" s="50" t="s">
        <v>327</v>
      </c>
      <c r="D983" s="50" t="s">
        <v>259</v>
      </c>
      <c r="E983" s="50">
        <v>0</v>
      </c>
      <c r="F983" s="50">
        <v>0.37673592671631662</v>
      </c>
      <c r="G983" s="51" t="str">
        <v>宮坂 2022/06/02 (木)
平日夜間</v>
      </c>
    </row>
    <row r="984" spans="1:7" ht="16.149999999999999" x14ac:dyDescent="0.7">
      <c r="A984" s="49">
        <v>44702.446361087961</v>
      </c>
      <c r="B984" s="50" t="s">
        <v>11</v>
      </c>
      <c r="C984" s="50" t="s">
        <v>328</v>
      </c>
      <c r="D984" s="50" t="s">
        <v>259</v>
      </c>
      <c r="E984" s="50">
        <v>0</v>
      </c>
      <c r="F984" s="50">
        <v>0.15007960001302667</v>
      </c>
      <c r="G984" s="51" t="str">
        <v>宮坂 2022/06/03 (金)
平日夜間</v>
      </c>
    </row>
    <row r="985" spans="1:7" ht="16.149999999999999" x14ac:dyDescent="0.7">
      <c r="A985" s="49">
        <v>44702.446361087961</v>
      </c>
      <c r="B985" s="50" t="s">
        <v>11</v>
      </c>
      <c r="C985" s="50" t="s">
        <v>329</v>
      </c>
      <c r="D985" s="50" t="s">
        <v>261</v>
      </c>
      <c r="E985" s="50">
        <v>0</v>
      </c>
      <c r="F985" s="50">
        <v>0.50466245793594022</v>
      </c>
      <c r="G985" s="51" t="str">
        <v>宮坂 2022/06/04 (土)
休日午後</v>
      </c>
    </row>
    <row r="986" spans="1:7" ht="16.149999999999999" x14ac:dyDescent="0.7">
      <c r="A986" s="49">
        <v>44702.446361087961</v>
      </c>
      <c r="B986" s="50" t="s">
        <v>11</v>
      </c>
      <c r="C986" s="50" t="s">
        <v>330</v>
      </c>
      <c r="D986" s="50" t="s">
        <v>263</v>
      </c>
      <c r="E986" s="50">
        <v>0</v>
      </c>
      <c r="F986" s="50">
        <v>0.18541507861873208</v>
      </c>
      <c r="G986" s="51" t="str">
        <v>宮坂 2022/06/04 (土)
休日午前</v>
      </c>
    </row>
    <row r="987" spans="1:7" ht="16.149999999999999" x14ac:dyDescent="0.7">
      <c r="A987" s="49">
        <v>44702.446361087961</v>
      </c>
      <c r="B987" s="50" t="s">
        <v>11</v>
      </c>
      <c r="C987" s="50" t="s">
        <v>331</v>
      </c>
      <c r="D987" s="50" t="s">
        <v>261</v>
      </c>
      <c r="E987" s="50">
        <v>0</v>
      </c>
      <c r="F987" s="50">
        <v>0.20896088357666387</v>
      </c>
      <c r="G987" s="51" t="str">
        <v>宮坂 2022/06/05 (日)
休日午後</v>
      </c>
    </row>
    <row r="988" spans="1:7" ht="16.149999999999999" x14ac:dyDescent="0.7">
      <c r="A988" s="49">
        <v>44702.446361087961</v>
      </c>
      <c r="B988" s="50" t="s">
        <v>11</v>
      </c>
      <c r="C988" s="50" t="s">
        <v>332</v>
      </c>
      <c r="D988" s="50" t="s">
        <v>263</v>
      </c>
      <c r="E988" s="50">
        <v>0</v>
      </c>
      <c r="F988" s="50">
        <v>0.26859914256133566</v>
      </c>
      <c r="G988" s="51" t="str">
        <v>宮坂 2022/06/05 (日)
休日午前</v>
      </c>
    </row>
    <row r="989" spans="1:7" ht="16.149999999999999" x14ac:dyDescent="0.7">
      <c r="A989" s="49">
        <v>44702.446361087961</v>
      </c>
      <c r="B989" s="50" t="s">
        <v>11</v>
      </c>
      <c r="C989" s="50" t="s">
        <v>333</v>
      </c>
      <c r="D989" s="50" t="s">
        <v>259</v>
      </c>
      <c r="E989" s="50">
        <v>0</v>
      </c>
      <c r="F989" s="50">
        <v>0.82772918155145891</v>
      </c>
      <c r="G989" s="51" t="str">
        <v>宮坂 2022/06/06 (月)
平日夜間</v>
      </c>
    </row>
    <row r="990" spans="1:7" ht="16.149999999999999" x14ac:dyDescent="0.7">
      <c r="A990" s="49">
        <v>44702.446361087961</v>
      </c>
      <c r="B990" s="50" t="s">
        <v>11</v>
      </c>
      <c r="C990" s="50" t="s">
        <v>334</v>
      </c>
      <c r="D990" s="50" t="s">
        <v>259</v>
      </c>
      <c r="E990" s="50">
        <v>-1</v>
      </c>
      <c r="F990" s="50">
        <v>-0.6189972725379902</v>
      </c>
      <c r="G990" s="51" t="str">
        <v>宮坂 2022/06/07 (火)
平日夜間</v>
      </c>
    </row>
    <row r="991" spans="1:7" ht="16.149999999999999" x14ac:dyDescent="0.7">
      <c r="A991" s="49">
        <v>44702.446361087961</v>
      </c>
      <c r="B991" s="50" t="s">
        <v>11</v>
      </c>
      <c r="C991" s="50" t="s">
        <v>335</v>
      </c>
      <c r="D991" s="50" t="s">
        <v>259</v>
      </c>
      <c r="E991" s="50">
        <v>0</v>
      </c>
      <c r="F991" s="50">
        <v>0.27286922545672021</v>
      </c>
      <c r="G991" s="51" t="str">
        <v>宮坂 2022/06/08 (水)
平日夜間</v>
      </c>
    </row>
    <row r="992" spans="1:7" ht="16.149999999999999" x14ac:dyDescent="0.7">
      <c r="A992" s="49">
        <v>44702.446361087961</v>
      </c>
      <c r="B992" s="50" t="s">
        <v>11</v>
      </c>
      <c r="C992" s="50" t="s">
        <v>336</v>
      </c>
      <c r="D992" s="50" t="s">
        <v>259</v>
      </c>
      <c r="E992" s="50">
        <v>0</v>
      </c>
      <c r="F992" s="50">
        <v>0.27515451709621241</v>
      </c>
      <c r="G992" s="51" t="str">
        <v>宮坂 2022/06/09 (木)
平日夜間</v>
      </c>
    </row>
    <row r="993" spans="1:7" ht="16.149999999999999" x14ac:dyDescent="0.7">
      <c r="A993" s="49">
        <v>44702.446361087961</v>
      </c>
      <c r="B993" s="50" t="s">
        <v>11</v>
      </c>
      <c r="C993" s="50" t="s">
        <v>337</v>
      </c>
      <c r="D993" s="50" t="s">
        <v>259</v>
      </c>
      <c r="E993" s="50">
        <v>1</v>
      </c>
      <c r="F993" s="50">
        <v>1.6315869847420121</v>
      </c>
      <c r="G993" s="51" t="str">
        <v>宮坂 2022/06/10 (金)
平日夜間</v>
      </c>
    </row>
    <row r="994" spans="1:7" ht="16.149999999999999" x14ac:dyDescent="0.7">
      <c r="A994" s="49">
        <v>44702.446361087961</v>
      </c>
      <c r="B994" s="50" t="s">
        <v>11</v>
      </c>
      <c r="C994" s="50" t="s">
        <v>338</v>
      </c>
      <c r="D994" s="50" t="s">
        <v>261</v>
      </c>
      <c r="E994" s="50">
        <v>0</v>
      </c>
      <c r="F994" s="50">
        <v>0.18043155489401608</v>
      </c>
      <c r="G994" s="51" t="str">
        <v>宮坂 2022/06/11 (土)
休日午後</v>
      </c>
    </row>
    <row r="995" spans="1:7" ht="16.149999999999999" x14ac:dyDescent="0.7">
      <c r="A995" s="49">
        <v>44702.446361087961</v>
      </c>
      <c r="B995" s="50" t="s">
        <v>11</v>
      </c>
      <c r="C995" s="50" t="s">
        <v>339</v>
      </c>
      <c r="D995" s="50" t="s">
        <v>263</v>
      </c>
      <c r="E995" s="50">
        <v>0</v>
      </c>
      <c r="F995" s="50">
        <v>0.10218667889374244</v>
      </c>
      <c r="G995" s="51" t="str">
        <v>宮坂 2022/06/11 (土)
休日午前</v>
      </c>
    </row>
    <row r="996" spans="1:7" ht="16.149999999999999" x14ac:dyDescent="0.7">
      <c r="A996" s="49">
        <v>44702.446361087961</v>
      </c>
      <c r="B996" s="50" t="s">
        <v>11</v>
      </c>
      <c r="C996" s="50" t="s">
        <v>340</v>
      </c>
      <c r="D996" s="50" t="s">
        <v>261</v>
      </c>
      <c r="E996" s="50">
        <v>0</v>
      </c>
      <c r="F996" s="50">
        <v>0.20368902557929847</v>
      </c>
      <c r="G996" s="51" t="str">
        <v>宮坂 2022/06/12 (日)
休日午後</v>
      </c>
    </row>
    <row r="997" spans="1:7" ht="16.149999999999999" x14ac:dyDescent="0.7">
      <c r="A997" s="49">
        <v>44702.446361087961</v>
      </c>
      <c r="B997" s="50" t="s">
        <v>11</v>
      </c>
      <c r="C997" s="50" t="s">
        <v>341</v>
      </c>
      <c r="D997" s="50" t="s">
        <v>263</v>
      </c>
      <c r="E997" s="50">
        <v>0</v>
      </c>
      <c r="F997" s="50">
        <v>0.47512010378936709</v>
      </c>
      <c r="G997" s="51" t="str">
        <v>宮坂 2022/06/12 (日)
休日午前</v>
      </c>
    </row>
    <row r="998" spans="1:7" ht="16.149999999999999" x14ac:dyDescent="0.7">
      <c r="A998" s="49">
        <v>44702.446361087961</v>
      </c>
      <c r="B998" s="50" t="s">
        <v>11</v>
      </c>
      <c r="C998" s="50" t="s">
        <v>342</v>
      </c>
      <c r="D998" s="50" t="s">
        <v>259</v>
      </c>
      <c r="E998" s="50">
        <v>0</v>
      </c>
      <c r="F998" s="50">
        <v>0.40009226459706859</v>
      </c>
      <c r="G998" s="51" t="str">
        <v>宮坂 2022/06/13 (月)
平日夜間</v>
      </c>
    </row>
    <row r="999" spans="1:7" ht="16.149999999999999" x14ac:dyDescent="0.7">
      <c r="A999" s="49">
        <v>44702.446361087961</v>
      </c>
      <c r="B999" s="50" t="s">
        <v>11</v>
      </c>
      <c r="C999" s="50" t="s">
        <v>343</v>
      </c>
      <c r="D999" s="50" t="s">
        <v>259</v>
      </c>
      <c r="E999" s="50">
        <v>0</v>
      </c>
      <c r="F999" s="50">
        <v>0.24208383992954507</v>
      </c>
      <c r="G999" s="51" t="str">
        <v>宮坂 2022/06/14 (火)
平日夜間</v>
      </c>
    </row>
    <row r="1000" spans="1:7" ht="16.149999999999999" x14ac:dyDescent="0.7">
      <c r="A1000" s="49">
        <v>44702.446361087961</v>
      </c>
      <c r="B1000" s="50" t="s">
        <v>11</v>
      </c>
      <c r="C1000" s="50" t="s">
        <v>344</v>
      </c>
      <c r="D1000" s="50" t="s">
        <v>259</v>
      </c>
      <c r="E1000" s="50">
        <v>0</v>
      </c>
      <c r="F1000" s="50">
        <v>0.76836951037460066</v>
      </c>
      <c r="G1000" s="51" t="str">
        <v>宮坂 2022/06/15 (水)
平日夜間</v>
      </c>
    </row>
    <row r="1001" spans="1:7" ht="16.149999999999999" x14ac:dyDescent="0.7">
      <c r="A1001" s="49">
        <v>44702.446361087961</v>
      </c>
      <c r="B1001" s="50" t="s">
        <v>11</v>
      </c>
      <c r="C1001" s="50" t="s">
        <v>345</v>
      </c>
      <c r="D1001" s="50" t="s">
        <v>259</v>
      </c>
      <c r="E1001" s="50">
        <v>0</v>
      </c>
      <c r="F1001" s="50">
        <v>0.72498872914418611</v>
      </c>
      <c r="G1001" s="51" t="str">
        <v>宮坂 2022/06/16 (木)
平日夜間</v>
      </c>
    </row>
    <row r="1002" spans="1:7" ht="16.149999999999999" x14ac:dyDescent="0.7">
      <c r="A1002" s="49">
        <v>44702.446361087961</v>
      </c>
      <c r="B1002" s="50" t="s">
        <v>11</v>
      </c>
      <c r="C1002" s="50" t="s">
        <v>346</v>
      </c>
      <c r="D1002" s="50" t="s">
        <v>259</v>
      </c>
      <c r="E1002" s="50">
        <v>0</v>
      </c>
      <c r="F1002" s="50">
        <v>0.46431506237130593</v>
      </c>
      <c r="G1002" s="51" t="str">
        <v>宮坂 2022/06/17 (金)
平日夜間</v>
      </c>
    </row>
    <row r="1003" spans="1:7" ht="16.149999999999999" x14ac:dyDescent="0.7">
      <c r="A1003" s="49">
        <v>44702.446361087961</v>
      </c>
      <c r="B1003" s="50" t="s">
        <v>11</v>
      </c>
      <c r="C1003" s="50" t="s">
        <v>347</v>
      </c>
      <c r="D1003" s="50" t="s">
        <v>261</v>
      </c>
      <c r="E1003" s="50">
        <v>0</v>
      </c>
      <c r="F1003" s="50">
        <v>0.39628955508239394</v>
      </c>
      <c r="G1003" s="51" t="str">
        <v>宮坂 2022/06/18 (土)
休日午後</v>
      </c>
    </row>
    <row r="1004" spans="1:7" ht="16.149999999999999" x14ac:dyDescent="0.7">
      <c r="A1004" s="49">
        <v>44702.446361087961</v>
      </c>
      <c r="B1004" s="50" t="s">
        <v>11</v>
      </c>
      <c r="C1004" s="50" t="s">
        <v>348</v>
      </c>
      <c r="D1004" s="50" t="s">
        <v>263</v>
      </c>
      <c r="E1004" s="50">
        <v>0</v>
      </c>
      <c r="F1004" s="50">
        <v>0.65929679922247342</v>
      </c>
      <c r="G1004" s="51" t="str">
        <v>宮坂 2022/06/18 (土)
休日午前</v>
      </c>
    </row>
    <row r="1005" spans="1:7" ht="16.149999999999999" x14ac:dyDescent="0.7">
      <c r="A1005" s="49">
        <v>44702.446361087961</v>
      </c>
      <c r="B1005" s="50" t="s">
        <v>11</v>
      </c>
      <c r="C1005" s="50" t="s">
        <v>349</v>
      </c>
      <c r="D1005" s="50" t="s">
        <v>261</v>
      </c>
      <c r="E1005" s="50">
        <v>0</v>
      </c>
      <c r="F1005" s="50">
        <v>0.92035146086003627</v>
      </c>
      <c r="G1005" s="51" t="str">
        <v>宮坂 2022/06/19 (日)
休日午後</v>
      </c>
    </row>
    <row r="1006" spans="1:7" ht="16.149999999999999" x14ac:dyDescent="0.7">
      <c r="A1006" s="49">
        <v>44702.446361087961</v>
      </c>
      <c r="B1006" s="50" t="s">
        <v>11</v>
      </c>
      <c r="C1006" s="50" t="s">
        <v>350</v>
      </c>
      <c r="D1006" s="50" t="s">
        <v>263</v>
      </c>
      <c r="E1006" s="50">
        <v>0</v>
      </c>
      <c r="F1006" s="50">
        <v>0.18144463178730574</v>
      </c>
      <c r="G1006" s="51" t="str">
        <v>宮坂 2022/06/19 (日)
休日午前</v>
      </c>
    </row>
    <row r="1007" spans="1:7" ht="16.149999999999999" x14ac:dyDescent="0.7">
      <c r="A1007" s="49">
        <v>44702.446361087961</v>
      </c>
      <c r="B1007" s="50" t="s">
        <v>11</v>
      </c>
      <c r="C1007" s="50" t="s">
        <v>351</v>
      </c>
      <c r="D1007" s="50" t="s">
        <v>259</v>
      </c>
      <c r="E1007" s="50">
        <v>0</v>
      </c>
      <c r="F1007" s="50">
        <v>0.54479960286811613</v>
      </c>
      <c r="G1007" s="51" t="str">
        <v>宮坂 2022/06/20 (月)
平日夜間</v>
      </c>
    </row>
    <row r="1008" spans="1:7" ht="16.149999999999999" x14ac:dyDescent="0.7">
      <c r="A1008" s="49">
        <v>44702.446361087961</v>
      </c>
      <c r="B1008" s="50" t="s">
        <v>11</v>
      </c>
      <c r="C1008" s="50" t="s">
        <v>352</v>
      </c>
      <c r="D1008" s="50" t="s">
        <v>259</v>
      </c>
      <c r="E1008" s="50">
        <v>0</v>
      </c>
      <c r="F1008" s="50">
        <v>0.36751118255573045</v>
      </c>
      <c r="G1008" s="51" t="str">
        <v>宮坂 2022/06/21 (火)
平日夜間</v>
      </c>
    </row>
    <row r="1009" spans="1:7" ht="16.149999999999999" x14ac:dyDescent="0.7">
      <c r="A1009" s="49">
        <v>44702.446361087961</v>
      </c>
      <c r="B1009" s="50" t="s">
        <v>11</v>
      </c>
      <c r="C1009" s="50" t="s">
        <v>353</v>
      </c>
      <c r="D1009" s="50" t="s">
        <v>259</v>
      </c>
      <c r="E1009" s="50">
        <v>0</v>
      </c>
      <c r="F1009" s="50">
        <v>0.75992704551063928</v>
      </c>
      <c r="G1009" s="51" t="str">
        <v>宮坂 2022/06/22 (水)
平日夜間</v>
      </c>
    </row>
    <row r="1010" spans="1:7" ht="16.149999999999999" x14ac:dyDescent="0.7">
      <c r="A1010" s="49">
        <v>44702.446361087961</v>
      </c>
      <c r="B1010" s="50" t="s">
        <v>11</v>
      </c>
      <c r="C1010" s="50" t="s">
        <v>354</v>
      </c>
      <c r="D1010" s="50" t="s">
        <v>259</v>
      </c>
      <c r="E1010" s="50">
        <v>2</v>
      </c>
      <c r="F1010" s="50">
        <v>2.6580941923442669</v>
      </c>
      <c r="G1010" s="51" t="str">
        <v>宮坂 2022/06/23 (木)
平日夜間</v>
      </c>
    </row>
    <row r="1011" spans="1:7" ht="16.149999999999999" x14ac:dyDescent="0.7">
      <c r="A1011" s="49">
        <v>44702.446361087961</v>
      </c>
      <c r="B1011" s="50" t="s">
        <v>11</v>
      </c>
      <c r="C1011" s="50" t="s">
        <v>355</v>
      </c>
      <c r="D1011" s="50" t="s">
        <v>259</v>
      </c>
      <c r="E1011" s="50">
        <v>0</v>
      </c>
      <c r="F1011" s="50">
        <v>0.59216546891976596</v>
      </c>
      <c r="G1011" s="51" t="str">
        <v>宮坂 2022/06/24 (金)
平日夜間</v>
      </c>
    </row>
    <row r="1012" spans="1:7" ht="16.149999999999999" x14ac:dyDescent="0.7">
      <c r="A1012" s="49">
        <v>44702.446361087961</v>
      </c>
      <c r="B1012" s="50" t="s">
        <v>11</v>
      </c>
      <c r="C1012" s="50" t="s">
        <v>356</v>
      </c>
      <c r="D1012" s="50" t="s">
        <v>261</v>
      </c>
      <c r="E1012" s="50">
        <v>0</v>
      </c>
      <c r="F1012" s="50">
        <v>0.22636524264924107</v>
      </c>
      <c r="G1012" s="51" t="str">
        <v>宮坂 2022/06/25 (土)
休日午後</v>
      </c>
    </row>
    <row r="1013" spans="1:7" ht="16.149999999999999" x14ac:dyDescent="0.7">
      <c r="A1013" s="49">
        <v>44702.446361087961</v>
      </c>
      <c r="B1013" s="50" t="s">
        <v>11</v>
      </c>
      <c r="C1013" s="50" t="s">
        <v>357</v>
      </c>
      <c r="D1013" s="50" t="s">
        <v>263</v>
      </c>
      <c r="E1013" s="50">
        <v>0</v>
      </c>
      <c r="F1013" s="50">
        <v>0.90422986103567338</v>
      </c>
      <c r="G1013" s="51" t="str">
        <v>宮坂 2022/06/25 (土)
休日午前</v>
      </c>
    </row>
    <row r="1014" spans="1:7" ht="16.149999999999999" x14ac:dyDescent="0.7">
      <c r="A1014" s="49">
        <v>44702.446361087961</v>
      </c>
      <c r="B1014" s="50" t="s">
        <v>11</v>
      </c>
      <c r="C1014" s="50" t="s">
        <v>358</v>
      </c>
      <c r="D1014" s="50" t="s">
        <v>261</v>
      </c>
      <c r="E1014" s="50">
        <v>0</v>
      </c>
      <c r="F1014" s="50">
        <v>1.1970688564945098E-2</v>
      </c>
      <c r="G1014" s="51" t="str">
        <v>宮坂 2022/06/26 (日)
休日午後</v>
      </c>
    </row>
    <row r="1015" spans="1:7" ht="16.149999999999999" x14ac:dyDescent="0.7">
      <c r="A1015" s="49">
        <v>44702.446361087961</v>
      </c>
      <c r="B1015" s="50" t="s">
        <v>11</v>
      </c>
      <c r="C1015" s="50" t="s">
        <v>359</v>
      </c>
      <c r="D1015" s="50" t="s">
        <v>263</v>
      </c>
      <c r="E1015" s="50">
        <v>0</v>
      </c>
      <c r="F1015" s="50">
        <v>0.32448524869972628</v>
      </c>
      <c r="G1015" s="51" t="str">
        <v>宮坂 2022/06/26 (日)
休日午前</v>
      </c>
    </row>
    <row r="1016" spans="1:7" ht="16.149999999999999" x14ac:dyDescent="0.7">
      <c r="A1016" s="49">
        <v>44702.446361087961</v>
      </c>
      <c r="B1016" s="50" t="s">
        <v>11</v>
      </c>
      <c r="C1016" s="50" t="s">
        <v>360</v>
      </c>
      <c r="D1016" s="50" t="s">
        <v>259</v>
      </c>
      <c r="E1016" s="50">
        <v>0</v>
      </c>
      <c r="F1016" s="50">
        <v>0.12624721988755394</v>
      </c>
      <c r="G1016" s="51" t="str">
        <v>宮坂 2022/06/27 (月)
平日夜間</v>
      </c>
    </row>
    <row r="1017" spans="1:7" ht="16.149999999999999" x14ac:dyDescent="0.7">
      <c r="A1017" s="49">
        <v>44702.446361087961</v>
      </c>
      <c r="B1017" s="50" t="s">
        <v>11</v>
      </c>
      <c r="C1017" s="50" t="s">
        <v>361</v>
      </c>
      <c r="D1017" s="50" t="s">
        <v>259</v>
      </c>
      <c r="E1017" s="50">
        <v>0</v>
      </c>
      <c r="F1017" s="50">
        <v>0.8274429964701715</v>
      </c>
      <c r="G1017" s="51" t="str">
        <v>宮坂 2022/06/28 (火)
平日夜間</v>
      </c>
    </row>
    <row r="1018" spans="1:7" ht="16.149999999999999" x14ac:dyDescent="0.7">
      <c r="A1018" s="49">
        <v>44702.446361087961</v>
      </c>
      <c r="B1018" s="50" t="s">
        <v>11</v>
      </c>
      <c r="C1018" s="50" t="s">
        <v>362</v>
      </c>
      <c r="D1018" s="50" t="s">
        <v>259</v>
      </c>
      <c r="E1018" s="50">
        <v>0</v>
      </c>
      <c r="F1018" s="50">
        <v>0.46972841572022528</v>
      </c>
      <c r="G1018" s="51" t="str">
        <v>宮坂 2022/06/29 (水)
平日夜間</v>
      </c>
    </row>
    <row r="1019" spans="1:7" ht="16.149999999999999" x14ac:dyDescent="0.7">
      <c r="A1019" s="49">
        <v>44702.446361087961</v>
      </c>
      <c r="B1019" s="50" t="s">
        <v>11</v>
      </c>
      <c r="C1019" s="50" t="s">
        <v>363</v>
      </c>
      <c r="D1019" s="50" t="s">
        <v>259</v>
      </c>
      <c r="E1019" s="50">
        <v>0</v>
      </c>
      <c r="F1019" s="50">
        <v>0.12726170338145115</v>
      </c>
      <c r="G1019" s="51" t="str">
        <v>宮坂 2022/06/30 (木)
平日夜間</v>
      </c>
    </row>
    <row r="1020" spans="1:7" ht="16.149999999999999" x14ac:dyDescent="0.7">
      <c r="A1020" s="49">
        <v>44703.797494525468</v>
      </c>
      <c r="B1020" s="50" t="s">
        <v>19</v>
      </c>
      <c r="C1020" s="50" t="s">
        <v>326</v>
      </c>
      <c r="D1020" s="50" t="s">
        <v>259</v>
      </c>
      <c r="E1020" s="50">
        <v>-1</v>
      </c>
      <c r="F1020" s="50">
        <v>-0.32432287697050333</v>
      </c>
      <c r="G1020" s="51" t="str">
        <v>佐藤 2022/06/01 (水)
平日夜間</v>
      </c>
    </row>
    <row r="1021" spans="1:7" ht="16.149999999999999" x14ac:dyDescent="0.7">
      <c r="A1021" s="49">
        <v>44703.797494525468</v>
      </c>
      <c r="B1021" s="50" t="s">
        <v>19</v>
      </c>
      <c r="C1021" s="50" t="s">
        <v>327</v>
      </c>
      <c r="D1021" s="50" t="s">
        <v>259</v>
      </c>
      <c r="E1021" s="50">
        <v>0</v>
      </c>
      <c r="F1021" s="50">
        <v>0.26013392353895082</v>
      </c>
      <c r="G1021" s="51" t="str">
        <v>佐藤 2022/06/02 (木)
平日夜間</v>
      </c>
    </row>
    <row r="1022" spans="1:7" ht="16.149999999999999" x14ac:dyDescent="0.7">
      <c r="A1022" s="49">
        <v>44703.797494525468</v>
      </c>
      <c r="B1022" s="50" t="s">
        <v>19</v>
      </c>
      <c r="C1022" s="50" t="s">
        <v>328</v>
      </c>
      <c r="D1022" s="50" t="s">
        <v>259</v>
      </c>
      <c r="E1022" s="50">
        <v>0</v>
      </c>
      <c r="F1022" s="50">
        <v>8.9480158191370007E-2</v>
      </c>
      <c r="G1022" s="51" t="str">
        <v>佐藤 2022/06/03 (金)
平日夜間</v>
      </c>
    </row>
    <row r="1023" spans="1:7" ht="16.149999999999999" x14ac:dyDescent="0.7">
      <c r="A1023" s="49">
        <v>44703.797494525468</v>
      </c>
      <c r="B1023" s="50" t="s">
        <v>19</v>
      </c>
      <c r="C1023" s="50" t="s">
        <v>329</v>
      </c>
      <c r="D1023" s="50" t="s">
        <v>261</v>
      </c>
      <c r="E1023" s="50">
        <v>0</v>
      </c>
      <c r="F1023" s="50">
        <v>0.53153817186771191</v>
      </c>
      <c r="G1023" s="51" t="str">
        <v>佐藤 2022/06/04 (土)
休日午後</v>
      </c>
    </row>
    <row r="1024" spans="1:7" ht="16.149999999999999" x14ac:dyDescent="0.7">
      <c r="A1024" s="49">
        <v>44703.797494525468</v>
      </c>
      <c r="B1024" s="50" t="s">
        <v>19</v>
      </c>
      <c r="C1024" s="50" t="s">
        <v>330</v>
      </c>
      <c r="D1024" s="50" t="s">
        <v>263</v>
      </c>
      <c r="E1024" s="50">
        <v>0</v>
      </c>
      <c r="F1024" s="50">
        <v>0.76033110489730316</v>
      </c>
      <c r="G1024" s="51" t="str">
        <v>佐藤 2022/06/04 (土)
休日午前</v>
      </c>
    </row>
    <row r="1025" spans="1:7" ht="16.149999999999999" x14ac:dyDescent="0.7">
      <c r="A1025" s="49">
        <v>44703.797494525468</v>
      </c>
      <c r="B1025" s="50" t="s">
        <v>19</v>
      </c>
      <c r="C1025" s="50" t="s">
        <v>331</v>
      </c>
      <c r="D1025" s="50" t="s">
        <v>261</v>
      </c>
      <c r="E1025" s="50">
        <v>0</v>
      </c>
      <c r="F1025" s="50">
        <v>0.91410912641168274</v>
      </c>
      <c r="G1025" s="51" t="str">
        <v>佐藤 2022/06/05 (日)
休日午後</v>
      </c>
    </row>
    <row r="1026" spans="1:7" ht="16.149999999999999" x14ac:dyDescent="0.7">
      <c r="A1026" s="49">
        <v>44703.797494525468</v>
      </c>
      <c r="B1026" s="50" t="s">
        <v>19</v>
      </c>
      <c r="C1026" s="50" t="s">
        <v>332</v>
      </c>
      <c r="D1026" s="50" t="s">
        <v>263</v>
      </c>
      <c r="E1026" s="50">
        <v>0</v>
      </c>
      <c r="F1026" s="50">
        <v>0.26326644878036354</v>
      </c>
      <c r="G1026" s="51" t="str">
        <v>佐藤 2022/06/05 (日)
休日午前</v>
      </c>
    </row>
    <row r="1027" spans="1:7" ht="16.149999999999999" x14ac:dyDescent="0.7">
      <c r="A1027" s="49">
        <v>44703.797494525468</v>
      </c>
      <c r="B1027" s="50" t="s">
        <v>19</v>
      </c>
      <c r="C1027" s="50" t="s">
        <v>333</v>
      </c>
      <c r="D1027" s="50" t="s">
        <v>259</v>
      </c>
      <c r="E1027" s="50">
        <v>0</v>
      </c>
      <c r="F1027" s="50">
        <v>0.89504066681426941</v>
      </c>
      <c r="G1027" s="51" t="str">
        <v>佐藤 2022/06/06 (月)
平日夜間</v>
      </c>
    </row>
    <row r="1028" spans="1:7" ht="16.149999999999999" x14ac:dyDescent="0.7">
      <c r="A1028" s="49">
        <v>44703.797494525468</v>
      </c>
      <c r="B1028" s="50" t="s">
        <v>19</v>
      </c>
      <c r="C1028" s="50" t="s">
        <v>334</v>
      </c>
      <c r="D1028" s="50" t="s">
        <v>259</v>
      </c>
      <c r="E1028" s="50">
        <v>0</v>
      </c>
      <c r="F1028" s="50">
        <v>0.36604181797612378</v>
      </c>
      <c r="G1028" s="51" t="str">
        <v>佐藤 2022/06/07 (火)
平日夜間</v>
      </c>
    </row>
    <row r="1029" spans="1:7" ht="16.149999999999999" x14ac:dyDescent="0.7">
      <c r="A1029" s="49">
        <v>44703.797494525468</v>
      </c>
      <c r="B1029" s="50" t="s">
        <v>19</v>
      </c>
      <c r="C1029" s="50" t="s">
        <v>335</v>
      </c>
      <c r="D1029" s="50" t="s">
        <v>259</v>
      </c>
      <c r="E1029" s="50">
        <v>0</v>
      </c>
      <c r="F1029" s="50">
        <v>0.92953912419684159</v>
      </c>
      <c r="G1029" s="51" t="str">
        <v>佐藤 2022/06/08 (水)
平日夜間</v>
      </c>
    </row>
    <row r="1030" spans="1:7" ht="16.149999999999999" x14ac:dyDescent="0.7">
      <c r="A1030" s="49">
        <v>44703.797494525468</v>
      </c>
      <c r="B1030" s="50" t="s">
        <v>19</v>
      </c>
      <c r="C1030" s="50" t="s">
        <v>336</v>
      </c>
      <c r="D1030" s="50" t="s">
        <v>259</v>
      </c>
      <c r="E1030" s="50">
        <v>0</v>
      </c>
      <c r="F1030" s="50">
        <v>0.88778559259502776</v>
      </c>
      <c r="G1030" s="51" t="str">
        <v>佐藤 2022/06/09 (木)
平日夜間</v>
      </c>
    </row>
    <row r="1031" spans="1:7" ht="16.149999999999999" x14ac:dyDescent="0.7">
      <c r="A1031" s="49">
        <v>44703.797494525468</v>
      </c>
      <c r="B1031" s="50" t="s">
        <v>19</v>
      </c>
      <c r="C1031" s="50" t="s">
        <v>337</v>
      </c>
      <c r="D1031" s="50" t="s">
        <v>259</v>
      </c>
      <c r="E1031" s="50">
        <v>-1</v>
      </c>
      <c r="F1031" s="50">
        <v>-0.40992729657470517</v>
      </c>
      <c r="G1031" s="51" t="str">
        <v>佐藤 2022/06/10 (金)
平日夜間</v>
      </c>
    </row>
    <row r="1032" spans="1:7" ht="16.149999999999999" x14ac:dyDescent="0.7">
      <c r="A1032" s="49">
        <v>44703.797494525468</v>
      </c>
      <c r="B1032" s="50" t="s">
        <v>19</v>
      </c>
      <c r="C1032" s="50" t="s">
        <v>338</v>
      </c>
      <c r="D1032" s="50" t="s">
        <v>261</v>
      </c>
      <c r="E1032" s="50">
        <v>-1</v>
      </c>
      <c r="F1032" s="50">
        <v>-0.48652822301443033</v>
      </c>
      <c r="G1032" s="51" t="str">
        <v>佐藤 2022/06/11 (土)
休日午後</v>
      </c>
    </row>
    <row r="1033" spans="1:7" ht="16.149999999999999" x14ac:dyDescent="0.7">
      <c r="A1033" s="49">
        <v>44703.797494525468</v>
      </c>
      <c r="B1033" s="50" t="s">
        <v>19</v>
      </c>
      <c r="C1033" s="50" t="s">
        <v>339</v>
      </c>
      <c r="D1033" s="50" t="s">
        <v>263</v>
      </c>
      <c r="E1033" s="50">
        <v>-1</v>
      </c>
      <c r="F1033" s="50">
        <v>-0.62224387144952886</v>
      </c>
      <c r="G1033" s="51" t="str">
        <v>佐藤 2022/06/11 (土)
休日午前</v>
      </c>
    </row>
    <row r="1034" spans="1:7" ht="16.149999999999999" x14ac:dyDescent="0.7">
      <c r="A1034" s="49">
        <v>44703.797494525468</v>
      </c>
      <c r="B1034" s="50" t="s">
        <v>19</v>
      </c>
      <c r="C1034" s="50" t="s">
        <v>340</v>
      </c>
      <c r="D1034" s="50" t="s">
        <v>261</v>
      </c>
      <c r="E1034" s="50">
        <v>-1</v>
      </c>
      <c r="F1034" s="50">
        <v>-0.52690755998914729</v>
      </c>
      <c r="G1034" s="51" t="str">
        <v>佐藤 2022/06/12 (日)
休日午後</v>
      </c>
    </row>
    <row r="1035" spans="1:7" ht="16.149999999999999" x14ac:dyDescent="0.7">
      <c r="A1035" s="49">
        <v>44703.797494525468</v>
      </c>
      <c r="B1035" s="50" t="s">
        <v>19</v>
      </c>
      <c r="C1035" s="50" t="s">
        <v>341</v>
      </c>
      <c r="D1035" s="50" t="s">
        <v>263</v>
      </c>
      <c r="E1035" s="50">
        <v>-1</v>
      </c>
      <c r="F1035" s="50">
        <v>-1.360856031154456E-2</v>
      </c>
      <c r="G1035" s="51" t="str">
        <v>佐藤 2022/06/12 (日)
休日午前</v>
      </c>
    </row>
    <row r="1036" spans="1:7" ht="16.149999999999999" x14ac:dyDescent="0.7">
      <c r="A1036" s="49">
        <v>44703.797494525468</v>
      </c>
      <c r="B1036" s="50" t="s">
        <v>19</v>
      </c>
      <c r="C1036" s="50" t="s">
        <v>342</v>
      </c>
      <c r="D1036" s="50" t="s">
        <v>259</v>
      </c>
      <c r="E1036" s="50">
        <v>-1</v>
      </c>
      <c r="F1036" s="50">
        <v>-0.33595846015973962</v>
      </c>
      <c r="G1036" s="51" t="str">
        <v>佐藤 2022/06/13 (月)
平日夜間</v>
      </c>
    </row>
    <row r="1037" spans="1:7" ht="16.149999999999999" x14ac:dyDescent="0.7">
      <c r="A1037" s="49">
        <v>44703.797494525468</v>
      </c>
      <c r="B1037" s="50" t="s">
        <v>19</v>
      </c>
      <c r="C1037" s="50" t="s">
        <v>343</v>
      </c>
      <c r="D1037" s="50" t="s">
        <v>259</v>
      </c>
      <c r="E1037" s="50">
        <v>0</v>
      </c>
      <c r="F1037" s="50">
        <v>0.78440798454659144</v>
      </c>
      <c r="G1037" s="51" t="str">
        <v>佐藤 2022/06/14 (火)
平日夜間</v>
      </c>
    </row>
    <row r="1038" spans="1:7" ht="16.149999999999999" x14ac:dyDescent="0.7">
      <c r="A1038" s="49">
        <v>44703.797494525468</v>
      </c>
      <c r="B1038" s="50" t="s">
        <v>19</v>
      </c>
      <c r="C1038" s="50" t="s">
        <v>344</v>
      </c>
      <c r="D1038" s="50" t="s">
        <v>259</v>
      </c>
      <c r="E1038" s="50">
        <v>2</v>
      </c>
      <c r="F1038" s="50">
        <v>2.445368894935803</v>
      </c>
      <c r="G1038" s="51" t="str">
        <v>佐藤 2022/06/15 (水)
平日夜間</v>
      </c>
    </row>
    <row r="1039" spans="1:7" ht="16.149999999999999" x14ac:dyDescent="0.7">
      <c r="A1039" s="49">
        <v>44703.797494525468</v>
      </c>
      <c r="B1039" s="50" t="s">
        <v>19</v>
      </c>
      <c r="C1039" s="50" t="s">
        <v>345</v>
      </c>
      <c r="D1039" s="50" t="s">
        <v>259</v>
      </c>
      <c r="E1039" s="50">
        <v>0</v>
      </c>
      <c r="F1039" s="50">
        <v>0.77184730738157414</v>
      </c>
      <c r="G1039" s="51" t="str">
        <v>佐藤 2022/06/16 (木)
平日夜間</v>
      </c>
    </row>
    <row r="1040" spans="1:7" ht="16.149999999999999" x14ac:dyDescent="0.7">
      <c r="A1040" s="49">
        <v>44703.797494525468</v>
      </c>
      <c r="B1040" s="50" t="s">
        <v>19</v>
      </c>
      <c r="C1040" s="50" t="s">
        <v>346</v>
      </c>
      <c r="D1040" s="50" t="s">
        <v>259</v>
      </c>
      <c r="E1040" s="50">
        <v>0</v>
      </c>
      <c r="F1040" s="50">
        <v>0.40031562090590356</v>
      </c>
      <c r="G1040" s="51" t="str">
        <v>佐藤 2022/06/17 (金)
平日夜間</v>
      </c>
    </row>
    <row r="1041" spans="1:7" ht="16.149999999999999" x14ac:dyDescent="0.7">
      <c r="A1041" s="49">
        <v>44703.797494525468</v>
      </c>
      <c r="B1041" s="50" t="s">
        <v>19</v>
      </c>
      <c r="C1041" s="50" t="s">
        <v>347</v>
      </c>
      <c r="D1041" s="50" t="s">
        <v>261</v>
      </c>
      <c r="E1041" s="50">
        <v>0</v>
      </c>
      <c r="F1041" s="50">
        <v>0.1415972997665913</v>
      </c>
      <c r="G1041" s="51" t="str">
        <v>佐藤 2022/06/18 (土)
休日午後</v>
      </c>
    </row>
    <row r="1042" spans="1:7" ht="16.149999999999999" x14ac:dyDescent="0.7">
      <c r="A1042" s="49">
        <v>44703.797494525468</v>
      </c>
      <c r="B1042" s="50" t="s">
        <v>19</v>
      </c>
      <c r="C1042" s="50" t="s">
        <v>348</v>
      </c>
      <c r="D1042" s="50" t="s">
        <v>263</v>
      </c>
      <c r="E1042" s="50">
        <v>0</v>
      </c>
      <c r="F1042" s="50">
        <v>0.49849174751155823</v>
      </c>
      <c r="G1042" s="51" t="str">
        <v>佐藤 2022/06/18 (土)
休日午前</v>
      </c>
    </row>
    <row r="1043" spans="1:7" ht="16.149999999999999" x14ac:dyDescent="0.7">
      <c r="A1043" s="49">
        <v>44703.797494525468</v>
      </c>
      <c r="B1043" s="50" t="s">
        <v>19</v>
      </c>
      <c r="C1043" s="50" t="s">
        <v>349</v>
      </c>
      <c r="D1043" s="50" t="s">
        <v>261</v>
      </c>
      <c r="E1043" s="50">
        <v>0</v>
      </c>
      <c r="F1043" s="50">
        <v>0.87295884318022887</v>
      </c>
      <c r="G1043" s="51" t="str">
        <v>佐藤 2022/06/19 (日)
休日午後</v>
      </c>
    </row>
    <row r="1044" spans="1:7" ht="16.149999999999999" x14ac:dyDescent="0.7">
      <c r="A1044" s="49">
        <v>44703.797494525468</v>
      </c>
      <c r="B1044" s="50" t="s">
        <v>19</v>
      </c>
      <c r="C1044" s="50" t="s">
        <v>350</v>
      </c>
      <c r="D1044" s="50" t="s">
        <v>263</v>
      </c>
      <c r="E1044" s="50">
        <v>0</v>
      </c>
      <c r="F1044" s="50">
        <v>0.44676103162848535</v>
      </c>
      <c r="G1044" s="51" t="str">
        <v>佐藤 2022/06/19 (日)
休日午前</v>
      </c>
    </row>
    <row r="1045" spans="1:7" ht="16.149999999999999" x14ac:dyDescent="0.7">
      <c r="A1045" s="49">
        <v>44703.797494525468</v>
      </c>
      <c r="B1045" s="50" t="s">
        <v>19</v>
      </c>
      <c r="C1045" s="50" t="s">
        <v>351</v>
      </c>
      <c r="D1045" s="50" t="s">
        <v>259</v>
      </c>
      <c r="E1045" s="50">
        <v>0</v>
      </c>
      <c r="F1045" s="50">
        <v>0.29424141648613156</v>
      </c>
      <c r="G1045" s="51" t="str">
        <v>佐藤 2022/06/20 (月)
平日夜間</v>
      </c>
    </row>
    <row r="1046" spans="1:7" ht="16.149999999999999" x14ac:dyDescent="0.7">
      <c r="A1046" s="49">
        <v>44703.797494525468</v>
      </c>
      <c r="B1046" s="50" t="s">
        <v>19</v>
      </c>
      <c r="C1046" s="50" t="s">
        <v>352</v>
      </c>
      <c r="D1046" s="50" t="s">
        <v>259</v>
      </c>
      <c r="E1046" s="50">
        <v>0</v>
      </c>
      <c r="F1046" s="50">
        <v>0.54321183224778391</v>
      </c>
      <c r="G1046" s="51" t="str">
        <v>佐藤 2022/06/21 (火)
平日夜間</v>
      </c>
    </row>
    <row r="1047" spans="1:7" ht="16.149999999999999" x14ac:dyDescent="0.7">
      <c r="A1047" s="49">
        <v>44703.797494525468</v>
      </c>
      <c r="B1047" s="50" t="s">
        <v>19</v>
      </c>
      <c r="C1047" s="50" t="s">
        <v>353</v>
      </c>
      <c r="D1047" s="50" t="s">
        <v>259</v>
      </c>
      <c r="E1047" s="50">
        <v>0</v>
      </c>
      <c r="F1047" s="50">
        <v>0.47338816218529112</v>
      </c>
      <c r="G1047" s="51" t="str">
        <v>佐藤 2022/06/22 (水)
平日夜間</v>
      </c>
    </row>
    <row r="1048" spans="1:7" ht="16.149999999999999" x14ac:dyDescent="0.7">
      <c r="A1048" s="49">
        <v>44703.797494525468</v>
      </c>
      <c r="B1048" s="50" t="s">
        <v>19</v>
      </c>
      <c r="C1048" s="50" t="s">
        <v>354</v>
      </c>
      <c r="D1048" s="50" t="s">
        <v>259</v>
      </c>
      <c r="E1048" s="50">
        <v>0</v>
      </c>
      <c r="F1048" s="50">
        <v>0.79480221557656838</v>
      </c>
      <c r="G1048" s="51" t="str">
        <v>佐藤 2022/06/23 (木)
平日夜間</v>
      </c>
    </row>
    <row r="1049" spans="1:7" ht="16.149999999999999" x14ac:dyDescent="0.7">
      <c r="A1049" s="49">
        <v>44703.797494525468</v>
      </c>
      <c r="B1049" s="50" t="s">
        <v>19</v>
      </c>
      <c r="C1049" s="50" t="s">
        <v>355</v>
      </c>
      <c r="D1049" s="50" t="s">
        <v>259</v>
      </c>
      <c r="E1049" s="50">
        <v>0</v>
      </c>
      <c r="F1049" s="50">
        <v>0.30819439734175003</v>
      </c>
      <c r="G1049" s="51" t="str">
        <v>佐藤 2022/06/24 (金)
平日夜間</v>
      </c>
    </row>
    <row r="1050" spans="1:7" ht="16.149999999999999" x14ac:dyDescent="0.7">
      <c r="A1050" s="49">
        <v>44703.797494525468</v>
      </c>
      <c r="B1050" s="50" t="s">
        <v>19</v>
      </c>
      <c r="C1050" s="50" t="s">
        <v>356</v>
      </c>
      <c r="D1050" s="50" t="s">
        <v>261</v>
      </c>
      <c r="E1050" s="50">
        <v>0</v>
      </c>
      <c r="F1050" s="50">
        <v>0.1431519114561508</v>
      </c>
      <c r="G1050" s="51" t="str">
        <v>佐藤 2022/06/25 (土)
休日午後</v>
      </c>
    </row>
    <row r="1051" spans="1:7" ht="16.149999999999999" x14ac:dyDescent="0.7">
      <c r="A1051" s="49">
        <v>44703.797494525468</v>
      </c>
      <c r="B1051" s="50" t="s">
        <v>19</v>
      </c>
      <c r="C1051" s="50" t="s">
        <v>357</v>
      </c>
      <c r="D1051" s="50" t="s">
        <v>263</v>
      </c>
      <c r="E1051" s="50">
        <v>1</v>
      </c>
      <c r="F1051" s="50">
        <v>1.1846968731077965</v>
      </c>
      <c r="G1051" s="51" t="str">
        <v>佐藤 2022/06/25 (土)
休日午前</v>
      </c>
    </row>
    <row r="1052" spans="1:7" ht="16.149999999999999" x14ac:dyDescent="0.7">
      <c r="A1052" s="49">
        <v>44703.797494525468</v>
      </c>
      <c r="B1052" s="50" t="s">
        <v>19</v>
      </c>
      <c r="C1052" s="50" t="s">
        <v>358</v>
      </c>
      <c r="D1052" s="50" t="s">
        <v>261</v>
      </c>
      <c r="E1052" s="50">
        <v>-1</v>
      </c>
      <c r="F1052" s="50">
        <v>-0.88665497597291298</v>
      </c>
      <c r="G1052" s="51" t="str">
        <v>佐藤 2022/06/26 (日)
休日午後</v>
      </c>
    </row>
    <row r="1053" spans="1:7" ht="16.149999999999999" x14ac:dyDescent="0.7">
      <c r="A1053" s="49">
        <v>44703.797494525468</v>
      </c>
      <c r="B1053" s="50" t="s">
        <v>19</v>
      </c>
      <c r="C1053" s="50" t="s">
        <v>359</v>
      </c>
      <c r="D1053" s="50" t="s">
        <v>263</v>
      </c>
      <c r="E1053" s="50">
        <v>-1</v>
      </c>
      <c r="F1053" s="50">
        <v>-0.24975683731784892</v>
      </c>
      <c r="G1053" s="51" t="str">
        <v>佐藤 2022/06/26 (日)
休日午前</v>
      </c>
    </row>
    <row r="1054" spans="1:7" ht="16.149999999999999" x14ac:dyDescent="0.7">
      <c r="A1054" s="49">
        <v>44703.797494525468</v>
      </c>
      <c r="B1054" s="50" t="s">
        <v>19</v>
      </c>
      <c r="C1054" s="50" t="s">
        <v>360</v>
      </c>
      <c r="D1054" s="50" t="s">
        <v>259</v>
      </c>
      <c r="E1054" s="50">
        <v>0</v>
      </c>
      <c r="F1054" s="50">
        <v>0.18275081541546712</v>
      </c>
      <c r="G1054" s="51" t="str">
        <v>佐藤 2022/06/27 (月)
平日夜間</v>
      </c>
    </row>
    <row r="1055" spans="1:7" ht="16.149999999999999" x14ac:dyDescent="0.7">
      <c r="A1055" s="49">
        <v>44703.797494525468</v>
      </c>
      <c r="B1055" s="50" t="s">
        <v>19</v>
      </c>
      <c r="C1055" s="50" t="s">
        <v>361</v>
      </c>
      <c r="D1055" s="50" t="s">
        <v>259</v>
      </c>
      <c r="E1055" s="50">
        <v>0</v>
      </c>
      <c r="F1055" s="50">
        <v>0.21272397307963287</v>
      </c>
      <c r="G1055" s="51" t="str">
        <v>佐藤 2022/06/28 (火)
平日夜間</v>
      </c>
    </row>
    <row r="1056" spans="1:7" ht="16.149999999999999" x14ac:dyDescent="0.7">
      <c r="A1056" s="49">
        <v>44703.797494525468</v>
      </c>
      <c r="B1056" s="50" t="s">
        <v>19</v>
      </c>
      <c r="C1056" s="50" t="s">
        <v>362</v>
      </c>
      <c r="D1056" s="50" t="s">
        <v>259</v>
      </c>
      <c r="E1056" s="50">
        <v>0</v>
      </c>
      <c r="F1056" s="50">
        <v>5.7324896597503727E-2</v>
      </c>
      <c r="G1056" s="51" t="str">
        <v>佐藤 2022/06/29 (水)
平日夜間</v>
      </c>
    </row>
    <row r="1057" spans="1:7" ht="16.149999999999999" x14ac:dyDescent="0.7">
      <c r="A1057" s="49">
        <v>44703.797494525468</v>
      </c>
      <c r="B1057" s="50" t="s">
        <v>19</v>
      </c>
      <c r="C1057" s="50" t="s">
        <v>363</v>
      </c>
      <c r="D1057" s="50" t="s">
        <v>259</v>
      </c>
      <c r="E1057" s="50">
        <v>0</v>
      </c>
      <c r="F1057" s="50">
        <v>0.67449147461349934</v>
      </c>
      <c r="G1057" s="51" t="str">
        <v>佐藤 2022/06/30 (木)
平日夜間</v>
      </c>
    </row>
    <row r="1058" spans="1:7" ht="16.149999999999999" x14ac:dyDescent="0.7">
      <c r="A1058" s="49">
        <v>44704.470562268514</v>
      </c>
      <c r="B1058" s="50" t="s">
        <v>29</v>
      </c>
      <c r="C1058" s="50" t="s">
        <v>326</v>
      </c>
      <c r="D1058" s="50" t="s">
        <v>259</v>
      </c>
      <c r="E1058" s="50">
        <v>-1</v>
      </c>
      <c r="F1058" s="50">
        <v>-0.90417382006504154</v>
      </c>
      <c r="G1058" s="51" t="str">
        <v>福里 2022/06/01 (水)
平日夜間</v>
      </c>
    </row>
    <row r="1059" spans="1:7" ht="16.149999999999999" x14ac:dyDescent="0.7">
      <c r="A1059" s="49">
        <v>44704.470562268514</v>
      </c>
      <c r="B1059" s="50" t="s">
        <v>29</v>
      </c>
      <c r="C1059" s="50" t="s">
        <v>327</v>
      </c>
      <c r="D1059" s="50" t="s">
        <v>259</v>
      </c>
      <c r="E1059" s="50">
        <v>-1</v>
      </c>
      <c r="F1059" s="50">
        <v>-0.92202042031687426</v>
      </c>
      <c r="G1059" s="51" t="str">
        <v>福里 2022/06/02 (木)
平日夜間</v>
      </c>
    </row>
    <row r="1060" spans="1:7" ht="16.149999999999999" x14ac:dyDescent="0.7">
      <c r="A1060" s="49">
        <v>44704.470562268514</v>
      </c>
      <c r="B1060" s="50" t="s">
        <v>29</v>
      </c>
      <c r="C1060" s="50" t="s">
        <v>328</v>
      </c>
      <c r="D1060" s="50" t="s">
        <v>259</v>
      </c>
      <c r="E1060" s="50">
        <v>0</v>
      </c>
      <c r="F1060" s="50">
        <v>0.59764868929400694</v>
      </c>
      <c r="G1060" s="51" t="str">
        <v>福里 2022/06/03 (金)
平日夜間</v>
      </c>
    </row>
    <row r="1061" spans="1:7" ht="16.149999999999999" x14ac:dyDescent="0.7">
      <c r="A1061" s="49">
        <v>44704.470562268514</v>
      </c>
      <c r="B1061" s="50" t="s">
        <v>29</v>
      </c>
      <c r="C1061" s="50" t="s">
        <v>329</v>
      </c>
      <c r="D1061" s="50" t="s">
        <v>261</v>
      </c>
      <c r="E1061" s="50">
        <v>-1</v>
      </c>
      <c r="F1061" s="50">
        <v>-0.39763584659860518</v>
      </c>
      <c r="G1061" s="51" t="str">
        <v>福里 2022/06/04 (土)
休日午後</v>
      </c>
    </row>
    <row r="1062" spans="1:7" ht="16.149999999999999" x14ac:dyDescent="0.7">
      <c r="A1062" s="49">
        <v>44704.470562268514</v>
      </c>
      <c r="B1062" s="50" t="s">
        <v>29</v>
      </c>
      <c r="C1062" s="50" t="s">
        <v>330</v>
      </c>
      <c r="D1062" s="50" t="s">
        <v>263</v>
      </c>
      <c r="E1062" s="50">
        <v>0</v>
      </c>
      <c r="F1062" s="50">
        <v>0.76307717352888682</v>
      </c>
      <c r="G1062" s="51" t="str">
        <v>福里 2022/06/04 (土)
休日午前</v>
      </c>
    </row>
    <row r="1063" spans="1:7" ht="16.149999999999999" x14ac:dyDescent="0.7">
      <c r="A1063" s="49">
        <v>44704.470562268514</v>
      </c>
      <c r="B1063" s="50" t="s">
        <v>29</v>
      </c>
      <c r="C1063" s="50" t="s">
        <v>331</v>
      </c>
      <c r="D1063" s="50" t="s">
        <v>261</v>
      </c>
      <c r="E1063" s="50">
        <v>-1</v>
      </c>
      <c r="F1063" s="50">
        <v>-0.87796458620115736</v>
      </c>
      <c r="G1063" s="51" t="str">
        <v>福里 2022/06/05 (日)
休日午後</v>
      </c>
    </row>
    <row r="1064" spans="1:7" ht="16.149999999999999" x14ac:dyDescent="0.7">
      <c r="A1064" s="49">
        <v>44704.470562268514</v>
      </c>
      <c r="B1064" s="50" t="s">
        <v>29</v>
      </c>
      <c r="C1064" s="50" t="s">
        <v>332</v>
      </c>
      <c r="D1064" s="50" t="s">
        <v>263</v>
      </c>
      <c r="E1064" s="50">
        <v>0</v>
      </c>
      <c r="F1064" s="50">
        <v>0.72883676177417733</v>
      </c>
      <c r="G1064" s="51" t="str">
        <v>福里 2022/06/05 (日)
休日午前</v>
      </c>
    </row>
    <row r="1065" spans="1:7" ht="16.149999999999999" x14ac:dyDescent="0.7">
      <c r="A1065" s="49">
        <v>44704.470562268514</v>
      </c>
      <c r="B1065" s="50" t="s">
        <v>29</v>
      </c>
      <c r="C1065" s="50" t="s">
        <v>333</v>
      </c>
      <c r="D1065" s="50" t="s">
        <v>259</v>
      </c>
      <c r="E1065" s="50">
        <v>0</v>
      </c>
      <c r="F1065" s="50">
        <v>9.7889868847460537E-2</v>
      </c>
      <c r="G1065" s="51" t="str">
        <v>福里 2022/06/06 (月)
平日夜間</v>
      </c>
    </row>
    <row r="1066" spans="1:7" ht="16.149999999999999" x14ac:dyDescent="0.7">
      <c r="A1066" s="49">
        <v>44704.470562268514</v>
      </c>
      <c r="B1066" s="50" t="s">
        <v>29</v>
      </c>
      <c r="C1066" s="50" t="s">
        <v>334</v>
      </c>
      <c r="D1066" s="50" t="s">
        <v>259</v>
      </c>
      <c r="E1066" s="50">
        <v>0</v>
      </c>
      <c r="F1066" s="50">
        <v>0.99963104437696804</v>
      </c>
      <c r="G1066" s="51" t="str">
        <v>福里 2022/06/07 (火)
平日夜間</v>
      </c>
    </row>
    <row r="1067" spans="1:7" ht="16.149999999999999" x14ac:dyDescent="0.7">
      <c r="A1067" s="49">
        <v>44704.470562268514</v>
      </c>
      <c r="B1067" s="50" t="s">
        <v>29</v>
      </c>
      <c r="C1067" s="50" t="s">
        <v>335</v>
      </c>
      <c r="D1067" s="50" t="s">
        <v>259</v>
      </c>
      <c r="E1067" s="50">
        <v>0</v>
      </c>
      <c r="F1067" s="50">
        <v>0.78237416531420645</v>
      </c>
      <c r="G1067" s="51" t="str">
        <v>福里 2022/06/08 (水)
平日夜間</v>
      </c>
    </row>
    <row r="1068" spans="1:7" ht="16.149999999999999" x14ac:dyDescent="0.7">
      <c r="A1068" s="49">
        <v>44704.470562268514</v>
      </c>
      <c r="B1068" s="50" t="s">
        <v>29</v>
      </c>
      <c r="C1068" s="50" t="s">
        <v>336</v>
      </c>
      <c r="D1068" s="50" t="s">
        <v>259</v>
      </c>
      <c r="E1068" s="50">
        <v>0</v>
      </c>
      <c r="F1068" s="50">
        <v>0.58508940152760425</v>
      </c>
      <c r="G1068" s="51" t="str">
        <v>福里 2022/06/09 (木)
平日夜間</v>
      </c>
    </row>
    <row r="1069" spans="1:7" ht="16.149999999999999" x14ac:dyDescent="0.7">
      <c r="A1069" s="49">
        <v>44704.470562268514</v>
      </c>
      <c r="B1069" s="50" t="s">
        <v>29</v>
      </c>
      <c r="C1069" s="50" t="s">
        <v>337</v>
      </c>
      <c r="D1069" s="50" t="s">
        <v>259</v>
      </c>
      <c r="E1069" s="50">
        <v>0</v>
      </c>
      <c r="F1069" s="50">
        <v>0.87231582534513286</v>
      </c>
      <c r="G1069" s="51" t="str">
        <v>福里 2022/06/10 (金)
平日夜間</v>
      </c>
    </row>
    <row r="1070" spans="1:7" ht="16.149999999999999" x14ac:dyDescent="0.7">
      <c r="A1070" s="49">
        <v>44704.470562268514</v>
      </c>
      <c r="B1070" s="50" t="s">
        <v>29</v>
      </c>
      <c r="C1070" s="50" t="s">
        <v>338</v>
      </c>
      <c r="D1070" s="50" t="s">
        <v>261</v>
      </c>
      <c r="E1070" s="50">
        <v>-1</v>
      </c>
      <c r="F1070" s="50">
        <v>-0.52708129191811959</v>
      </c>
      <c r="G1070" s="51" t="str">
        <v>福里 2022/06/11 (土)
休日午後</v>
      </c>
    </row>
    <row r="1071" spans="1:7" ht="16.149999999999999" x14ac:dyDescent="0.7">
      <c r="A1071" s="49">
        <v>44704.470562268514</v>
      </c>
      <c r="B1071" s="50" t="s">
        <v>29</v>
      </c>
      <c r="C1071" s="50" t="s">
        <v>339</v>
      </c>
      <c r="D1071" s="50" t="s">
        <v>263</v>
      </c>
      <c r="E1071" s="50">
        <v>0</v>
      </c>
      <c r="F1071" s="50">
        <v>5.5437477613847985E-2</v>
      </c>
      <c r="G1071" s="51" t="str">
        <v>福里 2022/06/11 (土)
休日午前</v>
      </c>
    </row>
    <row r="1072" spans="1:7" ht="16.149999999999999" x14ac:dyDescent="0.7">
      <c r="A1072" s="49">
        <v>44704.470562268514</v>
      </c>
      <c r="B1072" s="50" t="s">
        <v>29</v>
      </c>
      <c r="C1072" s="50" t="s">
        <v>340</v>
      </c>
      <c r="D1072" s="50" t="s">
        <v>261</v>
      </c>
      <c r="E1072" s="50">
        <v>-1</v>
      </c>
      <c r="F1072" s="50">
        <v>-0.29702226006677201</v>
      </c>
      <c r="G1072" s="51" t="str">
        <v>福里 2022/06/12 (日)
休日午後</v>
      </c>
    </row>
    <row r="1073" spans="1:7" ht="16.149999999999999" x14ac:dyDescent="0.7">
      <c r="A1073" s="49">
        <v>44704.470562268514</v>
      </c>
      <c r="B1073" s="50" t="s">
        <v>29</v>
      </c>
      <c r="C1073" s="50" t="s">
        <v>341</v>
      </c>
      <c r="D1073" s="50" t="s">
        <v>263</v>
      </c>
      <c r="E1073" s="50">
        <v>-1</v>
      </c>
      <c r="F1073" s="50">
        <v>-0.51737546330441631</v>
      </c>
      <c r="G1073" s="51" t="str">
        <v>福里 2022/06/12 (日)
休日午前</v>
      </c>
    </row>
    <row r="1074" spans="1:7" ht="16.149999999999999" x14ac:dyDescent="0.7">
      <c r="A1074" s="49">
        <v>44704.470562268514</v>
      </c>
      <c r="B1074" s="50" t="s">
        <v>29</v>
      </c>
      <c r="C1074" s="50" t="s">
        <v>342</v>
      </c>
      <c r="D1074" s="50" t="s">
        <v>259</v>
      </c>
      <c r="E1074" s="50">
        <v>0</v>
      </c>
      <c r="F1074" s="50">
        <v>0.15823565468841605</v>
      </c>
      <c r="G1074" s="51" t="str">
        <v>福里 2022/06/13 (月)
平日夜間</v>
      </c>
    </row>
    <row r="1075" spans="1:7" ht="16.149999999999999" x14ac:dyDescent="0.7">
      <c r="A1075" s="49">
        <v>44704.470562268514</v>
      </c>
      <c r="B1075" s="50" t="s">
        <v>29</v>
      </c>
      <c r="C1075" s="50" t="s">
        <v>343</v>
      </c>
      <c r="D1075" s="50" t="s">
        <v>259</v>
      </c>
      <c r="E1075" s="50">
        <v>0</v>
      </c>
      <c r="F1075" s="50">
        <v>0.52046216944511881</v>
      </c>
      <c r="G1075" s="51" t="str">
        <v>福里 2022/06/14 (火)
平日夜間</v>
      </c>
    </row>
    <row r="1076" spans="1:7" ht="16.149999999999999" x14ac:dyDescent="0.7">
      <c r="A1076" s="49">
        <v>44704.470562268514</v>
      </c>
      <c r="B1076" s="50" t="s">
        <v>29</v>
      </c>
      <c r="C1076" s="50" t="s">
        <v>344</v>
      </c>
      <c r="D1076" s="50" t="s">
        <v>259</v>
      </c>
      <c r="E1076" s="50">
        <v>0</v>
      </c>
      <c r="F1076" s="50">
        <v>0.74717653681275298</v>
      </c>
      <c r="G1076" s="51" t="str">
        <v>福里 2022/06/15 (水)
平日夜間</v>
      </c>
    </row>
    <row r="1077" spans="1:7" ht="16.149999999999999" x14ac:dyDescent="0.7">
      <c r="A1077" s="49">
        <v>44704.470562268514</v>
      </c>
      <c r="B1077" s="50" t="s">
        <v>29</v>
      </c>
      <c r="C1077" s="50" t="s">
        <v>345</v>
      </c>
      <c r="D1077" s="50" t="s">
        <v>259</v>
      </c>
      <c r="E1077" s="50">
        <v>0</v>
      </c>
      <c r="F1077" s="50">
        <v>0.69519812404797743</v>
      </c>
      <c r="G1077" s="51" t="str">
        <v>福里 2022/06/16 (木)
平日夜間</v>
      </c>
    </row>
    <row r="1078" spans="1:7" ht="16.149999999999999" x14ac:dyDescent="0.7">
      <c r="A1078" s="49">
        <v>44704.470562268514</v>
      </c>
      <c r="B1078" s="50" t="s">
        <v>29</v>
      </c>
      <c r="C1078" s="50" t="s">
        <v>346</v>
      </c>
      <c r="D1078" s="50" t="s">
        <v>259</v>
      </c>
      <c r="E1078" s="50">
        <v>-1</v>
      </c>
      <c r="F1078" s="50">
        <v>-0.41993169730782087</v>
      </c>
      <c r="G1078" s="51" t="str">
        <v>福里 2022/06/17 (金)
平日夜間</v>
      </c>
    </row>
    <row r="1079" spans="1:7" ht="16.149999999999999" x14ac:dyDescent="0.7">
      <c r="A1079" s="49">
        <v>44704.470562268514</v>
      </c>
      <c r="B1079" s="50" t="s">
        <v>29</v>
      </c>
      <c r="C1079" s="50" t="s">
        <v>347</v>
      </c>
      <c r="D1079" s="50" t="s">
        <v>261</v>
      </c>
      <c r="E1079" s="50">
        <v>2</v>
      </c>
      <c r="F1079" s="50">
        <v>2.6444203852304078</v>
      </c>
      <c r="G1079" s="51" t="str">
        <v>福里 2022/06/18 (土)
休日午後</v>
      </c>
    </row>
    <row r="1080" spans="1:7" ht="16.149999999999999" x14ac:dyDescent="0.7">
      <c r="A1080" s="49">
        <v>44704.470562268514</v>
      </c>
      <c r="B1080" s="50" t="s">
        <v>29</v>
      </c>
      <c r="C1080" s="50" t="s">
        <v>348</v>
      </c>
      <c r="D1080" s="50" t="s">
        <v>263</v>
      </c>
      <c r="E1080" s="50">
        <v>0</v>
      </c>
      <c r="F1080" s="50">
        <v>0.80956374607985326</v>
      </c>
      <c r="G1080" s="51" t="str">
        <v>福里 2022/06/18 (土)
休日午前</v>
      </c>
    </row>
    <row r="1081" spans="1:7" ht="16.149999999999999" x14ac:dyDescent="0.7">
      <c r="A1081" s="49">
        <v>44704.470562268514</v>
      </c>
      <c r="B1081" s="50" t="s">
        <v>29</v>
      </c>
      <c r="C1081" s="50" t="s">
        <v>349</v>
      </c>
      <c r="D1081" s="50" t="s">
        <v>261</v>
      </c>
      <c r="E1081" s="50">
        <v>-1</v>
      </c>
      <c r="F1081" s="50">
        <v>-0.27644731056240923</v>
      </c>
      <c r="G1081" s="51" t="str">
        <v>福里 2022/06/19 (日)
休日午後</v>
      </c>
    </row>
    <row r="1082" spans="1:7" ht="16.149999999999999" x14ac:dyDescent="0.7">
      <c r="A1082" s="49">
        <v>44704.470562268514</v>
      </c>
      <c r="B1082" s="50" t="s">
        <v>29</v>
      </c>
      <c r="C1082" s="50" t="s">
        <v>350</v>
      </c>
      <c r="D1082" s="50" t="s">
        <v>263</v>
      </c>
      <c r="E1082" s="50">
        <v>0</v>
      </c>
      <c r="F1082" s="50">
        <v>0.98746807456639929</v>
      </c>
      <c r="G1082" s="51" t="str">
        <v>福里 2022/06/19 (日)
休日午前</v>
      </c>
    </row>
    <row r="1083" spans="1:7" ht="16.149999999999999" x14ac:dyDescent="0.7">
      <c r="A1083" s="49">
        <v>44704.470562268514</v>
      </c>
      <c r="B1083" s="50" t="s">
        <v>29</v>
      </c>
      <c r="C1083" s="50" t="s">
        <v>351</v>
      </c>
      <c r="D1083" s="50" t="s">
        <v>259</v>
      </c>
      <c r="E1083" s="50">
        <v>0</v>
      </c>
      <c r="F1083" s="50">
        <v>7.4631135407220217E-2</v>
      </c>
      <c r="G1083" s="51" t="str">
        <v>福里 2022/06/20 (月)
平日夜間</v>
      </c>
    </row>
    <row r="1084" spans="1:7" ht="16.149999999999999" x14ac:dyDescent="0.7">
      <c r="A1084" s="49">
        <v>44704.470562268514</v>
      </c>
      <c r="B1084" s="50" t="s">
        <v>29</v>
      </c>
      <c r="C1084" s="50" t="s">
        <v>352</v>
      </c>
      <c r="D1084" s="50" t="s">
        <v>259</v>
      </c>
      <c r="E1084" s="50">
        <v>0</v>
      </c>
      <c r="F1084" s="50">
        <v>0.32269107956754461</v>
      </c>
      <c r="G1084" s="51" t="str">
        <v>福里 2022/06/21 (火)
平日夜間</v>
      </c>
    </row>
    <row r="1085" spans="1:7" ht="16.149999999999999" x14ac:dyDescent="0.7">
      <c r="A1085" s="49">
        <v>44704.470562268514</v>
      </c>
      <c r="B1085" s="50" t="s">
        <v>29</v>
      </c>
      <c r="C1085" s="50" t="s">
        <v>353</v>
      </c>
      <c r="D1085" s="50" t="s">
        <v>259</v>
      </c>
      <c r="E1085" s="50">
        <v>0</v>
      </c>
      <c r="F1085" s="50">
        <v>9.683195933983213E-2</v>
      </c>
      <c r="G1085" s="51" t="str">
        <v>福里 2022/06/22 (水)
平日夜間</v>
      </c>
    </row>
    <row r="1086" spans="1:7" ht="16.149999999999999" x14ac:dyDescent="0.7">
      <c r="A1086" s="49">
        <v>44704.470562268514</v>
      </c>
      <c r="B1086" s="50" t="s">
        <v>29</v>
      </c>
      <c r="C1086" s="50" t="s">
        <v>354</v>
      </c>
      <c r="D1086" s="50" t="s">
        <v>259</v>
      </c>
      <c r="E1086" s="50">
        <v>0</v>
      </c>
      <c r="F1086" s="50">
        <v>8.6928052861969807E-2</v>
      </c>
      <c r="G1086" s="51" t="str">
        <v>福里 2022/06/23 (木)
平日夜間</v>
      </c>
    </row>
    <row r="1087" spans="1:7" ht="16.149999999999999" x14ac:dyDescent="0.7">
      <c r="A1087" s="49">
        <v>44704.470562268514</v>
      </c>
      <c r="B1087" s="50" t="s">
        <v>29</v>
      </c>
      <c r="C1087" s="50" t="s">
        <v>355</v>
      </c>
      <c r="D1087" s="50" t="s">
        <v>259</v>
      </c>
      <c r="E1087" s="50">
        <v>0</v>
      </c>
      <c r="F1087" s="50">
        <v>0.50917345882071396</v>
      </c>
      <c r="G1087" s="51" t="str">
        <v>福里 2022/06/24 (金)
平日夜間</v>
      </c>
    </row>
    <row r="1088" spans="1:7" ht="16.149999999999999" x14ac:dyDescent="0.7">
      <c r="A1088" s="49">
        <v>44704.470562268514</v>
      </c>
      <c r="B1088" s="50" t="s">
        <v>29</v>
      </c>
      <c r="C1088" s="50" t="s">
        <v>356</v>
      </c>
      <c r="D1088" s="50" t="s">
        <v>261</v>
      </c>
      <c r="E1088" s="50">
        <v>-1</v>
      </c>
      <c r="F1088" s="50">
        <v>-6.3973326838135502E-2</v>
      </c>
      <c r="G1088" s="51" t="str">
        <v>福里 2022/06/25 (土)
休日午後</v>
      </c>
    </row>
    <row r="1089" spans="1:7" ht="16.149999999999999" x14ac:dyDescent="0.7">
      <c r="A1089" s="49">
        <v>44704.470562268514</v>
      </c>
      <c r="B1089" s="50" t="s">
        <v>29</v>
      </c>
      <c r="C1089" s="50" t="s">
        <v>357</v>
      </c>
      <c r="D1089" s="50" t="s">
        <v>263</v>
      </c>
      <c r="E1089" s="50">
        <v>0</v>
      </c>
      <c r="F1089" s="50">
        <v>0.73221816840526666</v>
      </c>
      <c r="G1089" s="51" t="str">
        <v>福里 2022/06/25 (土)
休日午前</v>
      </c>
    </row>
    <row r="1090" spans="1:7" ht="16.149999999999999" x14ac:dyDescent="0.7">
      <c r="A1090" s="49">
        <v>44704.470562268514</v>
      </c>
      <c r="B1090" s="50" t="s">
        <v>29</v>
      </c>
      <c r="C1090" s="50" t="s">
        <v>358</v>
      </c>
      <c r="D1090" s="50" t="s">
        <v>261</v>
      </c>
      <c r="E1090" s="50">
        <v>-1</v>
      </c>
      <c r="F1090" s="50">
        <v>-0.93792040423835887</v>
      </c>
      <c r="G1090" s="51" t="str">
        <v>福里 2022/06/26 (日)
休日午後</v>
      </c>
    </row>
    <row r="1091" spans="1:7" ht="16.149999999999999" x14ac:dyDescent="0.7">
      <c r="A1091" s="49">
        <v>44704.470562268514</v>
      </c>
      <c r="B1091" s="50" t="s">
        <v>29</v>
      </c>
      <c r="C1091" s="50" t="s">
        <v>359</v>
      </c>
      <c r="D1091" s="50" t="s">
        <v>263</v>
      </c>
      <c r="E1091" s="50">
        <v>-1</v>
      </c>
      <c r="F1091" s="50">
        <v>-0.48146142795476909</v>
      </c>
      <c r="G1091" s="51" t="str">
        <v>福里 2022/06/26 (日)
休日午前</v>
      </c>
    </row>
    <row r="1092" spans="1:7" ht="16.149999999999999" x14ac:dyDescent="0.7">
      <c r="A1092" s="49">
        <v>44704.470562268514</v>
      </c>
      <c r="B1092" s="50" t="s">
        <v>29</v>
      </c>
      <c r="C1092" s="50" t="s">
        <v>360</v>
      </c>
      <c r="D1092" s="50" t="s">
        <v>259</v>
      </c>
      <c r="E1092" s="50">
        <v>-1</v>
      </c>
      <c r="F1092" s="50">
        <v>-0.47173392195198827</v>
      </c>
      <c r="G1092" s="51" t="str">
        <v>福里 2022/06/27 (月)
平日夜間</v>
      </c>
    </row>
    <row r="1093" spans="1:7" ht="16.149999999999999" x14ac:dyDescent="0.7">
      <c r="A1093" s="49">
        <v>44704.470562268514</v>
      </c>
      <c r="B1093" s="50" t="s">
        <v>29</v>
      </c>
      <c r="C1093" s="50" t="s">
        <v>361</v>
      </c>
      <c r="D1093" s="50" t="s">
        <v>259</v>
      </c>
      <c r="E1093" s="50">
        <v>-1</v>
      </c>
      <c r="F1093" s="50">
        <v>-0.34737978140337056</v>
      </c>
      <c r="G1093" s="51" t="str">
        <v>福里 2022/06/28 (火)
平日夜間</v>
      </c>
    </row>
    <row r="1094" spans="1:7" ht="16.149999999999999" x14ac:dyDescent="0.7">
      <c r="A1094" s="49">
        <v>44704.470562268514</v>
      </c>
      <c r="B1094" s="50" t="s">
        <v>29</v>
      </c>
      <c r="C1094" s="50" t="s">
        <v>362</v>
      </c>
      <c r="D1094" s="50" t="s">
        <v>259</v>
      </c>
      <c r="E1094" s="50">
        <v>-1</v>
      </c>
      <c r="F1094" s="50">
        <v>-0.23717404743556103</v>
      </c>
      <c r="G1094" s="51" t="str">
        <v>福里 2022/06/29 (水)
平日夜間</v>
      </c>
    </row>
    <row r="1095" spans="1:7" ht="16.149999999999999" x14ac:dyDescent="0.7">
      <c r="A1095" s="49">
        <v>44704.470562268514</v>
      </c>
      <c r="B1095" s="50" t="s">
        <v>29</v>
      </c>
      <c r="C1095" s="50" t="s">
        <v>363</v>
      </c>
      <c r="D1095" s="50" t="s">
        <v>259</v>
      </c>
      <c r="E1095" s="50">
        <v>0</v>
      </c>
      <c r="F1095" s="50">
        <v>0.49666942446328965</v>
      </c>
      <c r="G1095" s="51" t="str">
        <v>福里 2022/06/30 (木)
平日夜間</v>
      </c>
    </row>
    <row r="1096" spans="1:7" ht="16.149999999999999" x14ac:dyDescent="0.7">
      <c r="A1096" s="49">
        <v>44704.93522511574</v>
      </c>
      <c r="B1096" s="50" t="s">
        <v>2</v>
      </c>
      <c r="C1096" s="50" t="s">
        <v>326</v>
      </c>
      <c r="D1096" s="50" t="s">
        <v>259</v>
      </c>
      <c r="E1096" s="50">
        <v>0</v>
      </c>
      <c r="F1096" s="50">
        <v>0.5411605404488451</v>
      </c>
      <c r="G1096" s="51" t="str">
        <v>伊藤 2022/06/01 (水)
平日夜間</v>
      </c>
    </row>
    <row r="1097" spans="1:7" ht="16.149999999999999" x14ac:dyDescent="0.7">
      <c r="A1097" s="49">
        <v>44704.93522511574</v>
      </c>
      <c r="B1097" s="50" t="s">
        <v>2</v>
      </c>
      <c r="C1097" s="50" t="s">
        <v>327</v>
      </c>
      <c r="D1097" s="50" t="s">
        <v>259</v>
      </c>
      <c r="E1097" s="50">
        <v>0</v>
      </c>
      <c r="F1097" s="50">
        <v>0.26590721197410461</v>
      </c>
      <c r="G1097" s="51" t="str">
        <v>伊藤 2022/06/02 (木)
平日夜間</v>
      </c>
    </row>
    <row r="1098" spans="1:7" ht="16.149999999999999" x14ac:dyDescent="0.7">
      <c r="A1098" s="49">
        <v>44704.93522511574</v>
      </c>
      <c r="B1098" s="50" t="s">
        <v>2</v>
      </c>
      <c r="C1098" s="50" t="s">
        <v>328</v>
      </c>
      <c r="D1098" s="50" t="s">
        <v>259</v>
      </c>
      <c r="E1098" s="50">
        <v>0</v>
      </c>
      <c r="F1098" s="50">
        <v>0.93142344100240049</v>
      </c>
      <c r="G1098" s="51" t="str">
        <v>伊藤 2022/06/03 (金)
平日夜間</v>
      </c>
    </row>
    <row r="1099" spans="1:7" ht="16.149999999999999" x14ac:dyDescent="0.7">
      <c r="A1099" s="49">
        <v>44704.93522511574</v>
      </c>
      <c r="B1099" s="50" t="s">
        <v>2</v>
      </c>
      <c r="C1099" s="50" t="s">
        <v>329</v>
      </c>
      <c r="D1099" s="50" t="s">
        <v>261</v>
      </c>
      <c r="E1099" s="50">
        <v>-1</v>
      </c>
      <c r="F1099" s="50">
        <v>-0.42373970947554507</v>
      </c>
      <c r="G1099" s="51" t="str">
        <v>伊藤 2022/06/04 (土)
休日午後</v>
      </c>
    </row>
    <row r="1100" spans="1:7" ht="16.149999999999999" x14ac:dyDescent="0.7">
      <c r="A1100" s="49">
        <v>44704.93522511574</v>
      </c>
      <c r="B1100" s="50" t="s">
        <v>2</v>
      </c>
      <c r="C1100" s="50" t="s">
        <v>330</v>
      </c>
      <c r="D1100" s="50" t="s">
        <v>263</v>
      </c>
      <c r="E1100" s="50">
        <v>-1</v>
      </c>
      <c r="F1100" s="50">
        <v>-0.1755288273791038</v>
      </c>
      <c r="G1100" s="51" t="str">
        <v>伊藤 2022/06/04 (土)
休日午前</v>
      </c>
    </row>
    <row r="1101" spans="1:7" ht="16.149999999999999" x14ac:dyDescent="0.7">
      <c r="A1101" s="49">
        <v>44704.93522511574</v>
      </c>
      <c r="B1101" s="50" t="s">
        <v>2</v>
      </c>
      <c r="C1101" s="50" t="s">
        <v>331</v>
      </c>
      <c r="D1101" s="50" t="s">
        <v>261</v>
      </c>
      <c r="E1101" s="50">
        <v>0</v>
      </c>
      <c r="F1101" s="50">
        <v>1.8574547490274984E-2</v>
      </c>
      <c r="G1101" s="51" t="str">
        <v>伊藤 2022/06/05 (日)
休日午後</v>
      </c>
    </row>
    <row r="1102" spans="1:7" ht="16.149999999999999" x14ac:dyDescent="0.7">
      <c r="A1102" s="49">
        <v>44704.93522511574</v>
      </c>
      <c r="B1102" s="50" t="s">
        <v>2</v>
      </c>
      <c r="C1102" s="50" t="s">
        <v>332</v>
      </c>
      <c r="D1102" s="50" t="s">
        <v>263</v>
      </c>
      <c r="E1102" s="50">
        <v>0</v>
      </c>
      <c r="F1102" s="50">
        <v>5.5753148540527375E-2</v>
      </c>
      <c r="G1102" s="51" t="str">
        <v>伊藤 2022/06/05 (日)
休日午前</v>
      </c>
    </row>
    <row r="1103" spans="1:7" ht="16.149999999999999" x14ac:dyDescent="0.7">
      <c r="A1103" s="49">
        <v>44704.93522511574</v>
      </c>
      <c r="B1103" s="50" t="s">
        <v>2</v>
      </c>
      <c r="C1103" s="50" t="s">
        <v>333</v>
      </c>
      <c r="D1103" s="50" t="s">
        <v>259</v>
      </c>
      <c r="E1103" s="50">
        <v>0</v>
      </c>
      <c r="F1103" s="50">
        <v>0.57328255114813831</v>
      </c>
      <c r="G1103" s="51" t="str">
        <v>伊藤 2022/06/06 (月)
平日夜間</v>
      </c>
    </row>
    <row r="1104" spans="1:7" ht="16.149999999999999" x14ac:dyDescent="0.7">
      <c r="A1104" s="49">
        <v>44704.93522511574</v>
      </c>
      <c r="B1104" s="50" t="s">
        <v>2</v>
      </c>
      <c r="C1104" s="50" t="s">
        <v>334</v>
      </c>
      <c r="D1104" s="50" t="s">
        <v>259</v>
      </c>
      <c r="E1104" s="50">
        <v>0</v>
      </c>
      <c r="F1104" s="50">
        <v>0.30401013596605653</v>
      </c>
      <c r="G1104" s="51" t="str">
        <v>伊藤 2022/06/07 (火)
平日夜間</v>
      </c>
    </row>
    <row r="1105" spans="1:7" ht="16.149999999999999" x14ac:dyDescent="0.7">
      <c r="A1105" s="49">
        <v>44704.93522511574</v>
      </c>
      <c r="B1105" s="50" t="s">
        <v>2</v>
      </c>
      <c r="C1105" s="50" t="s">
        <v>335</v>
      </c>
      <c r="D1105" s="50" t="s">
        <v>259</v>
      </c>
      <c r="E1105" s="50">
        <v>0</v>
      </c>
      <c r="F1105" s="50">
        <v>0.82057417044500625</v>
      </c>
      <c r="G1105" s="51" t="str">
        <v>伊藤 2022/06/08 (水)
平日夜間</v>
      </c>
    </row>
    <row r="1106" spans="1:7" ht="16.149999999999999" x14ac:dyDescent="0.7">
      <c r="A1106" s="49">
        <v>44704.93522511574</v>
      </c>
      <c r="B1106" s="50" t="s">
        <v>2</v>
      </c>
      <c r="C1106" s="50" t="s">
        <v>336</v>
      </c>
      <c r="D1106" s="50" t="s">
        <v>259</v>
      </c>
      <c r="E1106" s="50">
        <v>0</v>
      </c>
      <c r="F1106" s="50">
        <v>1.0475589625380977E-2</v>
      </c>
      <c r="G1106" s="51" t="str">
        <v>伊藤 2022/06/09 (木)
平日夜間</v>
      </c>
    </row>
    <row r="1107" spans="1:7" ht="16.149999999999999" x14ac:dyDescent="0.7">
      <c r="A1107" s="49">
        <v>44704.93522511574</v>
      </c>
      <c r="B1107" s="50" t="s">
        <v>2</v>
      </c>
      <c r="C1107" s="50" t="s">
        <v>337</v>
      </c>
      <c r="D1107" s="50" t="s">
        <v>259</v>
      </c>
      <c r="E1107" s="50">
        <v>0</v>
      </c>
      <c r="F1107" s="50">
        <v>0.79687906650279139</v>
      </c>
      <c r="G1107" s="51" t="str">
        <v>伊藤 2022/06/10 (金)
平日夜間</v>
      </c>
    </row>
    <row r="1108" spans="1:7" ht="16.149999999999999" x14ac:dyDescent="0.7">
      <c r="A1108" s="49">
        <v>44704.93522511574</v>
      </c>
      <c r="B1108" s="50" t="s">
        <v>2</v>
      </c>
      <c r="C1108" s="50" t="s">
        <v>338</v>
      </c>
      <c r="D1108" s="50" t="s">
        <v>261</v>
      </c>
      <c r="E1108" s="50">
        <v>-1</v>
      </c>
      <c r="F1108" s="50">
        <v>-0.27547797970140331</v>
      </c>
      <c r="G1108" s="51" t="str">
        <v>伊藤 2022/06/11 (土)
休日午後</v>
      </c>
    </row>
    <row r="1109" spans="1:7" ht="16.149999999999999" x14ac:dyDescent="0.7">
      <c r="A1109" s="49">
        <v>44704.93522511574</v>
      </c>
      <c r="B1109" s="50" t="s">
        <v>2</v>
      </c>
      <c r="C1109" s="50" t="s">
        <v>339</v>
      </c>
      <c r="D1109" s="50" t="s">
        <v>263</v>
      </c>
      <c r="E1109" s="50">
        <v>-1</v>
      </c>
      <c r="F1109" s="50">
        <v>-0.74097746010754784</v>
      </c>
      <c r="G1109" s="51" t="str">
        <v>伊藤 2022/06/11 (土)
休日午前</v>
      </c>
    </row>
    <row r="1110" spans="1:7" ht="16.149999999999999" x14ac:dyDescent="0.7">
      <c r="A1110" s="49">
        <v>44704.93522511574</v>
      </c>
      <c r="B1110" s="50" t="s">
        <v>2</v>
      </c>
      <c r="C1110" s="50" t="s">
        <v>340</v>
      </c>
      <c r="D1110" s="50" t="s">
        <v>261</v>
      </c>
      <c r="E1110" s="50">
        <v>0</v>
      </c>
      <c r="F1110" s="50">
        <v>0.93679204615571976</v>
      </c>
      <c r="G1110" s="51" t="str">
        <v>伊藤 2022/06/12 (日)
休日午後</v>
      </c>
    </row>
    <row r="1111" spans="1:7" ht="16.149999999999999" x14ac:dyDescent="0.7">
      <c r="A1111" s="49">
        <v>44704.93522511574</v>
      </c>
      <c r="B1111" s="50" t="s">
        <v>2</v>
      </c>
      <c r="C1111" s="50" t="s">
        <v>341</v>
      </c>
      <c r="D1111" s="50" t="s">
        <v>263</v>
      </c>
      <c r="E1111" s="50">
        <v>0</v>
      </c>
      <c r="F1111" s="50">
        <v>8.6329451378056588E-2</v>
      </c>
      <c r="G1111" s="51" t="str">
        <v>伊藤 2022/06/12 (日)
休日午前</v>
      </c>
    </row>
    <row r="1112" spans="1:7" ht="16.149999999999999" x14ac:dyDescent="0.7">
      <c r="A1112" s="49">
        <v>44704.93522511574</v>
      </c>
      <c r="B1112" s="50" t="s">
        <v>2</v>
      </c>
      <c r="C1112" s="50" t="s">
        <v>342</v>
      </c>
      <c r="D1112" s="50" t="s">
        <v>259</v>
      </c>
      <c r="E1112" s="50">
        <v>0</v>
      </c>
      <c r="F1112" s="50">
        <v>0.7580398599505993</v>
      </c>
      <c r="G1112" s="51" t="str">
        <v>伊藤 2022/06/13 (月)
平日夜間</v>
      </c>
    </row>
    <row r="1113" spans="1:7" ht="16.149999999999999" x14ac:dyDescent="0.7">
      <c r="A1113" s="49">
        <v>44704.93522511574</v>
      </c>
      <c r="B1113" s="50" t="s">
        <v>2</v>
      </c>
      <c r="C1113" s="50" t="s">
        <v>343</v>
      </c>
      <c r="D1113" s="50" t="s">
        <v>259</v>
      </c>
      <c r="E1113" s="50">
        <v>0</v>
      </c>
      <c r="F1113" s="50">
        <v>0.86145734104341742</v>
      </c>
      <c r="G1113" s="51" t="str">
        <v>伊藤 2022/06/14 (火)
平日夜間</v>
      </c>
    </row>
    <row r="1114" spans="1:7" ht="16.149999999999999" x14ac:dyDescent="0.7">
      <c r="A1114" s="49">
        <v>44704.93522511574</v>
      </c>
      <c r="B1114" s="50" t="s">
        <v>2</v>
      </c>
      <c r="C1114" s="50" t="s">
        <v>344</v>
      </c>
      <c r="D1114" s="50" t="s">
        <v>259</v>
      </c>
      <c r="E1114" s="50">
        <v>0</v>
      </c>
      <c r="F1114" s="50">
        <v>0.14750066179116006</v>
      </c>
      <c r="G1114" s="51" t="str">
        <v>伊藤 2022/06/15 (水)
平日夜間</v>
      </c>
    </row>
    <row r="1115" spans="1:7" ht="16.149999999999999" x14ac:dyDescent="0.7">
      <c r="A1115" s="49">
        <v>44704.93522511574</v>
      </c>
      <c r="B1115" s="50" t="s">
        <v>2</v>
      </c>
      <c r="C1115" s="50" t="s">
        <v>345</v>
      </c>
      <c r="D1115" s="50" t="s">
        <v>259</v>
      </c>
      <c r="E1115" s="50">
        <v>0</v>
      </c>
      <c r="F1115" s="50">
        <v>0.43639881489301091</v>
      </c>
      <c r="G1115" s="51" t="str">
        <v>伊藤 2022/06/16 (木)
平日夜間</v>
      </c>
    </row>
    <row r="1116" spans="1:7" ht="16.149999999999999" x14ac:dyDescent="0.7">
      <c r="A1116" s="49">
        <v>44704.93522511574</v>
      </c>
      <c r="B1116" s="50" t="s">
        <v>2</v>
      </c>
      <c r="C1116" s="50" t="s">
        <v>346</v>
      </c>
      <c r="D1116" s="50" t="s">
        <v>259</v>
      </c>
      <c r="E1116" s="50">
        <v>0</v>
      </c>
      <c r="F1116" s="50">
        <v>0.1324395442259505</v>
      </c>
      <c r="G1116" s="51" t="str">
        <v>伊藤 2022/06/17 (金)
平日夜間</v>
      </c>
    </row>
    <row r="1117" spans="1:7" ht="16.149999999999999" x14ac:dyDescent="0.7">
      <c r="A1117" s="49">
        <v>44704.93522511574</v>
      </c>
      <c r="B1117" s="50" t="s">
        <v>2</v>
      </c>
      <c r="C1117" s="50" t="s">
        <v>347</v>
      </c>
      <c r="D1117" s="50" t="s">
        <v>261</v>
      </c>
      <c r="E1117" s="50">
        <v>-1</v>
      </c>
      <c r="F1117" s="50">
        <v>-0.7249865948640295</v>
      </c>
      <c r="G1117" s="51" t="str">
        <v>伊藤 2022/06/18 (土)
休日午後</v>
      </c>
    </row>
    <row r="1118" spans="1:7" ht="16.149999999999999" x14ac:dyDescent="0.7">
      <c r="A1118" s="49">
        <v>44704.93522511574</v>
      </c>
      <c r="B1118" s="50" t="s">
        <v>2</v>
      </c>
      <c r="C1118" s="50" t="s">
        <v>348</v>
      </c>
      <c r="D1118" s="50" t="s">
        <v>263</v>
      </c>
      <c r="E1118" s="50">
        <v>-1</v>
      </c>
      <c r="F1118" s="50">
        <v>-0.24606161596165244</v>
      </c>
      <c r="G1118" s="51" t="str">
        <v>伊藤 2022/06/18 (土)
休日午前</v>
      </c>
    </row>
    <row r="1119" spans="1:7" ht="16.149999999999999" x14ac:dyDescent="0.7">
      <c r="A1119" s="49">
        <v>44704.93522511574</v>
      </c>
      <c r="B1119" s="50" t="s">
        <v>2</v>
      </c>
      <c r="C1119" s="50" t="s">
        <v>349</v>
      </c>
      <c r="D1119" s="50" t="s">
        <v>261</v>
      </c>
      <c r="E1119" s="50">
        <v>0</v>
      </c>
      <c r="F1119" s="50">
        <v>0.60076466375053084</v>
      </c>
      <c r="G1119" s="51" t="str">
        <v>伊藤 2022/06/19 (日)
休日午後</v>
      </c>
    </row>
    <row r="1120" spans="1:7" ht="16.149999999999999" x14ac:dyDescent="0.7">
      <c r="A1120" s="49">
        <v>44704.93522511574</v>
      </c>
      <c r="B1120" s="50" t="s">
        <v>2</v>
      </c>
      <c r="C1120" s="50" t="s">
        <v>350</v>
      </c>
      <c r="D1120" s="50" t="s">
        <v>263</v>
      </c>
      <c r="E1120" s="50">
        <v>0</v>
      </c>
      <c r="F1120" s="50">
        <v>0.60986031381402306</v>
      </c>
      <c r="G1120" s="51" t="str">
        <v>伊藤 2022/06/19 (日)
休日午前</v>
      </c>
    </row>
    <row r="1121" spans="1:7" ht="16.149999999999999" x14ac:dyDescent="0.7">
      <c r="A1121" s="49">
        <v>44704.93522511574</v>
      </c>
      <c r="B1121" s="50" t="s">
        <v>2</v>
      </c>
      <c r="C1121" s="50" t="s">
        <v>351</v>
      </c>
      <c r="D1121" s="50" t="s">
        <v>259</v>
      </c>
      <c r="E1121" s="50">
        <v>0</v>
      </c>
      <c r="F1121" s="50">
        <v>0.46884256499909682</v>
      </c>
      <c r="G1121" s="51" t="str">
        <v>伊藤 2022/06/20 (月)
平日夜間</v>
      </c>
    </row>
    <row r="1122" spans="1:7" ht="16.149999999999999" x14ac:dyDescent="0.7">
      <c r="A1122" s="49">
        <v>44704.93522511574</v>
      </c>
      <c r="B1122" s="50" t="s">
        <v>2</v>
      </c>
      <c r="C1122" s="50" t="s">
        <v>352</v>
      </c>
      <c r="D1122" s="50" t="s">
        <v>259</v>
      </c>
      <c r="E1122" s="50">
        <v>0</v>
      </c>
      <c r="F1122" s="50">
        <v>0.10047614223205015</v>
      </c>
      <c r="G1122" s="51" t="str">
        <v>伊藤 2022/06/21 (火)
平日夜間</v>
      </c>
    </row>
    <row r="1123" spans="1:7" ht="16.149999999999999" x14ac:dyDescent="0.7">
      <c r="A1123" s="49">
        <v>44704.93522511574</v>
      </c>
      <c r="B1123" s="50" t="s">
        <v>2</v>
      </c>
      <c r="C1123" s="50" t="s">
        <v>353</v>
      </c>
      <c r="D1123" s="50" t="s">
        <v>259</v>
      </c>
      <c r="E1123" s="50">
        <v>0</v>
      </c>
      <c r="F1123" s="50">
        <v>0.8906431820939591</v>
      </c>
      <c r="G1123" s="51" t="str">
        <v>伊藤 2022/06/22 (水)
平日夜間</v>
      </c>
    </row>
    <row r="1124" spans="1:7" ht="16.149999999999999" x14ac:dyDescent="0.7">
      <c r="A1124" s="49">
        <v>44704.93522511574</v>
      </c>
      <c r="B1124" s="50" t="s">
        <v>2</v>
      </c>
      <c r="C1124" s="50" t="s">
        <v>354</v>
      </c>
      <c r="D1124" s="50" t="s">
        <v>259</v>
      </c>
      <c r="E1124" s="50">
        <v>0</v>
      </c>
      <c r="F1124" s="50">
        <v>0.99328828041625239</v>
      </c>
      <c r="G1124" s="51" t="str">
        <v>伊藤 2022/06/23 (木)
平日夜間</v>
      </c>
    </row>
    <row r="1125" spans="1:7" ht="16.149999999999999" x14ac:dyDescent="0.7">
      <c r="A1125" s="49">
        <v>44704.93522511574</v>
      </c>
      <c r="B1125" s="50" t="s">
        <v>2</v>
      </c>
      <c r="C1125" s="50" t="s">
        <v>355</v>
      </c>
      <c r="D1125" s="50" t="s">
        <v>259</v>
      </c>
      <c r="E1125" s="50">
        <v>0</v>
      </c>
      <c r="F1125" s="50">
        <v>0.75744078852355035</v>
      </c>
      <c r="G1125" s="51" t="str">
        <v>伊藤 2022/06/24 (金)
平日夜間</v>
      </c>
    </row>
    <row r="1126" spans="1:7" ht="16.149999999999999" x14ac:dyDescent="0.7">
      <c r="A1126" s="49">
        <v>44704.93522511574</v>
      </c>
      <c r="B1126" s="50" t="s">
        <v>2</v>
      </c>
      <c r="C1126" s="50" t="s">
        <v>356</v>
      </c>
      <c r="D1126" s="50" t="s">
        <v>261</v>
      </c>
      <c r="E1126" s="50">
        <v>-1</v>
      </c>
      <c r="F1126" s="50">
        <v>-0.56554547124864629</v>
      </c>
      <c r="G1126" s="51" t="str">
        <v>伊藤 2022/06/25 (土)
休日午後</v>
      </c>
    </row>
    <row r="1127" spans="1:7" ht="16.149999999999999" x14ac:dyDescent="0.7">
      <c r="A1127" s="49">
        <v>44704.93522511574</v>
      </c>
      <c r="B1127" s="50" t="s">
        <v>2</v>
      </c>
      <c r="C1127" s="50" t="s">
        <v>357</v>
      </c>
      <c r="D1127" s="50" t="s">
        <v>263</v>
      </c>
      <c r="E1127" s="50">
        <v>-1</v>
      </c>
      <c r="F1127" s="50">
        <v>-0.92741940299450198</v>
      </c>
      <c r="G1127" s="51" t="str">
        <v>伊藤 2022/06/25 (土)
休日午前</v>
      </c>
    </row>
    <row r="1128" spans="1:7" ht="16.149999999999999" x14ac:dyDescent="0.7">
      <c r="A1128" s="49">
        <v>44704.93522511574</v>
      </c>
      <c r="B1128" s="50" t="s">
        <v>2</v>
      </c>
      <c r="C1128" s="50" t="s">
        <v>358</v>
      </c>
      <c r="D1128" s="50" t="s">
        <v>261</v>
      </c>
      <c r="E1128" s="50">
        <v>0</v>
      </c>
      <c r="F1128" s="50">
        <v>0.37810270972707949</v>
      </c>
      <c r="G1128" s="51" t="str">
        <v>伊藤 2022/06/26 (日)
休日午後</v>
      </c>
    </row>
    <row r="1129" spans="1:7" ht="16.149999999999999" x14ac:dyDescent="0.7">
      <c r="A1129" s="49">
        <v>44704.93522511574</v>
      </c>
      <c r="B1129" s="50" t="s">
        <v>2</v>
      </c>
      <c r="C1129" s="50" t="s">
        <v>359</v>
      </c>
      <c r="D1129" s="50" t="s">
        <v>263</v>
      </c>
      <c r="E1129" s="50">
        <v>0</v>
      </c>
      <c r="F1129" s="50">
        <v>0.39679707224523386</v>
      </c>
      <c r="G1129" s="51" t="str">
        <v>伊藤 2022/06/26 (日)
休日午前</v>
      </c>
    </row>
    <row r="1130" spans="1:7" ht="16.149999999999999" x14ac:dyDescent="0.7">
      <c r="A1130" s="49">
        <v>44704.93522511574</v>
      </c>
      <c r="B1130" s="50" t="s">
        <v>2</v>
      </c>
      <c r="C1130" s="50" t="s">
        <v>360</v>
      </c>
      <c r="D1130" s="50" t="s">
        <v>259</v>
      </c>
      <c r="E1130" s="50">
        <v>0</v>
      </c>
      <c r="F1130" s="50">
        <v>0.64312155637292578</v>
      </c>
      <c r="G1130" s="51" t="str">
        <v>伊藤 2022/06/27 (月)
平日夜間</v>
      </c>
    </row>
    <row r="1131" spans="1:7" ht="16.149999999999999" x14ac:dyDescent="0.7">
      <c r="A1131" s="49">
        <v>44704.93522511574</v>
      </c>
      <c r="B1131" s="50" t="s">
        <v>2</v>
      </c>
      <c r="C1131" s="50" t="s">
        <v>361</v>
      </c>
      <c r="D1131" s="50" t="s">
        <v>259</v>
      </c>
      <c r="E1131" s="50">
        <v>0</v>
      </c>
      <c r="F1131" s="50">
        <v>0.491577830952586</v>
      </c>
      <c r="G1131" s="51" t="str">
        <v>伊藤 2022/06/28 (火)
平日夜間</v>
      </c>
    </row>
    <row r="1132" spans="1:7" ht="16.149999999999999" x14ac:dyDescent="0.7">
      <c r="A1132" s="49">
        <v>44704.93522511574</v>
      </c>
      <c r="B1132" s="50" t="s">
        <v>2</v>
      </c>
      <c r="C1132" s="50" t="s">
        <v>362</v>
      </c>
      <c r="D1132" s="50" t="s">
        <v>259</v>
      </c>
      <c r="E1132" s="50">
        <v>0</v>
      </c>
      <c r="F1132" s="50">
        <v>0.56954256105825607</v>
      </c>
      <c r="G1132" s="51" t="str">
        <v>伊藤 2022/06/29 (水)
平日夜間</v>
      </c>
    </row>
    <row r="1133" spans="1:7" ht="16.149999999999999" x14ac:dyDescent="0.7">
      <c r="A1133" s="49">
        <v>44704.93522511574</v>
      </c>
      <c r="B1133" s="50" t="s">
        <v>2</v>
      </c>
      <c r="C1133" s="50" t="s">
        <v>363</v>
      </c>
      <c r="D1133" s="50" t="s">
        <v>259</v>
      </c>
      <c r="E1133" s="50">
        <v>0</v>
      </c>
      <c r="F1133" s="50">
        <v>0.3078484101475889</v>
      </c>
      <c r="G1133" s="51" t="str">
        <v>伊藤 2022/06/30 (木)
平日夜間</v>
      </c>
    </row>
    <row r="1134" spans="1:7" ht="16.149999999999999" x14ac:dyDescent="0.7">
      <c r="A1134" s="49">
        <v>44704.938391053242</v>
      </c>
      <c r="B1134" s="50" t="s">
        <v>13</v>
      </c>
      <c r="C1134" s="50" t="s">
        <v>326</v>
      </c>
      <c r="D1134" s="50" t="s">
        <v>259</v>
      </c>
      <c r="E1134" s="50">
        <v>-1</v>
      </c>
      <c r="F1134" s="50">
        <v>-0.45360842843944305</v>
      </c>
      <c r="G1134" s="51" t="str">
        <v>新美 2022/06/01 (水)
平日夜間</v>
      </c>
    </row>
    <row r="1135" spans="1:7" ht="16.149999999999999" x14ac:dyDescent="0.7">
      <c r="A1135" s="49">
        <v>44704.938391053242</v>
      </c>
      <c r="B1135" s="50" t="s">
        <v>13</v>
      </c>
      <c r="C1135" s="50" t="s">
        <v>327</v>
      </c>
      <c r="D1135" s="50" t="s">
        <v>259</v>
      </c>
      <c r="E1135" s="50">
        <v>0</v>
      </c>
      <c r="F1135" s="50">
        <v>0.71119938425460405</v>
      </c>
      <c r="G1135" s="51" t="str">
        <v>新美 2022/06/02 (木)
平日夜間</v>
      </c>
    </row>
    <row r="1136" spans="1:7" ht="16.149999999999999" x14ac:dyDescent="0.7">
      <c r="A1136" s="49">
        <v>44704.938391053242</v>
      </c>
      <c r="B1136" s="50" t="s">
        <v>13</v>
      </c>
      <c r="C1136" s="50" t="s">
        <v>328</v>
      </c>
      <c r="D1136" s="50" t="s">
        <v>259</v>
      </c>
      <c r="E1136" s="50">
        <v>0</v>
      </c>
      <c r="F1136" s="50">
        <v>0.62407453460445539</v>
      </c>
      <c r="G1136" s="51" t="str">
        <v>新美 2022/06/03 (金)
平日夜間</v>
      </c>
    </row>
    <row r="1137" spans="1:7" ht="16.149999999999999" x14ac:dyDescent="0.7">
      <c r="A1137" s="49">
        <v>44704.938391053242</v>
      </c>
      <c r="B1137" s="50" t="s">
        <v>13</v>
      </c>
      <c r="C1137" s="50" t="s">
        <v>329</v>
      </c>
      <c r="D1137" s="50" t="s">
        <v>261</v>
      </c>
      <c r="E1137" s="50">
        <v>0</v>
      </c>
      <c r="F1137" s="50">
        <v>0.31942092703353842</v>
      </c>
      <c r="G1137" s="51" t="str">
        <v>新美 2022/06/04 (土)
休日午後</v>
      </c>
    </row>
    <row r="1138" spans="1:7" ht="16.149999999999999" x14ac:dyDescent="0.7">
      <c r="A1138" s="49">
        <v>44704.938391053242</v>
      </c>
      <c r="B1138" s="50" t="s">
        <v>13</v>
      </c>
      <c r="C1138" s="50" t="s">
        <v>330</v>
      </c>
      <c r="D1138" s="50" t="s">
        <v>263</v>
      </c>
      <c r="E1138" s="50">
        <v>1</v>
      </c>
      <c r="F1138" s="50">
        <v>1.2486070499122808</v>
      </c>
      <c r="G1138" s="51" t="str">
        <v>新美 2022/06/04 (土)
休日午前</v>
      </c>
    </row>
    <row r="1139" spans="1:7" ht="16.149999999999999" x14ac:dyDescent="0.7">
      <c r="A1139" s="49">
        <v>44704.938391053242</v>
      </c>
      <c r="B1139" s="50" t="s">
        <v>13</v>
      </c>
      <c r="C1139" s="50" t="s">
        <v>331</v>
      </c>
      <c r="D1139" s="50" t="s">
        <v>261</v>
      </c>
      <c r="E1139" s="50">
        <v>0</v>
      </c>
      <c r="F1139" s="50">
        <v>0.14686421084279777</v>
      </c>
      <c r="G1139" s="51" t="str">
        <v>新美 2022/06/05 (日)
休日午後</v>
      </c>
    </row>
    <row r="1140" spans="1:7" ht="16.149999999999999" x14ac:dyDescent="0.7">
      <c r="A1140" s="49">
        <v>44704.938391053242</v>
      </c>
      <c r="B1140" s="50" t="s">
        <v>13</v>
      </c>
      <c r="C1140" s="50" t="s">
        <v>332</v>
      </c>
      <c r="D1140" s="50" t="s">
        <v>263</v>
      </c>
      <c r="E1140" s="50">
        <v>1</v>
      </c>
      <c r="F1140" s="50">
        <v>1.2465765855717186</v>
      </c>
      <c r="G1140" s="51" t="str">
        <v>新美 2022/06/05 (日)
休日午前</v>
      </c>
    </row>
    <row r="1141" spans="1:7" ht="16.149999999999999" x14ac:dyDescent="0.7">
      <c r="A1141" s="49">
        <v>44704.938391053242</v>
      </c>
      <c r="B1141" s="50" t="s">
        <v>13</v>
      </c>
      <c r="C1141" s="50" t="s">
        <v>333</v>
      </c>
      <c r="D1141" s="50" t="s">
        <v>259</v>
      </c>
      <c r="E1141" s="50">
        <v>0</v>
      </c>
      <c r="F1141" s="50">
        <v>0.27192096370676033</v>
      </c>
      <c r="G1141" s="51" t="str">
        <v>新美 2022/06/06 (月)
平日夜間</v>
      </c>
    </row>
    <row r="1142" spans="1:7" ht="16.149999999999999" x14ac:dyDescent="0.7">
      <c r="A1142" s="49">
        <v>44704.938391053242</v>
      </c>
      <c r="B1142" s="50" t="s">
        <v>13</v>
      </c>
      <c r="C1142" s="50" t="s">
        <v>334</v>
      </c>
      <c r="D1142" s="50" t="s">
        <v>259</v>
      </c>
      <c r="E1142" s="50">
        <v>0</v>
      </c>
      <c r="F1142" s="50">
        <v>0.44750798612160803</v>
      </c>
      <c r="G1142" s="51" t="str">
        <v>新美 2022/06/07 (火)
平日夜間</v>
      </c>
    </row>
    <row r="1143" spans="1:7" ht="16.149999999999999" x14ac:dyDescent="0.7">
      <c r="A1143" s="49">
        <v>44704.938391053242</v>
      </c>
      <c r="B1143" s="50" t="s">
        <v>13</v>
      </c>
      <c r="C1143" s="50" t="s">
        <v>335</v>
      </c>
      <c r="D1143" s="50" t="s">
        <v>259</v>
      </c>
      <c r="E1143" s="50">
        <v>-1</v>
      </c>
      <c r="F1143" s="50">
        <v>-0.26807969235912266</v>
      </c>
      <c r="G1143" s="51" t="str">
        <v>新美 2022/06/08 (水)
平日夜間</v>
      </c>
    </row>
    <row r="1144" spans="1:7" ht="16.149999999999999" x14ac:dyDescent="0.7">
      <c r="A1144" s="49">
        <v>44704.938391053242</v>
      </c>
      <c r="B1144" s="50" t="s">
        <v>13</v>
      </c>
      <c r="C1144" s="50" t="s">
        <v>336</v>
      </c>
      <c r="D1144" s="50" t="s">
        <v>259</v>
      </c>
      <c r="E1144" s="50">
        <v>0</v>
      </c>
      <c r="F1144" s="50">
        <v>0.2520496292690162</v>
      </c>
      <c r="G1144" s="51" t="str">
        <v>新美 2022/06/09 (木)
平日夜間</v>
      </c>
    </row>
    <row r="1145" spans="1:7" ht="16.149999999999999" x14ac:dyDescent="0.7">
      <c r="A1145" s="49">
        <v>44704.938391053242</v>
      </c>
      <c r="B1145" s="50" t="s">
        <v>13</v>
      </c>
      <c r="C1145" s="50" t="s">
        <v>337</v>
      </c>
      <c r="D1145" s="50" t="s">
        <v>259</v>
      </c>
      <c r="E1145" s="50">
        <v>-1</v>
      </c>
      <c r="F1145" s="50">
        <v>-0.38922066636400232</v>
      </c>
      <c r="G1145" s="51" t="str">
        <v>新美 2022/06/10 (金)
平日夜間</v>
      </c>
    </row>
    <row r="1146" spans="1:7" ht="16.149999999999999" x14ac:dyDescent="0.7">
      <c r="A1146" s="49">
        <v>44704.938391053242</v>
      </c>
      <c r="B1146" s="50" t="s">
        <v>13</v>
      </c>
      <c r="C1146" s="50" t="s">
        <v>338</v>
      </c>
      <c r="D1146" s="50" t="s">
        <v>261</v>
      </c>
      <c r="E1146" s="50">
        <v>-1</v>
      </c>
      <c r="F1146" s="50">
        <v>-0.52175123962042935</v>
      </c>
      <c r="G1146" s="51" t="str">
        <v>新美 2022/06/11 (土)
休日午後</v>
      </c>
    </row>
    <row r="1147" spans="1:7" ht="16.149999999999999" x14ac:dyDescent="0.7">
      <c r="A1147" s="49">
        <v>44704.938391053242</v>
      </c>
      <c r="B1147" s="50" t="s">
        <v>13</v>
      </c>
      <c r="C1147" s="50" t="s">
        <v>339</v>
      </c>
      <c r="D1147" s="50" t="s">
        <v>263</v>
      </c>
      <c r="E1147" s="50">
        <v>-1</v>
      </c>
      <c r="F1147" s="50">
        <v>-0.47403128701291219</v>
      </c>
      <c r="G1147" s="51" t="str">
        <v>新美 2022/06/11 (土)
休日午前</v>
      </c>
    </row>
    <row r="1148" spans="1:7" ht="16.149999999999999" x14ac:dyDescent="0.7">
      <c r="A1148" s="49">
        <v>44704.938391053242</v>
      </c>
      <c r="B1148" s="50" t="s">
        <v>13</v>
      </c>
      <c r="C1148" s="50" t="s">
        <v>340</v>
      </c>
      <c r="D1148" s="50" t="s">
        <v>261</v>
      </c>
      <c r="E1148" s="50">
        <v>0</v>
      </c>
      <c r="F1148" s="50">
        <v>0.89152550103055428</v>
      </c>
      <c r="G1148" s="51" t="str">
        <v>新美 2022/06/12 (日)
休日午後</v>
      </c>
    </row>
    <row r="1149" spans="1:7" ht="16.149999999999999" x14ac:dyDescent="0.7">
      <c r="A1149" s="49">
        <v>44704.938391053242</v>
      </c>
      <c r="B1149" s="50" t="s">
        <v>13</v>
      </c>
      <c r="C1149" s="50" t="s">
        <v>341</v>
      </c>
      <c r="D1149" s="50" t="s">
        <v>263</v>
      </c>
      <c r="E1149" s="50">
        <v>1</v>
      </c>
      <c r="F1149" s="50">
        <v>1.4273910008530575</v>
      </c>
      <c r="G1149" s="51" t="str">
        <v>新美 2022/06/12 (日)
休日午前</v>
      </c>
    </row>
    <row r="1150" spans="1:7" ht="16.149999999999999" x14ac:dyDescent="0.7">
      <c r="A1150" s="49">
        <v>44704.938391053242</v>
      </c>
      <c r="B1150" s="50" t="s">
        <v>13</v>
      </c>
      <c r="C1150" s="50" t="s">
        <v>342</v>
      </c>
      <c r="D1150" s="50" t="s">
        <v>259</v>
      </c>
      <c r="E1150" s="50">
        <v>0</v>
      </c>
      <c r="F1150" s="50">
        <v>0.37798844723489466</v>
      </c>
      <c r="G1150" s="51" t="str">
        <v>新美 2022/06/13 (月)
平日夜間</v>
      </c>
    </row>
    <row r="1151" spans="1:7" ht="16.149999999999999" x14ac:dyDescent="0.7">
      <c r="A1151" s="49">
        <v>44704.938391053242</v>
      </c>
      <c r="B1151" s="50" t="s">
        <v>13</v>
      </c>
      <c r="C1151" s="50" t="s">
        <v>343</v>
      </c>
      <c r="D1151" s="50" t="s">
        <v>259</v>
      </c>
      <c r="E1151" s="50">
        <v>0</v>
      </c>
      <c r="F1151" s="50">
        <v>9.7051812395842818E-2</v>
      </c>
      <c r="G1151" s="51" t="str">
        <v>新美 2022/06/14 (火)
平日夜間</v>
      </c>
    </row>
    <row r="1152" spans="1:7" ht="16.149999999999999" x14ac:dyDescent="0.7">
      <c r="A1152" s="49">
        <v>44704.938391053242</v>
      </c>
      <c r="B1152" s="50" t="s">
        <v>13</v>
      </c>
      <c r="C1152" s="50" t="s">
        <v>344</v>
      </c>
      <c r="D1152" s="50" t="s">
        <v>259</v>
      </c>
      <c r="E1152" s="50">
        <v>-1</v>
      </c>
      <c r="F1152" s="50">
        <v>-0.6307043849634606</v>
      </c>
      <c r="G1152" s="51" t="str">
        <v>新美 2022/06/15 (水)
平日夜間</v>
      </c>
    </row>
    <row r="1153" spans="1:7" ht="16.149999999999999" x14ac:dyDescent="0.7">
      <c r="A1153" s="49">
        <v>44704.938391053242</v>
      </c>
      <c r="B1153" s="50" t="s">
        <v>13</v>
      </c>
      <c r="C1153" s="50" t="s">
        <v>345</v>
      </c>
      <c r="D1153" s="50" t="s">
        <v>259</v>
      </c>
      <c r="E1153" s="50">
        <v>0</v>
      </c>
      <c r="F1153" s="50">
        <v>0.48271813884095272</v>
      </c>
      <c r="G1153" s="51" t="str">
        <v>新美 2022/06/16 (木)
平日夜間</v>
      </c>
    </row>
    <row r="1154" spans="1:7" ht="16.149999999999999" x14ac:dyDescent="0.7">
      <c r="A1154" s="49">
        <v>44704.938391053242</v>
      </c>
      <c r="B1154" s="50" t="s">
        <v>13</v>
      </c>
      <c r="C1154" s="50" t="s">
        <v>346</v>
      </c>
      <c r="D1154" s="50" t="s">
        <v>259</v>
      </c>
      <c r="E1154" s="50">
        <v>0</v>
      </c>
      <c r="F1154" s="50">
        <v>1.3865965691201909E-2</v>
      </c>
      <c r="G1154" s="51" t="str">
        <v>新美 2022/06/17 (金)
平日夜間</v>
      </c>
    </row>
    <row r="1155" spans="1:7" ht="16.149999999999999" x14ac:dyDescent="0.7">
      <c r="A1155" s="49">
        <v>44704.938391053242</v>
      </c>
      <c r="B1155" s="50" t="s">
        <v>13</v>
      </c>
      <c r="C1155" s="50" t="s">
        <v>347</v>
      </c>
      <c r="D1155" s="50" t="s">
        <v>261</v>
      </c>
      <c r="E1155" s="50">
        <v>0</v>
      </c>
      <c r="F1155" s="50">
        <v>9.6857979981158193E-2</v>
      </c>
      <c r="G1155" s="51" t="str">
        <v>新美 2022/06/18 (土)
休日午後</v>
      </c>
    </row>
    <row r="1156" spans="1:7" ht="16.149999999999999" x14ac:dyDescent="0.7">
      <c r="A1156" s="49">
        <v>44704.938391053242</v>
      </c>
      <c r="B1156" s="50" t="s">
        <v>13</v>
      </c>
      <c r="C1156" s="50" t="s">
        <v>348</v>
      </c>
      <c r="D1156" s="50" t="s">
        <v>263</v>
      </c>
      <c r="E1156" s="50">
        <v>1</v>
      </c>
      <c r="F1156" s="50">
        <v>1.7322901205201597</v>
      </c>
      <c r="G1156" s="51" t="str">
        <v>新美 2022/06/18 (土)
休日午前</v>
      </c>
    </row>
    <row r="1157" spans="1:7" ht="16.149999999999999" x14ac:dyDescent="0.7">
      <c r="A1157" s="49">
        <v>44704.938391053242</v>
      </c>
      <c r="B1157" s="50" t="s">
        <v>13</v>
      </c>
      <c r="C1157" s="50" t="s">
        <v>349</v>
      </c>
      <c r="D1157" s="50" t="s">
        <v>261</v>
      </c>
      <c r="E1157" s="50">
        <v>0</v>
      </c>
      <c r="F1157" s="50">
        <v>0.51759090141940867</v>
      </c>
      <c r="G1157" s="51" t="str">
        <v>新美 2022/06/19 (日)
休日午後</v>
      </c>
    </row>
    <row r="1158" spans="1:7" ht="16.149999999999999" x14ac:dyDescent="0.7">
      <c r="A1158" s="49">
        <v>44704.938391053242</v>
      </c>
      <c r="B1158" s="50" t="s">
        <v>13</v>
      </c>
      <c r="C1158" s="50" t="s">
        <v>350</v>
      </c>
      <c r="D1158" s="50" t="s">
        <v>263</v>
      </c>
      <c r="E1158" s="50">
        <v>1</v>
      </c>
      <c r="F1158" s="50">
        <v>1.6930840103038294</v>
      </c>
      <c r="G1158" s="51" t="str">
        <v>新美 2022/06/19 (日)
休日午前</v>
      </c>
    </row>
    <row r="1159" spans="1:7" ht="16.149999999999999" x14ac:dyDescent="0.7">
      <c r="A1159" s="49">
        <v>44704.938391053242</v>
      </c>
      <c r="B1159" s="50" t="s">
        <v>13</v>
      </c>
      <c r="C1159" s="50" t="s">
        <v>351</v>
      </c>
      <c r="D1159" s="50" t="s">
        <v>259</v>
      </c>
      <c r="E1159" s="50">
        <v>0</v>
      </c>
      <c r="F1159" s="50">
        <v>0.45261040618696402</v>
      </c>
      <c r="G1159" s="51" t="str">
        <v>新美 2022/06/20 (月)
平日夜間</v>
      </c>
    </row>
    <row r="1160" spans="1:7" ht="16.149999999999999" x14ac:dyDescent="0.7">
      <c r="A1160" s="49">
        <v>44704.938391053242</v>
      </c>
      <c r="B1160" s="50" t="s">
        <v>13</v>
      </c>
      <c r="C1160" s="50" t="s">
        <v>352</v>
      </c>
      <c r="D1160" s="50" t="s">
        <v>259</v>
      </c>
      <c r="E1160" s="50">
        <v>0</v>
      </c>
      <c r="F1160" s="50">
        <v>0.41434652977561615</v>
      </c>
      <c r="G1160" s="51" t="str">
        <v>新美 2022/06/21 (火)
平日夜間</v>
      </c>
    </row>
    <row r="1161" spans="1:7" ht="16.149999999999999" x14ac:dyDescent="0.7">
      <c r="A1161" s="49">
        <v>44704.938391053242</v>
      </c>
      <c r="B1161" s="50" t="s">
        <v>13</v>
      </c>
      <c r="C1161" s="50" t="s">
        <v>353</v>
      </c>
      <c r="D1161" s="50" t="s">
        <v>259</v>
      </c>
      <c r="E1161" s="50">
        <v>-1</v>
      </c>
      <c r="F1161" s="50">
        <v>-0.93436252651502127</v>
      </c>
      <c r="G1161" s="51" t="str">
        <v>新美 2022/06/22 (水)
平日夜間</v>
      </c>
    </row>
    <row r="1162" spans="1:7" ht="16.149999999999999" x14ac:dyDescent="0.7">
      <c r="A1162" s="49">
        <v>44704.938391053242</v>
      </c>
      <c r="B1162" s="50" t="s">
        <v>13</v>
      </c>
      <c r="C1162" s="50" t="s">
        <v>354</v>
      </c>
      <c r="D1162" s="50" t="s">
        <v>259</v>
      </c>
      <c r="E1162" s="50">
        <v>0</v>
      </c>
      <c r="F1162" s="50">
        <v>0.37185873367181466</v>
      </c>
      <c r="G1162" s="51" t="str">
        <v>新美 2022/06/23 (木)
平日夜間</v>
      </c>
    </row>
    <row r="1163" spans="1:7" ht="16.149999999999999" x14ac:dyDescent="0.7">
      <c r="A1163" s="49">
        <v>44704.938391053242</v>
      </c>
      <c r="B1163" s="50" t="s">
        <v>13</v>
      </c>
      <c r="C1163" s="50" t="s">
        <v>355</v>
      </c>
      <c r="D1163" s="50" t="s">
        <v>259</v>
      </c>
      <c r="E1163" s="50">
        <v>0</v>
      </c>
      <c r="F1163" s="50">
        <v>0.12863772319176836</v>
      </c>
      <c r="G1163" s="51" t="str">
        <v>新美 2022/06/24 (金)
平日夜間</v>
      </c>
    </row>
    <row r="1164" spans="1:7" ht="16.149999999999999" x14ac:dyDescent="0.7">
      <c r="A1164" s="49">
        <v>44704.938391053242</v>
      </c>
      <c r="B1164" s="50" t="s">
        <v>13</v>
      </c>
      <c r="C1164" s="50" t="s">
        <v>356</v>
      </c>
      <c r="D1164" s="50" t="s">
        <v>261</v>
      </c>
      <c r="E1164" s="50">
        <v>0</v>
      </c>
      <c r="F1164" s="50">
        <v>0.2031715453404368</v>
      </c>
      <c r="G1164" s="51" t="str">
        <v>新美 2022/06/25 (土)
休日午後</v>
      </c>
    </row>
    <row r="1165" spans="1:7" ht="16.149999999999999" x14ac:dyDescent="0.7">
      <c r="A1165" s="49">
        <v>44704.938391053242</v>
      </c>
      <c r="B1165" s="50" t="s">
        <v>13</v>
      </c>
      <c r="C1165" s="50" t="s">
        <v>357</v>
      </c>
      <c r="D1165" s="50" t="s">
        <v>263</v>
      </c>
      <c r="E1165" s="50">
        <v>1</v>
      </c>
      <c r="F1165" s="50">
        <v>1.4051329011175628</v>
      </c>
      <c r="G1165" s="51" t="str">
        <v>新美 2022/06/25 (土)
休日午前</v>
      </c>
    </row>
    <row r="1166" spans="1:7" ht="16.149999999999999" x14ac:dyDescent="0.7">
      <c r="A1166" s="49">
        <v>44704.938391053242</v>
      </c>
      <c r="B1166" s="50" t="s">
        <v>13</v>
      </c>
      <c r="C1166" s="50" t="s">
        <v>358</v>
      </c>
      <c r="D1166" s="50" t="s">
        <v>261</v>
      </c>
      <c r="E1166" s="50">
        <v>0</v>
      </c>
      <c r="F1166" s="50">
        <v>4.0034941828652748E-2</v>
      </c>
      <c r="G1166" s="51" t="str">
        <v>新美 2022/06/26 (日)
休日午後</v>
      </c>
    </row>
    <row r="1167" spans="1:7" ht="16.149999999999999" x14ac:dyDescent="0.7">
      <c r="A1167" s="49">
        <v>44704.938391053242</v>
      </c>
      <c r="B1167" s="50" t="s">
        <v>13</v>
      </c>
      <c r="C1167" s="50" t="s">
        <v>359</v>
      </c>
      <c r="D1167" s="50" t="s">
        <v>263</v>
      </c>
      <c r="E1167" s="50">
        <v>1</v>
      </c>
      <c r="F1167" s="50">
        <v>1.3156812206826984</v>
      </c>
      <c r="G1167" s="51" t="str">
        <v>新美 2022/06/26 (日)
休日午前</v>
      </c>
    </row>
    <row r="1168" spans="1:7" ht="16.149999999999999" x14ac:dyDescent="0.7">
      <c r="A1168" s="49">
        <v>44704.938391053242</v>
      </c>
      <c r="B1168" s="50" t="s">
        <v>13</v>
      </c>
      <c r="C1168" s="50" t="s">
        <v>360</v>
      </c>
      <c r="D1168" s="50" t="s">
        <v>259</v>
      </c>
      <c r="E1168" s="50">
        <v>0</v>
      </c>
      <c r="F1168" s="50">
        <v>0.3073213194792821</v>
      </c>
      <c r="G1168" s="51" t="str">
        <v>新美 2022/06/27 (月)
平日夜間</v>
      </c>
    </row>
    <row r="1169" spans="1:7" ht="16.149999999999999" x14ac:dyDescent="0.7">
      <c r="A1169" s="49">
        <v>44704.938391053242</v>
      </c>
      <c r="B1169" s="50" t="s">
        <v>13</v>
      </c>
      <c r="C1169" s="50" t="s">
        <v>361</v>
      </c>
      <c r="D1169" s="50" t="s">
        <v>259</v>
      </c>
      <c r="E1169" s="50">
        <v>0</v>
      </c>
      <c r="F1169" s="50">
        <v>0.85942001294818904</v>
      </c>
      <c r="G1169" s="51" t="str">
        <v>新美 2022/06/28 (火)
平日夜間</v>
      </c>
    </row>
    <row r="1170" spans="1:7" ht="16.149999999999999" x14ac:dyDescent="0.7">
      <c r="A1170" s="49">
        <v>44704.938391053242</v>
      </c>
      <c r="B1170" s="50" t="s">
        <v>13</v>
      </c>
      <c r="C1170" s="50" t="s">
        <v>362</v>
      </c>
      <c r="D1170" s="50" t="s">
        <v>259</v>
      </c>
      <c r="E1170" s="50">
        <v>-1</v>
      </c>
      <c r="F1170" s="50">
        <v>-0.34407577418369284</v>
      </c>
      <c r="G1170" s="51" t="str">
        <v>新美 2022/06/29 (水)
平日夜間</v>
      </c>
    </row>
    <row r="1171" spans="1:7" ht="16.149999999999999" x14ac:dyDescent="0.7">
      <c r="A1171" s="49">
        <v>44704.938391053242</v>
      </c>
      <c r="B1171" s="50" t="s">
        <v>13</v>
      </c>
      <c r="C1171" s="50" t="s">
        <v>363</v>
      </c>
      <c r="D1171" s="50" t="s">
        <v>259</v>
      </c>
      <c r="E1171" s="50">
        <v>0</v>
      </c>
      <c r="F1171" s="50">
        <v>0.32921471432020755</v>
      </c>
      <c r="G1171" s="51" t="str">
        <v>新美 2022/06/30 (木)
平日夜間</v>
      </c>
    </row>
    <row r="1172" spans="1:7" ht="16.149999999999999" x14ac:dyDescent="0.7">
      <c r="A1172" s="49">
        <v>44704.940660347223</v>
      </c>
      <c r="B1172" s="50" t="s">
        <v>1</v>
      </c>
      <c r="C1172" s="50" t="s">
        <v>326</v>
      </c>
      <c r="D1172" s="50" t="s">
        <v>259</v>
      </c>
      <c r="E1172" s="50">
        <v>0</v>
      </c>
      <c r="F1172" s="50">
        <v>3.8361592425028013E-2</v>
      </c>
      <c r="G1172" s="51" t="str">
        <v>菊野 2022/06/01 (水)
平日夜間</v>
      </c>
    </row>
    <row r="1173" spans="1:7" ht="16.149999999999999" x14ac:dyDescent="0.7">
      <c r="A1173" s="49">
        <v>44704.940660347223</v>
      </c>
      <c r="B1173" s="50" t="s">
        <v>1</v>
      </c>
      <c r="C1173" s="50" t="s">
        <v>327</v>
      </c>
      <c r="D1173" s="50" t="s">
        <v>259</v>
      </c>
      <c r="E1173" s="50">
        <v>0</v>
      </c>
      <c r="F1173" s="50">
        <v>0.18186725967877848</v>
      </c>
      <c r="G1173" s="51" t="str">
        <v>菊野 2022/06/02 (木)
平日夜間</v>
      </c>
    </row>
    <row r="1174" spans="1:7" ht="16.149999999999999" x14ac:dyDescent="0.7">
      <c r="A1174" s="49">
        <v>44704.940660347223</v>
      </c>
      <c r="B1174" s="50" t="s">
        <v>1</v>
      </c>
      <c r="C1174" s="50" t="s">
        <v>328</v>
      </c>
      <c r="D1174" s="50" t="s">
        <v>259</v>
      </c>
      <c r="E1174" s="50">
        <v>0</v>
      </c>
      <c r="F1174" s="50">
        <v>0.2652773133994486</v>
      </c>
      <c r="G1174" s="51" t="str">
        <v>菊野 2022/06/03 (金)
平日夜間</v>
      </c>
    </row>
    <row r="1175" spans="1:7" ht="16.149999999999999" x14ac:dyDescent="0.7">
      <c r="A1175" s="49">
        <v>44704.940660347223</v>
      </c>
      <c r="B1175" s="50" t="s">
        <v>1</v>
      </c>
      <c r="C1175" s="50" t="s">
        <v>329</v>
      </c>
      <c r="D1175" s="50" t="s">
        <v>261</v>
      </c>
      <c r="E1175" s="50">
        <v>0</v>
      </c>
      <c r="F1175" s="50">
        <v>0.18983610792744976</v>
      </c>
      <c r="G1175" s="51" t="str">
        <v>菊野 2022/06/04 (土)
休日午後</v>
      </c>
    </row>
    <row r="1176" spans="1:7" ht="16.149999999999999" x14ac:dyDescent="0.7">
      <c r="A1176" s="49">
        <v>44704.940660347223</v>
      </c>
      <c r="B1176" s="50" t="s">
        <v>1</v>
      </c>
      <c r="C1176" s="50" t="s">
        <v>330</v>
      </c>
      <c r="D1176" s="50" t="s">
        <v>263</v>
      </c>
      <c r="E1176" s="50">
        <v>0</v>
      </c>
      <c r="F1176" s="50">
        <v>0.7612697703394351</v>
      </c>
      <c r="G1176" s="51" t="str">
        <v>菊野 2022/06/04 (土)
休日午前</v>
      </c>
    </row>
    <row r="1177" spans="1:7" ht="16.149999999999999" x14ac:dyDescent="0.7">
      <c r="A1177" s="49">
        <v>44704.940660347223</v>
      </c>
      <c r="B1177" s="50" t="s">
        <v>1</v>
      </c>
      <c r="C1177" s="50" t="s">
        <v>331</v>
      </c>
      <c r="D1177" s="50" t="s">
        <v>261</v>
      </c>
      <c r="E1177" s="50">
        <v>0</v>
      </c>
      <c r="F1177" s="50">
        <v>0.10712718016549516</v>
      </c>
      <c r="G1177" s="51" t="str">
        <v>菊野 2022/06/05 (日)
休日午後</v>
      </c>
    </row>
    <row r="1178" spans="1:7" ht="16.149999999999999" x14ac:dyDescent="0.7">
      <c r="A1178" s="49">
        <v>44704.940660347223</v>
      </c>
      <c r="B1178" s="50" t="s">
        <v>1</v>
      </c>
      <c r="C1178" s="50" t="s">
        <v>332</v>
      </c>
      <c r="D1178" s="50" t="s">
        <v>263</v>
      </c>
      <c r="E1178" s="50">
        <v>0</v>
      </c>
      <c r="F1178" s="50">
        <v>0.75141372631939451</v>
      </c>
      <c r="G1178" s="51" t="str">
        <v>菊野 2022/06/05 (日)
休日午前</v>
      </c>
    </row>
    <row r="1179" spans="1:7" ht="16.149999999999999" x14ac:dyDescent="0.7">
      <c r="A1179" s="49">
        <v>44704.940660347223</v>
      </c>
      <c r="B1179" s="50" t="s">
        <v>1</v>
      </c>
      <c r="C1179" s="50" t="s">
        <v>333</v>
      </c>
      <c r="D1179" s="50" t="s">
        <v>259</v>
      </c>
      <c r="E1179" s="50">
        <v>0</v>
      </c>
      <c r="F1179" s="50">
        <v>0.48313184111409702</v>
      </c>
      <c r="G1179" s="51" t="str">
        <v>菊野 2022/06/06 (月)
平日夜間</v>
      </c>
    </row>
    <row r="1180" spans="1:7" ht="16.149999999999999" x14ac:dyDescent="0.7">
      <c r="A1180" s="49">
        <v>44704.940660347223</v>
      </c>
      <c r="B1180" s="50" t="s">
        <v>1</v>
      </c>
      <c r="C1180" s="50" t="s">
        <v>334</v>
      </c>
      <c r="D1180" s="50" t="s">
        <v>259</v>
      </c>
      <c r="E1180" s="50">
        <v>0</v>
      </c>
      <c r="F1180" s="50">
        <v>0.64866981227010978</v>
      </c>
      <c r="G1180" s="51" t="str">
        <v>菊野 2022/06/07 (火)
平日夜間</v>
      </c>
    </row>
    <row r="1181" spans="1:7" ht="16.149999999999999" x14ac:dyDescent="0.7">
      <c r="A1181" s="49">
        <v>44704.940660347223</v>
      </c>
      <c r="B1181" s="50" t="s">
        <v>1</v>
      </c>
      <c r="C1181" s="50" t="s">
        <v>335</v>
      </c>
      <c r="D1181" s="50" t="s">
        <v>259</v>
      </c>
      <c r="E1181" s="50">
        <v>0</v>
      </c>
      <c r="F1181" s="50">
        <v>0.88466599576469407</v>
      </c>
      <c r="G1181" s="51" t="str">
        <v>菊野 2022/06/08 (水)
平日夜間</v>
      </c>
    </row>
    <row r="1182" spans="1:7" ht="16.149999999999999" x14ac:dyDescent="0.7">
      <c r="A1182" s="49">
        <v>44704.940660347223</v>
      </c>
      <c r="B1182" s="50" t="s">
        <v>1</v>
      </c>
      <c r="C1182" s="50" t="s">
        <v>336</v>
      </c>
      <c r="D1182" s="50" t="s">
        <v>259</v>
      </c>
      <c r="E1182" s="50">
        <v>0</v>
      </c>
      <c r="F1182" s="50">
        <v>0.61301384521375901</v>
      </c>
      <c r="G1182" s="51" t="str">
        <v>菊野 2022/06/09 (木)
平日夜間</v>
      </c>
    </row>
    <row r="1183" spans="1:7" ht="16.149999999999999" x14ac:dyDescent="0.7">
      <c r="A1183" s="49">
        <v>44704.940660347223</v>
      </c>
      <c r="B1183" s="50" t="s">
        <v>1</v>
      </c>
      <c r="C1183" s="50" t="s">
        <v>337</v>
      </c>
      <c r="D1183" s="50" t="s">
        <v>259</v>
      </c>
      <c r="E1183" s="50">
        <v>0</v>
      </c>
      <c r="F1183" s="50">
        <v>0.95812100722166127</v>
      </c>
      <c r="G1183" s="51" t="str">
        <v>菊野 2022/06/10 (金)
平日夜間</v>
      </c>
    </row>
    <row r="1184" spans="1:7" ht="16.149999999999999" x14ac:dyDescent="0.7">
      <c r="A1184" s="49">
        <v>44704.940660347223</v>
      </c>
      <c r="B1184" s="50" t="s">
        <v>1</v>
      </c>
      <c r="C1184" s="50" t="s">
        <v>338</v>
      </c>
      <c r="D1184" s="50" t="s">
        <v>261</v>
      </c>
      <c r="E1184" s="50">
        <v>0</v>
      </c>
      <c r="F1184" s="50">
        <v>0.17388262898455209</v>
      </c>
      <c r="G1184" s="51" t="str">
        <v>菊野 2022/06/11 (土)
休日午後</v>
      </c>
    </row>
    <row r="1185" spans="1:7" ht="16.149999999999999" x14ac:dyDescent="0.7">
      <c r="A1185" s="49">
        <v>44704.940660347223</v>
      </c>
      <c r="B1185" s="50" t="s">
        <v>1</v>
      </c>
      <c r="C1185" s="50" t="s">
        <v>339</v>
      </c>
      <c r="D1185" s="50" t="s">
        <v>263</v>
      </c>
      <c r="E1185" s="50">
        <v>0</v>
      </c>
      <c r="F1185" s="50">
        <v>0.93625778240619617</v>
      </c>
      <c r="G1185" s="51" t="str">
        <v>菊野 2022/06/11 (土)
休日午前</v>
      </c>
    </row>
    <row r="1186" spans="1:7" ht="16.149999999999999" x14ac:dyDescent="0.7">
      <c r="A1186" s="49">
        <v>44704.940660347223</v>
      </c>
      <c r="B1186" s="50" t="s">
        <v>1</v>
      </c>
      <c r="C1186" s="50" t="s">
        <v>340</v>
      </c>
      <c r="D1186" s="50" t="s">
        <v>261</v>
      </c>
      <c r="E1186" s="50">
        <v>0</v>
      </c>
      <c r="F1186" s="50">
        <v>0.90062579790004627</v>
      </c>
      <c r="G1186" s="51" t="str">
        <v>菊野 2022/06/12 (日)
休日午後</v>
      </c>
    </row>
    <row r="1187" spans="1:7" ht="16.149999999999999" x14ac:dyDescent="0.7">
      <c r="A1187" s="49">
        <v>44704.940660347223</v>
      </c>
      <c r="B1187" s="50" t="s">
        <v>1</v>
      </c>
      <c r="C1187" s="50" t="s">
        <v>341</v>
      </c>
      <c r="D1187" s="50" t="s">
        <v>263</v>
      </c>
      <c r="E1187" s="50">
        <v>0</v>
      </c>
      <c r="F1187" s="50">
        <v>6.2408185019417139E-2</v>
      </c>
      <c r="G1187" s="51" t="str">
        <v>菊野 2022/06/12 (日)
休日午前</v>
      </c>
    </row>
    <row r="1188" spans="1:7" ht="16.149999999999999" x14ac:dyDescent="0.7">
      <c r="A1188" s="49">
        <v>44704.940660347223</v>
      </c>
      <c r="B1188" s="50" t="s">
        <v>1</v>
      </c>
      <c r="C1188" s="50" t="s">
        <v>342</v>
      </c>
      <c r="D1188" s="50" t="s">
        <v>259</v>
      </c>
      <c r="E1188" s="50">
        <v>0</v>
      </c>
      <c r="F1188" s="50">
        <v>0.47525984833970147</v>
      </c>
      <c r="G1188" s="51" t="str">
        <v>菊野 2022/06/13 (月)
平日夜間</v>
      </c>
    </row>
    <row r="1189" spans="1:7" ht="16.149999999999999" x14ac:dyDescent="0.7">
      <c r="A1189" s="49">
        <v>44704.940660347223</v>
      </c>
      <c r="B1189" s="50" t="s">
        <v>1</v>
      </c>
      <c r="C1189" s="50" t="s">
        <v>343</v>
      </c>
      <c r="D1189" s="50" t="s">
        <v>259</v>
      </c>
      <c r="E1189" s="50">
        <v>0</v>
      </c>
      <c r="F1189" s="50">
        <v>0.97482757580982526</v>
      </c>
      <c r="G1189" s="51" t="str">
        <v>菊野 2022/06/14 (火)
平日夜間</v>
      </c>
    </row>
    <row r="1190" spans="1:7" ht="16.149999999999999" x14ac:dyDescent="0.7">
      <c r="A1190" s="49">
        <v>44704.940660347223</v>
      </c>
      <c r="B1190" s="50" t="s">
        <v>1</v>
      </c>
      <c r="C1190" s="50" t="s">
        <v>344</v>
      </c>
      <c r="D1190" s="50" t="s">
        <v>259</v>
      </c>
      <c r="E1190" s="50">
        <v>0</v>
      </c>
      <c r="F1190" s="50">
        <v>0.60379172615414189</v>
      </c>
      <c r="G1190" s="51" t="str">
        <v>菊野 2022/06/15 (水)
平日夜間</v>
      </c>
    </row>
    <row r="1191" spans="1:7" ht="16.149999999999999" x14ac:dyDescent="0.7">
      <c r="A1191" s="49">
        <v>44704.940660347223</v>
      </c>
      <c r="B1191" s="50" t="s">
        <v>1</v>
      </c>
      <c r="C1191" s="50" t="s">
        <v>345</v>
      </c>
      <c r="D1191" s="50" t="s">
        <v>259</v>
      </c>
      <c r="E1191" s="50">
        <v>0</v>
      </c>
      <c r="F1191" s="50">
        <v>0.32243421002824268</v>
      </c>
      <c r="G1191" s="51" t="str">
        <v>菊野 2022/06/16 (木)
平日夜間</v>
      </c>
    </row>
    <row r="1192" spans="1:7" ht="16.149999999999999" x14ac:dyDescent="0.7">
      <c r="A1192" s="49">
        <v>44704.940660347223</v>
      </c>
      <c r="B1192" s="50" t="s">
        <v>1</v>
      </c>
      <c r="C1192" s="50" t="s">
        <v>346</v>
      </c>
      <c r="D1192" s="50" t="s">
        <v>259</v>
      </c>
      <c r="E1192" s="50">
        <v>-1</v>
      </c>
      <c r="F1192" s="50">
        <v>-0.49526795317172767</v>
      </c>
      <c r="G1192" s="51" t="str">
        <v>菊野 2022/06/17 (金)
平日夜間</v>
      </c>
    </row>
    <row r="1193" spans="1:7" ht="16.149999999999999" x14ac:dyDescent="0.7">
      <c r="A1193" s="49">
        <v>44704.940660347223</v>
      </c>
      <c r="B1193" s="50" t="s">
        <v>1</v>
      </c>
      <c r="C1193" s="50" t="s">
        <v>347</v>
      </c>
      <c r="D1193" s="50" t="s">
        <v>261</v>
      </c>
      <c r="E1193" s="50">
        <v>-1</v>
      </c>
      <c r="F1193" s="50">
        <v>-0.34733109328783129</v>
      </c>
      <c r="G1193" s="51" t="str">
        <v>菊野 2022/06/18 (土)
休日午後</v>
      </c>
    </row>
    <row r="1194" spans="1:7" ht="16.149999999999999" x14ac:dyDescent="0.7">
      <c r="A1194" s="49">
        <v>44704.940660347223</v>
      </c>
      <c r="B1194" s="50" t="s">
        <v>1</v>
      </c>
      <c r="C1194" s="50" t="s">
        <v>348</v>
      </c>
      <c r="D1194" s="50" t="s">
        <v>263</v>
      </c>
      <c r="E1194" s="50">
        <v>-1</v>
      </c>
      <c r="F1194" s="50">
        <v>-0.27106113305711799</v>
      </c>
      <c r="G1194" s="51" t="str">
        <v>菊野 2022/06/18 (土)
休日午前</v>
      </c>
    </row>
    <row r="1195" spans="1:7" ht="16.149999999999999" x14ac:dyDescent="0.7">
      <c r="A1195" s="49">
        <v>44704.940660347223</v>
      </c>
      <c r="B1195" s="50" t="s">
        <v>1</v>
      </c>
      <c r="C1195" s="50" t="s">
        <v>349</v>
      </c>
      <c r="D1195" s="50" t="s">
        <v>261</v>
      </c>
      <c r="E1195" s="50">
        <v>-1</v>
      </c>
      <c r="F1195" s="50">
        <v>-0.44291873471382903</v>
      </c>
      <c r="G1195" s="51" t="str">
        <v>菊野 2022/06/19 (日)
休日午後</v>
      </c>
    </row>
    <row r="1196" spans="1:7" ht="16.149999999999999" x14ac:dyDescent="0.7">
      <c r="A1196" s="49">
        <v>44704.940660347223</v>
      </c>
      <c r="B1196" s="50" t="s">
        <v>1</v>
      </c>
      <c r="C1196" s="50" t="s">
        <v>350</v>
      </c>
      <c r="D1196" s="50" t="s">
        <v>263</v>
      </c>
      <c r="E1196" s="50">
        <v>-1</v>
      </c>
      <c r="F1196" s="50">
        <v>-0.55360586206347873</v>
      </c>
      <c r="G1196" s="51" t="str">
        <v>菊野 2022/06/19 (日)
休日午前</v>
      </c>
    </row>
    <row r="1197" spans="1:7" ht="16.149999999999999" x14ac:dyDescent="0.7">
      <c r="A1197" s="49">
        <v>44704.940660347223</v>
      </c>
      <c r="B1197" s="50" t="s">
        <v>1</v>
      </c>
      <c r="C1197" s="50" t="s">
        <v>351</v>
      </c>
      <c r="D1197" s="50" t="s">
        <v>259</v>
      </c>
      <c r="E1197" s="50">
        <v>0</v>
      </c>
      <c r="F1197" s="50">
        <v>0.1603747409902605</v>
      </c>
      <c r="G1197" s="51" t="str">
        <v>菊野 2022/06/20 (月)
平日夜間</v>
      </c>
    </row>
    <row r="1198" spans="1:7" ht="16.149999999999999" x14ac:dyDescent="0.7">
      <c r="A1198" s="49">
        <v>44704.940660347223</v>
      </c>
      <c r="B1198" s="50" t="s">
        <v>1</v>
      </c>
      <c r="C1198" s="50" t="s">
        <v>352</v>
      </c>
      <c r="D1198" s="50" t="s">
        <v>259</v>
      </c>
      <c r="E1198" s="50">
        <v>0</v>
      </c>
      <c r="F1198" s="50">
        <v>2.6101425865758143E-2</v>
      </c>
      <c r="G1198" s="51" t="str">
        <v>菊野 2022/06/21 (火)
平日夜間</v>
      </c>
    </row>
    <row r="1199" spans="1:7" ht="16.149999999999999" x14ac:dyDescent="0.7">
      <c r="A1199" s="49">
        <v>44704.940660347223</v>
      </c>
      <c r="B1199" s="50" t="s">
        <v>1</v>
      </c>
      <c r="C1199" s="50" t="s">
        <v>353</v>
      </c>
      <c r="D1199" s="50" t="s">
        <v>259</v>
      </c>
      <c r="E1199" s="50">
        <v>0</v>
      </c>
      <c r="F1199" s="50">
        <v>0.92965826502545723</v>
      </c>
      <c r="G1199" s="51" t="str">
        <v>菊野 2022/06/22 (水)
平日夜間</v>
      </c>
    </row>
    <row r="1200" spans="1:7" ht="16.149999999999999" x14ac:dyDescent="0.7">
      <c r="A1200" s="49">
        <v>44704.940660347223</v>
      </c>
      <c r="B1200" s="50" t="s">
        <v>1</v>
      </c>
      <c r="C1200" s="50" t="s">
        <v>354</v>
      </c>
      <c r="D1200" s="50" t="s">
        <v>259</v>
      </c>
      <c r="E1200" s="50">
        <v>0</v>
      </c>
      <c r="F1200" s="50">
        <v>0.19181941184051876</v>
      </c>
      <c r="G1200" s="51" t="str">
        <v>菊野 2022/06/23 (木)
平日夜間</v>
      </c>
    </row>
    <row r="1201" spans="1:7" ht="16.149999999999999" x14ac:dyDescent="0.7">
      <c r="A1201" s="49">
        <v>44704.940660347223</v>
      </c>
      <c r="B1201" s="50" t="s">
        <v>1</v>
      </c>
      <c r="C1201" s="50" t="s">
        <v>355</v>
      </c>
      <c r="D1201" s="50" t="s">
        <v>259</v>
      </c>
      <c r="E1201" s="50">
        <v>0</v>
      </c>
      <c r="F1201" s="50">
        <v>0.20764886299197083</v>
      </c>
      <c r="G1201" s="51" t="str">
        <v>菊野 2022/06/24 (金)
平日夜間</v>
      </c>
    </row>
    <row r="1202" spans="1:7" ht="16.149999999999999" x14ac:dyDescent="0.7">
      <c r="A1202" s="49">
        <v>44704.940660347223</v>
      </c>
      <c r="B1202" s="50" t="s">
        <v>1</v>
      </c>
      <c r="C1202" s="50" t="s">
        <v>356</v>
      </c>
      <c r="D1202" s="50" t="s">
        <v>261</v>
      </c>
      <c r="E1202" s="50">
        <v>-1</v>
      </c>
      <c r="F1202" s="50">
        <v>-0.78209598251793677</v>
      </c>
      <c r="G1202" s="51" t="str">
        <v>菊野 2022/06/25 (土)
休日午後</v>
      </c>
    </row>
    <row r="1203" spans="1:7" ht="16.149999999999999" x14ac:dyDescent="0.7">
      <c r="A1203" s="49">
        <v>44704.940660347223</v>
      </c>
      <c r="B1203" s="50" t="s">
        <v>1</v>
      </c>
      <c r="C1203" s="50" t="s">
        <v>357</v>
      </c>
      <c r="D1203" s="50" t="s">
        <v>263</v>
      </c>
      <c r="E1203" s="50">
        <v>-1</v>
      </c>
      <c r="F1203" s="50">
        <v>-0.62303848345637847</v>
      </c>
      <c r="G1203" s="51" t="str">
        <v>菊野 2022/06/25 (土)
休日午前</v>
      </c>
    </row>
    <row r="1204" spans="1:7" ht="16.149999999999999" x14ac:dyDescent="0.7">
      <c r="A1204" s="49">
        <v>44704.940660347223</v>
      </c>
      <c r="B1204" s="50" t="s">
        <v>1</v>
      </c>
      <c r="C1204" s="50" t="s">
        <v>358</v>
      </c>
      <c r="D1204" s="50" t="s">
        <v>261</v>
      </c>
      <c r="E1204" s="50">
        <v>0</v>
      </c>
      <c r="F1204" s="50">
        <v>0.64288313977810718</v>
      </c>
      <c r="G1204" s="51" t="str">
        <v>菊野 2022/06/26 (日)
休日午後</v>
      </c>
    </row>
    <row r="1205" spans="1:7" ht="16.149999999999999" x14ac:dyDescent="0.7">
      <c r="A1205" s="49">
        <v>44704.940660347223</v>
      </c>
      <c r="B1205" s="50" t="s">
        <v>1</v>
      </c>
      <c r="C1205" s="50" t="s">
        <v>359</v>
      </c>
      <c r="D1205" s="50" t="s">
        <v>263</v>
      </c>
      <c r="E1205" s="50">
        <v>0</v>
      </c>
      <c r="F1205" s="50">
        <v>0.20857076448155976</v>
      </c>
      <c r="G1205" s="51" t="str">
        <v>菊野 2022/06/26 (日)
休日午前</v>
      </c>
    </row>
    <row r="1206" spans="1:7" ht="16.149999999999999" x14ac:dyDescent="0.7">
      <c r="A1206" s="49">
        <v>44704.940660347223</v>
      </c>
      <c r="B1206" s="50" t="s">
        <v>1</v>
      </c>
      <c r="C1206" s="50" t="s">
        <v>360</v>
      </c>
      <c r="D1206" s="50" t="s">
        <v>259</v>
      </c>
      <c r="E1206" s="50">
        <v>0</v>
      </c>
      <c r="F1206" s="50">
        <v>2.71017062613228E-2</v>
      </c>
      <c r="G1206" s="51" t="str">
        <v>菊野 2022/06/27 (月)
平日夜間</v>
      </c>
    </row>
    <row r="1207" spans="1:7" ht="16.149999999999999" x14ac:dyDescent="0.7">
      <c r="A1207" s="49">
        <v>44704.940660347223</v>
      </c>
      <c r="B1207" s="50" t="s">
        <v>1</v>
      </c>
      <c r="C1207" s="50" t="s">
        <v>361</v>
      </c>
      <c r="D1207" s="50" t="s">
        <v>259</v>
      </c>
      <c r="E1207" s="50">
        <v>0</v>
      </c>
      <c r="F1207" s="50">
        <v>0.28656362520942835</v>
      </c>
      <c r="G1207" s="51" t="str">
        <v>菊野 2022/06/28 (火)
平日夜間</v>
      </c>
    </row>
    <row r="1208" spans="1:7" ht="16.149999999999999" x14ac:dyDescent="0.7">
      <c r="A1208" s="49">
        <v>44704.940660347223</v>
      </c>
      <c r="B1208" s="50" t="s">
        <v>1</v>
      </c>
      <c r="C1208" s="50" t="s">
        <v>362</v>
      </c>
      <c r="D1208" s="50" t="s">
        <v>259</v>
      </c>
      <c r="E1208" s="50">
        <v>0</v>
      </c>
      <c r="F1208" s="50">
        <v>0.57660589934731732</v>
      </c>
      <c r="G1208" s="51" t="str">
        <v>菊野 2022/06/29 (水)
平日夜間</v>
      </c>
    </row>
    <row r="1209" spans="1:7" ht="16.149999999999999" x14ac:dyDescent="0.7">
      <c r="A1209" s="49">
        <v>44704.940660347223</v>
      </c>
      <c r="B1209" s="50" t="s">
        <v>1</v>
      </c>
      <c r="C1209" s="50" t="s">
        <v>363</v>
      </c>
      <c r="D1209" s="50" t="s">
        <v>259</v>
      </c>
      <c r="E1209" s="50">
        <v>0</v>
      </c>
      <c r="F1209" s="50">
        <v>3.6290744105816453E-2</v>
      </c>
      <c r="G1209" s="51" t="str">
        <v>菊野 2022/06/30 (木)
平日夜間</v>
      </c>
    </row>
    <row r="1210" spans="1:7" ht="16.149999999999999" x14ac:dyDescent="0.7">
      <c r="A1210" s="49">
        <v>44704.941645023151</v>
      </c>
      <c r="B1210" s="50" t="s">
        <v>1</v>
      </c>
      <c r="C1210" s="50" t="s">
        <v>326</v>
      </c>
      <c r="D1210" s="50" t="s">
        <v>259</v>
      </c>
      <c r="E1210" s="50">
        <v>0</v>
      </c>
      <c r="F1210" s="50">
        <v>0.80632617676439655</v>
      </c>
      <c r="G1210" s="51" t="str">
        <v>菊野 2022/06/01 (水)
平日夜間</v>
      </c>
    </row>
    <row r="1211" spans="1:7" ht="16.149999999999999" x14ac:dyDescent="0.7">
      <c r="A1211" s="49">
        <v>44704.941645023151</v>
      </c>
      <c r="B1211" s="50" t="s">
        <v>1</v>
      </c>
      <c r="C1211" s="50" t="s">
        <v>327</v>
      </c>
      <c r="D1211" s="50" t="s">
        <v>259</v>
      </c>
      <c r="E1211" s="50">
        <v>0</v>
      </c>
      <c r="F1211" s="50">
        <v>0.78594921799181017</v>
      </c>
      <c r="G1211" s="51" t="str">
        <v>菊野 2022/06/02 (木)
平日夜間</v>
      </c>
    </row>
    <row r="1212" spans="1:7" ht="16.149999999999999" x14ac:dyDescent="0.7">
      <c r="A1212" s="49">
        <v>44704.941645023151</v>
      </c>
      <c r="B1212" s="50" t="s">
        <v>1</v>
      </c>
      <c r="C1212" s="50" t="s">
        <v>328</v>
      </c>
      <c r="D1212" s="50" t="s">
        <v>259</v>
      </c>
      <c r="E1212" s="50">
        <v>0</v>
      </c>
      <c r="F1212" s="50">
        <v>0.2806715073575583</v>
      </c>
      <c r="G1212" s="51" t="str">
        <v>菊野 2022/06/03 (金)
平日夜間</v>
      </c>
    </row>
    <row r="1213" spans="1:7" ht="16.149999999999999" x14ac:dyDescent="0.7">
      <c r="A1213" s="49">
        <v>44704.941645023151</v>
      </c>
      <c r="B1213" s="50" t="s">
        <v>1</v>
      </c>
      <c r="C1213" s="50" t="s">
        <v>329</v>
      </c>
      <c r="D1213" s="50" t="s">
        <v>261</v>
      </c>
      <c r="E1213" s="50">
        <v>0</v>
      </c>
      <c r="F1213" s="50">
        <v>0.67993503395577837</v>
      </c>
      <c r="G1213" s="51" t="str">
        <v>菊野 2022/06/04 (土)
休日午後</v>
      </c>
    </row>
    <row r="1214" spans="1:7" ht="16.149999999999999" x14ac:dyDescent="0.7">
      <c r="A1214" s="49">
        <v>44704.941645023151</v>
      </c>
      <c r="B1214" s="50" t="s">
        <v>1</v>
      </c>
      <c r="C1214" s="50" t="s">
        <v>330</v>
      </c>
      <c r="D1214" s="50" t="s">
        <v>263</v>
      </c>
      <c r="E1214" s="50">
        <v>0</v>
      </c>
      <c r="F1214" s="50">
        <v>0.62043858330564228</v>
      </c>
      <c r="G1214" s="51" t="str">
        <v>菊野 2022/06/04 (土)
休日午前</v>
      </c>
    </row>
    <row r="1215" spans="1:7" ht="16.149999999999999" x14ac:dyDescent="0.7">
      <c r="A1215" s="49">
        <v>44704.941645023151</v>
      </c>
      <c r="B1215" s="50" t="s">
        <v>1</v>
      </c>
      <c r="C1215" s="50" t="s">
        <v>331</v>
      </c>
      <c r="D1215" s="50" t="s">
        <v>261</v>
      </c>
      <c r="E1215" s="50">
        <v>0</v>
      </c>
      <c r="F1215" s="50">
        <v>0.20367884474698839</v>
      </c>
      <c r="G1215" s="51" t="str">
        <v>菊野 2022/06/05 (日)
休日午後</v>
      </c>
    </row>
    <row r="1216" spans="1:7" ht="16.149999999999999" x14ac:dyDescent="0.7">
      <c r="A1216" s="49">
        <v>44704.941645023151</v>
      </c>
      <c r="B1216" s="50" t="s">
        <v>1</v>
      </c>
      <c r="C1216" s="50" t="s">
        <v>332</v>
      </c>
      <c r="D1216" s="50" t="s">
        <v>263</v>
      </c>
      <c r="E1216" s="50">
        <v>0</v>
      </c>
      <c r="F1216" s="50">
        <v>0.40133206102565677</v>
      </c>
      <c r="G1216" s="51" t="str">
        <v>菊野 2022/06/05 (日)
休日午前</v>
      </c>
    </row>
    <row r="1217" spans="1:7" ht="16.149999999999999" x14ac:dyDescent="0.7">
      <c r="A1217" s="49">
        <v>44704.941645023151</v>
      </c>
      <c r="B1217" s="50" t="s">
        <v>1</v>
      </c>
      <c r="C1217" s="50" t="s">
        <v>333</v>
      </c>
      <c r="D1217" s="50" t="s">
        <v>259</v>
      </c>
      <c r="E1217" s="50">
        <v>0</v>
      </c>
      <c r="F1217" s="50">
        <v>0.53498433270837342</v>
      </c>
      <c r="G1217" s="51" t="str">
        <v>菊野 2022/06/06 (月)
平日夜間</v>
      </c>
    </row>
    <row r="1218" spans="1:7" ht="16.149999999999999" x14ac:dyDescent="0.7">
      <c r="A1218" s="49">
        <v>44704.941645023151</v>
      </c>
      <c r="B1218" s="50" t="s">
        <v>1</v>
      </c>
      <c r="C1218" s="50" t="s">
        <v>334</v>
      </c>
      <c r="D1218" s="50" t="s">
        <v>259</v>
      </c>
      <c r="E1218" s="50">
        <v>0</v>
      </c>
      <c r="F1218" s="50">
        <v>0.85187475698484705</v>
      </c>
      <c r="G1218" s="51" t="str">
        <v>菊野 2022/06/07 (火)
平日夜間</v>
      </c>
    </row>
    <row r="1219" spans="1:7" ht="16.149999999999999" x14ac:dyDescent="0.7">
      <c r="A1219" s="49">
        <v>44704.941645023151</v>
      </c>
      <c r="B1219" s="50" t="s">
        <v>1</v>
      </c>
      <c r="C1219" s="50" t="s">
        <v>335</v>
      </c>
      <c r="D1219" s="50" t="s">
        <v>259</v>
      </c>
      <c r="E1219" s="50">
        <v>0</v>
      </c>
      <c r="F1219" s="50">
        <v>0.37547435751175118</v>
      </c>
      <c r="G1219" s="51" t="str">
        <v>菊野 2022/06/08 (水)
平日夜間</v>
      </c>
    </row>
    <row r="1220" spans="1:7" ht="16.149999999999999" x14ac:dyDescent="0.7">
      <c r="A1220" s="49">
        <v>44704.941645023151</v>
      </c>
      <c r="B1220" s="50" t="s">
        <v>1</v>
      </c>
      <c r="C1220" s="50" t="s">
        <v>336</v>
      </c>
      <c r="D1220" s="50" t="s">
        <v>259</v>
      </c>
      <c r="E1220" s="50">
        <v>0</v>
      </c>
      <c r="F1220" s="50">
        <v>0.95097116077139621</v>
      </c>
      <c r="G1220" s="51" t="str">
        <v>菊野 2022/06/09 (木)
平日夜間</v>
      </c>
    </row>
    <row r="1221" spans="1:7" ht="16.149999999999999" x14ac:dyDescent="0.7">
      <c r="A1221" s="49">
        <v>44704.941645023151</v>
      </c>
      <c r="B1221" s="50" t="s">
        <v>1</v>
      </c>
      <c r="C1221" s="50" t="s">
        <v>337</v>
      </c>
      <c r="D1221" s="50" t="s">
        <v>259</v>
      </c>
      <c r="E1221" s="50">
        <v>0</v>
      </c>
      <c r="F1221" s="50">
        <v>0.71893813246028881</v>
      </c>
      <c r="G1221" s="51" t="str">
        <v>菊野 2022/06/10 (金)
平日夜間</v>
      </c>
    </row>
    <row r="1222" spans="1:7" ht="16.149999999999999" x14ac:dyDescent="0.7">
      <c r="A1222" s="49">
        <v>44704.941645023151</v>
      </c>
      <c r="B1222" s="50" t="s">
        <v>1</v>
      </c>
      <c r="C1222" s="50" t="s">
        <v>338</v>
      </c>
      <c r="D1222" s="50" t="s">
        <v>261</v>
      </c>
      <c r="E1222" s="50">
        <v>0</v>
      </c>
      <c r="F1222" s="50">
        <v>0.80733710183388885</v>
      </c>
      <c r="G1222" s="51" t="str">
        <v>菊野 2022/06/11 (土)
休日午後</v>
      </c>
    </row>
    <row r="1223" spans="1:7" ht="16.149999999999999" x14ac:dyDescent="0.7">
      <c r="A1223" s="49">
        <v>44704.941645023151</v>
      </c>
      <c r="B1223" s="50" t="s">
        <v>1</v>
      </c>
      <c r="C1223" s="50" t="s">
        <v>339</v>
      </c>
      <c r="D1223" s="50" t="s">
        <v>263</v>
      </c>
      <c r="E1223" s="50">
        <v>0</v>
      </c>
      <c r="F1223" s="50">
        <v>5.5618318386520427E-2</v>
      </c>
      <c r="G1223" s="51" t="str">
        <v>菊野 2022/06/11 (土)
休日午前</v>
      </c>
    </row>
    <row r="1224" spans="1:7" ht="16.149999999999999" x14ac:dyDescent="0.7">
      <c r="A1224" s="49">
        <v>44704.941645023151</v>
      </c>
      <c r="B1224" s="50" t="s">
        <v>1</v>
      </c>
      <c r="C1224" s="50" t="s">
        <v>340</v>
      </c>
      <c r="D1224" s="50" t="s">
        <v>261</v>
      </c>
      <c r="E1224" s="50">
        <v>0</v>
      </c>
      <c r="F1224" s="50">
        <v>0.76767635331706252</v>
      </c>
      <c r="G1224" s="51" t="str">
        <v>菊野 2022/06/12 (日)
休日午後</v>
      </c>
    </row>
    <row r="1225" spans="1:7" ht="16.149999999999999" x14ac:dyDescent="0.7">
      <c r="A1225" s="49">
        <v>44704.941645023151</v>
      </c>
      <c r="B1225" s="50" t="s">
        <v>1</v>
      </c>
      <c r="C1225" s="50" t="s">
        <v>341</v>
      </c>
      <c r="D1225" s="50" t="s">
        <v>263</v>
      </c>
      <c r="E1225" s="50">
        <v>0</v>
      </c>
      <c r="F1225" s="50">
        <v>0.95946803179588191</v>
      </c>
      <c r="G1225" s="51" t="str">
        <v>菊野 2022/06/12 (日)
休日午前</v>
      </c>
    </row>
    <row r="1226" spans="1:7" ht="16.149999999999999" x14ac:dyDescent="0.7">
      <c r="A1226" s="49">
        <v>44704.941645023151</v>
      </c>
      <c r="B1226" s="50" t="s">
        <v>1</v>
      </c>
      <c r="C1226" s="50" t="s">
        <v>342</v>
      </c>
      <c r="D1226" s="50" t="s">
        <v>259</v>
      </c>
      <c r="E1226" s="50">
        <v>0</v>
      </c>
      <c r="F1226" s="50">
        <v>9.8431605924058863E-2</v>
      </c>
      <c r="G1226" s="51" t="str">
        <v>菊野 2022/06/13 (月)
平日夜間</v>
      </c>
    </row>
    <row r="1227" spans="1:7" ht="16.149999999999999" x14ac:dyDescent="0.7">
      <c r="A1227" s="49">
        <v>44704.941645023151</v>
      </c>
      <c r="B1227" s="50" t="s">
        <v>1</v>
      </c>
      <c r="C1227" s="50" t="s">
        <v>343</v>
      </c>
      <c r="D1227" s="50" t="s">
        <v>259</v>
      </c>
      <c r="E1227" s="50">
        <v>2</v>
      </c>
      <c r="F1227" s="50">
        <v>2.8672813194333986</v>
      </c>
      <c r="G1227" s="51" t="str">
        <v>菊野 2022/06/14 (火)
平日夜間</v>
      </c>
    </row>
    <row r="1228" spans="1:7" ht="16.149999999999999" x14ac:dyDescent="0.7">
      <c r="A1228" s="49">
        <v>44704.941645023151</v>
      </c>
      <c r="B1228" s="50" t="s">
        <v>1</v>
      </c>
      <c r="C1228" s="50" t="s">
        <v>344</v>
      </c>
      <c r="D1228" s="50" t="s">
        <v>259</v>
      </c>
      <c r="E1228" s="50">
        <v>0</v>
      </c>
      <c r="F1228" s="50">
        <v>1.3283582553586637E-2</v>
      </c>
      <c r="G1228" s="51" t="str">
        <v>菊野 2022/06/15 (水)
平日夜間</v>
      </c>
    </row>
    <row r="1229" spans="1:7" ht="16.149999999999999" x14ac:dyDescent="0.7">
      <c r="A1229" s="49">
        <v>44704.941645023151</v>
      </c>
      <c r="B1229" s="50" t="s">
        <v>1</v>
      </c>
      <c r="C1229" s="50" t="s">
        <v>345</v>
      </c>
      <c r="D1229" s="50" t="s">
        <v>259</v>
      </c>
      <c r="E1229" s="50">
        <v>0</v>
      </c>
      <c r="F1229" s="50">
        <v>0.96134116290103155</v>
      </c>
      <c r="G1229" s="51" t="str">
        <v>菊野 2022/06/16 (木)
平日夜間</v>
      </c>
    </row>
    <row r="1230" spans="1:7" ht="16.149999999999999" x14ac:dyDescent="0.7">
      <c r="A1230" s="49">
        <v>44704.941645023151</v>
      </c>
      <c r="B1230" s="50" t="s">
        <v>1</v>
      </c>
      <c r="C1230" s="50" t="s">
        <v>346</v>
      </c>
      <c r="D1230" s="50" t="s">
        <v>259</v>
      </c>
      <c r="E1230" s="50">
        <v>-1</v>
      </c>
      <c r="F1230" s="50">
        <v>-0.8672263824811286</v>
      </c>
      <c r="G1230" s="51" t="str">
        <v>菊野 2022/06/17 (金)
平日夜間</v>
      </c>
    </row>
    <row r="1231" spans="1:7" ht="16.149999999999999" x14ac:dyDescent="0.7">
      <c r="A1231" s="49">
        <v>44704.941645023151</v>
      </c>
      <c r="B1231" s="50" t="s">
        <v>1</v>
      </c>
      <c r="C1231" s="50" t="s">
        <v>347</v>
      </c>
      <c r="D1231" s="50" t="s">
        <v>261</v>
      </c>
      <c r="E1231" s="50">
        <v>-1</v>
      </c>
      <c r="F1231" s="50">
        <v>-0.29307506088984114</v>
      </c>
      <c r="G1231" s="51" t="str">
        <v>菊野 2022/06/18 (土)
休日午後</v>
      </c>
    </row>
    <row r="1232" spans="1:7" ht="16.149999999999999" x14ac:dyDescent="0.7">
      <c r="A1232" s="49">
        <v>44704.941645023151</v>
      </c>
      <c r="B1232" s="50" t="s">
        <v>1</v>
      </c>
      <c r="C1232" s="50" t="s">
        <v>348</v>
      </c>
      <c r="D1232" s="50" t="s">
        <v>263</v>
      </c>
      <c r="E1232" s="50">
        <v>-1</v>
      </c>
      <c r="F1232" s="50">
        <v>-0.35110456404539381</v>
      </c>
      <c r="G1232" s="51" t="str">
        <v>菊野 2022/06/18 (土)
休日午前</v>
      </c>
    </row>
    <row r="1233" spans="1:7" ht="16.149999999999999" x14ac:dyDescent="0.7">
      <c r="A1233" s="49">
        <v>44704.941645023151</v>
      </c>
      <c r="B1233" s="50" t="s">
        <v>1</v>
      </c>
      <c r="C1233" s="50" t="s">
        <v>349</v>
      </c>
      <c r="D1233" s="50" t="s">
        <v>261</v>
      </c>
      <c r="E1233" s="50">
        <v>-1</v>
      </c>
      <c r="F1233" s="50">
        <v>-0.93111422900913454</v>
      </c>
      <c r="G1233" s="51" t="str">
        <v>菊野 2022/06/19 (日)
休日午後</v>
      </c>
    </row>
    <row r="1234" spans="1:7" ht="16.149999999999999" x14ac:dyDescent="0.7">
      <c r="A1234" s="49">
        <v>44704.941645023151</v>
      </c>
      <c r="B1234" s="50" t="s">
        <v>1</v>
      </c>
      <c r="C1234" s="50" t="s">
        <v>350</v>
      </c>
      <c r="D1234" s="50" t="s">
        <v>263</v>
      </c>
      <c r="E1234" s="50">
        <v>-1</v>
      </c>
      <c r="F1234" s="50">
        <v>-0.87665938704546598</v>
      </c>
      <c r="G1234" s="51" t="str">
        <v>菊野 2022/06/19 (日)
休日午前</v>
      </c>
    </row>
    <row r="1235" spans="1:7" ht="16.149999999999999" x14ac:dyDescent="0.7">
      <c r="A1235" s="49">
        <v>44704.941645023151</v>
      </c>
      <c r="B1235" s="50" t="s">
        <v>1</v>
      </c>
      <c r="C1235" s="50" t="s">
        <v>351</v>
      </c>
      <c r="D1235" s="50" t="s">
        <v>259</v>
      </c>
      <c r="E1235" s="50">
        <v>0</v>
      </c>
      <c r="F1235" s="50">
        <v>4.7501207373346954E-2</v>
      </c>
      <c r="G1235" s="51" t="str">
        <v>菊野 2022/06/20 (月)
平日夜間</v>
      </c>
    </row>
    <row r="1236" spans="1:7" ht="16.149999999999999" x14ac:dyDescent="0.7">
      <c r="A1236" s="49">
        <v>44704.941645023151</v>
      </c>
      <c r="B1236" s="50" t="s">
        <v>1</v>
      </c>
      <c r="C1236" s="50" t="s">
        <v>352</v>
      </c>
      <c r="D1236" s="50" t="s">
        <v>259</v>
      </c>
      <c r="E1236" s="50">
        <v>0</v>
      </c>
      <c r="F1236" s="50">
        <v>0.88540124852963431</v>
      </c>
      <c r="G1236" s="51" t="str">
        <v>菊野 2022/06/21 (火)
平日夜間</v>
      </c>
    </row>
    <row r="1237" spans="1:7" ht="16.149999999999999" x14ac:dyDescent="0.7">
      <c r="A1237" s="49">
        <v>44704.941645023151</v>
      </c>
      <c r="B1237" s="50" t="s">
        <v>1</v>
      </c>
      <c r="C1237" s="50" t="s">
        <v>353</v>
      </c>
      <c r="D1237" s="50" t="s">
        <v>259</v>
      </c>
      <c r="E1237" s="50">
        <v>0</v>
      </c>
      <c r="F1237" s="50">
        <v>0.59796720351137655</v>
      </c>
      <c r="G1237" s="51" t="str">
        <v>菊野 2022/06/22 (水)
平日夜間</v>
      </c>
    </row>
    <row r="1238" spans="1:7" ht="16.149999999999999" x14ac:dyDescent="0.7">
      <c r="A1238" s="49">
        <v>44704.941645023151</v>
      </c>
      <c r="B1238" s="50" t="s">
        <v>1</v>
      </c>
      <c r="C1238" s="50" t="s">
        <v>354</v>
      </c>
      <c r="D1238" s="50" t="s">
        <v>259</v>
      </c>
      <c r="E1238" s="50">
        <v>0</v>
      </c>
      <c r="F1238" s="50">
        <v>0.16146341846672585</v>
      </c>
      <c r="G1238" s="51" t="str">
        <v>菊野 2022/06/23 (木)
平日夜間</v>
      </c>
    </row>
    <row r="1239" spans="1:7" ht="16.149999999999999" x14ac:dyDescent="0.7">
      <c r="A1239" s="49">
        <v>44704.941645023151</v>
      </c>
      <c r="B1239" s="50" t="s">
        <v>1</v>
      </c>
      <c r="C1239" s="50" t="s">
        <v>355</v>
      </c>
      <c r="D1239" s="50" t="s">
        <v>259</v>
      </c>
      <c r="E1239" s="50">
        <v>0</v>
      </c>
      <c r="F1239" s="50">
        <v>0.21216327234611332</v>
      </c>
      <c r="G1239" s="51" t="str">
        <v>菊野 2022/06/24 (金)
平日夜間</v>
      </c>
    </row>
    <row r="1240" spans="1:7" ht="16.149999999999999" x14ac:dyDescent="0.7">
      <c r="A1240" s="49">
        <v>44704.941645023151</v>
      </c>
      <c r="B1240" s="50" t="s">
        <v>1</v>
      </c>
      <c r="C1240" s="50" t="s">
        <v>356</v>
      </c>
      <c r="D1240" s="50" t="s">
        <v>261</v>
      </c>
      <c r="E1240" s="50">
        <v>-1</v>
      </c>
      <c r="F1240" s="50">
        <v>-0.37245016836960643</v>
      </c>
      <c r="G1240" s="51" t="str">
        <v>菊野 2022/06/25 (土)
休日午後</v>
      </c>
    </row>
    <row r="1241" spans="1:7" ht="16.149999999999999" x14ac:dyDescent="0.7">
      <c r="A1241" s="49">
        <v>44704.941645023151</v>
      </c>
      <c r="B1241" s="50" t="s">
        <v>1</v>
      </c>
      <c r="C1241" s="50" t="s">
        <v>357</v>
      </c>
      <c r="D1241" s="50" t="s">
        <v>263</v>
      </c>
      <c r="E1241" s="50">
        <v>-1</v>
      </c>
      <c r="F1241" s="50">
        <v>-0.87774062143293374</v>
      </c>
      <c r="G1241" s="51" t="str">
        <v>菊野 2022/06/25 (土)
休日午前</v>
      </c>
    </row>
    <row r="1242" spans="1:7" ht="16.149999999999999" x14ac:dyDescent="0.7">
      <c r="A1242" s="49">
        <v>44704.941645023151</v>
      </c>
      <c r="B1242" s="50" t="s">
        <v>1</v>
      </c>
      <c r="C1242" s="50" t="s">
        <v>358</v>
      </c>
      <c r="D1242" s="50" t="s">
        <v>261</v>
      </c>
      <c r="E1242" s="50">
        <v>0</v>
      </c>
      <c r="F1242" s="50">
        <v>0.76921816083876116</v>
      </c>
      <c r="G1242" s="51" t="str">
        <v>菊野 2022/06/26 (日)
休日午後</v>
      </c>
    </row>
    <row r="1243" spans="1:7" ht="16.149999999999999" x14ac:dyDescent="0.7">
      <c r="A1243" s="49">
        <v>44704.941645023151</v>
      </c>
      <c r="B1243" s="50" t="s">
        <v>1</v>
      </c>
      <c r="C1243" s="50" t="s">
        <v>359</v>
      </c>
      <c r="D1243" s="50" t="s">
        <v>263</v>
      </c>
      <c r="E1243" s="50">
        <v>0</v>
      </c>
      <c r="F1243" s="50">
        <v>0.978166254939838</v>
      </c>
      <c r="G1243" s="51" t="str">
        <v>菊野 2022/06/26 (日)
休日午前</v>
      </c>
    </row>
    <row r="1244" spans="1:7" ht="16.149999999999999" x14ac:dyDescent="0.7">
      <c r="A1244" s="49">
        <v>44704.941645023151</v>
      </c>
      <c r="B1244" s="50" t="s">
        <v>1</v>
      </c>
      <c r="C1244" s="50" t="s">
        <v>360</v>
      </c>
      <c r="D1244" s="50" t="s">
        <v>259</v>
      </c>
      <c r="E1244" s="50">
        <v>0</v>
      </c>
      <c r="F1244" s="50">
        <v>0.85927663998872839</v>
      </c>
      <c r="G1244" s="51" t="str">
        <v>菊野 2022/06/27 (月)
平日夜間</v>
      </c>
    </row>
    <row r="1245" spans="1:7" ht="16.149999999999999" x14ac:dyDescent="0.7">
      <c r="A1245" s="49">
        <v>44704.941645023151</v>
      </c>
      <c r="B1245" s="50" t="s">
        <v>1</v>
      </c>
      <c r="C1245" s="50" t="s">
        <v>361</v>
      </c>
      <c r="D1245" s="50" t="s">
        <v>259</v>
      </c>
      <c r="E1245" s="50">
        <v>0</v>
      </c>
      <c r="F1245" s="50">
        <v>0.22204198305058043</v>
      </c>
      <c r="G1245" s="51" t="str">
        <v>菊野 2022/06/28 (火)
平日夜間</v>
      </c>
    </row>
    <row r="1246" spans="1:7" ht="16.149999999999999" x14ac:dyDescent="0.7">
      <c r="A1246" s="49">
        <v>44704.941645023151</v>
      </c>
      <c r="B1246" s="50" t="s">
        <v>1</v>
      </c>
      <c r="C1246" s="50" t="s">
        <v>362</v>
      </c>
      <c r="D1246" s="50" t="s">
        <v>259</v>
      </c>
      <c r="E1246" s="50">
        <v>0</v>
      </c>
      <c r="F1246" s="50">
        <v>0.50524561222395081</v>
      </c>
      <c r="G1246" s="51" t="str">
        <v>菊野 2022/06/29 (水)
平日夜間</v>
      </c>
    </row>
    <row r="1247" spans="1:7" ht="16.149999999999999" x14ac:dyDescent="0.7">
      <c r="A1247" s="49">
        <v>44704.941645023151</v>
      </c>
      <c r="B1247" s="50" t="s">
        <v>1</v>
      </c>
      <c r="C1247" s="50" t="s">
        <v>363</v>
      </c>
      <c r="D1247" s="50" t="s">
        <v>259</v>
      </c>
      <c r="E1247" s="50">
        <v>0</v>
      </c>
      <c r="F1247" s="50">
        <v>0.40843997200069126</v>
      </c>
      <c r="G1247" s="51" t="str">
        <v>菊野 2022/06/30 (木)
平日夜間</v>
      </c>
    </row>
    <row r="1248" spans="1:7" ht="16.149999999999999" x14ac:dyDescent="0.7">
      <c r="A1248" s="49">
        <v>44704.952565821761</v>
      </c>
      <c r="B1248" s="50" t="s">
        <v>15</v>
      </c>
      <c r="C1248" s="50" t="s">
        <v>326</v>
      </c>
      <c r="D1248" s="50" t="s">
        <v>259</v>
      </c>
      <c r="E1248" s="50">
        <v>0</v>
      </c>
      <c r="F1248" s="50">
        <v>0.72457957736733203</v>
      </c>
      <c r="G1248" s="51" t="str">
        <v>太良 2022/06/01 (水)
平日夜間</v>
      </c>
    </row>
    <row r="1249" spans="1:7" ht="16.149999999999999" x14ac:dyDescent="0.7">
      <c r="A1249" s="49">
        <v>44704.952565821761</v>
      </c>
      <c r="B1249" s="50" t="s">
        <v>15</v>
      </c>
      <c r="C1249" s="50" t="s">
        <v>327</v>
      </c>
      <c r="D1249" s="50" t="s">
        <v>259</v>
      </c>
      <c r="E1249" s="50">
        <v>-1</v>
      </c>
      <c r="F1249" s="50">
        <v>-0.66551192562103312</v>
      </c>
      <c r="G1249" s="51" t="str">
        <v>太良 2022/06/02 (木)
平日夜間</v>
      </c>
    </row>
    <row r="1250" spans="1:7" ht="16.149999999999999" x14ac:dyDescent="0.7">
      <c r="A1250" s="49">
        <v>44704.952565821761</v>
      </c>
      <c r="B1250" s="50" t="s">
        <v>15</v>
      </c>
      <c r="C1250" s="50" t="s">
        <v>328</v>
      </c>
      <c r="D1250" s="50" t="s">
        <v>259</v>
      </c>
      <c r="E1250" s="50">
        <v>-1</v>
      </c>
      <c r="F1250" s="50">
        <v>-0.27427562089284829</v>
      </c>
      <c r="G1250" s="51" t="str">
        <v>太良 2022/06/03 (金)
平日夜間</v>
      </c>
    </row>
    <row r="1251" spans="1:7" ht="16.149999999999999" x14ac:dyDescent="0.7">
      <c r="A1251" s="49">
        <v>44704.952565821761</v>
      </c>
      <c r="B1251" s="50" t="s">
        <v>15</v>
      </c>
      <c r="C1251" s="50" t="s">
        <v>329</v>
      </c>
      <c r="D1251" s="50" t="s">
        <v>261</v>
      </c>
      <c r="E1251" s="50">
        <v>0</v>
      </c>
      <c r="F1251" s="50">
        <v>0.73043519363388776</v>
      </c>
      <c r="G1251" s="51" t="str">
        <v>太良 2022/06/04 (土)
休日午後</v>
      </c>
    </row>
    <row r="1252" spans="1:7" ht="16.149999999999999" x14ac:dyDescent="0.7">
      <c r="A1252" s="49">
        <v>44704.952565821761</v>
      </c>
      <c r="B1252" s="50" t="s">
        <v>15</v>
      </c>
      <c r="C1252" s="50" t="s">
        <v>330</v>
      </c>
      <c r="D1252" s="50" t="s">
        <v>263</v>
      </c>
      <c r="E1252" s="50">
        <v>-1</v>
      </c>
      <c r="F1252" s="50">
        <v>-0.49431795761479158</v>
      </c>
      <c r="G1252" s="51" t="str">
        <v>太良 2022/06/04 (土)
休日午前</v>
      </c>
    </row>
    <row r="1253" spans="1:7" ht="16.149999999999999" x14ac:dyDescent="0.7">
      <c r="A1253" s="49">
        <v>44704.952565821761</v>
      </c>
      <c r="B1253" s="50" t="s">
        <v>15</v>
      </c>
      <c r="C1253" s="50" t="s">
        <v>331</v>
      </c>
      <c r="D1253" s="50" t="s">
        <v>261</v>
      </c>
      <c r="E1253" s="50">
        <v>-1</v>
      </c>
      <c r="F1253" s="50">
        <v>-0.74995428757613114</v>
      </c>
      <c r="G1253" s="51" t="str">
        <v>太良 2022/06/05 (日)
休日午後</v>
      </c>
    </row>
    <row r="1254" spans="1:7" ht="16.149999999999999" x14ac:dyDescent="0.7">
      <c r="A1254" s="49">
        <v>44704.952565821761</v>
      </c>
      <c r="B1254" s="50" t="s">
        <v>15</v>
      </c>
      <c r="C1254" s="50" t="s">
        <v>332</v>
      </c>
      <c r="D1254" s="50" t="s">
        <v>263</v>
      </c>
      <c r="E1254" s="50">
        <v>-1</v>
      </c>
      <c r="F1254" s="50">
        <v>-0.45187560103601254</v>
      </c>
      <c r="G1254" s="51" t="str">
        <v>太良 2022/06/05 (日)
休日午前</v>
      </c>
    </row>
    <row r="1255" spans="1:7" ht="16.149999999999999" x14ac:dyDescent="0.7">
      <c r="A1255" s="49">
        <v>44704.952565821761</v>
      </c>
      <c r="B1255" s="50" t="s">
        <v>15</v>
      </c>
      <c r="C1255" s="50" t="s">
        <v>333</v>
      </c>
      <c r="D1255" s="50" t="s">
        <v>259</v>
      </c>
      <c r="E1255" s="50">
        <v>0</v>
      </c>
      <c r="F1255" s="50">
        <v>0.75394917154637842</v>
      </c>
      <c r="G1255" s="51" t="str">
        <v>太良 2022/06/06 (月)
平日夜間</v>
      </c>
    </row>
    <row r="1256" spans="1:7" ht="16.149999999999999" x14ac:dyDescent="0.7">
      <c r="A1256" s="49">
        <v>44704.952565821761</v>
      </c>
      <c r="B1256" s="50" t="s">
        <v>15</v>
      </c>
      <c r="C1256" s="50" t="s">
        <v>334</v>
      </c>
      <c r="D1256" s="50" t="s">
        <v>259</v>
      </c>
      <c r="E1256" s="50">
        <v>0</v>
      </c>
      <c r="F1256" s="50">
        <v>0.48066365441749559</v>
      </c>
      <c r="G1256" s="51" t="str">
        <v>太良 2022/06/07 (火)
平日夜間</v>
      </c>
    </row>
    <row r="1257" spans="1:7" ht="16.149999999999999" x14ac:dyDescent="0.7">
      <c r="A1257" s="49">
        <v>44704.952565821761</v>
      </c>
      <c r="B1257" s="50" t="s">
        <v>15</v>
      </c>
      <c r="C1257" s="50" t="s">
        <v>335</v>
      </c>
      <c r="D1257" s="50" t="s">
        <v>259</v>
      </c>
      <c r="E1257" s="50">
        <v>-1</v>
      </c>
      <c r="F1257" s="50">
        <v>-0.51376822289620727</v>
      </c>
      <c r="G1257" s="51" t="str">
        <v>太良 2022/06/08 (水)
平日夜間</v>
      </c>
    </row>
    <row r="1258" spans="1:7" ht="16.149999999999999" x14ac:dyDescent="0.7">
      <c r="A1258" s="49">
        <v>44704.952565821761</v>
      </c>
      <c r="B1258" s="50" t="s">
        <v>15</v>
      </c>
      <c r="C1258" s="50" t="s">
        <v>336</v>
      </c>
      <c r="D1258" s="50" t="s">
        <v>259</v>
      </c>
      <c r="E1258" s="50">
        <v>-1</v>
      </c>
      <c r="F1258" s="50">
        <v>-0.13074638231399827</v>
      </c>
      <c r="G1258" s="51" t="str">
        <v>太良 2022/06/09 (木)
平日夜間</v>
      </c>
    </row>
    <row r="1259" spans="1:7" ht="16.149999999999999" x14ac:dyDescent="0.7">
      <c r="A1259" s="49">
        <v>44704.952565821761</v>
      </c>
      <c r="B1259" s="50" t="s">
        <v>15</v>
      </c>
      <c r="C1259" s="50" t="s">
        <v>337</v>
      </c>
      <c r="D1259" s="50" t="s">
        <v>259</v>
      </c>
      <c r="E1259" s="50">
        <v>-1</v>
      </c>
      <c r="F1259" s="50">
        <v>-0.92039862711982257</v>
      </c>
      <c r="G1259" s="51" t="str">
        <v>太良 2022/06/10 (金)
平日夜間</v>
      </c>
    </row>
    <row r="1260" spans="1:7" ht="16.149999999999999" x14ac:dyDescent="0.7">
      <c r="A1260" s="49">
        <v>44704.952565821761</v>
      </c>
      <c r="B1260" s="50" t="s">
        <v>15</v>
      </c>
      <c r="C1260" s="50" t="s">
        <v>338</v>
      </c>
      <c r="D1260" s="50" t="s">
        <v>261</v>
      </c>
      <c r="E1260" s="50">
        <v>-1</v>
      </c>
      <c r="F1260" s="50">
        <v>-0.73364336488244342</v>
      </c>
      <c r="G1260" s="51" t="str">
        <v>太良 2022/06/11 (土)
休日午後</v>
      </c>
    </row>
    <row r="1261" spans="1:7" ht="16.149999999999999" x14ac:dyDescent="0.7">
      <c r="A1261" s="49">
        <v>44704.952565821761</v>
      </c>
      <c r="B1261" s="50" t="s">
        <v>15</v>
      </c>
      <c r="C1261" s="50" t="s">
        <v>339</v>
      </c>
      <c r="D1261" s="50" t="s">
        <v>263</v>
      </c>
      <c r="E1261" s="50">
        <v>-1</v>
      </c>
      <c r="F1261" s="50">
        <v>-0.78813696053950144</v>
      </c>
      <c r="G1261" s="51" t="str">
        <v>太良 2022/06/11 (土)
休日午前</v>
      </c>
    </row>
    <row r="1262" spans="1:7" ht="16.149999999999999" x14ac:dyDescent="0.7">
      <c r="A1262" s="49">
        <v>44704.952565821761</v>
      </c>
      <c r="B1262" s="50" t="s">
        <v>15</v>
      </c>
      <c r="C1262" s="50" t="s">
        <v>340</v>
      </c>
      <c r="D1262" s="50" t="s">
        <v>261</v>
      </c>
      <c r="E1262" s="50">
        <v>-1</v>
      </c>
      <c r="F1262" s="50">
        <v>-0.88457832058589636</v>
      </c>
      <c r="G1262" s="51" t="str">
        <v>太良 2022/06/12 (日)
休日午後</v>
      </c>
    </row>
    <row r="1263" spans="1:7" ht="16.149999999999999" x14ac:dyDescent="0.7">
      <c r="A1263" s="49">
        <v>44704.952565821761</v>
      </c>
      <c r="B1263" s="50" t="s">
        <v>15</v>
      </c>
      <c r="C1263" s="50" t="s">
        <v>341</v>
      </c>
      <c r="D1263" s="50" t="s">
        <v>263</v>
      </c>
      <c r="E1263" s="50">
        <v>-1</v>
      </c>
      <c r="F1263" s="50">
        <v>-0.62290619937570546</v>
      </c>
      <c r="G1263" s="51" t="str">
        <v>太良 2022/06/12 (日)
休日午前</v>
      </c>
    </row>
    <row r="1264" spans="1:7" ht="16.149999999999999" x14ac:dyDescent="0.7">
      <c r="A1264" s="49">
        <v>44704.952565821761</v>
      </c>
      <c r="B1264" s="50" t="s">
        <v>15</v>
      </c>
      <c r="C1264" s="50" t="s">
        <v>342</v>
      </c>
      <c r="D1264" s="50" t="s">
        <v>259</v>
      </c>
      <c r="E1264" s="50">
        <v>0</v>
      </c>
      <c r="F1264" s="50">
        <v>0.29353275435589921</v>
      </c>
      <c r="G1264" s="51" t="str">
        <v>太良 2022/06/13 (月)
平日夜間</v>
      </c>
    </row>
    <row r="1265" spans="1:7" ht="16.149999999999999" x14ac:dyDescent="0.7">
      <c r="A1265" s="49">
        <v>44704.952565821761</v>
      </c>
      <c r="B1265" s="50" t="s">
        <v>15</v>
      </c>
      <c r="C1265" s="50" t="s">
        <v>343</v>
      </c>
      <c r="D1265" s="50" t="s">
        <v>259</v>
      </c>
      <c r="E1265" s="50">
        <v>0</v>
      </c>
      <c r="F1265" s="50">
        <v>0.72426580626393289</v>
      </c>
      <c r="G1265" s="51" t="str">
        <v>太良 2022/06/14 (火)
平日夜間</v>
      </c>
    </row>
    <row r="1266" spans="1:7" ht="16.149999999999999" x14ac:dyDescent="0.7">
      <c r="A1266" s="49">
        <v>44704.952565821761</v>
      </c>
      <c r="B1266" s="50" t="s">
        <v>15</v>
      </c>
      <c r="C1266" s="50" t="s">
        <v>344</v>
      </c>
      <c r="D1266" s="50" t="s">
        <v>259</v>
      </c>
      <c r="E1266" s="50">
        <v>0</v>
      </c>
      <c r="F1266" s="50">
        <v>0.38635463297731287</v>
      </c>
      <c r="G1266" s="51" t="str">
        <v>太良 2022/06/15 (水)
平日夜間</v>
      </c>
    </row>
    <row r="1267" spans="1:7" ht="16.149999999999999" x14ac:dyDescent="0.7">
      <c r="A1267" s="49">
        <v>44704.952565821761</v>
      </c>
      <c r="B1267" s="50" t="s">
        <v>15</v>
      </c>
      <c r="C1267" s="50" t="s">
        <v>345</v>
      </c>
      <c r="D1267" s="50" t="s">
        <v>259</v>
      </c>
      <c r="E1267" s="50">
        <v>-1</v>
      </c>
      <c r="F1267" s="50">
        <v>-0.83834362640576821</v>
      </c>
      <c r="G1267" s="51" t="str">
        <v>太良 2022/06/16 (木)
平日夜間</v>
      </c>
    </row>
    <row r="1268" spans="1:7" ht="16.149999999999999" x14ac:dyDescent="0.7">
      <c r="A1268" s="49">
        <v>44704.952565821761</v>
      </c>
      <c r="B1268" s="50" t="s">
        <v>15</v>
      </c>
      <c r="C1268" s="50" t="s">
        <v>346</v>
      </c>
      <c r="D1268" s="50" t="s">
        <v>259</v>
      </c>
      <c r="E1268" s="50">
        <v>-1</v>
      </c>
      <c r="F1268" s="50">
        <v>-0.1151476311208175</v>
      </c>
      <c r="G1268" s="51" t="str">
        <v>太良 2022/06/17 (金)
平日夜間</v>
      </c>
    </row>
    <row r="1269" spans="1:7" ht="16.149999999999999" x14ac:dyDescent="0.7">
      <c r="A1269" s="49">
        <v>44704.952565821761</v>
      </c>
      <c r="B1269" s="50" t="s">
        <v>15</v>
      </c>
      <c r="C1269" s="50" t="s">
        <v>347</v>
      </c>
      <c r="D1269" s="50" t="s">
        <v>261</v>
      </c>
      <c r="E1269" s="50">
        <v>-1</v>
      </c>
      <c r="F1269" s="50">
        <v>-0.73170733612309724</v>
      </c>
      <c r="G1269" s="51" t="str">
        <v>太良 2022/06/18 (土)
休日午後</v>
      </c>
    </row>
    <row r="1270" spans="1:7" ht="16.149999999999999" x14ac:dyDescent="0.7">
      <c r="A1270" s="49">
        <v>44704.952565821761</v>
      </c>
      <c r="B1270" s="50" t="s">
        <v>15</v>
      </c>
      <c r="C1270" s="50" t="s">
        <v>348</v>
      </c>
      <c r="D1270" s="50" t="s">
        <v>263</v>
      </c>
      <c r="E1270" s="50">
        <v>-1</v>
      </c>
      <c r="F1270" s="50">
        <v>-0.6458900490516275</v>
      </c>
      <c r="G1270" s="51" t="str">
        <v>太良 2022/06/18 (土)
休日午前</v>
      </c>
    </row>
    <row r="1271" spans="1:7" ht="16.149999999999999" x14ac:dyDescent="0.7">
      <c r="A1271" s="49">
        <v>44704.952565821761</v>
      </c>
      <c r="B1271" s="50" t="s">
        <v>15</v>
      </c>
      <c r="C1271" s="50" t="s">
        <v>349</v>
      </c>
      <c r="D1271" s="50" t="s">
        <v>261</v>
      </c>
      <c r="E1271" s="50">
        <v>2</v>
      </c>
      <c r="F1271" s="50">
        <v>2.784932549337964</v>
      </c>
      <c r="G1271" s="51" t="str">
        <v>太良 2022/06/19 (日)
休日午後</v>
      </c>
    </row>
    <row r="1272" spans="1:7" ht="16.149999999999999" x14ac:dyDescent="0.7">
      <c r="A1272" s="49">
        <v>44704.952565821761</v>
      </c>
      <c r="B1272" s="50" t="s">
        <v>15</v>
      </c>
      <c r="C1272" s="50" t="s">
        <v>350</v>
      </c>
      <c r="D1272" s="50" t="s">
        <v>263</v>
      </c>
      <c r="E1272" s="50">
        <v>0</v>
      </c>
      <c r="F1272" s="50">
        <v>0.97710631981962592</v>
      </c>
      <c r="G1272" s="51" t="str">
        <v>太良 2022/06/19 (日)
休日午前</v>
      </c>
    </row>
    <row r="1273" spans="1:7" ht="16.149999999999999" x14ac:dyDescent="0.7">
      <c r="A1273" s="49">
        <v>44704.952565821761</v>
      </c>
      <c r="B1273" s="50" t="s">
        <v>15</v>
      </c>
      <c r="C1273" s="50" t="s">
        <v>351</v>
      </c>
      <c r="D1273" s="50" t="s">
        <v>259</v>
      </c>
      <c r="E1273" s="50">
        <v>0</v>
      </c>
      <c r="F1273" s="50">
        <v>0.30839806614995169</v>
      </c>
      <c r="G1273" s="51" t="str">
        <v>太良 2022/06/20 (月)
平日夜間</v>
      </c>
    </row>
    <row r="1274" spans="1:7" ht="16.149999999999999" x14ac:dyDescent="0.7">
      <c r="A1274" s="49">
        <v>44704.952565821761</v>
      </c>
      <c r="B1274" s="50" t="s">
        <v>15</v>
      </c>
      <c r="C1274" s="50" t="s">
        <v>352</v>
      </c>
      <c r="D1274" s="50" t="s">
        <v>259</v>
      </c>
      <c r="E1274" s="50">
        <v>0</v>
      </c>
      <c r="F1274" s="50">
        <v>0.59732653149760906</v>
      </c>
      <c r="G1274" s="51" t="str">
        <v>太良 2022/06/21 (火)
平日夜間</v>
      </c>
    </row>
    <row r="1275" spans="1:7" ht="16.149999999999999" x14ac:dyDescent="0.7">
      <c r="A1275" s="49">
        <v>44704.952565821761</v>
      </c>
      <c r="B1275" s="50" t="s">
        <v>15</v>
      </c>
      <c r="C1275" s="50" t="s">
        <v>353</v>
      </c>
      <c r="D1275" s="50" t="s">
        <v>259</v>
      </c>
      <c r="E1275" s="50">
        <v>-1</v>
      </c>
      <c r="F1275" s="50">
        <v>-0.64300101367295115</v>
      </c>
      <c r="G1275" s="51" t="str">
        <v>太良 2022/06/22 (水)
平日夜間</v>
      </c>
    </row>
    <row r="1276" spans="1:7" ht="16.149999999999999" x14ac:dyDescent="0.7">
      <c r="A1276" s="49">
        <v>44704.952565821761</v>
      </c>
      <c r="B1276" s="50" t="s">
        <v>15</v>
      </c>
      <c r="C1276" s="50" t="s">
        <v>354</v>
      </c>
      <c r="D1276" s="50" t="s">
        <v>259</v>
      </c>
      <c r="E1276" s="50">
        <v>-1</v>
      </c>
      <c r="F1276" s="50">
        <v>-0.9182272146549384</v>
      </c>
      <c r="G1276" s="51" t="str">
        <v>太良 2022/06/23 (木)
平日夜間</v>
      </c>
    </row>
    <row r="1277" spans="1:7" ht="16.149999999999999" x14ac:dyDescent="0.7">
      <c r="A1277" s="49">
        <v>44704.952565821761</v>
      </c>
      <c r="B1277" s="50" t="s">
        <v>15</v>
      </c>
      <c r="C1277" s="50" t="s">
        <v>355</v>
      </c>
      <c r="D1277" s="50" t="s">
        <v>259</v>
      </c>
      <c r="E1277" s="50">
        <v>-1</v>
      </c>
      <c r="F1277" s="50">
        <v>-0.68870234478830072</v>
      </c>
      <c r="G1277" s="51" t="str">
        <v>太良 2022/06/24 (金)
平日夜間</v>
      </c>
    </row>
    <row r="1278" spans="1:7" ht="16.149999999999999" x14ac:dyDescent="0.7">
      <c r="A1278" s="49">
        <v>44704.952565821761</v>
      </c>
      <c r="B1278" s="50" t="s">
        <v>15</v>
      </c>
      <c r="C1278" s="50" t="s">
        <v>356</v>
      </c>
      <c r="D1278" s="50" t="s">
        <v>261</v>
      </c>
      <c r="E1278" s="50">
        <v>-1</v>
      </c>
      <c r="F1278" s="50">
        <v>-0.49984234498785463</v>
      </c>
      <c r="G1278" s="51" t="str">
        <v>太良 2022/06/25 (土)
休日午後</v>
      </c>
    </row>
    <row r="1279" spans="1:7" ht="16.149999999999999" x14ac:dyDescent="0.7">
      <c r="A1279" s="49">
        <v>44704.952565821761</v>
      </c>
      <c r="B1279" s="50" t="s">
        <v>15</v>
      </c>
      <c r="C1279" s="50" t="s">
        <v>357</v>
      </c>
      <c r="D1279" s="50" t="s">
        <v>263</v>
      </c>
      <c r="E1279" s="50">
        <v>-1</v>
      </c>
      <c r="F1279" s="50">
        <v>-0.69450556234559557</v>
      </c>
      <c r="G1279" s="51" t="str">
        <v>太良 2022/06/25 (土)
休日午前</v>
      </c>
    </row>
    <row r="1280" spans="1:7" ht="16.149999999999999" x14ac:dyDescent="0.7">
      <c r="A1280" s="49">
        <v>44704.952565821761</v>
      </c>
      <c r="B1280" s="50" t="s">
        <v>15</v>
      </c>
      <c r="C1280" s="50" t="s">
        <v>358</v>
      </c>
      <c r="D1280" s="50" t="s">
        <v>261</v>
      </c>
      <c r="E1280" s="50">
        <v>0</v>
      </c>
      <c r="F1280" s="50">
        <v>0.47624830557883491</v>
      </c>
      <c r="G1280" s="51" t="str">
        <v>太良 2022/06/26 (日)
休日午後</v>
      </c>
    </row>
    <row r="1281" spans="1:7" ht="16.149999999999999" x14ac:dyDescent="0.7">
      <c r="A1281" s="49">
        <v>44704.952565821761</v>
      </c>
      <c r="B1281" s="50" t="s">
        <v>15</v>
      </c>
      <c r="C1281" s="50" t="s">
        <v>359</v>
      </c>
      <c r="D1281" s="50" t="s">
        <v>263</v>
      </c>
      <c r="E1281" s="50">
        <v>0</v>
      </c>
      <c r="F1281" s="50">
        <v>0.63085036690194429</v>
      </c>
      <c r="G1281" s="51" t="str">
        <v>太良 2022/06/26 (日)
休日午前</v>
      </c>
    </row>
    <row r="1282" spans="1:7" ht="16.149999999999999" x14ac:dyDescent="0.7">
      <c r="A1282" s="49">
        <v>44704.952565821761</v>
      </c>
      <c r="B1282" s="50" t="s">
        <v>15</v>
      </c>
      <c r="C1282" s="50" t="s">
        <v>360</v>
      </c>
      <c r="D1282" s="50" t="s">
        <v>259</v>
      </c>
      <c r="E1282" s="50">
        <v>0</v>
      </c>
      <c r="F1282" s="50">
        <v>0.66889875552555256</v>
      </c>
      <c r="G1282" s="51" t="str">
        <v>太良 2022/06/27 (月)
平日夜間</v>
      </c>
    </row>
    <row r="1283" spans="1:7" ht="16.149999999999999" x14ac:dyDescent="0.7">
      <c r="A1283" s="49">
        <v>44704.952565821761</v>
      </c>
      <c r="B1283" s="50" t="s">
        <v>15</v>
      </c>
      <c r="C1283" s="50" t="s">
        <v>361</v>
      </c>
      <c r="D1283" s="50" t="s">
        <v>259</v>
      </c>
      <c r="E1283" s="50">
        <v>0</v>
      </c>
      <c r="F1283" s="50">
        <v>5.0944551762318158E-2</v>
      </c>
      <c r="G1283" s="51" t="str">
        <v>太良 2022/06/28 (火)
平日夜間</v>
      </c>
    </row>
    <row r="1284" spans="1:7" ht="16.149999999999999" x14ac:dyDescent="0.7">
      <c r="A1284" s="49">
        <v>44704.952565821761</v>
      </c>
      <c r="B1284" s="50" t="s">
        <v>15</v>
      </c>
      <c r="C1284" s="50" t="s">
        <v>362</v>
      </c>
      <c r="D1284" s="50" t="s">
        <v>259</v>
      </c>
      <c r="E1284" s="50">
        <v>0</v>
      </c>
      <c r="F1284" s="50">
        <v>0.57706132044467151</v>
      </c>
      <c r="G1284" s="51" t="str">
        <v>太良 2022/06/29 (水)
平日夜間</v>
      </c>
    </row>
    <row r="1285" spans="1:7" ht="16.149999999999999" x14ac:dyDescent="0.7">
      <c r="A1285" s="49">
        <v>44704.952565821761</v>
      </c>
      <c r="B1285" s="50" t="s">
        <v>15</v>
      </c>
      <c r="C1285" s="50" t="s">
        <v>363</v>
      </c>
      <c r="D1285" s="50" t="s">
        <v>259</v>
      </c>
      <c r="E1285" s="50">
        <v>-1</v>
      </c>
      <c r="F1285" s="50">
        <v>-0.81505504906775328</v>
      </c>
      <c r="G1285" s="51" t="str">
        <v>太良 2022/06/30 (木)
平日夜間</v>
      </c>
    </row>
    <row r="1286" spans="1:7" ht="16.149999999999999" x14ac:dyDescent="0.7">
      <c r="A1286" s="49">
        <v>44704.961969178243</v>
      </c>
      <c r="B1286" s="50" t="s">
        <v>30</v>
      </c>
      <c r="C1286" s="50" t="s">
        <v>326</v>
      </c>
      <c r="D1286" s="50" t="s">
        <v>259</v>
      </c>
      <c r="E1286" s="50">
        <v>0</v>
      </c>
      <c r="F1286" s="50">
        <v>0.92528568496213248</v>
      </c>
      <c r="G1286" s="51" t="str">
        <v>柴山 2022/06/01 (水)
平日夜間</v>
      </c>
    </row>
    <row r="1287" spans="1:7" ht="16.149999999999999" x14ac:dyDescent="0.7">
      <c r="A1287" s="49">
        <v>44704.961969178243</v>
      </c>
      <c r="B1287" s="50" t="s">
        <v>30</v>
      </c>
      <c r="C1287" s="50" t="s">
        <v>327</v>
      </c>
      <c r="D1287" s="50" t="s">
        <v>259</v>
      </c>
      <c r="E1287" s="50">
        <v>0</v>
      </c>
      <c r="F1287" s="50">
        <v>0.63165035537461112</v>
      </c>
      <c r="G1287" s="51" t="str">
        <v>柴山 2022/06/02 (木)
平日夜間</v>
      </c>
    </row>
    <row r="1288" spans="1:7" ht="16.149999999999999" x14ac:dyDescent="0.7">
      <c r="A1288" s="49">
        <v>44704.961969178243</v>
      </c>
      <c r="B1288" s="50" t="s">
        <v>30</v>
      </c>
      <c r="C1288" s="50" t="s">
        <v>328</v>
      </c>
      <c r="D1288" s="50" t="s">
        <v>259</v>
      </c>
      <c r="E1288" s="50">
        <v>0</v>
      </c>
      <c r="F1288" s="50">
        <v>0.84431261815309733</v>
      </c>
      <c r="G1288" s="51" t="str">
        <v>柴山 2022/06/03 (金)
平日夜間</v>
      </c>
    </row>
    <row r="1289" spans="1:7" ht="16.149999999999999" x14ac:dyDescent="0.7">
      <c r="A1289" s="49">
        <v>44704.961969178243</v>
      </c>
      <c r="B1289" s="50" t="s">
        <v>30</v>
      </c>
      <c r="C1289" s="50" t="s">
        <v>329</v>
      </c>
      <c r="D1289" s="50" t="s">
        <v>261</v>
      </c>
      <c r="E1289" s="50">
        <v>-1</v>
      </c>
      <c r="F1289" s="50">
        <v>-0.8089082697713752</v>
      </c>
      <c r="G1289" s="51" t="str">
        <v>柴山 2022/06/04 (土)
休日午後</v>
      </c>
    </row>
    <row r="1290" spans="1:7" ht="16.149999999999999" x14ac:dyDescent="0.7">
      <c r="A1290" s="49">
        <v>44704.961969178243</v>
      </c>
      <c r="B1290" s="50" t="s">
        <v>30</v>
      </c>
      <c r="C1290" s="50" t="s">
        <v>330</v>
      </c>
      <c r="D1290" s="50" t="s">
        <v>263</v>
      </c>
      <c r="E1290" s="50">
        <v>-1</v>
      </c>
      <c r="F1290" s="50">
        <v>-0.54246615771303852</v>
      </c>
      <c r="G1290" s="51" t="str">
        <v>柴山 2022/06/04 (土)
休日午前</v>
      </c>
    </row>
    <row r="1291" spans="1:7" ht="16.149999999999999" x14ac:dyDescent="0.7">
      <c r="A1291" s="49">
        <v>44704.961969178243</v>
      </c>
      <c r="B1291" s="50" t="s">
        <v>30</v>
      </c>
      <c r="C1291" s="50" t="s">
        <v>331</v>
      </c>
      <c r="D1291" s="50" t="s">
        <v>261</v>
      </c>
      <c r="E1291" s="50">
        <v>-1</v>
      </c>
      <c r="F1291" s="50">
        <v>-0.94905551442741731</v>
      </c>
      <c r="G1291" s="51" t="str">
        <v>柴山 2022/06/05 (日)
休日午後</v>
      </c>
    </row>
    <row r="1292" spans="1:7" ht="16.149999999999999" x14ac:dyDescent="0.7">
      <c r="A1292" s="49">
        <v>44704.961969178243</v>
      </c>
      <c r="B1292" s="50" t="s">
        <v>30</v>
      </c>
      <c r="C1292" s="50" t="s">
        <v>332</v>
      </c>
      <c r="D1292" s="50" t="s">
        <v>263</v>
      </c>
      <c r="E1292" s="50">
        <v>0</v>
      </c>
      <c r="F1292" s="50">
        <v>0.42323209791221639</v>
      </c>
      <c r="G1292" s="51" t="str">
        <v>柴山 2022/06/05 (日)
休日午前</v>
      </c>
    </row>
    <row r="1293" spans="1:7" ht="16.149999999999999" x14ac:dyDescent="0.7">
      <c r="A1293" s="49">
        <v>44704.961969178243</v>
      </c>
      <c r="B1293" s="50" t="s">
        <v>30</v>
      </c>
      <c r="C1293" s="50" t="s">
        <v>333</v>
      </c>
      <c r="D1293" s="50" t="s">
        <v>259</v>
      </c>
      <c r="E1293" s="50">
        <v>0</v>
      </c>
      <c r="F1293" s="50">
        <v>0.16813639288112925</v>
      </c>
      <c r="G1293" s="51" t="str">
        <v>柴山 2022/06/06 (月)
平日夜間</v>
      </c>
    </row>
    <row r="1294" spans="1:7" ht="16.149999999999999" x14ac:dyDescent="0.7">
      <c r="A1294" s="49">
        <v>44704.961969178243</v>
      </c>
      <c r="B1294" s="50" t="s">
        <v>30</v>
      </c>
      <c r="C1294" s="50" t="s">
        <v>334</v>
      </c>
      <c r="D1294" s="50" t="s">
        <v>259</v>
      </c>
      <c r="E1294" s="50">
        <v>-1</v>
      </c>
      <c r="F1294" s="50">
        <v>-0.53188248638103919</v>
      </c>
      <c r="G1294" s="51" t="str">
        <v>柴山 2022/06/07 (火)
平日夜間</v>
      </c>
    </row>
    <row r="1295" spans="1:7" ht="16.149999999999999" x14ac:dyDescent="0.7">
      <c r="A1295" s="49">
        <v>44704.961969178243</v>
      </c>
      <c r="B1295" s="50" t="s">
        <v>30</v>
      </c>
      <c r="C1295" s="50" t="s">
        <v>335</v>
      </c>
      <c r="D1295" s="50" t="s">
        <v>259</v>
      </c>
      <c r="E1295" s="50">
        <v>0</v>
      </c>
      <c r="F1295" s="50">
        <v>0.51678476881420421</v>
      </c>
      <c r="G1295" s="51" t="str">
        <v>柴山 2022/06/08 (水)
平日夜間</v>
      </c>
    </row>
    <row r="1296" spans="1:7" ht="16.149999999999999" x14ac:dyDescent="0.7">
      <c r="A1296" s="49">
        <v>44704.961969178243</v>
      </c>
      <c r="B1296" s="50" t="s">
        <v>30</v>
      </c>
      <c r="C1296" s="50" t="s">
        <v>336</v>
      </c>
      <c r="D1296" s="50" t="s">
        <v>259</v>
      </c>
      <c r="E1296" s="50">
        <v>0</v>
      </c>
      <c r="F1296" s="50">
        <v>0.495186156299396</v>
      </c>
      <c r="G1296" s="51" t="str">
        <v>柴山 2022/06/09 (木)
平日夜間</v>
      </c>
    </row>
    <row r="1297" spans="1:7" ht="16.149999999999999" x14ac:dyDescent="0.7">
      <c r="A1297" s="49">
        <v>44704.961969178243</v>
      </c>
      <c r="B1297" s="50" t="s">
        <v>30</v>
      </c>
      <c r="C1297" s="50" t="s">
        <v>337</v>
      </c>
      <c r="D1297" s="50" t="s">
        <v>259</v>
      </c>
      <c r="E1297" s="50">
        <v>0</v>
      </c>
      <c r="F1297" s="50">
        <v>0.31989260549837173</v>
      </c>
      <c r="G1297" s="51" t="str">
        <v>柴山 2022/06/10 (金)
平日夜間</v>
      </c>
    </row>
    <row r="1298" spans="1:7" ht="16.149999999999999" x14ac:dyDescent="0.7">
      <c r="A1298" s="49">
        <v>44704.961969178243</v>
      </c>
      <c r="B1298" s="50" t="s">
        <v>30</v>
      </c>
      <c r="C1298" s="50" t="s">
        <v>338</v>
      </c>
      <c r="D1298" s="50" t="s">
        <v>261</v>
      </c>
      <c r="E1298" s="50">
        <v>-1</v>
      </c>
      <c r="F1298" s="50">
        <v>-0.57282508226210838</v>
      </c>
      <c r="G1298" s="51" t="str">
        <v>柴山 2022/06/11 (土)
休日午後</v>
      </c>
    </row>
    <row r="1299" spans="1:7" ht="16.149999999999999" x14ac:dyDescent="0.7">
      <c r="A1299" s="49">
        <v>44704.961969178243</v>
      </c>
      <c r="B1299" s="50" t="s">
        <v>30</v>
      </c>
      <c r="C1299" s="50" t="s">
        <v>339</v>
      </c>
      <c r="D1299" s="50" t="s">
        <v>263</v>
      </c>
      <c r="E1299" s="50">
        <v>-1</v>
      </c>
      <c r="F1299" s="50">
        <v>-0.17939901482522069</v>
      </c>
      <c r="G1299" s="51" t="str">
        <v>柴山 2022/06/11 (土)
休日午前</v>
      </c>
    </row>
    <row r="1300" spans="1:7" ht="16.149999999999999" x14ac:dyDescent="0.7">
      <c r="A1300" s="49">
        <v>44704.961969178243</v>
      </c>
      <c r="B1300" s="50" t="s">
        <v>30</v>
      </c>
      <c r="C1300" s="50" t="s">
        <v>340</v>
      </c>
      <c r="D1300" s="50" t="s">
        <v>261</v>
      </c>
      <c r="E1300" s="50">
        <v>-1</v>
      </c>
      <c r="F1300" s="50">
        <v>-0.71208138769871887</v>
      </c>
      <c r="G1300" s="51" t="str">
        <v>柴山 2022/06/12 (日)
休日午後</v>
      </c>
    </row>
    <row r="1301" spans="1:7" ht="16.149999999999999" x14ac:dyDescent="0.7">
      <c r="A1301" s="49">
        <v>44704.961969178243</v>
      </c>
      <c r="B1301" s="50" t="s">
        <v>30</v>
      </c>
      <c r="C1301" s="50" t="s">
        <v>341</v>
      </c>
      <c r="D1301" s="50" t="s">
        <v>263</v>
      </c>
      <c r="E1301" s="50">
        <v>0</v>
      </c>
      <c r="F1301" s="50">
        <v>0.48122260182670162</v>
      </c>
      <c r="G1301" s="51" t="str">
        <v>柴山 2022/06/12 (日)
休日午前</v>
      </c>
    </row>
    <row r="1302" spans="1:7" ht="16.149999999999999" x14ac:dyDescent="0.7">
      <c r="A1302" s="49">
        <v>44704.961969178243</v>
      </c>
      <c r="B1302" s="50" t="s">
        <v>30</v>
      </c>
      <c r="C1302" s="50" t="s">
        <v>342</v>
      </c>
      <c r="D1302" s="50" t="s">
        <v>259</v>
      </c>
      <c r="E1302" s="50">
        <v>-1</v>
      </c>
      <c r="F1302" s="50">
        <v>-0.49599138483834082</v>
      </c>
      <c r="G1302" s="51" t="str">
        <v>柴山 2022/06/13 (月)
平日夜間</v>
      </c>
    </row>
    <row r="1303" spans="1:7" ht="16.149999999999999" x14ac:dyDescent="0.7">
      <c r="A1303" s="49">
        <v>44704.961969178243</v>
      </c>
      <c r="B1303" s="50" t="s">
        <v>30</v>
      </c>
      <c r="C1303" s="50" t="s">
        <v>343</v>
      </c>
      <c r="D1303" s="50" t="s">
        <v>259</v>
      </c>
      <c r="E1303" s="50">
        <v>0</v>
      </c>
      <c r="F1303" s="50">
        <v>4.8703523709350494E-2</v>
      </c>
      <c r="G1303" s="51" t="str">
        <v>柴山 2022/06/14 (火)
平日夜間</v>
      </c>
    </row>
    <row r="1304" spans="1:7" ht="16.149999999999999" x14ac:dyDescent="0.7">
      <c r="A1304" s="49">
        <v>44704.961969178243</v>
      </c>
      <c r="B1304" s="50" t="s">
        <v>30</v>
      </c>
      <c r="C1304" s="50" t="s">
        <v>344</v>
      </c>
      <c r="D1304" s="50" t="s">
        <v>259</v>
      </c>
      <c r="E1304" s="50">
        <v>0</v>
      </c>
      <c r="F1304" s="50">
        <v>0.79396096160076612</v>
      </c>
      <c r="G1304" s="51" t="str">
        <v>柴山 2022/06/15 (水)
平日夜間</v>
      </c>
    </row>
    <row r="1305" spans="1:7" ht="16.149999999999999" x14ac:dyDescent="0.7">
      <c r="A1305" s="49">
        <v>44704.961969178243</v>
      </c>
      <c r="B1305" s="50" t="s">
        <v>30</v>
      </c>
      <c r="C1305" s="50" t="s">
        <v>345</v>
      </c>
      <c r="D1305" s="50" t="s">
        <v>259</v>
      </c>
      <c r="E1305" s="50">
        <v>0</v>
      </c>
      <c r="F1305" s="50">
        <v>5.16295181608315E-2</v>
      </c>
      <c r="G1305" s="51" t="str">
        <v>柴山 2022/06/16 (木)
平日夜間</v>
      </c>
    </row>
    <row r="1306" spans="1:7" ht="16.149999999999999" x14ac:dyDescent="0.7">
      <c r="A1306" s="49">
        <v>44704.961969178243</v>
      </c>
      <c r="B1306" s="50" t="s">
        <v>30</v>
      </c>
      <c r="C1306" s="50" t="s">
        <v>346</v>
      </c>
      <c r="D1306" s="50" t="s">
        <v>259</v>
      </c>
      <c r="E1306" s="50">
        <v>-1</v>
      </c>
      <c r="F1306" s="50">
        <v>-0.66695695221144291</v>
      </c>
      <c r="G1306" s="51" t="str">
        <v>柴山 2022/06/17 (金)
平日夜間</v>
      </c>
    </row>
    <row r="1307" spans="1:7" ht="16.149999999999999" x14ac:dyDescent="0.7">
      <c r="A1307" s="49">
        <v>44704.961969178243</v>
      </c>
      <c r="B1307" s="50" t="s">
        <v>30</v>
      </c>
      <c r="C1307" s="50" t="s">
        <v>347</v>
      </c>
      <c r="D1307" s="50" t="s">
        <v>261</v>
      </c>
      <c r="E1307" s="50">
        <v>-1</v>
      </c>
      <c r="F1307" s="50">
        <v>-1.2156377427647413E-2</v>
      </c>
      <c r="G1307" s="51" t="str">
        <v>柴山 2022/06/18 (土)
休日午後</v>
      </c>
    </row>
    <row r="1308" spans="1:7" ht="16.149999999999999" x14ac:dyDescent="0.7">
      <c r="A1308" s="49">
        <v>44704.961969178243</v>
      </c>
      <c r="B1308" s="50" t="s">
        <v>30</v>
      </c>
      <c r="C1308" s="50" t="s">
        <v>348</v>
      </c>
      <c r="D1308" s="50" t="s">
        <v>263</v>
      </c>
      <c r="E1308" s="50">
        <v>0</v>
      </c>
      <c r="F1308" s="50">
        <v>0.26514054629243344</v>
      </c>
      <c r="G1308" s="51" t="str">
        <v>柴山 2022/06/18 (土)
休日午前</v>
      </c>
    </row>
    <row r="1309" spans="1:7" ht="16.149999999999999" x14ac:dyDescent="0.7">
      <c r="A1309" s="49">
        <v>44704.961969178243</v>
      </c>
      <c r="B1309" s="50" t="s">
        <v>30</v>
      </c>
      <c r="C1309" s="50" t="s">
        <v>349</v>
      </c>
      <c r="D1309" s="50" t="s">
        <v>261</v>
      </c>
      <c r="E1309" s="50">
        <v>-1</v>
      </c>
      <c r="F1309" s="50">
        <v>-0.80797881600222032</v>
      </c>
      <c r="G1309" s="51" t="str">
        <v>柴山 2022/06/19 (日)
休日午後</v>
      </c>
    </row>
    <row r="1310" spans="1:7" ht="16.149999999999999" x14ac:dyDescent="0.7">
      <c r="A1310" s="49">
        <v>44704.961969178243</v>
      </c>
      <c r="B1310" s="50" t="s">
        <v>30</v>
      </c>
      <c r="C1310" s="50" t="s">
        <v>350</v>
      </c>
      <c r="D1310" s="50" t="s">
        <v>263</v>
      </c>
      <c r="E1310" s="50">
        <v>-1</v>
      </c>
      <c r="F1310" s="50">
        <v>-0.25977599505111226</v>
      </c>
      <c r="G1310" s="51" t="str">
        <v>柴山 2022/06/19 (日)
休日午前</v>
      </c>
    </row>
    <row r="1311" spans="1:7" ht="16.149999999999999" x14ac:dyDescent="0.7">
      <c r="A1311" s="49">
        <v>44704.961969178243</v>
      </c>
      <c r="B1311" s="50" t="s">
        <v>30</v>
      </c>
      <c r="C1311" s="50" t="s">
        <v>351</v>
      </c>
      <c r="D1311" s="50" t="s">
        <v>259</v>
      </c>
      <c r="E1311" s="50">
        <v>0</v>
      </c>
      <c r="F1311" s="50">
        <v>0.66163744275089109</v>
      </c>
      <c r="G1311" s="51" t="str">
        <v>柴山 2022/06/20 (月)
平日夜間</v>
      </c>
    </row>
    <row r="1312" spans="1:7" ht="16.149999999999999" x14ac:dyDescent="0.7">
      <c r="A1312" s="49">
        <v>44704.961969178243</v>
      </c>
      <c r="B1312" s="50" t="s">
        <v>30</v>
      </c>
      <c r="C1312" s="50" t="s">
        <v>352</v>
      </c>
      <c r="D1312" s="50" t="s">
        <v>259</v>
      </c>
      <c r="E1312" s="50">
        <v>0</v>
      </c>
      <c r="F1312" s="50">
        <v>0.97091655468999516</v>
      </c>
      <c r="G1312" s="51" t="str">
        <v>柴山 2022/06/21 (火)
平日夜間</v>
      </c>
    </row>
    <row r="1313" spans="1:7" ht="16.149999999999999" x14ac:dyDescent="0.7">
      <c r="A1313" s="49">
        <v>44704.961969178243</v>
      </c>
      <c r="B1313" s="50" t="s">
        <v>30</v>
      </c>
      <c r="C1313" s="50" t="s">
        <v>353</v>
      </c>
      <c r="D1313" s="50" t="s">
        <v>259</v>
      </c>
      <c r="E1313" s="50">
        <v>0</v>
      </c>
      <c r="F1313" s="50">
        <v>0.74474035915690417</v>
      </c>
      <c r="G1313" s="51" t="str">
        <v>柴山 2022/06/22 (水)
平日夜間</v>
      </c>
    </row>
    <row r="1314" spans="1:7" ht="16.149999999999999" x14ac:dyDescent="0.7">
      <c r="A1314" s="49">
        <v>44704.961969178243</v>
      </c>
      <c r="B1314" s="50" t="s">
        <v>30</v>
      </c>
      <c r="C1314" s="50" t="s">
        <v>354</v>
      </c>
      <c r="D1314" s="50" t="s">
        <v>259</v>
      </c>
      <c r="E1314" s="50">
        <v>0</v>
      </c>
      <c r="F1314" s="50">
        <v>0.79020447115230197</v>
      </c>
      <c r="G1314" s="51" t="str">
        <v>柴山 2022/06/23 (木)
平日夜間</v>
      </c>
    </row>
    <row r="1315" spans="1:7" ht="16.149999999999999" x14ac:dyDescent="0.7">
      <c r="A1315" s="49">
        <v>44704.961969178243</v>
      </c>
      <c r="B1315" s="50" t="s">
        <v>30</v>
      </c>
      <c r="C1315" s="50" t="s">
        <v>355</v>
      </c>
      <c r="D1315" s="50" t="s">
        <v>259</v>
      </c>
      <c r="E1315" s="50">
        <v>0</v>
      </c>
      <c r="F1315" s="50">
        <v>0.33887221020623848</v>
      </c>
      <c r="G1315" s="51" t="str">
        <v>柴山 2022/06/24 (金)
平日夜間</v>
      </c>
    </row>
    <row r="1316" spans="1:7" ht="16.149999999999999" x14ac:dyDescent="0.7">
      <c r="A1316" s="49">
        <v>44704.961969178243</v>
      </c>
      <c r="B1316" s="50" t="s">
        <v>30</v>
      </c>
      <c r="C1316" s="50" t="s">
        <v>356</v>
      </c>
      <c r="D1316" s="50" t="s">
        <v>261</v>
      </c>
      <c r="E1316" s="50">
        <v>-1</v>
      </c>
      <c r="F1316" s="50">
        <v>-0.64146564532854122</v>
      </c>
      <c r="G1316" s="51" t="str">
        <v>柴山 2022/06/25 (土)
休日午後</v>
      </c>
    </row>
    <row r="1317" spans="1:7" ht="16.149999999999999" x14ac:dyDescent="0.7">
      <c r="A1317" s="49">
        <v>44704.961969178243</v>
      </c>
      <c r="B1317" s="50" t="s">
        <v>30</v>
      </c>
      <c r="C1317" s="50" t="s">
        <v>357</v>
      </c>
      <c r="D1317" s="50" t="s">
        <v>263</v>
      </c>
      <c r="E1317" s="50">
        <v>-1</v>
      </c>
      <c r="F1317" s="50">
        <v>-0.83227983564307539</v>
      </c>
      <c r="G1317" s="51" t="str">
        <v>柴山 2022/06/25 (土)
休日午前</v>
      </c>
    </row>
    <row r="1318" spans="1:7" ht="16.149999999999999" x14ac:dyDescent="0.7">
      <c r="A1318" s="49">
        <v>44704.961969178243</v>
      </c>
      <c r="B1318" s="50" t="s">
        <v>30</v>
      </c>
      <c r="C1318" s="50" t="s">
        <v>358</v>
      </c>
      <c r="D1318" s="50" t="s">
        <v>261</v>
      </c>
      <c r="E1318" s="50">
        <v>2</v>
      </c>
      <c r="F1318" s="50">
        <v>2.3676499607534307</v>
      </c>
      <c r="G1318" s="51" t="str">
        <v>柴山 2022/06/26 (日)
休日午後</v>
      </c>
    </row>
    <row r="1319" spans="1:7" ht="16.149999999999999" x14ac:dyDescent="0.7">
      <c r="A1319" s="49">
        <v>44704.961969178243</v>
      </c>
      <c r="B1319" s="50" t="s">
        <v>30</v>
      </c>
      <c r="C1319" s="50" t="s">
        <v>359</v>
      </c>
      <c r="D1319" s="50" t="s">
        <v>263</v>
      </c>
      <c r="E1319" s="50">
        <v>-1</v>
      </c>
      <c r="F1319" s="50">
        <v>-0.6125279580769849</v>
      </c>
      <c r="G1319" s="51" t="str">
        <v>柴山 2022/06/26 (日)
休日午前</v>
      </c>
    </row>
    <row r="1320" spans="1:7" ht="16.149999999999999" x14ac:dyDescent="0.7">
      <c r="A1320" s="49">
        <v>44704.961969178243</v>
      </c>
      <c r="B1320" s="50" t="s">
        <v>30</v>
      </c>
      <c r="C1320" s="50" t="s">
        <v>360</v>
      </c>
      <c r="D1320" s="50" t="s">
        <v>259</v>
      </c>
      <c r="E1320" s="50">
        <v>-1</v>
      </c>
      <c r="F1320" s="50">
        <v>-0.52613815461509095</v>
      </c>
      <c r="G1320" s="51" t="str">
        <v>柴山 2022/06/27 (月)
平日夜間</v>
      </c>
    </row>
    <row r="1321" spans="1:7" ht="16.149999999999999" x14ac:dyDescent="0.7">
      <c r="A1321" s="49">
        <v>44704.961969178243</v>
      </c>
      <c r="B1321" s="50" t="s">
        <v>30</v>
      </c>
      <c r="C1321" s="50" t="s">
        <v>361</v>
      </c>
      <c r="D1321" s="50" t="s">
        <v>259</v>
      </c>
      <c r="E1321" s="50">
        <v>0</v>
      </c>
      <c r="F1321" s="50">
        <v>0.60086700250977665</v>
      </c>
      <c r="G1321" s="51" t="str">
        <v>柴山 2022/06/28 (火)
平日夜間</v>
      </c>
    </row>
    <row r="1322" spans="1:7" ht="16.149999999999999" x14ac:dyDescent="0.7">
      <c r="A1322" s="49">
        <v>44704.961969178243</v>
      </c>
      <c r="B1322" s="50" t="s">
        <v>30</v>
      </c>
      <c r="C1322" s="50" t="s">
        <v>362</v>
      </c>
      <c r="D1322" s="50" t="s">
        <v>259</v>
      </c>
      <c r="E1322" s="50">
        <v>0</v>
      </c>
      <c r="F1322" s="50">
        <v>3.902505774853382E-2</v>
      </c>
      <c r="G1322" s="51" t="str">
        <v>柴山 2022/06/29 (水)
平日夜間</v>
      </c>
    </row>
    <row r="1323" spans="1:7" ht="16.149999999999999" x14ac:dyDescent="0.7">
      <c r="A1323" s="49">
        <v>44704.961969178243</v>
      </c>
      <c r="B1323" s="50" t="s">
        <v>30</v>
      </c>
      <c r="C1323" s="50" t="s">
        <v>363</v>
      </c>
      <c r="D1323" s="50" t="s">
        <v>259</v>
      </c>
      <c r="E1323" s="50">
        <v>0</v>
      </c>
      <c r="F1323" s="50">
        <v>0.36423597348261527</v>
      </c>
      <c r="G1323" s="51" t="str">
        <v>柴山 2022/06/30 (木)
平日夜間</v>
      </c>
    </row>
    <row r="1324" spans="1:7" ht="16.149999999999999" x14ac:dyDescent="0.7">
      <c r="A1324" s="49">
        <v>44704.963469583337</v>
      </c>
      <c r="B1324" s="50" t="s">
        <v>45</v>
      </c>
      <c r="C1324" s="50" t="s">
        <v>326</v>
      </c>
      <c r="D1324" s="50" t="s">
        <v>259</v>
      </c>
      <c r="E1324" s="50">
        <v>0</v>
      </c>
      <c r="F1324" s="50">
        <v>0.31819066588111644</v>
      </c>
      <c r="G1324" s="51" t="str">
        <v>松井 2022/06/01 (水)
平日夜間</v>
      </c>
    </row>
    <row r="1325" spans="1:7" ht="16.149999999999999" x14ac:dyDescent="0.7">
      <c r="A1325" s="49">
        <v>44704.963469583337</v>
      </c>
      <c r="B1325" s="50" t="s">
        <v>45</v>
      </c>
      <c r="C1325" s="50" t="s">
        <v>327</v>
      </c>
      <c r="D1325" s="50" t="s">
        <v>259</v>
      </c>
      <c r="E1325" s="50">
        <v>0</v>
      </c>
      <c r="F1325" s="50">
        <v>0.61616525393383248</v>
      </c>
      <c r="G1325" s="51" t="str">
        <v>松井 2022/06/02 (木)
平日夜間</v>
      </c>
    </row>
    <row r="1326" spans="1:7" ht="16.149999999999999" x14ac:dyDescent="0.7">
      <c r="A1326" s="49">
        <v>44704.963469583337</v>
      </c>
      <c r="B1326" s="50" t="s">
        <v>45</v>
      </c>
      <c r="C1326" s="50" t="s">
        <v>328</v>
      </c>
      <c r="D1326" s="50" t="s">
        <v>259</v>
      </c>
      <c r="E1326" s="50">
        <v>-1</v>
      </c>
      <c r="F1326" s="50">
        <v>-0.71782237060440046</v>
      </c>
      <c r="G1326" s="51" t="str">
        <v>松井 2022/06/03 (金)
平日夜間</v>
      </c>
    </row>
    <row r="1327" spans="1:7" ht="16.149999999999999" x14ac:dyDescent="0.7">
      <c r="A1327" s="49">
        <v>44704.963469583337</v>
      </c>
      <c r="B1327" s="50" t="s">
        <v>45</v>
      </c>
      <c r="C1327" s="50" t="s">
        <v>329</v>
      </c>
      <c r="D1327" s="50" t="s">
        <v>261</v>
      </c>
      <c r="E1327" s="50">
        <v>-1</v>
      </c>
      <c r="F1327" s="50">
        <v>-0.1694476626851702</v>
      </c>
      <c r="G1327" s="51" t="str">
        <v>松井 2022/06/04 (土)
休日午後</v>
      </c>
    </row>
    <row r="1328" spans="1:7" ht="16.149999999999999" x14ac:dyDescent="0.7">
      <c r="A1328" s="49">
        <v>44704.963469583337</v>
      </c>
      <c r="B1328" s="50" t="s">
        <v>45</v>
      </c>
      <c r="C1328" s="50" t="s">
        <v>330</v>
      </c>
      <c r="D1328" s="50" t="s">
        <v>263</v>
      </c>
      <c r="E1328" s="50">
        <v>-1</v>
      </c>
      <c r="F1328" s="50">
        <v>-0.59541562847977625</v>
      </c>
      <c r="G1328" s="51" t="str">
        <v>松井 2022/06/04 (土)
休日午前</v>
      </c>
    </row>
    <row r="1329" spans="1:7" ht="16.149999999999999" x14ac:dyDescent="0.7">
      <c r="A1329" s="49">
        <v>44704.963469583337</v>
      </c>
      <c r="B1329" s="50" t="s">
        <v>45</v>
      </c>
      <c r="C1329" s="50" t="s">
        <v>331</v>
      </c>
      <c r="D1329" s="50" t="s">
        <v>261</v>
      </c>
      <c r="E1329" s="50">
        <v>0</v>
      </c>
      <c r="F1329" s="50">
        <v>0.14697389785755388</v>
      </c>
      <c r="G1329" s="51" t="str">
        <v>松井 2022/06/05 (日)
休日午後</v>
      </c>
    </row>
    <row r="1330" spans="1:7" ht="16.149999999999999" x14ac:dyDescent="0.7">
      <c r="A1330" s="49">
        <v>44704.963469583337</v>
      </c>
      <c r="B1330" s="50" t="s">
        <v>45</v>
      </c>
      <c r="C1330" s="50" t="s">
        <v>332</v>
      </c>
      <c r="D1330" s="50" t="s">
        <v>263</v>
      </c>
      <c r="E1330" s="50">
        <v>0</v>
      </c>
      <c r="F1330" s="50">
        <v>0.60711433384544078</v>
      </c>
      <c r="G1330" s="51" t="str">
        <v>松井 2022/06/05 (日)
休日午前</v>
      </c>
    </row>
    <row r="1331" spans="1:7" ht="16.149999999999999" x14ac:dyDescent="0.7">
      <c r="A1331" s="49">
        <v>44704.963469583337</v>
      </c>
      <c r="B1331" s="50" t="s">
        <v>45</v>
      </c>
      <c r="C1331" s="50" t="s">
        <v>333</v>
      </c>
      <c r="D1331" s="50" t="s">
        <v>259</v>
      </c>
      <c r="E1331" s="50">
        <v>0</v>
      </c>
      <c r="F1331" s="50">
        <v>0.9398092396382185</v>
      </c>
      <c r="G1331" s="51" t="str">
        <v>松井 2022/06/06 (月)
平日夜間</v>
      </c>
    </row>
    <row r="1332" spans="1:7" ht="16.149999999999999" x14ac:dyDescent="0.7">
      <c r="A1332" s="49">
        <v>44704.963469583337</v>
      </c>
      <c r="B1332" s="50" t="s">
        <v>45</v>
      </c>
      <c r="C1332" s="50" t="s">
        <v>334</v>
      </c>
      <c r="D1332" s="50" t="s">
        <v>259</v>
      </c>
      <c r="E1332" s="50">
        <v>0</v>
      </c>
      <c r="F1332" s="50">
        <v>0.82220483165870117</v>
      </c>
      <c r="G1332" s="51" t="str">
        <v>松井 2022/06/07 (火)
平日夜間</v>
      </c>
    </row>
    <row r="1333" spans="1:7" ht="16.149999999999999" x14ac:dyDescent="0.7">
      <c r="A1333" s="49">
        <v>44704.963469583337</v>
      </c>
      <c r="B1333" s="50" t="s">
        <v>45</v>
      </c>
      <c r="C1333" s="50" t="s">
        <v>335</v>
      </c>
      <c r="D1333" s="50" t="s">
        <v>259</v>
      </c>
      <c r="E1333" s="50">
        <v>0</v>
      </c>
      <c r="F1333" s="50">
        <v>0.13685023872652247</v>
      </c>
      <c r="G1333" s="51" t="str">
        <v>松井 2022/06/08 (水)
平日夜間</v>
      </c>
    </row>
    <row r="1334" spans="1:7" ht="16.149999999999999" x14ac:dyDescent="0.7">
      <c r="A1334" s="49">
        <v>44704.963469583337</v>
      </c>
      <c r="B1334" s="50" t="s">
        <v>45</v>
      </c>
      <c r="C1334" s="50" t="s">
        <v>336</v>
      </c>
      <c r="D1334" s="50" t="s">
        <v>259</v>
      </c>
      <c r="E1334" s="50">
        <v>0</v>
      </c>
      <c r="F1334" s="50">
        <v>0.16446207251065226</v>
      </c>
      <c r="G1334" s="51" t="str">
        <v>松井 2022/06/09 (木)
平日夜間</v>
      </c>
    </row>
    <row r="1335" spans="1:7" ht="16.149999999999999" x14ac:dyDescent="0.7">
      <c r="A1335" s="49">
        <v>44704.963469583337</v>
      </c>
      <c r="B1335" s="50" t="s">
        <v>45</v>
      </c>
      <c r="C1335" s="50" t="s">
        <v>337</v>
      </c>
      <c r="D1335" s="50" t="s">
        <v>259</v>
      </c>
      <c r="E1335" s="50">
        <v>0</v>
      </c>
      <c r="F1335" s="50">
        <v>0.86399350512528339</v>
      </c>
      <c r="G1335" s="51" t="str">
        <v>松井 2022/06/10 (金)
平日夜間</v>
      </c>
    </row>
    <row r="1336" spans="1:7" ht="16.149999999999999" x14ac:dyDescent="0.7">
      <c r="A1336" s="49">
        <v>44704.963469583337</v>
      </c>
      <c r="B1336" s="50" t="s">
        <v>45</v>
      </c>
      <c r="C1336" s="50" t="s">
        <v>338</v>
      </c>
      <c r="D1336" s="50" t="s">
        <v>261</v>
      </c>
      <c r="E1336" s="50">
        <v>-1</v>
      </c>
      <c r="F1336" s="50">
        <v>-0.38664841009463169</v>
      </c>
      <c r="G1336" s="51" t="str">
        <v>松井 2022/06/11 (土)
休日午後</v>
      </c>
    </row>
    <row r="1337" spans="1:7" ht="16.149999999999999" x14ac:dyDescent="0.7">
      <c r="A1337" s="49">
        <v>44704.963469583337</v>
      </c>
      <c r="B1337" s="50" t="s">
        <v>45</v>
      </c>
      <c r="C1337" s="50" t="s">
        <v>339</v>
      </c>
      <c r="D1337" s="50" t="s">
        <v>263</v>
      </c>
      <c r="E1337" s="50">
        <v>-1</v>
      </c>
      <c r="F1337" s="50">
        <v>-0.69577661397229384</v>
      </c>
      <c r="G1337" s="51" t="str">
        <v>松井 2022/06/11 (土)
休日午前</v>
      </c>
    </row>
    <row r="1338" spans="1:7" ht="16.149999999999999" x14ac:dyDescent="0.7">
      <c r="A1338" s="49">
        <v>44704.963469583337</v>
      </c>
      <c r="B1338" s="50" t="s">
        <v>45</v>
      </c>
      <c r="C1338" s="50" t="s">
        <v>340</v>
      </c>
      <c r="D1338" s="50" t="s">
        <v>261</v>
      </c>
      <c r="E1338" s="50">
        <v>-1</v>
      </c>
      <c r="F1338" s="50">
        <v>-0.74796270441847645</v>
      </c>
      <c r="G1338" s="51" t="str">
        <v>松井 2022/06/12 (日)
休日午後</v>
      </c>
    </row>
    <row r="1339" spans="1:7" ht="16.149999999999999" x14ac:dyDescent="0.7">
      <c r="A1339" s="49">
        <v>44704.963469583337</v>
      </c>
      <c r="B1339" s="50" t="s">
        <v>45</v>
      </c>
      <c r="C1339" s="50" t="s">
        <v>341</v>
      </c>
      <c r="D1339" s="50" t="s">
        <v>263</v>
      </c>
      <c r="E1339" s="50">
        <v>-1</v>
      </c>
      <c r="F1339" s="50">
        <v>-0.18964026887467611</v>
      </c>
      <c r="G1339" s="51" t="str">
        <v>松井 2022/06/12 (日)
休日午前</v>
      </c>
    </row>
    <row r="1340" spans="1:7" ht="16.149999999999999" x14ac:dyDescent="0.7">
      <c r="A1340" s="49">
        <v>44704.963469583337</v>
      </c>
      <c r="B1340" s="50" t="s">
        <v>45</v>
      </c>
      <c r="C1340" s="50" t="s">
        <v>342</v>
      </c>
      <c r="D1340" s="50" t="s">
        <v>259</v>
      </c>
      <c r="E1340" s="50">
        <v>0</v>
      </c>
      <c r="F1340" s="50">
        <v>3.6974135090282578E-2</v>
      </c>
      <c r="G1340" s="51" t="str">
        <v>松井 2022/06/13 (月)
平日夜間</v>
      </c>
    </row>
    <row r="1341" spans="1:7" ht="16.149999999999999" x14ac:dyDescent="0.7">
      <c r="A1341" s="49">
        <v>44704.963469583337</v>
      </c>
      <c r="B1341" s="50" t="s">
        <v>45</v>
      </c>
      <c r="C1341" s="50" t="s">
        <v>343</v>
      </c>
      <c r="D1341" s="50" t="s">
        <v>259</v>
      </c>
      <c r="E1341" s="50">
        <v>0</v>
      </c>
      <c r="F1341" s="50">
        <v>8.311097170418269E-2</v>
      </c>
      <c r="G1341" s="51" t="str">
        <v>松井 2022/06/14 (火)
平日夜間</v>
      </c>
    </row>
    <row r="1342" spans="1:7" ht="16.149999999999999" x14ac:dyDescent="0.7">
      <c r="A1342" s="49">
        <v>44704.963469583337</v>
      </c>
      <c r="B1342" s="50" t="s">
        <v>45</v>
      </c>
      <c r="C1342" s="50" t="s">
        <v>344</v>
      </c>
      <c r="D1342" s="50" t="s">
        <v>259</v>
      </c>
      <c r="E1342" s="50">
        <v>0</v>
      </c>
      <c r="F1342" s="50">
        <v>6.9965368996574906E-2</v>
      </c>
      <c r="G1342" s="51" t="str">
        <v>松井 2022/06/15 (水)
平日夜間</v>
      </c>
    </row>
    <row r="1343" spans="1:7" ht="16.149999999999999" x14ac:dyDescent="0.7">
      <c r="A1343" s="49">
        <v>44704.963469583337</v>
      </c>
      <c r="B1343" s="50" t="s">
        <v>45</v>
      </c>
      <c r="C1343" s="50" t="s">
        <v>345</v>
      </c>
      <c r="D1343" s="50" t="s">
        <v>259</v>
      </c>
      <c r="E1343" s="50">
        <v>0</v>
      </c>
      <c r="F1343" s="50">
        <v>0.24092068942896461</v>
      </c>
      <c r="G1343" s="51" t="str">
        <v>松井 2022/06/16 (木)
平日夜間</v>
      </c>
    </row>
    <row r="1344" spans="1:7" ht="16.149999999999999" x14ac:dyDescent="0.7">
      <c r="A1344" s="49">
        <v>44704.963469583337</v>
      </c>
      <c r="B1344" s="50" t="s">
        <v>45</v>
      </c>
      <c r="C1344" s="50" t="s">
        <v>346</v>
      </c>
      <c r="D1344" s="50" t="s">
        <v>259</v>
      </c>
      <c r="E1344" s="50">
        <v>-1</v>
      </c>
      <c r="F1344" s="50">
        <v>-0.30965475877772897</v>
      </c>
      <c r="G1344" s="51" t="str">
        <v>松井 2022/06/17 (金)
平日夜間</v>
      </c>
    </row>
    <row r="1345" spans="1:7" ht="16.149999999999999" x14ac:dyDescent="0.7">
      <c r="A1345" s="49">
        <v>44704.963469583337</v>
      </c>
      <c r="B1345" s="50" t="s">
        <v>45</v>
      </c>
      <c r="C1345" s="50" t="s">
        <v>347</v>
      </c>
      <c r="D1345" s="50" t="s">
        <v>261</v>
      </c>
      <c r="E1345" s="50">
        <v>-1</v>
      </c>
      <c r="F1345" s="50">
        <v>-0.13003169753711807</v>
      </c>
      <c r="G1345" s="51" t="str">
        <v>松井 2022/06/18 (土)
休日午後</v>
      </c>
    </row>
    <row r="1346" spans="1:7" ht="16.149999999999999" x14ac:dyDescent="0.7">
      <c r="A1346" s="49">
        <v>44704.963469583337</v>
      </c>
      <c r="B1346" s="50" t="s">
        <v>45</v>
      </c>
      <c r="C1346" s="50" t="s">
        <v>348</v>
      </c>
      <c r="D1346" s="50" t="s">
        <v>263</v>
      </c>
      <c r="E1346" s="50">
        <v>-1</v>
      </c>
      <c r="F1346" s="50">
        <v>-0.6177196592110179</v>
      </c>
      <c r="G1346" s="51" t="str">
        <v>松井 2022/06/18 (土)
休日午前</v>
      </c>
    </row>
    <row r="1347" spans="1:7" ht="16.149999999999999" x14ac:dyDescent="0.7">
      <c r="A1347" s="49">
        <v>44704.963469583337</v>
      </c>
      <c r="B1347" s="50" t="s">
        <v>45</v>
      </c>
      <c r="C1347" s="50" t="s">
        <v>349</v>
      </c>
      <c r="D1347" s="50" t="s">
        <v>261</v>
      </c>
      <c r="E1347" s="50">
        <v>-1</v>
      </c>
      <c r="F1347" s="50">
        <v>-0.40220265864893934</v>
      </c>
      <c r="G1347" s="51" t="str">
        <v>松井 2022/06/19 (日)
休日午後</v>
      </c>
    </row>
    <row r="1348" spans="1:7" ht="16.149999999999999" x14ac:dyDescent="0.7">
      <c r="A1348" s="49">
        <v>44704.963469583337</v>
      </c>
      <c r="B1348" s="50" t="s">
        <v>45</v>
      </c>
      <c r="C1348" s="50" t="s">
        <v>350</v>
      </c>
      <c r="D1348" s="50" t="s">
        <v>263</v>
      </c>
      <c r="E1348" s="50">
        <v>-1</v>
      </c>
      <c r="F1348" s="50">
        <v>-0.21530896819060774</v>
      </c>
      <c r="G1348" s="51" t="str">
        <v>松井 2022/06/19 (日)
休日午前</v>
      </c>
    </row>
    <row r="1349" spans="1:7" ht="16.149999999999999" x14ac:dyDescent="0.7">
      <c r="A1349" s="49">
        <v>44704.963469583337</v>
      </c>
      <c r="B1349" s="50" t="s">
        <v>45</v>
      </c>
      <c r="C1349" s="50" t="s">
        <v>351</v>
      </c>
      <c r="D1349" s="50" t="s">
        <v>259</v>
      </c>
      <c r="E1349" s="50">
        <v>0</v>
      </c>
      <c r="F1349" s="50">
        <v>0.42078104350522461</v>
      </c>
      <c r="G1349" s="51" t="str">
        <v>松井 2022/06/20 (月)
平日夜間</v>
      </c>
    </row>
    <row r="1350" spans="1:7" ht="16.149999999999999" x14ac:dyDescent="0.7">
      <c r="A1350" s="49">
        <v>44704.963469583337</v>
      </c>
      <c r="B1350" s="50" t="s">
        <v>45</v>
      </c>
      <c r="C1350" s="50" t="s">
        <v>352</v>
      </c>
      <c r="D1350" s="50" t="s">
        <v>259</v>
      </c>
      <c r="E1350" s="50">
        <v>0</v>
      </c>
      <c r="F1350" s="50">
        <v>0.87256004559651812</v>
      </c>
      <c r="G1350" s="51" t="str">
        <v>松井 2022/06/21 (火)
平日夜間</v>
      </c>
    </row>
    <row r="1351" spans="1:7" ht="16.149999999999999" x14ac:dyDescent="0.7">
      <c r="A1351" s="49">
        <v>44704.963469583337</v>
      </c>
      <c r="B1351" s="50" t="s">
        <v>45</v>
      </c>
      <c r="C1351" s="50" t="s">
        <v>353</v>
      </c>
      <c r="D1351" s="50" t="s">
        <v>259</v>
      </c>
      <c r="E1351" s="50">
        <v>0</v>
      </c>
      <c r="F1351" s="50">
        <v>1.1033619774175163E-2</v>
      </c>
      <c r="G1351" s="51" t="str">
        <v>松井 2022/06/22 (水)
平日夜間</v>
      </c>
    </row>
    <row r="1352" spans="1:7" ht="16.149999999999999" x14ac:dyDescent="0.7">
      <c r="A1352" s="49">
        <v>44704.963469583337</v>
      </c>
      <c r="B1352" s="50" t="s">
        <v>45</v>
      </c>
      <c r="C1352" s="50" t="s">
        <v>354</v>
      </c>
      <c r="D1352" s="50" t="s">
        <v>259</v>
      </c>
      <c r="E1352" s="50">
        <v>-1</v>
      </c>
      <c r="F1352" s="50">
        <v>-0.1279076324097026</v>
      </c>
      <c r="G1352" s="51" t="str">
        <v>松井 2022/06/23 (木)
平日夜間</v>
      </c>
    </row>
    <row r="1353" spans="1:7" ht="16.149999999999999" x14ac:dyDescent="0.7">
      <c r="A1353" s="49">
        <v>44704.963469583337</v>
      </c>
      <c r="B1353" s="50" t="s">
        <v>45</v>
      </c>
      <c r="C1353" s="50" t="s">
        <v>355</v>
      </c>
      <c r="D1353" s="50" t="s">
        <v>259</v>
      </c>
      <c r="E1353" s="50">
        <v>0</v>
      </c>
      <c r="F1353" s="50">
        <v>0.66992991700410776</v>
      </c>
      <c r="G1353" s="51" t="str">
        <v>松井 2022/06/24 (金)
平日夜間</v>
      </c>
    </row>
    <row r="1354" spans="1:7" ht="16.149999999999999" x14ac:dyDescent="0.7">
      <c r="A1354" s="49">
        <v>44704.963469583337</v>
      </c>
      <c r="B1354" s="50" t="s">
        <v>45</v>
      </c>
      <c r="C1354" s="50" t="s">
        <v>356</v>
      </c>
      <c r="D1354" s="50" t="s">
        <v>261</v>
      </c>
      <c r="E1354" s="50">
        <v>0</v>
      </c>
      <c r="F1354" s="50">
        <v>0.37879212967894049</v>
      </c>
      <c r="G1354" s="51" t="str">
        <v>松井 2022/06/25 (土)
休日午後</v>
      </c>
    </row>
    <row r="1355" spans="1:7" ht="16.149999999999999" x14ac:dyDescent="0.7">
      <c r="A1355" s="49">
        <v>44704.963469583337</v>
      </c>
      <c r="B1355" s="50" t="s">
        <v>45</v>
      </c>
      <c r="C1355" s="50" t="s">
        <v>357</v>
      </c>
      <c r="D1355" s="50" t="s">
        <v>263</v>
      </c>
      <c r="E1355" s="50">
        <v>0</v>
      </c>
      <c r="F1355" s="50">
        <v>0.48050547380198849</v>
      </c>
      <c r="G1355" s="51" t="str">
        <v>松井 2022/06/25 (土)
休日午前</v>
      </c>
    </row>
    <row r="1356" spans="1:7" ht="16.149999999999999" x14ac:dyDescent="0.7">
      <c r="A1356" s="49">
        <v>44704.963469583337</v>
      </c>
      <c r="B1356" s="50" t="s">
        <v>45</v>
      </c>
      <c r="C1356" s="50" t="s">
        <v>358</v>
      </c>
      <c r="D1356" s="50" t="s">
        <v>261</v>
      </c>
      <c r="E1356" s="50">
        <v>0</v>
      </c>
      <c r="F1356" s="50">
        <v>0.33686861849944427</v>
      </c>
      <c r="G1356" s="51" t="str">
        <v>松井 2022/06/26 (日)
休日午後</v>
      </c>
    </row>
    <row r="1357" spans="1:7" ht="16.149999999999999" x14ac:dyDescent="0.7">
      <c r="A1357" s="49">
        <v>44704.963469583337</v>
      </c>
      <c r="B1357" s="50" t="s">
        <v>45</v>
      </c>
      <c r="C1357" s="50" t="s">
        <v>359</v>
      </c>
      <c r="D1357" s="50" t="s">
        <v>263</v>
      </c>
      <c r="E1357" s="50">
        <v>0</v>
      </c>
      <c r="F1357" s="50">
        <v>0.99618076020729029</v>
      </c>
      <c r="G1357" s="51" t="str">
        <v>松井 2022/06/26 (日)
休日午前</v>
      </c>
    </row>
    <row r="1358" spans="1:7" ht="16.149999999999999" x14ac:dyDescent="0.7">
      <c r="A1358" s="49">
        <v>44704.963469583337</v>
      </c>
      <c r="B1358" s="50" t="s">
        <v>45</v>
      </c>
      <c r="C1358" s="50" t="s">
        <v>360</v>
      </c>
      <c r="D1358" s="50" t="s">
        <v>259</v>
      </c>
      <c r="E1358" s="50">
        <v>0</v>
      </c>
      <c r="F1358" s="50">
        <v>0.24151761314166698</v>
      </c>
      <c r="G1358" s="51" t="str">
        <v>松井 2022/06/27 (月)
平日夜間</v>
      </c>
    </row>
    <row r="1359" spans="1:7" ht="16.149999999999999" x14ac:dyDescent="0.7">
      <c r="A1359" s="49">
        <v>44704.963469583337</v>
      </c>
      <c r="B1359" s="50" t="s">
        <v>45</v>
      </c>
      <c r="C1359" s="50" t="s">
        <v>361</v>
      </c>
      <c r="D1359" s="50" t="s">
        <v>259</v>
      </c>
      <c r="E1359" s="50">
        <v>0</v>
      </c>
      <c r="F1359" s="50">
        <v>0.93132001418385557</v>
      </c>
      <c r="G1359" s="51" t="str">
        <v>松井 2022/06/28 (火)
平日夜間</v>
      </c>
    </row>
    <row r="1360" spans="1:7" ht="16.149999999999999" x14ac:dyDescent="0.7">
      <c r="A1360" s="49">
        <v>44704.963469583337</v>
      </c>
      <c r="B1360" s="50" t="s">
        <v>45</v>
      </c>
      <c r="C1360" s="50" t="s">
        <v>362</v>
      </c>
      <c r="D1360" s="50" t="s">
        <v>259</v>
      </c>
      <c r="E1360" s="50">
        <v>2</v>
      </c>
      <c r="F1360" s="50">
        <v>2.969677706951654</v>
      </c>
      <c r="G1360" s="51" t="str">
        <v>松井 2022/06/29 (水)
平日夜間</v>
      </c>
    </row>
    <row r="1361" spans="1:7" ht="16.149999999999999" x14ac:dyDescent="0.7">
      <c r="A1361" s="49">
        <v>44704.963469583337</v>
      </c>
      <c r="B1361" s="50" t="s">
        <v>45</v>
      </c>
      <c r="C1361" s="50" t="s">
        <v>363</v>
      </c>
      <c r="D1361" s="50" t="s">
        <v>259</v>
      </c>
      <c r="E1361" s="50">
        <v>0</v>
      </c>
      <c r="F1361" s="50">
        <v>0.22005679365905495</v>
      </c>
      <c r="G1361" s="51" t="str">
        <v>松井 2022/06/30 (木)
平日夜間</v>
      </c>
    </row>
    <row r="1362" spans="1:7" ht="16.149999999999999" x14ac:dyDescent="0.7">
      <c r="A1362" s="49">
        <v>44705.021166759259</v>
      </c>
      <c r="B1362" s="50" t="s">
        <v>2</v>
      </c>
      <c r="C1362" s="50" t="s">
        <v>326</v>
      </c>
      <c r="D1362" s="50" t="s">
        <v>259</v>
      </c>
      <c r="E1362" s="50">
        <v>0</v>
      </c>
      <c r="F1362" s="50">
        <v>0.12877215500147088</v>
      </c>
      <c r="G1362" s="51" t="str">
        <v>伊藤 2022/06/01 (水)
平日夜間</v>
      </c>
    </row>
    <row r="1363" spans="1:7" ht="16.149999999999999" x14ac:dyDescent="0.7">
      <c r="A1363" s="49">
        <v>44705.021166759259</v>
      </c>
      <c r="B1363" s="50" t="s">
        <v>2</v>
      </c>
      <c r="C1363" s="50" t="s">
        <v>327</v>
      </c>
      <c r="D1363" s="50" t="s">
        <v>259</v>
      </c>
      <c r="E1363" s="50">
        <v>0</v>
      </c>
      <c r="F1363" s="50">
        <v>0.1923188187262177</v>
      </c>
      <c r="G1363" s="51" t="str">
        <v>伊藤 2022/06/02 (木)
平日夜間</v>
      </c>
    </row>
    <row r="1364" spans="1:7" ht="16.149999999999999" x14ac:dyDescent="0.7">
      <c r="A1364" s="49">
        <v>44705.021166759259</v>
      </c>
      <c r="B1364" s="50" t="s">
        <v>2</v>
      </c>
      <c r="C1364" s="50" t="s">
        <v>328</v>
      </c>
      <c r="D1364" s="50" t="s">
        <v>259</v>
      </c>
      <c r="E1364" s="50">
        <v>-1</v>
      </c>
      <c r="F1364" s="50">
        <v>-0.14399662104556388</v>
      </c>
      <c r="G1364" s="51" t="str">
        <v>伊藤 2022/06/03 (金)
平日夜間</v>
      </c>
    </row>
    <row r="1365" spans="1:7" ht="16.149999999999999" x14ac:dyDescent="0.7">
      <c r="A1365" s="49">
        <v>44705.021166759259</v>
      </c>
      <c r="B1365" s="50" t="s">
        <v>2</v>
      </c>
      <c r="C1365" s="50" t="s">
        <v>329</v>
      </c>
      <c r="D1365" s="50" t="s">
        <v>261</v>
      </c>
      <c r="E1365" s="50">
        <v>-1</v>
      </c>
      <c r="F1365" s="50">
        <v>-0.73323028208508245</v>
      </c>
      <c r="G1365" s="51" t="str">
        <v>伊藤 2022/06/04 (土)
休日午後</v>
      </c>
    </row>
    <row r="1366" spans="1:7" ht="16.149999999999999" x14ac:dyDescent="0.7">
      <c r="A1366" s="49">
        <v>44705.021166759259</v>
      </c>
      <c r="B1366" s="50" t="s">
        <v>2</v>
      </c>
      <c r="C1366" s="50" t="s">
        <v>330</v>
      </c>
      <c r="D1366" s="50" t="s">
        <v>263</v>
      </c>
      <c r="E1366" s="50">
        <v>-1</v>
      </c>
      <c r="F1366" s="50">
        <v>-0.96715392058800953</v>
      </c>
      <c r="G1366" s="51" t="str">
        <v>伊藤 2022/06/04 (土)
休日午前</v>
      </c>
    </row>
    <row r="1367" spans="1:7" ht="16.149999999999999" x14ac:dyDescent="0.7">
      <c r="A1367" s="49">
        <v>44705.021166759259</v>
      </c>
      <c r="B1367" s="50" t="s">
        <v>2</v>
      </c>
      <c r="C1367" s="50" t="s">
        <v>331</v>
      </c>
      <c r="D1367" s="50" t="s">
        <v>261</v>
      </c>
      <c r="E1367" s="50">
        <v>-1</v>
      </c>
      <c r="F1367" s="50">
        <v>-0.25955973565531076</v>
      </c>
      <c r="G1367" s="51" t="str">
        <v>伊藤 2022/06/05 (日)
休日午後</v>
      </c>
    </row>
    <row r="1368" spans="1:7" ht="16.149999999999999" x14ac:dyDescent="0.7">
      <c r="A1368" s="49">
        <v>44705.021166759259</v>
      </c>
      <c r="B1368" s="50" t="s">
        <v>2</v>
      </c>
      <c r="C1368" s="50" t="s">
        <v>332</v>
      </c>
      <c r="D1368" s="50" t="s">
        <v>263</v>
      </c>
      <c r="E1368" s="50">
        <v>-1</v>
      </c>
      <c r="F1368" s="50">
        <v>-0.14931540661599918</v>
      </c>
      <c r="G1368" s="51" t="str">
        <v>伊藤 2022/06/05 (日)
休日午前</v>
      </c>
    </row>
    <row r="1369" spans="1:7" ht="16.149999999999999" x14ac:dyDescent="0.7">
      <c r="A1369" s="49">
        <v>44705.021166759259</v>
      </c>
      <c r="B1369" s="50" t="s">
        <v>2</v>
      </c>
      <c r="C1369" s="50" t="s">
        <v>333</v>
      </c>
      <c r="D1369" s="50" t="s">
        <v>259</v>
      </c>
      <c r="E1369" s="50">
        <v>0</v>
      </c>
      <c r="F1369" s="50">
        <v>0.6721117236970211</v>
      </c>
      <c r="G1369" s="51" t="str">
        <v>伊藤 2022/06/06 (月)
平日夜間</v>
      </c>
    </row>
    <row r="1370" spans="1:7" ht="16.149999999999999" x14ac:dyDescent="0.7">
      <c r="A1370" s="49">
        <v>44705.021166759259</v>
      </c>
      <c r="B1370" s="50" t="s">
        <v>2</v>
      </c>
      <c r="C1370" s="50" t="s">
        <v>334</v>
      </c>
      <c r="D1370" s="50" t="s">
        <v>259</v>
      </c>
      <c r="E1370" s="50">
        <v>0</v>
      </c>
      <c r="F1370" s="50">
        <v>0.78784094386540837</v>
      </c>
      <c r="G1370" s="51" t="str">
        <v>伊藤 2022/06/07 (火)
平日夜間</v>
      </c>
    </row>
    <row r="1371" spans="1:7" ht="16.149999999999999" x14ac:dyDescent="0.7">
      <c r="A1371" s="49">
        <v>44705.021166759259</v>
      </c>
      <c r="B1371" s="50" t="s">
        <v>2</v>
      </c>
      <c r="C1371" s="50" t="s">
        <v>335</v>
      </c>
      <c r="D1371" s="50" t="s">
        <v>259</v>
      </c>
      <c r="E1371" s="50">
        <v>0</v>
      </c>
      <c r="F1371" s="50">
        <v>0.44333184737197162</v>
      </c>
      <c r="G1371" s="51" t="str">
        <v>伊藤 2022/06/08 (水)
平日夜間</v>
      </c>
    </row>
    <row r="1372" spans="1:7" ht="16.149999999999999" x14ac:dyDescent="0.7">
      <c r="A1372" s="49">
        <v>44705.021166759259</v>
      </c>
      <c r="B1372" s="50" t="s">
        <v>2</v>
      </c>
      <c r="C1372" s="50" t="s">
        <v>336</v>
      </c>
      <c r="D1372" s="50" t="s">
        <v>259</v>
      </c>
      <c r="E1372" s="50">
        <v>0</v>
      </c>
      <c r="F1372" s="50">
        <v>0.94880035994909995</v>
      </c>
      <c r="G1372" s="51" t="str">
        <v>伊藤 2022/06/09 (木)
平日夜間</v>
      </c>
    </row>
    <row r="1373" spans="1:7" ht="16.149999999999999" x14ac:dyDescent="0.7">
      <c r="A1373" s="49">
        <v>44705.021166759259</v>
      </c>
      <c r="B1373" s="50" t="s">
        <v>2</v>
      </c>
      <c r="C1373" s="50" t="s">
        <v>337</v>
      </c>
      <c r="D1373" s="50" t="s">
        <v>259</v>
      </c>
      <c r="E1373" s="50">
        <v>-1</v>
      </c>
      <c r="F1373" s="50">
        <v>-0.8505840721282425</v>
      </c>
      <c r="G1373" s="51" t="str">
        <v>伊藤 2022/06/10 (金)
平日夜間</v>
      </c>
    </row>
    <row r="1374" spans="1:7" ht="16.149999999999999" x14ac:dyDescent="0.7">
      <c r="A1374" s="49">
        <v>44705.021166759259</v>
      </c>
      <c r="B1374" s="50" t="s">
        <v>2</v>
      </c>
      <c r="C1374" s="50" t="s">
        <v>338</v>
      </c>
      <c r="D1374" s="50" t="s">
        <v>261</v>
      </c>
      <c r="E1374" s="50">
        <v>-1</v>
      </c>
      <c r="F1374" s="50">
        <v>-0.55853455607314118</v>
      </c>
      <c r="G1374" s="51" t="str">
        <v>伊藤 2022/06/11 (土)
休日午後</v>
      </c>
    </row>
    <row r="1375" spans="1:7" ht="16.149999999999999" x14ac:dyDescent="0.7">
      <c r="A1375" s="49">
        <v>44705.021166759259</v>
      </c>
      <c r="B1375" s="50" t="s">
        <v>2</v>
      </c>
      <c r="C1375" s="50" t="s">
        <v>339</v>
      </c>
      <c r="D1375" s="50" t="s">
        <v>263</v>
      </c>
      <c r="E1375" s="50">
        <v>-1</v>
      </c>
      <c r="F1375" s="50">
        <v>-0.14552401839670215</v>
      </c>
      <c r="G1375" s="51" t="str">
        <v>伊藤 2022/06/11 (土)
休日午前</v>
      </c>
    </row>
    <row r="1376" spans="1:7" ht="16.149999999999999" x14ac:dyDescent="0.7">
      <c r="A1376" s="49">
        <v>44705.021166759259</v>
      </c>
      <c r="B1376" s="50" t="s">
        <v>2</v>
      </c>
      <c r="C1376" s="50" t="s">
        <v>340</v>
      </c>
      <c r="D1376" s="50" t="s">
        <v>261</v>
      </c>
      <c r="E1376" s="50">
        <v>-1</v>
      </c>
      <c r="F1376" s="50">
        <v>-0.45779975871429479</v>
      </c>
      <c r="G1376" s="51" t="str">
        <v>伊藤 2022/06/12 (日)
休日午後</v>
      </c>
    </row>
    <row r="1377" spans="1:7" ht="16.149999999999999" x14ac:dyDescent="0.7">
      <c r="A1377" s="49">
        <v>44705.021166759259</v>
      </c>
      <c r="B1377" s="50" t="s">
        <v>2</v>
      </c>
      <c r="C1377" s="50" t="s">
        <v>341</v>
      </c>
      <c r="D1377" s="50" t="s">
        <v>263</v>
      </c>
      <c r="E1377" s="50">
        <v>-1</v>
      </c>
      <c r="F1377" s="50">
        <v>-0.29754017646850928</v>
      </c>
      <c r="G1377" s="51" t="str">
        <v>伊藤 2022/06/12 (日)
休日午前</v>
      </c>
    </row>
    <row r="1378" spans="1:7" ht="16.149999999999999" x14ac:dyDescent="0.7">
      <c r="A1378" s="49">
        <v>44705.021166759259</v>
      </c>
      <c r="B1378" s="50" t="s">
        <v>2</v>
      </c>
      <c r="C1378" s="50" t="s">
        <v>342</v>
      </c>
      <c r="D1378" s="50" t="s">
        <v>259</v>
      </c>
      <c r="E1378" s="50">
        <v>0</v>
      </c>
      <c r="F1378" s="50">
        <v>0.76709031941176375</v>
      </c>
      <c r="G1378" s="51" t="str">
        <v>伊藤 2022/06/13 (月)
平日夜間</v>
      </c>
    </row>
    <row r="1379" spans="1:7" ht="16.149999999999999" x14ac:dyDescent="0.7">
      <c r="A1379" s="49">
        <v>44705.021166759259</v>
      </c>
      <c r="B1379" s="50" t="s">
        <v>2</v>
      </c>
      <c r="C1379" s="50" t="s">
        <v>343</v>
      </c>
      <c r="D1379" s="50" t="s">
        <v>259</v>
      </c>
      <c r="E1379" s="50">
        <v>0</v>
      </c>
      <c r="F1379" s="50">
        <v>6.4019843379531149E-2</v>
      </c>
      <c r="G1379" s="51" t="str">
        <v>伊藤 2022/06/14 (火)
平日夜間</v>
      </c>
    </row>
    <row r="1380" spans="1:7" ht="16.149999999999999" x14ac:dyDescent="0.7">
      <c r="A1380" s="49">
        <v>44705.021166759259</v>
      </c>
      <c r="B1380" s="50" t="s">
        <v>2</v>
      </c>
      <c r="C1380" s="50" t="s">
        <v>344</v>
      </c>
      <c r="D1380" s="50" t="s">
        <v>259</v>
      </c>
      <c r="E1380" s="50">
        <v>0</v>
      </c>
      <c r="F1380" s="50">
        <v>0.17726695229551614</v>
      </c>
      <c r="G1380" s="51" t="str">
        <v>伊藤 2022/06/15 (水)
平日夜間</v>
      </c>
    </row>
    <row r="1381" spans="1:7" ht="16.149999999999999" x14ac:dyDescent="0.7">
      <c r="A1381" s="49">
        <v>44705.021166759259</v>
      </c>
      <c r="B1381" s="50" t="s">
        <v>2</v>
      </c>
      <c r="C1381" s="50" t="s">
        <v>345</v>
      </c>
      <c r="D1381" s="50" t="s">
        <v>259</v>
      </c>
      <c r="E1381" s="50">
        <v>0</v>
      </c>
      <c r="F1381" s="50">
        <v>0.67687518162239879</v>
      </c>
      <c r="G1381" s="51" t="str">
        <v>伊藤 2022/06/16 (木)
平日夜間</v>
      </c>
    </row>
    <row r="1382" spans="1:7" ht="16.149999999999999" x14ac:dyDescent="0.7">
      <c r="A1382" s="49">
        <v>44705.021166759259</v>
      </c>
      <c r="B1382" s="50" t="s">
        <v>2</v>
      </c>
      <c r="C1382" s="50" t="s">
        <v>346</v>
      </c>
      <c r="D1382" s="50" t="s">
        <v>259</v>
      </c>
      <c r="E1382" s="50">
        <v>2</v>
      </c>
      <c r="F1382" s="50">
        <v>2.5190259241359092</v>
      </c>
      <c r="G1382" s="51" t="str">
        <v>伊藤 2022/06/17 (金)
平日夜間</v>
      </c>
    </row>
    <row r="1383" spans="1:7" ht="16.149999999999999" x14ac:dyDescent="0.7">
      <c r="A1383" s="49">
        <v>44705.021166759259</v>
      </c>
      <c r="B1383" s="50" t="s">
        <v>2</v>
      </c>
      <c r="C1383" s="50" t="s">
        <v>347</v>
      </c>
      <c r="D1383" s="50" t="s">
        <v>261</v>
      </c>
      <c r="E1383" s="50">
        <v>-1</v>
      </c>
      <c r="F1383" s="50">
        <v>-0.69817200488194375</v>
      </c>
      <c r="G1383" s="51" t="str">
        <v>伊藤 2022/06/18 (土)
休日午後</v>
      </c>
    </row>
    <row r="1384" spans="1:7" ht="16.149999999999999" x14ac:dyDescent="0.7">
      <c r="A1384" s="49">
        <v>44705.021166759259</v>
      </c>
      <c r="B1384" s="50" t="s">
        <v>2</v>
      </c>
      <c r="C1384" s="50" t="s">
        <v>348</v>
      </c>
      <c r="D1384" s="50" t="s">
        <v>263</v>
      </c>
      <c r="E1384" s="50">
        <v>-1</v>
      </c>
      <c r="F1384" s="50">
        <v>-0.5405838061032322</v>
      </c>
      <c r="G1384" s="51" t="str">
        <v>伊藤 2022/06/18 (土)
休日午前</v>
      </c>
    </row>
    <row r="1385" spans="1:7" ht="16.149999999999999" x14ac:dyDescent="0.7">
      <c r="A1385" s="49">
        <v>44705.021166759259</v>
      </c>
      <c r="B1385" s="50" t="s">
        <v>2</v>
      </c>
      <c r="C1385" s="50" t="s">
        <v>349</v>
      </c>
      <c r="D1385" s="50" t="s">
        <v>261</v>
      </c>
      <c r="E1385" s="50">
        <v>0</v>
      </c>
      <c r="F1385" s="50">
        <v>0.69921164848312412</v>
      </c>
      <c r="G1385" s="51" t="str">
        <v>伊藤 2022/06/19 (日)
休日午後</v>
      </c>
    </row>
    <row r="1386" spans="1:7" ht="16.149999999999999" x14ac:dyDescent="0.7">
      <c r="A1386" s="49">
        <v>44705.021166759259</v>
      </c>
      <c r="B1386" s="50" t="s">
        <v>2</v>
      </c>
      <c r="C1386" s="50" t="s">
        <v>350</v>
      </c>
      <c r="D1386" s="50" t="s">
        <v>263</v>
      </c>
      <c r="E1386" s="50">
        <v>0</v>
      </c>
      <c r="F1386" s="50">
        <v>0.57081135128186777</v>
      </c>
      <c r="G1386" s="51" t="str">
        <v>伊藤 2022/06/19 (日)
休日午前</v>
      </c>
    </row>
    <row r="1387" spans="1:7" ht="16.149999999999999" x14ac:dyDescent="0.7">
      <c r="A1387" s="49">
        <v>44705.021166759259</v>
      </c>
      <c r="B1387" s="50" t="s">
        <v>2</v>
      </c>
      <c r="C1387" s="50" t="s">
        <v>351</v>
      </c>
      <c r="D1387" s="50" t="s">
        <v>259</v>
      </c>
      <c r="E1387" s="50">
        <v>0</v>
      </c>
      <c r="F1387" s="50">
        <v>0.20029998738384269</v>
      </c>
      <c r="G1387" s="51" t="str">
        <v>伊藤 2022/06/20 (月)
平日夜間</v>
      </c>
    </row>
    <row r="1388" spans="1:7" ht="16.149999999999999" x14ac:dyDescent="0.7">
      <c r="A1388" s="49">
        <v>44705.021166759259</v>
      </c>
      <c r="B1388" s="50" t="s">
        <v>2</v>
      </c>
      <c r="C1388" s="50" t="s">
        <v>352</v>
      </c>
      <c r="D1388" s="50" t="s">
        <v>259</v>
      </c>
      <c r="E1388" s="50">
        <v>0</v>
      </c>
      <c r="F1388" s="50">
        <v>0.60645664994383774</v>
      </c>
      <c r="G1388" s="51" t="str">
        <v>伊藤 2022/06/21 (火)
平日夜間</v>
      </c>
    </row>
    <row r="1389" spans="1:7" ht="16.149999999999999" x14ac:dyDescent="0.7">
      <c r="A1389" s="49">
        <v>44705.021166759259</v>
      </c>
      <c r="B1389" s="50" t="s">
        <v>2</v>
      </c>
      <c r="C1389" s="50" t="s">
        <v>353</v>
      </c>
      <c r="D1389" s="50" t="s">
        <v>259</v>
      </c>
      <c r="E1389" s="50">
        <v>0</v>
      </c>
      <c r="F1389" s="50">
        <v>0.28155826035440112</v>
      </c>
      <c r="G1389" s="51" t="str">
        <v>伊藤 2022/06/22 (水)
平日夜間</v>
      </c>
    </row>
    <row r="1390" spans="1:7" ht="16.149999999999999" x14ac:dyDescent="0.7">
      <c r="A1390" s="49">
        <v>44705.021166759259</v>
      </c>
      <c r="B1390" s="50" t="s">
        <v>2</v>
      </c>
      <c r="C1390" s="50" t="s">
        <v>354</v>
      </c>
      <c r="D1390" s="50" t="s">
        <v>259</v>
      </c>
      <c r="E1390" s="50">
        <v>0</v>
      </c>
      <c r="F1390" s="50">
        <v>0.54213897586574666</v>
      </c>
      <c r="G1390" s="51" t="str">
        <v>伊藤 2022/06/23 (木)
平日夜間</v>
      </c>
    </row>
    <row r="1391" spans="1:7" ht="16.149999999999999" x14ac:dyDescent="0.7">
      <c r="A1391" s="49">
        <v>44705.021166759259</v>
      </c>
      <c r="B1391" s="50" t="s">
        <v>2</v>
      </c>
      <c r="C1391" s="50" t="s">
        <v>355</v>
      </c>
      <c r="D1391" s="50" t="s">
        <v>259</v>
      </c>
      <c r="E1391" s="50">
        <v>-1</v>
      </c>
      <c r="F1391" s="50">
        <v>-0.64158158325060533</v>
      </c>
      <c r="G1391" s="51" t="str">
        <v>伊藤 2022/06/24 (金)
平日夜間</v>
      </c>
    </row>
    <row r="1392" spans="1:7" ht="16.149999999999999" x14ac:dyDescent="0.7">
      <c r="A1392" s="49">
        <v>44705.021166759259</v>
      </c>
      <c r="B1392" s="50" t="s">
        <v>2</v>
      </c>
      <c r="C1392" s="50" t="s">
        <v>356</v>
      </c>
      <c r="D1392" s="50" t="s">
        <v>261</v>
      </c>
      <c r="E1392" s="50">
        <v>-1</v>
      </c>
      <c r="F1392" s="50">
        <v>-0.75182923505006549</v>
      </c>
      <c r="G1392" s="51" t="str">
        <v>伊藤 2022/06/25 (土)
休日午後</v>
      </c>
    </row>
    <row r="1393" spans="1:7" ht="16.149999999999999" x14ac:dyDescent="0.7">
      <c r="A1393" s="49">
        <v>44705.021166759259</v>
      </c>
      <c r="B1393" s="50" t="s">
        <v>2</v>
      </c>
      <c r="C1393" s="50" t="s">
        <v>357</v>
      </c>
      <c r="D1393" s="50" t="s">
        <v>263</v>
      </c>
      <c r="E1393" s="50">
        <v>-1</v>
      </c>
      <c r="F1393" s="50">
        <v>-0.84403717941753365</v>
      </c>
      <c r="G1393" s="51" t="str">
        <v>伊藤 2022/06/25 (土)
休日午前</v>
      </c>
    </row>
    <row r="1394" spans="1:7" ht="16.149999999999999" x14ac:dyDescent="0.7">
      <c r="A1394" s="49">
        <v>44705.021166759259</v>
      </c>
      <c r="B1394" s="50" t="s">
        <v>2</v>
      </c>
      <c r="C1394" s="50" t="s">
        <v>358</v>
      </c>
      <c r="D1394" s="50" t="s">
        <v>261</v>
      </c>
      <c r="E1394" s="50">
        <v>0</v>
      </c>
      <c r="F1394" s="50">
        <v>3.5008765679488629E-2</v>
      </c>
      <c r="G1394" s="51" t="str">
        <v>伊藤 2022/06/26 (日)
休日午後</v>
      </c>
    </row>
    <row r="1395" spans="1:7" ht="16.149999999999999" x14ac:dyDescent="0.7">
      <c r="A1395" s="49">
        <v>44705.021166759259</v>
      </c>
      <c r="B1395" s="50" t="s">
        <v>2</v>
      </c>
      <c r="C1395" s="50" t="s">
        <v>359</v>
      </c>
      <c r="D1395" s="50" t="s">
        <v>263</v>
      </c>
      <c r="E1395" s="50">
        <v>0</v>
      </c>
      <c r="F1395" s="50">
        <v>0.97136686779822812</v>
      </c>
      <c r="G1395" s="51" t="str">
        <v>伊藤 2022/06/26 (日)
休日午前</v>
      </c>
    </row>
    <row r="1396" spans="1:7" ht="16.149999999999999" x14ac:dyDescent="0.7">
      <c r="A1396" s="49">
        <v>44705.021166759259</v>
      </c>
      <c r="B1396" s="50" t="s">
        <v>2</v>
      </c>
      <c r="C1396" s="50" t="s">
        <v>360</v>
      </c>
      <c r="D1396" s="50" t="s">
        <v>259</v>
      </c>
      <c r="E1396" s="50">
        <v>0</v>
      </c>
      <c r="F1396" s="50">
        <v>0.20698663807753781</v>
      </c>
      <c r="G1396" s="51" t="str">
        <v>伊藤 2022/06/27 (月)
平日夜間</v>
      </c>
    </row>
    <row r="1397" spans="1:7" ht="16.149999999999999" x14ac:dyDescent="0.7">
      <c r="A1397" s="49">
        <v>44705.021166759259</v>
      </c>
      <c r="B1397" s="50" t="s">
        <v>2</v>
      </c>
      <c r="C1397" s="50" t="s">
        <v>361</v>
      </c>
      <c r="D1397" s="50" t="s">
        <v>259</v>
      </c>
      <c r="E1397" s="50">
        <v>0</v>
      </c>
      <c r="F1397" s="50">
        <v>0.50812789710462436</v>
      </c>
      <c r="G1397" s="51" t="str">
        <v>伊藤 2022/06/28 (火)
平日夜間</v>
      </c>
    </row>
    <row r="1398" spans="1:7" ht="16.149999999999999" x14ac:dyDescent="0.7">
      <c r="A1398" s="49">
        <v>44705.021166759259</v>
      </c>
      <c r="B1398" s="50" t="s">
        <v>2</v>
      </c>
      <c r="C1398" s="50" t="s">
        <v>362</v>
      </c>
      <c r="D1398" s="50" t="s">
        <v>259</v>
      </c>
      <c r="E1398" s="50">
        <v>0</v>
      </c>
      <c r="F1398" s="50">
        <v>0.73459506542633113</v>
      </c>
      <c r="G1398" s="51" t="str">
        <v>伊藤 2022/06/29 (水)
平日夜間</v>
      </c>
    </row>
    <row r="1399" spans="1:7" ht="16.149999999999999" x14ac:dyDescent="0.7">
      <c r="A1399" s="49">
        <v>44705.021166759259</v>
      </c>
      <c r="B1399" s="50" t="s">
        <v>2</v>
      </c>
      <c r="C1399" s="50" t="s">
        <v>363</v>
      </c>
      <c r="D1399" s="50" t="s">
        <v>259</v>
      </c>
      <c r="E1399" s="50">
        <v>0</v>
      </c>
      <c r="F1399" s="50">
        <v>0.75830817046997145</v>
      </c>
      <c r="G1399" s="51" t="str">
        <v>伊藤 2022/06/30 (木)
平日夜間</v>
      </c>
    </row>
    <row r="1400" spans="1:7" ht="16.149999999999999" x14ac:dyDescent="0.7">
      <c r="A1400" s="49">
        <v>44705.244190231482</v>
      </c>
      <c r="B1400" s="50" t="s">
        <v>18</v>
      </c>
      <c r="C1400" s="50" t="s">
        <v>326</v>
      </c>
      <c r="D1400" s="50" t="s">
        <v>259</v>
      </c>
      <c r="E1400" s="50">
        <v>0</v>
      </c>
      <c r="F1400" s="50">
        <v>0.67835313332151048</v>
      </c>
      <c r="G1400" s="51" t="str">
        <v>中瀬 2022/06/01 (水)
平日夜間</v>
      </c>
    </row>
    <row r="1401" spans="1:7" ht="16.149999999999999" x14ac:dyDescent="0.7">
      <c r="A1401" s="49">
        <v>44705.244190231482</v>
      </c>
      <c r="B1401" s="50" t="s">
        <v>18</v>
      </c>
      <c r="C1401" s="50" t="s">
        <v>327</v>
      </c>
      <c r="D1401" s="50" t="s">
        <v>259</v>
      </c>
      <c r="E1401" s="50">
        <v>0</v>
      </c>
      <c r="F1401" s="50">
        <v>0.45513039389342058</v>
      </c>
      <c r="G1401" s="51" t="str">
        <v>中瀬 2022/06/02 (木)
平日夜間</v>
      </c>
    </row>
    <row r="1402" spans="1:7" ht="16.149999999999999" x14ac:dyDescent="0.7">
      <c r="A1402" s="49">
        <v>44705.244190231482</v>
      </c>
      <c r="B1402" s="50" t="s">
        <v>18</v>
      </c>
      <c r="C1402" s="50" t="s">
        <v>328</v>
      </c>
      <c r="D1402" s="50" t="s">
        <v>259</v>
      </c>
      <c r="E1402" s="50">
        <v>0</v>
      </c>
      <c r="F1402" s="50">
        <v>0.98445250335243717</v>
      </c>
      <c r="G1402" s="51" t="str">
        <v>中瀬 2022/06/03 (金)
平日夜間</v>
      </c>
    </row>
    <row r="1403" spans="1:7" ht="16.149999999999999" x14ac:dyDescent="0.7">
      <c r="A1403" s="49">
        <v>44705.244190231482</v>
      </c>
      <c r="B1403" s="50" t="s">
        <v>18</v>
      </c>
      <c r="C1403" s="50" t="s">
        <v>329</v>
      </c>
      <c r="D1403" s="50" t="s">
        <v>261</v>
      </c>
      <c r="E1403" s="50">
        <v>0</v>
      </c>
      <c r="F1403" s="50">
        <v>0.43265978852467168</v>
      </c>
      <c r="G1403" s="51" t="str">
        <v>中瀬 2022/06/04 (土)
休日午後</v>
      </c>
    </row>
    <row r="1404" spans="1:7" ht="16.149999999999999" x14ac:dyDescent="0.7">
      <c r="A1404" s="49">
        <v>44705.244190231482</v>
      </c>
      <c r="B1404" s="50" t="s">
        <v>18</v>
      </c>
      <c r="C1404" s="50" t="s">
        <v>330</v>
      </c>
      <c r="D1404" s="50" t="s">
        <v>263</v>
      </c>
      <c r="E1404" s="50">
        <v>0</v>
      </c>
      <c r="F1404" s="50">
        <v>0.81163373927306504</v>
      </c>
      <c r="G1404" s="51" t="str">
        <v>中瀬 2022/06/04 (土)
休日午前</v>
      </c>
    </row>
    <row r="1405" spans="1:7" ht="16.149999999999999" x14ac:dyDescent="0.7">
      <c r="A1405" s="49">
        <v>44705.244190231482</v>
      </c>
      <c r="B1405" s="50" t="s">
        <v>18</v>
      </c>
      <c r="C1405" s="50" t="s">
        <v>331</v>
      </c>
      <c r="D1405" s="50" t="s">
        <v>261</v>
      </c>
      <c r="E1405" s="50">
        <v>0</v>
      </c>
      <c r="F1405" s="50">
        <v>4.8118173972551137E-3</v>
      </c>
      <c r="G1405" s="51" t="str">
        <v>中瀬 2022/06/05 (日)
休日午後</v>
      </c>
    </row>
    <row r="1406" spans="1:7" ht="16.149999999999999" x14ac:dyDescent="0.7">
      <c r="A1406" s="49">
        <v>44705.244190231482</v>
      </c>
      <c r="B1406" s="50" t="s">
        <v>18</v>
      </c>
      <c r="C1406" s="50" t="s">
        <v>332</v>
      </c>
      <c r="D1406" s="50" t="s">
        <v>263</v>
      </c>
      <c r="E1406" s="50">
        <v>0</v>
      </c>
      <c r="F1406" s="50">
        <v>0.11261233585817232</v>
      </c>
      <c r="G1406" s="51" t="str">
        <v>中瀬 2022/06/05 (日)
休日午前</v>
      </c>
    </row>
    <row r="1407" spans="1:7" ht="16.149999999999999" x14ac:dyDescent="0.7">
      <c r="A1407" s="49">
        <v>44705.244190231482</v>
      </c>
      <c r="B1407" s="50" t="s">
        <v>18</v>
      </c>
      <c r="C1407" s="50" t="s">
        <v>333</v>
      </c>
      <c r="D1407" s="50" t="s">
        <v>259</v>
      </c>
      <c r="E1407" s="50">
        <v>0</v>
      </c>
      <c r="F1407" s="50">
        <v>0.59887725335916553</v>
      </c>
      <c r="G1407" s="51" t="str">
        <v>中瀬 2022/06/06 (月)
平日夜間</v>
      </c>
    </row>
    <row r="1408" spans="1:7" ht="16.149999999999999" x14ac:dyDescent="0.7">
      <c r="A1408" s="49">
        <v>44705.244190231482</v>
      </c>
      <c r="B1408" s="50" t="s">
        <v>18</v>
      </c>
      <c r="C1408" s="50" t="s">
        <v>334</v>
      </c>
      <c r="D1408" s="50" t="s">
        <v>259</v>
      </c>
      <c r="E1408" s="50">
        <v>0</v>
      </c>
      <c r="F1408" s="50">
        <v>0.55387247616005064</v>
      </c>
      <c r="G1408" s="51" t="str">
        <v>中瀬 2022/06/07 (火)
平日夜間</v>
      </c>
    </row>
    <row r="1409" spans="1:7" ht="16.149999999999999" x14ac:dyDescent="0.7">
      <c r="A1409" s="49">
        <v>44705.244190231482</v>
      </c>
      <c r="B1409" s="50" t="s">
        <v>18</v>
      </c>
      <c r="C1409" s="50" t="s">
        <v>335</v>
      </c>
      <c r="D1409" s="50" t="s">
        <v>259</v>
      </c>
      <c r="E1409" s="50">
        <v>0</v>
      </c>
      <c r="F1409" s="50">
        <v>0.53989632365889717</v>
      </c>
      <c r="G1409" s="51" t="str">
        <v>中瀬 2022/06/08 (水)
平日夜間</v>
      </c>
    </row>
    <row r="1410" spans="1:7" ht="16.149999999999999" x14ac:dyDescent="0.7">
      <c r="A1410" s="49">
        <v>44705.244190231482</v>
      </c>
      <c r="B1410" s="50" t="s">
        <v>18</v>
      </c>
      <c r="C1410" s="50" t="s">
        <v>336</v>
      </c>
      <c r="D1410" s="50" t="s">
        <v>259</v>
      </c>
      <c r="E1410" s="50">
        <v>0</v>
      </c>
      <c r="F1410" s="50">
        <v>0.70229228781930164</v>
      </c>
      <c r="G1410" s="51" t="str">
        <v>中瀬 2022/06/09 (木)
平日夜間</v>
      </c>
    </row>
    <row r="1411" spans="1:7" ht="16.149999999999999" x14ac:dyDescent="0.7">
      <c r="A1411" s="49">
        <v>44705.244190231482</v>
      </c>
      <c r="B1411" s="50" t="s">
        <v>18</v>
      </c>
      <c r="C1411" s="50" t="s">
        <v>337</v>
      </c>
      <c r="D1411" s="50" t="s">
        <v>259</v>
      </c>
      <c r="E1411" s="50">
        <v>-1</v>
      </c>
      <c r="F1411" s="50">
        <v>-0.49644890749290527</v>
      </c>
      <c r="G1411" s="51" t="str">
        <v>中瀬 2022/06/10 (金)
平日夜間</v>
      </c>
    </row>
    <row r="1412" spans="1:7" ht="16.149999999999999" x14ac:dyDescent="0.7">
      <c r="A1412" s="49">
        <v>44705.244190231482</v>
      </c>
      <c r="B1412" s="50" t="s">
        <v>18</v>
      </c>
      <c r="C1412" s="50" t="s">
        <v>338</v>
      </c>
      <c r="D1412" s="50" t="s">
        <v>261</v>
      </c>
      <c r="E1412" s="50">
        <v>-1</v>
      </c>
      <c r="F1412" s="50">
        <v>-0.34056256661260687</v>
      </c>
      <c r="G1412" s="51" t="str">
        <v>中瀬 2022/06/11 (土)
休日午後</v>
      </c>
    </row>
    <row r="1413" spans="1:7" ht="16.149999999999999" x14ac:dyDescent="0.7">
      <c r="A1413" s="49">
        <v>44705.244190231482</v>
      </c>
      <c r="B1413" s="50" t="s">
        <v>18</v>
      </c>
      <c r="C1413" s="50" t="s">
        <v>339</v>
      </c>
      <c r="D1413" s="50" t="s">
        <v>263</v>
      </c>
      <c r="E1413" s="50">
        <v>-1</v>
      </c>
      <c r="F1413" s="50">
        <v>-0.96417233624778587</v>
      </c>
      <c r="G1413" s="51" t="str">
        <v>中瀬 2022/06/11 (土)
休日午前</v>
      </c>
    </row>
    <row r="1414" spans="1:7" ht="16.149999999999999" x14ac:dyDescent="0.7">
      <c r="A1414" s="49">
        <v>44705.244190231482</v>
      </c>
      <c r="B1414" s="50" t="s">
        <v>18</v>
      </c>
      <c r="C1414" s="50" t="s">
        <v>340</v>
      </c>
      <c r="D1414" s="50" t="s">
        <v>261</v>
      </c>
      <c r="E1414" s="50">
        <v>-1</v>
      </c>
      <c r="F1414" s="50">
        <v>-0.88155492180579254</v>
      </c>
      <c r="G1414" s="51" t="str">
        <v>中瀬 2022/06/12 (日)
休日午後</v>
      </c>
    </row>
    <row r="1415" spans="1:7" ht="16.149999999999999" x14ac:dyDescent="0.7">
      <c r="A1415" s="49">
        <v>44705.244190231482</v>
      </c>
      <c r="B1415" s="50" t="s">
        <v>18</v>
      </c>
      <c r="C1415" s="50" t="s">
        <v>341</v>
      </c>
      <c r="D1415" s="50" t="s">
        <v>263</v>
      </c>
      <c r="E1415" s="50">
        <v>-1</v>
      </c>
      <c r="F1415" s="50">
        <v>-0.11680576023775036</v>
      </c>
      <c r="G1415" s="51" t="str">
        <v>中瀬 2022/06/12 (日)
休日午前</v>
      </c>
    </row>
    <row r="1416" spans="1:7" ht="16.149999999999999" x14ac:dyDescent="0.7">
      <c r="A1416" s="49">
        <v>44705.244190231482</v>
      </c>
      <c r="B1416" s="50" t="s">
        <v>18</v>
      </c>
      <c r="C1416" s="50" t="s">
        <v>342</v>
      </c>
      <c r="D1416" s="50" t="s">
        <v>259</v>
      </c>
      <c r="E1416" s="50">
        <v>0</v>
      </c>
      <c r="F1416" s="50">
        <v>0.3991585496775174</v>
      </c>
      <c r="G1416" s="51" t="str">
        <v>中瀬 2022/06/13 (月)
平日夜間</v>
      </c>
    </row>
    <row r="1417" spans="1:7" ht="16.149999999999999" x14ac:dyDescent="0.7">
      <c r="A1417" s="49">
        <v>44705.244190231482</v>
      </c>
      <c r="B1417" s="50" t="s">
        <v>18</v>
      </c>
      <c r="C1417" s="50" t="s">
        <v>343</v>
      </c>
      <c r="D1417" s="50" t="s">
        <v>259</v>
      </c>
      <c r="E1417" s="50">
        <v>0</v>
      </c>
      <c r="F1417" s="50">
        <v>0.92962927627599301</v>
      </c>
      <c r="G1417" s="51" t="str">
        <v>中瀬 2022/06/14 (火)
平日夜間</v>
      </c>
    </row>
    <row r="1418" spans="1:7" ht="16.149999999999999" x14ac:dyDescent="0.7">
      <c r="A1418" s="49">
        <v>44705.244190231482</v>
      </c>
      <c r="B1418" s="50" t="s">
        <v>18</v>
      </c>
      <c r="C1418" s="50" t="s">
        <v>344</v>
      </c>
      <c r="D1418" s="50" t="s">
        <v>259</v>
      </c>
      <c r="E1418" s="50">
        <v>0</v>
      </c>
      <c r="F1418" s="50">
        <v>0.93405466005264515</v>
      </c>
      <c r="G1418" s="51" t="str">
        <v>中瀬 2022/06/15 (水)
平日夜間</v>
      </c>
    </row>
    <row r="1419" spans="1:7" ht="16.149999999999999" x14ac:dyDescent="0.7">
      <c r="A1419" s="49">
        <v>44705.244190231482</v>
      </c>
      <c r="B1419" s="50" t="s">
        <v>18</v>
      </c>
      <c r="C1419" s="50" t="s">
        <v>345</v>
      </c>
      <c r="D1419" s="50" t="s">
        <v>259</v>
      </c>
      <c r="E1419" s="50">
        <v>0</v>
      </c>
      <c r="F1419" s="50">
        <v>0.85406218108581622</v>
      </c>
      <c r="G1419" s="51" t="str">
        <v>中瀬 2022/06/16 (木)
平日夜間</v>
      </c>
    </row>
    <row r="1420" spans="1:7" ht="16.149999999999999" x14ac:dyDescent="0.7">
      <c r="A1420" s="49">
        <v>44705.244190231482</v>
      </c>
      <c r="B1420" s="50" t="s">
        <v>18</v>
      </c>
      <c r="C1420" s="50" t="s">
        <v>346</v>
      </c>
      <c r="D1420" s="50" t="s">
        <v>259</v>
      </c>
      <c r="E1420" s="50">
        <v>0</v>
      </c>
      <c r="F1420" s="50">
        <v>0.75765549590922254</v>
      </c>
      <c r="G1420" s="51" t="str">
        <v>中瀬 2022/06/17 (金)
平日夜間</v>
      </c>
    </row>
    <row r="1421" spans="1:7" ht="16.149999999999999" x14ac:dyDescent="0.7">
      <c r="A1421" s="49">
        <v>44705.244190231482</v>
      </c>
      <c r="B1421" s="50" t="s">
        <v>18</v>
      </c>
      <c r="C1421" s="50" t="s">
        <v>347</v>
      </c>
      <c r="D1421" s="50" t="s">
        <v>261</v>
      </c>
      <c r="E1421" s="50">
        <v>0</v>
      </c>
      <c r="F1421" s="50">
        <v>0.17042548486009834</v>
      </c>
      <c r="G1421" s="51" t="str">
        <v>中瀬 2022/06/18 (土)
休日午後</v>
      </c>
    </row>
    <row r="1422" spans="1:7" ht="16.149999999999999" x14ac:dyDescent="0.7">
      <c r="A1422" s="49">
        <v>44705.244190231482</v>
      </c>
      <c r="B1422" s="50" t="s">
        <v>18</v>
      </c>
      <c r="C1422" s="50" t="s">
        <v>348</v>
      </c>
      <c r="D1422" s="50" t="s">
        <v>263</v>
      </c>
      <c r="E1422" s="50">
        <v>0</v>
      </c>
      <c r="F1422" s="50">
        <v>0.49860279492354942</v>
      </c>
      <c r="G1422" s="51" t="str">
        <v>中瀬 2022/06/18 (土)
休日午前</v>
      </c>
    </row>
    <row r="1423" spans="1:7" ht="16.149999999999999" x14ac:dyDescent="0.7">
      <c r="A1423" s="49">
        <v>44705.244190231482</v>
      </c>
      <c r="B1423" s="50" t="s">
        <v>18</v>
      </c>
      <c r="C1423" s="50" t="s">
        <v>349</v>
      </c>
      <c r="D1423" s="50" t="s">
        <v>261</v>
      </c>
      <c r="E1423" s="50">
        <v>0</v>
      </c>
      <c r="F1423" s="50">
        <v>0.85613060806754127</v>
      </c>
      <c r="G1423" s="51" t="str">
        <v>中瀬 2022/06/19 (日)
休日午後</v>
      </c>
    </row>
    <row r="1424" spans="1:7" ht="16.149999999999999" x14ac:dyDescent="0.7">
      <c r="A1424" s="49">
        <v>44705.244190231482</v>
      </c>
      <c r="B1424" s="50" t="s">
        <v>18</v>
      </c>
      <c r="C1424" s="50" t="s">
        <v>350</v>
      </c>
      <c r="D1424" s="50" t="s">
        <v>263</v>
      </c>
      <c r="E1424" s="50">
        <v>0</v>
      </c>
      <c r="F1424" s="50">
        <v>0.88248618968617976</v>
      </c>
      <c r="G1424" s="51" t="str">
        <v>中瀬 2022/06/19 (日)
休日午前</v>
      </c>
    </row>
    <row r="1425" spans="1:7" ht="16.149999999999999" x14ac:dyDescent="0.7">
      <c r="A1425" s="49">
        <v>44705.244190231482</v>
      </c>
      <c r="B1425" s="50" t="s">
        <v>18</v>
      </c>
      <c r="C1425" s="50" t="s">
        <v>351</v>
      </c>
      <c r="D1425" s="50" t="s">
        <v>259</v>
      </c>
      <c r="E1425" s="50">
        <v>0</v>
      </c>
      <c r="F1425" s="50">
        <v>0.17385161959175965</v>
      </c>
      <c r="G1425" s="51" t="str">
        <v>中瀬 2022/06/20 (月)
平日夜間</v>
      </c>
    </row>
    <row r="1426" spans="1:7" ht="16.149999999999999" x14ac:dyDescent="0.7">
      <c r="A1426" s="49">
        <v>44705.244190231482</v>
      </c>
      <c r="B1426" s="50" t="s">
        <v>18</v>
      </c>
      <c r="C1426" s="50" t="s">
        <v>352</v>
      </c>
      <c r="D1426" s="50" t="s">
        <v>259</v>
      </c>
      <c r="E1426" s="50">
        <v>0</v>
      </c>
      <c r="F1426" s="50">
        <v>0.11799858958640641</v>
      </c>
      <c r="G1426" s="51" t="str">
        <v>中瀬 2022/06/21 (火)
平日夜間</v>
      </c>
    </row>
    <row r="1427" spans="1:7" ht="16.149999999999999" x14ac:dyDescent="0.7">
      <c r="A1427" s="49">
        <v>44705.244190231482</v>
      </c>
      <c r="B1427" s="50" t="s">
        <v>18</v>
      </c>
      <c r="C1427" s="50" t="s">
        <v>353</v>
      </c>
      <c r="D1427" s="50" t="s">
        <v>259</v>
      </c>
      <c r="E1427" s="50">
        <v>0</v>
      </c>
      <c r="F1427" s="50">
        <v>0.29685049936745367</v>
      </c>
      <c r="G1427" s="51" t="str">
        <v>中瀬 2022/06/22 (水)
平日夜間</v>
      </c>
    </row>
    <row r="1428" spans="1:7" ht="16.149999999999999" x14ac:dyDescent="0.7">
      <c r="A1428" s="49">
        <v>44705.244190231482</v>
      </c>
      <c r="B1428" s="50" t="s">
        <v>18</v>
      </c>
      <c r="C1428" s="50" t="s">
        <v>354</v>
      </c>
      <c r="D1428" s="50" t="s">
        <v>259</v>
      </c>
      <c r="E1428" s="50">
        <v>0</v>
      </c>
      <c r="F1428" s="50">
        <v>1.6856589172444369E-2</v>
      </c>
      <c r="G1428" s="51" t="str">
        <v>中瀬 2022/06/23 (木)
平日夜間</v>
      </c>
    </row>
    <row r="1429" spans="1:7" ht="16.149999999999999" x14ac:dyDescent="0.7">
      <c r="A1429" s="49">
        <v>44705.244190231482</v>
      </c>
      <c r="B1429" s="50" t="s">
        <v>18</v>
      </c>
      <c r="C1429" s="50" t="s">
        <v>355</v>
      </c>
      <c r="D1429" s="50" t="s">
        <v>259</v>
      </c>
      <c r="E1429" s="50">
        <v>0</v>
      </c>
      <c r="F1429" s="50">
        <v>0.55249485507141571</v>
      </c>
      <c r="G1429" s="51" t="str">
        <v>中瀬 2022/06/24 (金)
平日夜間</v>
      </c>
    </row>
    <row r="1430" spans="1:7" ht="16.149999999999999" x14ac:dyDescent="0.7">
      <c r="A1430" s="49">
        <v>44705.244190231482</v>
      </c>
      <c r="B1430" s="50" t="s">
        <v>18</v>
      </c>
      <c r="C1430" s="50" t="s">
        <v>356</v>
      </c>
      <c r="D1430" s="50" t="s">
        <v>261</v>
      </c>
      <c r="E1430" s="50">
        <v>-1</v>
      </c>
      <c r="F1430" s="50">
        <v>-0.47402613116617887</v>
      </c>
      <c r="G1430" s="51" t="str">
        <v>中瀬 2022/06/25 (土)
休日午後</v>
      </c>
    </row>
    <row r="1431" spans="1:7" ht="16.149999999999999" x14ac:dyDescent="0.7">
      <c r="A1431" s="49">
        <v>44705.244190231482</v>
      </c>
      <c r="B1431" s="50" t="s">
        <v>18</v>
      </c>
      <c r="C1431" s="50" t="s">
        <v>357</v>
      </c>
      <c r="D1431" s="50" t="s">
        <v>263</v>
      </c>
      <c r="E1431" s="50">
        <v>-1</v>
      </c>
      <c r="F1431" s="50">
        <v>-0.43238900954330273</v>
      </c>
      <c r="G1431" s="51" t="str">
        <v>中瀬 2022/06/25 (土)
休日午前</v>
      </c>
    </row>
    <row r="1432" spans="1:7" ht="16.149999999999999" x14ac:dyDescent="0.7">
      <c r="A1432" s="49">
        <v>44705.244190231482</v>
      </c>
      <c r="B1432" s="50" t="s">
        <v>18</v>
      </c>
      <c r="C1432" s="50" t="s">
        <v>358</v>
      </c>
      <c r="D1432" s="50" t="s">
        <v>261</v>
      </c>
      <c r="E1432" s="50">
        <v>-1</v>
      </c>
      <c r="F1432" s="50">
        <v>-0.18665502135563838</v>
      </c>
      <c r="G1432" s="51" t="str">
        <v>中瀬 2022/06/26 (日)
休日午後</v>
      </c>
    </row>
    <row r="1433" spans="1:7" ht="16.149999999999999" x14ac:dyDescent="0.7">
      <c r="A1433" s="49">
        <v>44705.244190231482</v>
      </c>
      <c r="B1433" s="50" t="s">
        <v>18</v>
      </c>
      <c r="C1433" s="50" t="s">
        <v>359</v>
      </c>
      <c r="D1433" s="50" t="s">
        <v>263</v>
      </c>
      <c r="E1433" s="50">
        <v>-1</v>
      </c>
      <c r="F1433" s="50">
        <v>-0.59662718294619177</v>
      </c>
      <c r="G1433" s="51" t="str">
        <v>中瀬 2022/06/26 (日)
休日午前</v>
      </c>
    </row>
    <row r="1434" spans="1:7" ht="16.149999999999999" x14ac:dyDescent="0.7">
      <c r="A1434" s="49">
        <v>44705.244190231482</v>
      </c>
      <c r="B1434" s="50" t="s">
        <v>18</v>
      </c>
      <c r="C1434" s="50" t="s">
        <v>360</v>
      </c>
      <c r="D1434" s="50" t="s">
        <v>259</v>
      </c>
      <c r="E1434" s="50">
        <v>0</v>
      </c>
      <c r="F1434" s="50">
        <v>0.10419531811339988</v>
      </c>
      <c r="G1434" s="51" t="str">
        <v>中瀬 2022/06/27 (月)
平日夜間</v>
      </c>
    </row>
    <row r="1435" spans="1:7" ht="16.149999999999999" x14ac:dyDescent="0.7">
      <c r="A1435" s="49">
        <v>44705.244190231482</v>
      </c>
      <c r="B1435" s="50" t="s">
        <v>18</v>
      </c>
      <c r="C1435" s="50" t="s">
        <v>361</v>
      </c>
      <c r="D1435" s="50" t="s">
        <v>259</v>
      </c>
      <c r="E1435" s="50">
        <v>0</v>
      </c>
      <c r="F1435" s="50">
        <v>0.67302482147502984</v>
      </c>
      <c r="G1435" s="51" t="str">
        <v>中瀬 2022/06/28 (火)
平日夜間</v>
      </c>
    </row>
    <row r="1436" spans="1:7" ht="16.149999999999999" x14ac:dyDescent="0.7">
      <c r="A1436" s="49">
        <v>44705.244190231482</v>
      </c>
      <c r="B1436" s="50" t="s">
        <v>18</v>
      </c>
      <c r="C1436" s="50" t="s">
        <v>362</v>
      </c>
      <c r="D1436" s="50" t="s">
        <v>259</v>
      </c>
      <c r="E1436" s="50">
        <v>0</v>
      </c>
      <c r="F1436" s="50">
        <v>0.81817667539061745</v>
      </c>
      <c r="G1436" s="51" t="str">
        <v>中瀬 2022/06/29 (水)
平日夜間</v>
      </c>
    </row>
    <row r="1437" spans="1:7" ht="16.149999999999999" x14ac:dyDescent="0.7">
      <c r="A1437" s="49">
        <v>44705.244190231482</v>
      </c>
      <c r="B1437" s="50" t="s">
        <v>18</v>
      </c>
      <c r="C1437" s="50" t="s">
        <v>363</v>
      </c>
      <c r="D1437" s="50" t="s">
        <v>259</v>
      </c>
      <c r="E1437" s="50">
        <v>0</v>
      </c>
      <c r="F1437" s="50">
        <v>0.21766379965937843</v>
      </c>
      <c r="G1437" s="51" t="str">
        <v>中瀬 2022/06/30 (木)
平日夜間</v>
      </c>
    </row>
    <row r="1438" spans="1:7" ht="16.149999999999999" x14ac:dyDescent="0.7">
      <c r="A1438" s="49">
        <v>44705.305620266205</v>
      </c>
      <c r="B1438" s="50" t="s">
        <v>59</v>
      </c>
      <c r="C1438" s="50" t="s">
        <v>326</v>
      </c>
      <c r="D1438" s="50" t="s">
        <v>259</v>
      </c>
      <c r="E1438" s="50">
        <v>-1</v>
      </c>
      <c r="F1438" s="50">
        <v>-0.55632636323555085</v>
      </c>
      <c r="G1438" s="51" t="str">
        <v>中村 2022/06/01 (水)
平日夜間</v>
      </c>
    </row>
    <row r="1439" spans="1:7" ht="16.149999999999999" x14ac:dyDescent="0.7">
      <c r="A1439" s="49">
        <v>44705.305620266205</v>
      </c>
      <c r="B1439" s="50" t="s">
        <v>59</v>
      </c>
      <c r="C1439" s="50" t="s">
        <v>327</v>
      </c>
      <c r="D1439" s="50" t="s">
        <v>259</v>
      </c>
      <c r="E1439" s="50">
        <v>-1</v>
      </c>
      <c r="F1439" s="50">
        <v>-0.88691997723471494</v>
      </c>
      <c r="G1439" s="51" t="str">
        <v>中村 2022/06/02 (木)
平日夜間</v>
      </c>
    </row>
    <row r="1440" spans="1:7" ht="16.149999999999999" x14ac:dyDescent="0.7">
      <c r="A1440" s="49">
        <v>44705.305620266205</v>
      </c>
      <c r="B1440" s="50" t="s">
        <v>59</v>
      </c>
      <c r="C1440" s="50" t="s">
        <v>328</v>
      </c>
      <c r="D1440" s="50" t="s">
        <v>259</v>
      </c>
      <c r="E1440" s="50">
        <v>-1</v>
      </c>
      <c r="F1440" s="50">
        <v>-0.10083871554333168</v>
      </c>
      <c r="G1440" s="51" t="str">
        <v>中村 2022/06/03 (金)
平日夜間</v>
      </c>
    </row>
    <row r="1441" spans="1:7" ht="16.149999999999999" x14ac:dyDescent="0.7">
      <c r="A1441" s="49">
        <v>44705.305620266205</v>
      </c>
      <c r="B1441" s="50" t="s">
        <v>59</v>
      </c>
      <c r="C1441" s="50" t="s">
        <v>329</v>
      </c>
      <c r="D1441" s="50" t="s">
        <v>261</v>
      </c>
      <c r="E1441" s="50">
        <v>0</v>
      </c>
      <c r="F1441" s="50">
        <v>0.10853102257913538</v>
      </c>
      <c r="G1441" s="51" t="str">
        <v>中村 2022/06/04 (土)
休日午後</v>
      </c>
    </row>
    <row r="1442" spans="1:7" ht="16.149999999999999" x14ac:dyDescent="0.7">
      <c r="A1442" s="49">
        <v>44705.305620266205</v>
      </c>
      <c r="B1442" s="50" t="s">
        <v>59</v>
      </c>
      <c r="C1442" s="50" t="s">
        <v>330</v>
      </c>
      <c r="D1442" s="50" t="s">
        <v>263</v>
      </c>
      <c r="E1442" s="50">
        <v>0</v>
      </c>
      <c r="F1442" s="50">
        <v>0.78780927669143219</v>
      </c>
      <c r="G1442" s="51" t="str">
        <v>中村 2022/06/04 (土)
休日午前</v>
      </c>
    </row>
    <row r="1443" spans="1:7" ht="16.149999999999999" x14ac:dyDescent="0.7">
      <c r="A1443" s="49">
        <v>44705.305620266205</v>
      </c>
      <c r="B1443" s="50" t="s">
        <v>59</v>
      </c>
      <c r="C1443" s="50" t="s">
        <v>331</v>
      </c>
      <c r="D1443" s="50" t="s">
        <v>261</v>
      </c>
      <c r="E1443" s="50">
        <v>0</v>
      </c>
      <c r="F1443" s="50">
        <v>0.938951551629299</v>
      </c>
      <c r="G1443" s="51" t="str">
        <v>中村 2022/06/05 (日)
休日午後</v>
      </c>
    </row>
    <row r="1444" spans="1:7" ht="16.149999999999999" x14ac:dyDescent="0.7">
      <c r="A1444" s="49">
        <v>44705.305620266205</v>
      </c>
      <c r="B1444" s="50" t="s">
        <v>59</v>
      </c>
      <c r="C1444" s="50" t="s">
        <v>332</v>
      </c>
      <c r="D1444" s="50" t="s">
        <v>263</v>
      </c>
      <c r="E1444" s="50">
        <v>0</v>
      </c>
      <c r="F1444" s="50">
        <v>0.58185640283327933</v>
      </c>
      <c r="G1444" s="51" t="str">
        <v>中村 2022/06/05 (日)
休日午前</v>
      </c>
    </row>
    <row r="1445" spans="1:7" ht="16.149999999999999" x14ac:dyDescent="0.7">
      <c r="A1445" s="49">
        <v>44705.305620266205</v>
      </c>
      <c r="B1445" s="50" t="s">
        <v>59</v>
      </c>
      <c r="C1445" s="50" t="s">
        <v>333</v>
      </c>
      <c r="D1445" s="50" t="s">
        <v>259</v>
      </c>
      <c r="E1445" s="50">
        <v>0</v>
      </c>
      <c r="F1445" s="50">
        <v>0.16501108491083372</v>
      </c>
      <c r="G1445" s="51" t="str">
        <v>中村 2022/06/06 (月)
平日夜間</v>
      </c>
    </row>
    <row r="1446" spans="1:7" ht="16.149999999999999" x14ac:dyDescent="0.7">
      <c r="A1446" s="49">
        <v>44705.305620266205</v>
      </c>
      <c r="B1446" s="50" t="s">
        <v>59</v>
      </c>
      <c r="C1446" s="50" t="s">
        <v>334</v>
      </c>
      <c r="D1446" s="50" t="s">
        <v>259</v>
      </c>
      <c r="E1446" s="50">
        <v>0</v>
      </c>
      <c r="F1446" s="50">
        <v>0.46422739919032097</v>
      </c>
      <c r="G1446" s="51" t="str">
        <v>中村 2022/06/07 (火)
平日夜間</v>
      </c>
    </row>
    <row r="1447" spans="1:7" ht="16.149999999999999" x14ac:dyDescent="0.7">
      <c r="A1447" s="49">
        <v>44705.305620266205</v>
      </c>
      <c r="B1447" s="50" t="s">
        <v>59</v>
      </c>
      <c r="C1447" s="50" t="s">
        <v>335</v>
      </c>
      <c r="D1447" s="50" t="s">
        <v>259</v>
      </c>
      <c r="E1447" s="50">
        <v>2</v>
      </c>
      <c r="F1447" s="50">
        <v>2.8579106960852885</v>
      </c>
      <c r="G1447" s="51" t="str">
        <v>中村 2022/06/08 (水)
平日夜間</v>
      </c>
    </row>
    <row r="1448" spans="1:7" ht="16.149999999999999" x14ac:dyDescent="0.7">
      <c r="A1448" s="49">
        <v>44705.305620266205</v>
      </c>
      <c r="B1448" s="50" t="s">
        <v>59</v>
      </c>
      <c r="C1448" s="50" t="s">
        <v>336</v>
      </c>
      <c r="D1448" s="50" t="s">
        <v>259</v>
      </c>
      <c r="E1448" s="50">
        <v>0</v>
      </c>
      <c r="F1448" s="50">
        <v>0.3749099907251805</v>
      </c>
      <c r="G1448" s="51" t="str">
        <v>中村 2022/06/09 (木)
平日夜間</v>
      </c>
    </row>
    <row r="1449" spans="1:7" ht="16.149999999999999" x14ac:dyDescent="0.7">
      <c r="A1449" s="49">
        <v>44705.305620266205</v>
      </c>
      <c r="B1449" s="50" t="s">
        <v>59</v>
      </c>
      <c r="C1449" s="50" t="s">
        <v>337</v>
      </c>
      <c r="D1449" s="50" t="s">
        <v>259</v>
      </c>
      <c r="E1449" s="50">
        <v>-1</v>
      </c>
      <c r="F1449" s="50">
        <v>-0.40852080881907016</v>
      </c>
      <c r="G1449" s="51" t="str">
        <v>中村 2022/06/10 (金)
平日夜間</v>
      </c>
    </row>
    <row r="1450" spans="1:7" ht="16.149999999999999" x14ac:dyDescent="0.7">
      <c r="A1450" s="49">
        <v>44705.305620266205</v>
      </c>
      <c r="B1450" s="50" t="s">
        <v>59</v>
      </c>
      <c r="C1450" s="50" t="s">
        <v>338</v>
      </c>
      <c r="D1450" s="50" t="s">
        <v>261</v>
      </c>
      <c r="E1450" s="50">
        <v>-1</v>
      </c>
      <c r="F1450" s="50">
        <v>-0.61688599844598224</v>
      </c>
      <c r="G1450" s="51" t="str">
        <v>中村 2022/06/11 (土)
休日午後</v>
      </c>
    </row>
    <row r="1451" spans="1:7" ht="16.149999999999999" x14ac:dyDescent="0.7">
      <c r="A1451" s="49">
        <v>44705.305620266205</v>
      </c>
      <c r="B1451" s="50" t="s">
        <v>59</v>
      </c>
      <c r="C1451" s="50" t="s">
        <v>339</v>
      </c>
      <c r="D1451" s="50" t="s">
        <v>263</v>
      </c>
      <c r="E1451" s="50">
        <v>-1</v>
      </c>
      <c r="F1451" s="50">
        <v>-0.15306114393445447</v>
      </c>
      <c r="G1451" s="51" t="str">
        <v>中村 2022/06/11 (土)
休日午前</v>
      </c>
    </row>
    <row r="1452" spans="1:7" ht="16.149999999999999" x14ac:dyDescent="0.7">
      <c r="A1452" s="49">
        <v>44705.305620266205</v>
      </c>
      <c r="B1452" s="50" t="s">
        <v>59</v>
      </c>
      <c r="C1452" s="50" t="s">
        <v>340</v>
      </c>
      <c r="D1452" s="50" t="s">
        <v>261</v>
      </c>
      <c r="E1452" s="50">
        <v>0</v>
      </c>
      <c r="F1452" s="50">
        <v>0.55646070224186905</v>
      </c>
      <c r="G1452" s="51" t="str">
        <v>中村 2022/06/12 (日)
休日午後</v>
      </c>
    </row>
    <row r="1453" spans="1:7" ht="16.149999999999999" x14ac:dyDescent="0.7">
      <c r="A1453" s="49">
        <v>44705.305620266205</v>
      </c>
      <c r="B1453" s="50" t="s">
        <v>59</v>
      </c>
      <c r="C1453" s="50" t="s">
        <v>341</v>
      </c>
      <c r="D1453" s="50" t="s">
        <v>263</v>
      </c>
      <c r="E1453" s="50">
        <v>0</v>
      </c>
      <c r="F1453" s="50">
        <v>0.36996863989975837</v>
      </c>
      <c r="G1453" s="51" t="str">
        <v>中村 2022/06/12 (日)
休日午前</v>
      </c>
    </row>
    <row r="1454" spans="1:7" ht="16.149999999999999" x14ac:dyDescent="0.7">
      <c r="A1454" s="49">
        <v>44705.305620266205</v>
      </c>
      <c r="B1454" s="50" t="s">
        <v>59</v>
      </c>
      <c r="C1454" s="50" t="s">
        <v>342</v>
      </c>
      <c r="D1454" s="50" t="s">
        <v>259</v>
      </c>
      <c r="E1454" s="50">
        <v>0</v>
      </c>
      <c r="F1454" s="50">
        <v>0.21343861817506937</v>
      </c>
      <c r="G1454" s="51" t="str">
        <v>中村 2022/06/13 (月)
平日夜間</v>
      </c>
    </row>
    <row r="1455" spans="1:7" ht="16.149999999999999" x14ac:dyDescent="0.7">
      <c r="A1455" s="49">
        <v>44705.305620266205</v>
      </c>
      <c r="B1455" s="50" t="s">
        <v>59</v>
      </c>
      <c r="C1455" s="50" t="s">
        <v>343</v>
      </c>
      <c r="D1455" s="50" t="s">
        <v>259</v>
      </c>
      <c r="E1455" s="50">
        <v>0</v>
      </c>
      <c r="F1455" s="50">
        <v>0.41666529443514411</v>
      </c>
      <c r="G1455" s="51" t="str">
        <v>中村 2022/06/14 (火)
平日夜間</v>
      </c>
    </row>
    <row r="1456" spans="1:7" ht="16.149999999999999" x14ac:dyDescent="0.7">
      <c r="A1456" s="49">
        <v>44705.305620266205</v>
      </c>
      <c r="B1456" s="50" t="s">
        <v>59</v>
      </c>
      <c r="C1456" s="50" t="s">
        <v>344</v>
      </c>
      <c r="D1456" s="50" t="s">
        <v>259</v>
      </c>
      <c r="E1456" s="50">
        <v>0</v>
      </c>
      <c r="F1456" s="50">
        <v>0.74227903878758417</v>
      </c>
      <c r="G1456" s="51" t="str">
        <v>中村 2022/06/15 (水)
平日夜間</v>
      </c>
    </row>
    <row r="1457" spans="1:7" ht="16.149999999999999" x14ac:dyDescent="0.7">
      <c r="A1457" s="49">
        <v>44705.305620266205</v>
      </c>
      <c r="B1457" s="50" t="s">
        <v>59</v>
      </c>
      <c r="C1457" s="50" t="s">
        <v>345</v>
      </c>
      <c r="D1457" s="50" t="s">
        <v>259</v>
      </c>
      <c r="E1457" s="50">
        <v>0</v>
      </c>
      <c r="F1457" s="50">
        <v>0.32945674702978844</v>
      </c>
      <c r="G1457" s="51" t="str">
        <v>中村 2022/06/16 (木)
平日夜間</v>
      </c>
    </row>
    <row r="1458" spans="1:7" ht="16.149999999999999" x14ac:dyDescent="0.7">
      <c r="A1458" s="49">
        <v>44705.305620266205</v>
      </c>
      <c r="B1458" s="50" t="s">
        <v>59</v>
      </c>
      <c r="C1458" s="50" t="s">
        <v>346</v>
      </c>
      <c r="D1458" s="50" t="s">
        <v>259</v>
      </c>
      <c r="E1458" s="50">
        <v>0</v>
      </c>
      <c r="F1458" s="50">
        <v>1.0901587479292818E-3</v>
      </c>
      <c r="G1458" s="51" t="str">
        <v>中村 2022/06/17 (金)
平日夜間</v>
      </c>
    </row>
    <row r="1459" spans="1:7" ht="16.149999999999999" x14ac:dyDescent="0.7">
      <c r="A1459" s="49">
        <v>44705.305620266205</v>
      </c>
      <c r="B1459" s="50" t="s">
        <v>59</v>
      </c>
      <c r="C1459" s="50" t="s">
        <v>347</v>
      </c>
      <c r="D1459" s="50" t="s">
        <v>261</v>
      </c>
      <c r="E1459" s="50">
        <v>-1</v>
      </c>
      <c r="F1459" s="50">
        <v>-0.70793744180565832</v>
      </c>
      <c r="G1459" s="51" t="str">
        <v>中村 2022/06/18 (土)
休日午後</v>
      </c>
    </row>
    <row r="1460" spans="1:7" ht="16.149999999999999" x14ac:dyDescent="0.7">
      <c r="A1460" s="49">
        <v>44705.305620266205</v>
      </c>
      <c r="B1460" s="50" t="s">
        <v>59</v>
      </c>
      <c r="C1460" s="50" t="s">
        <v>348</v>
      </c>
      <c r="D1460" s="50" t="s">
        <v>263</v>
      </c>
      <c r="E1460" s="50">
        <v>-1</v>
      </c>
      <c r="F1460" s="50">
        <v>-0.97885557195396822</v>
      </c>
      <c r="G1460" s="51" t="str">
        <v>中村 2022/06/18 (土)
休日午前</v>
      </c>
    </row>
    <row r="1461" spans="1:7" ht="16.149999999999999" x14ac:dyDescent="0.7">
      <c r="A1461" s="49">
        <v>44705.305620266205</v>
      </c>
      <c r="B1461" s="50" t="s">
        <v>59</v>
      </c>
      <c r="C1461" s="50" t="s">
        <v>349</v>
      </c>
      <c r="D1461" s="50" t="s">
        <v>261</v>
      </c>
      <c r="E1461" s="50">
        <v>0</v>
      </c>
      <c r="F1461" s="50">
        <v>0.61881185163108565</v>
      </c>
      <c r="G1461" s="51" t="str">
        <v>中村 2022/06/19 (日)
休日午後</v>
      </c>
    </row>
    <row r="1462" spans="1:7" ht="16.149999999999999" x14ac:dyDescent="0.7">
      <c r="A1462" s="49">
        <v>44705.305620266205</v>
      </c>
      <c r="B1462" s="50" t="s">
        <v>59</v>
      </c>
      <c r="C1462" s="50" t="s">
        <v>350</v>
      </c>
      <c r="D1462" s="50" t="s">
        <v>263</v>
      </c>
      <c r="E1462" s="50">
        <v>0</v>
      </c>
      <c r="F1462" s="50">
        <v>0.84470159913211385</v>
      </c>
      <c r="G1462" s="51" t="str">
        <v>中村 2022/06/19 (日)
休日午前</v>
      </c>
    </row>
    <row r="1463" spans="1:7" ht="16.149999999999999" x14ac:dyDescent="0.7">
      <c r="A1463" s="49">
        <v>44705.305620266205</v>
      </c>
      <c r="B1463" s="50" t="s">
        <v>59</v>
      </c>
      <c r="C1463" s="50" t="s">
        <v>351</v>
      </c>
      <c r="D1463" s="50" t="s">
        <v>259</v>
      </c>
      <c r="E1463" s="50">
        <v>0</v>
      </c>
      <c r="F1463" s="50">
        <v>0.45028927413319986</v>
      </c>
      <c r="G1463" s="51" t="str">
        <v>中村 2022/06/20 (月)
平日夜間</v>
      </c>
    </row>
    <row r="1464" spans="1:7" ht="16.149999999999999" x14ac:dyDescent="0.7">
      <c r="A1464" s="49">
        <v>44705.305620266205</v>
      </c>
      <c r="B1464" s="50" t="s">
        <v>59</v>
      </c>
      <c r="C1464" s="50" t="s">
        <v>352</v>
      </c>
      <c r="D1464" s="50" t="s">
        <v>259</v>
      </c>
      <c r="E1464" s="50">
        <v>0</v>
      </c>
      <c r="F1464" s="50">
        <v>0.46419997325919682</v>
      </c>
      <c r="G1464" s="51" t="str">
        <v>中村 2022/06/21 (火)
平日夜間</v>
      </c>
    </row>
    <row r="1465" spans="1:7" ht="16.149999999999999" x14ac:dyDescent="0.7">
      <c r="A1465" s="49">
        <v>44705.305620266205</v>
      </c>
      <c r="B1465" s="50" t="s">
        <v>59</v>
      </c>
      <c r="C1465" s="50" t="s">
        <v>353</v>
      </c>
      <c r="D1465" s="50" t="s">
        <v>259</v>
      </c>
      <c r="E1465" s="50">
        <v>0</v>
      </c>
      <c r="F1465" s="50">
        <v>0.81208763013839369</v>
      </c>
      <c r="G1465" s="51" t="str">
        <v>中村 2022/06/22 (水)
平日夜間</v>
      </c>
    </row>
    <row r="1466" spans="1:7" ht="16.149999999999999" x14ac:dyDescent="0.7">
      <c r="A1466" s="49">
        <v>44705.305620266205</v>
      </c>
      <c r="B1466" s="50" t="s">
        <v>59</v>
      </c>
      <c r="C1466" s="50" t="s">
        <v>354</v>
      </c>
      <c r="D1466" s="50" t="s">
        <v>259</v>
      </c>
      <c r="E1466" s="50">
        <v>0</v>
      </c>
      <c r="F1466" s="50">
        <v>0.78039640140449462</v>
      </c>
      <c r="G1466" s="51" t="str">
        <v>中村 2022/06/23 (木)
平日夜間</v>
      </c>
    </row>
    <row r="1467" spans="1:7" ht="16.149999999999999" x14ac:dyDescent="0.7">
      <c r="A1467" s="49">
        <v>44705.305620266205</v>
      </c>
      <c r="B1467" s="50" t="s">
        <v>59</v>
      </c>
      <c r="C1467" s="50" t="s">
        <v>355</v>
      </c>
      <c r="D1467" s="50" t="s">
        <v>259</v>
      </c>
      <c r="E1467" s="50">
        <v>0</v>
      </c>
      <c r="F1467" s="50">
        <v>0.89935838341019236</v>
      </c>
      <c r="G1467" s="51" t="str">
        <v>中村 2022/06/24 (金)
平日夜間</v>
      </c>
    </row>
    <row r="1468" spans="1:7" ht="16.149999999999999" x14ac:dyDescent="0.7">
      <c r="A1468" s="49">
        <v>44705.305620266205</v>
      </c>
      <c r="B1468" s="50" t="s">
        <v>59</v>
      </c>
      <c r="C1468" s="50" t="s">
        <v>356</v>
      </c>
      <c r="D1468" s="50" t="s">
        <v>261</v>
      </c>
      <c r="E1468" s="50">
        <v>0</v>
      </c>
      <c r="F1468" s="50">
        <v>0.84681785832985845</v>
      </c>
      <c r="G1468" s="51" t="str">
        <v>中村 2022/06/25 (土)
休日午後</v>
      </c>
    </row>
    <row r="1469" spans="1:7" ht="16.149999999999999" x14ac:dyDescent="0.7">
      <c r="A1469" s="49">
        <v>44705.305620266205</v>
      </c>
      <c r="B1469" s="50" t="s">
        <v>59</v>
      </c>
      <c r="C1469" s="50" t="s">
        <v>357</v>
      </c>
      <c r="D1469" s="50" t="s">
        <v>263</v>
      </c>
      <c r="E1469" s="50">
        <v>0</v>
      </c>
      <c r="F1469" s="50">
        <v>0.19305766401610747</v>
      </c>
      <c r="G1469" s="51" t="str">
        <v>中村 2022/06/25 (土)
休日午前</v>
      </c>
    </row>
    <row r="1470" spans="1:7" ht="16.149999999999999" x14ac:dyDescent="0.7">
      <c r="A1470" s="49">
        <v>44705.305620266205</v>
      </c>
      <c r="B1470" s="50" t="s">
        <v>59</v>
      </c>
      <c r="C1470" s="50" t="s">
        <v>358</v>
      </c>
      <c r="D1470" s="50" t="s">
        <v>261</v>
      </c>
      <c r="E1470" s="50">
        <v>0</v>
      </c>
      <c r="F1470" s="50">
        <v>0.98229835468068738</v>
      </c>
      <c r="G1470" s="51" t="str">
        <v>中村 2022/06/26 (日)
休日午後</v>
      </c>
    </row>
    <row r="1471" spans="1:7" ht="16.149999999999999" x14ac:dyDescent="0.7">
      <c r="A1471" s="49">
        <v>44705.305620266205</v>
      </c>
      <c r="B1471" s="50" t="s">
        <v>59</v>
      </c>
      <c r="C1471" s="50" t="s">
        <v>359</v>
      </c>
      <c r="D1471" s="50" t="s">
        <v>263</v>
      </c>
      <c r="E1471" s="50">
        <v>0</v>
      </c>
      <c r="F1471" s="50">
        <v>0.95942188623653291</v>
      </c>
      <c r="G1471" s="51" t="str">
        <v>中村 2022/06/26 (日)
休日午前</v>
      </c>
    </row>
    <row r="1472" spans="1:7" ht="16.149999999999999" x14ac:dyDescent="0.7">
      <c r="A1472" s="49">
        <v>44705.305620266205</v>
      </c>
      <c r="B1472" s="50" t="s">
        <v>59</v>
      </c>
      <c r="C1472" s="50" t="s">
        <v>360</v>
      </c>
      <c r="D1472" s="50" t="s">
        <v>259</v>
      </c>
      <c r="E1472" s="50">
        <v>0</v>
      </c>
      <c r="F1472" s="50">
        <v>5.1665784708723406E-2</v>
      </c>
      <c r="G1472" s="51" t="str">
        <v>中村 2022/06/27 (月)
平日夜間</v>
      </c>
    </row>
    <row r="1473" spans="1:7" ht="16.149999999999999" x14ac:dyDescent="0.7">
      <c r="A1473" s="49">
        <v>44705.305620266205</v>
      </c>
      <c r="B1473" s="50" t="s">
        <v>59</v>
      </c>
      <c r="C1473" s="50" t="s">
        <v>361</v>
      </c>
      <c r="D1473" s="50" t="s">
        <v>259</v>
      </c>
      <c r="E1473" s="50">
        <v>0</v>
      </c>
      <c r="F1473" s="50">
        <v>0.12666128116458086</v>
      </c>
      <c r="G1473" s="51" t="str">
        <v>中村 2022/06/28 (火)
平日夜間</v>
      </c>
    </row>
    <row r="1474" spans="1:7" ht="16.149999999999999" x14ac:dyDescent="0.7">
      <c r="A1474" s="49">
        <v>44705.305620266205</v>
      </c>
      <c r="B1474" s="50" t="s">
        <v>59</v>
      </c>
      <c r="C1474" s="50" t="s">
        <v>362</v>
      </c>
      <c r="D1474" s="50" t="s">
        <v>259</v>
      </c>
      <c r="E1474" s="50">
        <v>0</v>
      </c>
      <c r="F1474" s="50">
        <v>0.51095052789712492</v>
      </c>
      <c r="G1474" s="51" t="str">
        <v>中村 2022/06/29 (水)
平日夜間</v>
      </c>
    </row>
    <row r="1475" spans="1:7" ht="16.149999999999999" x14ac:dyDescent="0.7">
      <c r="A1475" s="49">
        <v>44705.305620266205</v>
      </c>
      <c r="B1475" s="50" t="s">
        <v>59</v>
      </c>
      <c r="C1475" s="50" t="s">
        <v>363</v>
      </c>
      <c r="D1475" s="50" t="s">
        <v>259</v>
      </c>
      <c r="E1475" s="50">
        <v>0</v>
      </c>
      <c r="F1475" s="50">
        <v>0.77442269254556551</v>
      </c>
      <c r="G1475" s="51" t="str">
        <v>中村 2022/06/30 (木)
平日夜間</v>
      </c>
    </row>
    <row r="1476" spans="1:7" ht="16.149999999999999" x14ac:dyDescent="0.7">
      <c r="A1476" s="49">
        <v>44705.436751250003</v>
      </c>
      <c r="B1476" s="50" t="s">
        <v>31</v>
      </c>
      <c r="C1476" s="50" t="s">
        <v>326</v>
      </c>
      <c r="D1476" s="50" t="s">
        <v>259</v>
      </c>
      <c r="E1476" s="50">
        <v>-1</v>
      </c>
      <c r="F1476" s="50">
        <v>-0.2337145108429064</v>
      </c>
      <c r="G1476" s="51" t="str">
        <v>湯川 2022/06/01 (水)
平日夜間</v>
      </c>
    </row>
    <row r="1477" spans="1:7" ht="16.149999999999999" x14ac:dyDescent="0.7">
      <c r="A1477" s="49">
        <v>44705.436751250003</v>
      </c>
      <c r="B1477" s="50" t="s">
        <v>31</v>
      </c>
      <c r="C1477" s="50" t="s">
        <v>327</v>
      </c>
      <c r="D1477" s="50" t="s">
        <v>259</v>
      </c>
      <c r="E1477" s="50">
        <v>-1</v>
      </c>
      <c r="F1477" s="50">
        <v>-0.3670811443301647</v>
      </c>
      <c r="G1477" s="51" t="str">
        <v>湯川 2022/06/02 (木)
平日夜間</v>
      </c>
    </row>
    <row r="1478" spans="1:7" ht="16.149999999999999" x14ac:dyDescent="0.7">
      <c r="A1478" s="49">
        <v>44705.436751250003</v>
      </c>
      <c r="B1478" s="50" t="s">
        <v>31</v>
      </c>
      <c r="C1478" s="50" t="s">
        <v>328</v>
      </c>
      <c r="D1478" s="50" t="s">
        <v>259</v>
      </c>
      <c r="E1478" s="50">
        <v>-1</v>
      </c>
      <c r="F1478" s="50">
        <v>-4.3484453080433472E-3</v>
      </c>
      <c r="G1478" s="51" t="str">
        <v>湯川 2022/06/03 (金)
平日夜間</v>
      </c>
    </row>
    <row r="1479" spans="1:7" ht="16.149999999999999" x14ac:dyDescent="0.7">
      <c r="A1479" s="49">
        <v>44705.436751250003</v>
      </c>
      <c r="B1479" s="50" t="s">
        <v>31</v>
      </c>
      <c r="C1479" s="50" t="s">
        <v>329</v>
      </c>
      <c r="D1479" s="50" t="s">
        <v>261</v>
      </c>
      <c r="E1479" s="50">
        <v>-1</v>
      </c>
      <c r="F1479" s="50">
        <v>-0.52213311183745104</v>
      </c>
      <c r="G1479" s="51" t="str">
        <v>湯川 2022/06/04 (土)
休日午後</v>
      </c>
    </row>
    <row r="1480" spans="1:7" ht="16.149999999999999" x14ac:dyDescent="0.7">
      <c r="A1480" s="49">
        <v>44705.436751250003</v>
      </c>
      <c r="B1480" s="50" t="s">
        <v>31</v>
      </c>
      <c r="C1480" s="50" t="s">
        <v>330</v>
      </c>
      <c r="D1480" s="50" t="s">
        <v>263</v>
      </c>
      <c r="E1480" s="50">
        <v>0</v>
      </c>
      <c r="F1480" s="50">
        <v>0.51772556846204454</v>
      </c>
      <c r="G1480" s="51" t="str">
        <v>湯川 2022/06/04 (土)
休日午前</v>
      </c>
    </row>
    <row r="1481" spans="1:7" ht="16.149999999999999" x14ac:dyDescent="0.7">
      <c r="A1481" s="49">
        <v>44705.436751250003</v>
      </c>
      <c r="B1481" s="50" t="s">
        <v>31</v>
      </c>
      <c r="C1481" s="50" t="s">
        <v>331</v>
      </c>
      <c r="D1481" s="50" t="s">
        <v>261</v>
      </c>
      <c r="E1481" s="50">
        <v>-1</v>
      </c>
      <c r="F1481" s="50">
        <v>-0.32607757791239611</v>
      </c>
      <c r="G1481" s="51" t="str">
        <v>湯川 2022/06/05 (日)
休日午後</v>
      </c>
    </row>
    <row r="1482" spans="1:7" ht="16.149999999999999" x14ac:dyDescent="0.7">
      <c r="A1482" s="49">
        <v>44705.436751250003</v>
      </c>
      <c r="B1482" s="50" t="s">
        <v>31</v>
      </c>
      <c r="C1482" s="50" t="s">
        <v>332</v>
      </c>
      <c r="D1482" s="50" t="s">
        <v>263</v>
      </c>
      <c r="E1482" s="50">
        <v>-1</v>
      </c>
      <c r="F1482" s="50">
        <v>-0.17323098448917595</v>
      </c>
      <c r="G1482" s="51" t="str">
        <v>湯川 2022/06/05 (日)
休日午前</v>
      </c>
    </row>
    <row r="1483" spans="1:7" ht="16.149999999999999" x14ac:dyDescent="0.7">
      <c r="A1483" s="49">
        <v>44705.436751250003</v>
      </c>
      <c r="B1483" s="50" t="s">
        <v>31</v>
      </c>
      <c r="C1483" s="50" t="s">
        <v>333</v>
      </c>
      <c r="D1483" s="50" t="s">
        <v>259</v>
      </c>
      <c r="E1483" s="50">
        <v>0</v>
      </c>
      <c r="F1483" s="50">
        <v>0.11411862172794796</v>
      </c>
      <c r="G1483" s="51" t="str">
        <v>湯川 2022/06/06 (月)
平日夜間</v>
      </c>
    </row>
    <row r="1484" spans="1:7" ht="16.149999999999999" x14ac:dyDescent="0.7">
      <c r="A1484" s="49">
        <v>44705.436751250003</v>
      </c>
      <c r="B1484" s="50" t="s">
        <v>31</v>
      </c>
      <c r="C1484" s="50" t="s">
        <v>334</v>
      </c>
      <c r="D1484" s="50" t="s">
        <v>259</v>
      </c>
      <c r="E1484" s="50">
        <v>0</v>
      </c>
      <c r="F1484" s="50">
        <v>0.32903252800303906</v>
      </c>
      <c r="G1484" s="51" t="str">
        <v>湯川 2022/06/07 (火)
平日夜間</v>
      </c>
    </row>
    <row r="1485" spans="1:7" ht="16.149999999999999" x14ac:dyDescent="0.7">
      <c r="A1485" s="49">
        <v>44705.436751250003</v>
      </c>
      <c r="B1485" s="50" t="s">
        <v>31</v>
      </c>
      <c r="C1485" s="50" t="s">
        <v>335</v>
      </c>
      <c r="D1485" s="50" t="s">
        <v>259</v>
      </c>
      <c r="E1485" s="50">
        <v>-1</v>
      </c>
      <c r="F1485" s="50">
        <v>-1.399556295754012E-2</v>
      </c>
      <c r="G1485" s="51" t="str">
        <v>湯川 2022/06/08 (水)
平日夜間</v>
      </c>
    </row>
    <row r="1486" spans="1:7" ht="16.149999999999999" x14ac:dyDescent="0.7">
      <c r="A1486" s="49">
        <v>44705.436751250003</v>
      </c>
      <c r="B1486" s="50" t="s">
        <v>31</v>
      </c>
      <c r="C1486" s="50" t="s">
        <v>336</v>
      </c>
      <c r="D1486" s="50" t="s">
        <v>259</v>
      </c>
      <c r="E1486" s="50">
        <v>1</v>
      </c>
      <c r="F1486" s="50">
        <v>1.2095648785906372</v>
      </c>
      <c r="G1486" s="51" t="str">
        <v>湯川 2022/06/09 (木)
平日夜間</v>
      </c>
    </row>
    <row r="1487" spans="1:7" ht="16.149999999999999" x14ac:dyDescent="0.7">
      <c r="A1487" s="49">
        <v>44705.436751250003</v>
      </c>
      <c r="B1487" s="50" t="s">
        <v>31</v>
      </c>
      <c r="C1487" s="50" t="s">
        <v>337</v>
      </c>
      <c r="D1487" s="50" t="s">
        <v>259</v>
      </c>
      <c r="E1487" s="50">
        <v>0</v>
      </c>
      <c r="F1487" s="50">
        <v>0.85154450693963635</v>
      </c>
      <c r="G1487" s="51" t="str">
        <v>湯川 2022/06/10 (金)
平日夜間</v>
      </c>
    </row>
    <row r="1488" spans="1:7" ht="16.149999999999999" x14ac:dyDescent="0.7">
      <c r="A1488" s="49">
        <v>44705.436751250003</v>
      </c>
      <c r="B1488" s="50" t="s">
        <v>31</v>
      </c>
      <c r="C1488" s="50" t="s">
        <v>338</v>
      </c>
      <c r="D1488" s="50" t="s">
        <v>261</v>
      </c>
      <c r="E1488" s="50">
        <v>0</v>
      </c>
      <c r="F1488" s="50">
        <v>0.9488597932087397</v>
      </c>
      <c r="G1488" s="51" t="str">
        <v>湯川 2022/06/11 (土)
休日午後</v>
      </c>
    </row>
    <row r="1489" spans="1:7" ht="16.149999999999999" x14ac:dyDescent="0.7">
      <c r="A1489" s="49">
        <v>44705.436751250003</v>
      </c>
      <c r="B1489" s="50" t="s">
        <v>31</v>
      </c>
      <c r="C1489" s="50" t="s">
        <v>339</v>
      </c>
      <c r="D1489" s="50" t="s">
        <v>263</v>
      </c>
      <c r="E1489" s="50">
        <v>0</v>
      </c>
      <c r="F1489" s="50">
        <v>0.94237793861067032</v>
      </c>
      <c r="G1489" s="51" t="str">
        <v>湯川 2022/06/11 (土)
休日午前</v>
      </c>
    </row>
    <row r="1490" spans="1:7" ht="16.149999999999999" x14ac:dyDescent="0.7">
      <c r="A1490" s="49">
        <v>44705.436751250003</v>
      </c>
      <c r="B1490" s="50" t="s">
        <v>31</v>
      </c>
      <c r="C1490" s="50" t="s">
        <v>340</v>
      </c>
      <c r="D1490" s="50" t="s">
        <v>261</v>
      </c>
      <c r="E1490" s="50">
        <v>0</v>
      </c>
      <c r="F1490" s="50">
        <v>0.92237042992403273</v>
      </c>
      <c r="G1490" s="51" t="str">
        <v>湯川 2022/06/12 (日)
休日午後</v>
      </c>
    </row>
    <row r="1491" spans="1:7" ht="16.149999999999999" x14ac:dyDescent="0.7">
      <c r="A1491" s="49">
        <v>44705.436751250003</v>
      </c>
      <c r="B1491" s="50" t="s">
        <v>31</v>
      </c>
      <c r="C1491" s="50" t="s">
        <v>341</v>
      </c>
      <c r="D1491" s="50" t="s">
        <v>263</v>
      </c>
      <c r="E1491" s="50">
        <v>0</v>
      </c>
      <c r="F1491" s="50">
        <v>0.91163824997563503</v>
      </c>
      <c r="G1491" s="51" t="str">
        <v>湯川 2022/06/12 (日)
休日午前</v>
      </c>
    </row>
    <row r="1492" spans="1:7" ht="16.149999999999999" x14ac:dyDescent="0.7">
      <c r="A1492" s="49">
        <v>44705.436751250003</v>
      </c>
      <c r="B1492" s="50" t="s">
        <v>31</v>
      </c>
      <c r="C1492" s="50" t="s">
        <v>342</v>
      </c>
      <c r="D1492" s="50" t="s">
        <v>259</v>
      </c>
      <c r="E1492" s="50">
        <v>0</v>
      </c>
      <c r="F1492" s="50">
        <v>0.89541016541070473</v>
      </c>
      <c r="G1492" s="51" t="str">
        <v>湯川 2022/06/13 (月)
平日夜間</v>
      </c>
    </row>
    <row r="1493" spans="1:7" ht="16.149999999999999" x14ac:dyDescent="0.7">
      <c r="A1493" s="49">
        <v>44705.436751250003</v>
      </c>
      <c r="B1493" s="50" t="s">
        <v>31</v>
      </c>
      <c r="C1493" s="50" t="s">
        <v>343</v>
      </c>
      <c r="D1493" s="50" t="s">
        <v>259</v>
      </c>
      <c r="E1493" s="50">
        <v>0</v>
      </c>
      <c r="F1493" s="50">
        <v>7.8087819224454735E-2</v>
      </c>
      <c r="G1493" s="51" t="str">
        <v>湯川 2022/06/14 (火)
平日夜間</v>
      </c>
    </row>
    <row r="1494" spans="1:7" ht="16.149999999999999" x14ac:dyDescent="0.7">
      <c r="A1494" s="49">
        <v>44705.436751250003</v>
      </c>
      <c r="B1494" s="50" t="s">
        <v>31</v>
      </c>
      <c r="C1494" s="50" t="s">
        <v>344</v>
      </c>
      <c r="D1494" s="50" t="s">
        <v>259</v>
      </c>
      <c r="E1494" s="50">
        <v>0</v>
      </c>
      <c r="F1494" s="50">
        <v>0.14381680734617808</v>
      </c>
      <c r="G1494" s="51" t="str">
        <v>湯川 2022/06/15 (水)
平日夜間</v>
      </c>
    </row>
    <row r="1495" spans="1:7" ht="16.149999999999999" x14ac:dyDescent="0.7">
      <c r="A1495" s="49">
        <v>44705.436751250003</v>
      </c>
      <c r="B1495" s="50" t="s">
        <v>31</v>
      </c>
      <c r="C1495" s="50" t="s">
        <v>345</v>
      </c>
      <c r="D1495" s="50" t="s">
        <v>259</v>
      </c>
      <c r="E1495" s="50">
        <v>0</v>
      </c>
      <c r="F1495" s="50">
        <v>0.96311411337594799</v>
      </c>
      <c r="G1495" s="51" t="str">
        <v>湯川 2022/06/16 (木)
平日夜間</v>
      </c>
    </row>
    <row r="1496" spans="1:7" ht="16.149999999999999" x14ac:dyDescent="0.7">
      <c r="A1496" s="49">
        <v>44705.436751250003</v>
      </c>
      <c r="B1496" s="50" t="s">
        <v>31</v>
      </c>
      <c r="C1496" s="50" t="s">
        <v>346</v>
      </c>
      <c r="D1496" s="50" t="s">
        <v>259</v>
      </c>
      <c r="E1496" s="50">
        <v>0</v>
      </c>
      <c r="F1496" s="50">
        <v>0.91525867212025425</v>
      </c>
      <c r="G1496" s="51" t="str">
        <v>湯川 2022/06/17 (金)
平日夜間</v>
      </c>
    </row>
    <row r="1497" spans="1:7" ht="16.149999999999999" x14ac:dyDescent="0.7">
      <c r="A1497" s="49">
        <v>44705.436751250003</v>
      </c>
      <c r="B1497" s="50" t="s">
        <v>31</v>
      </c>
      <c r="C1497" s="50" t="s">
        <v>347</v>
      </c>
      <c r="D1497" s="50" t="s">
        <v>261</v>
      </c>
      <c r="E1497" s="50">
        <v>0</v>
      </c>
      <c r="F1497" s="50">
        <v>0.85943566973068419</v>
      </c>
      <c r="G1497" s="51" t="str">
        <v>湯川 2022/06/18 (土)
休日午後</v>
      </c>
    </row>
    <row r="1498" spans="1:7" ht="16.149999999999999" x14ac:dyDescent="0.7">
      <c r="A1498" s="49">
        <v>44705.436751250003</v>
      </c>
      <c r="B1498" s="50" t="s">
        <v>31</v>
      </c>
      <c r="C1498" s="50" t="s">
        <v>348</v>
      </c>
      <c r="D1498" s="50" t="s">
        <v>263</v>
      </c>
      <c r="E1498" s="50">
        <v>0</v>
      </c>
      <c r="F1498" s="50">
        <v>0.84784981878397137</v>
      </c>
      <c r="G1498" s="51" t="str">
        <v>湯川 2022/06/18 (土)
休日午前</v>
      </c>
    </row>
    <row r="1499" spans="1:7" ht="16.149999999999999" x14ac:dyDescent="0.7">
      <c r="A1499" s="49">
        <v>44705.436751250003</v>
      </c>
      <c r="B1499" s="50" t="s">
        <v>31</v>
      </c>
      <c r="C1499" s="50" t="s">
        <v>349</v>
      </c>
      <c r="D1499" s="50" t="s">
        <v>261</v>
      </c>
      <c r="E1499" s="50">
        <v>0</v>
      </c>
      <c r="F1499" s="50">
        <v>0.5103541363884383</v>
      </c>
      <c r="G1499" s="51" t="str">
        <v>湯川 2022/06/19 (日)
休日午後</v>
      </c>
    </row>
    <row r="1500" spans="1:7" ht="16.149999999999999" x14ac:dyDescent="0.7">
      <c r="A1500" s="49">
        <v>44705.436751250003</v>
      </c>
      <c r="B1500" s="50" t="s">
        <v>31</v>
      </c>
      <c r="C1500" s="50" t="s">
        <v>350</v>
      </c>
      <c r="D1500" s="50" t="s">
        <v>263</v>
      </c>
      <c r="E1500" s="50">
        <v>0</v>
      </c>
      <c r="F1500" s="50">
        <v>0.57885892002251005</v>
      </c>
      <c r="G1500" s="51" t="str">
        <v>湯川 2022/06/19 (日)
休日午前</v>
      </c>
    </row>
    <row r="1501" spans="1:7" ht="16.149999999999999" x14ac:dyDescent="0.7">
      <c r="A1501" s="49">
        <v>44705.436751250003</v>
      </c>
      <c r="B1501" s="50" t="s">
        <v>31</v>
      </c>
      <c r="C1501" s="50" t="s">
        <v>351</v>
      </c>
      <c r="D1501" s="50" t="s">
        <v>259</v>
      </c>
      <c r="E1501" s="50">
        <v>0</v>
      </c>
      <c r="F1501" s="50">
        <v>0.24777593182941993</v>
      </c>
      <c r="G1501" s="51" t="str">
        <v>湯川 2022/06/20 (月)
平日夜間</v>
      </c>
    </row>
    <row r="1502" spans="1:7" ht="16.149999999999999" x14ac:dyDescent="0.7">
      <c r="A1502" s="49">
        <v>44705.436751250003</v>
      </c>
      <c r="B1502" s="50" t="s">
        <v>31</v>
      </c>
      <c r="C1502" s="50" t="s">
        <v>352</v>
      </c>
      <c r="D1502" s="50" t="s">
        <v>259</v>
      </c>
      <c r="E1502" s="50">
        <v>0</v>
      </c>
      <c r="F1502" s="50">
        <v>4.8463188870103702E-2</v>
      </c>
      <c r="G1502" s="51" t="str">
        <v>湯川 2022/06/21 (火)
平日夜間</v>
      </c>
    </row>
    <row r="1503" spans="1:7" ht="16.149999999999999" x14ac:dyDescent="0.7">
      <c r="A1503" s="49">
        <v>44705.436751250003</v>
      </c>
      <c r="B1503" s="50" t="s">
        <v>31</v>
      </c>
      <c r="C1503" s="50" t="s">
        <v>353</v>
      </c>
      <c r="D1503" s="50" t="s">
        <v>259</v>
      </c>
      <c r="E1503" s="50">
        <v>0</v>
      </c>
      <c r="F1503" s="50">
        <v>0.79559361593094913</v>
      </c>
      <c r="G1503" s="51" t="str">
        <v>湯川 2022/06/22 (水)
平日夜間</v>
      </c>
    </row>
    <row r="1504" spans="1:7" ht="16.149999999999999" x14ac:dyDescent="0.7">
      <c r="A1504" s="49">
        <v>44705.436751250003</v>
      </c>
      <c r="B1504" s="50" t="s">
        <v>31</v>
      </c>
      <c r="C1504" s="50" t="s">
        <v>354</v>
      </c>
      <c r="D1504" s="50" t="s">
        <v>259</v>
      </c>
      <c r="E1504" s="50">
        <v>0</v>
      </c>
      <c r="F1504" s="50">
        <v>0.90132428774315798</v>
      </c>
      <c r="G1504" s="51" t="str">
        <v>湯川 2022/06/23 (木)
平日夜間</v>
      </c>
    </row>
    <row r="1505" spans="1:7" ht="16.149999999999999" x14ac:dyDescent="0.7">
      <c r="A1505" s="49">
        <v>44705.436751250003</v>
      </c>
      <c r="B1505" s="50" t="s">
        <v>31</v>
      </c>
      <c r="C1505" s="50" t="s">
        <v>355</v>
      </c>
      <c r="D1505" s="50" t="s">
        <v>259</v>
      </c>
      <c r="E1505" s="50">
        <v>0</v>
      </c>
      <c r="F1505" s="50">
        <v>0.85790550269043497</v>
      </c>
      <c r="G1505" s="51" t="str">
        <v>湯川 2022/06/24 (金)
平日夜間</v>
      </c>
    </row>
    <row r="1506" spans="1:7" ht="16.149999999999999" x14ac:dyDescent="0.7">
      <c r="A1506" s="49">
        <v>44705.436751250003</v>
      </c>
      <c r="B1506" s="50" t="s">
        <v>31</v>
      </c>
      <c r="C1506" s="50" t="s">
        <v>356</v>
      </c>
      <c r="D1506" s="50" t="s">
        <v>261</v>
      </c>
      <c r="E1506" s="50">
        <v>0</v>
      </c>
      <c r="F1506" s="50">
        <v>5.6627935295875842E-2</v>
      </c>
      <c r="G1506" s="51" t="str">
        <v>湯川 2022/06/25 (土)
休日午後</v>
      </c>
    </row>
    <row r="1507" spans="1:7" ht="16.149999999999999" x14ac:dyDescent="0.7">
      <c r="A1507" s="49">
        <v>44705.436751250003</v>
      </c>
      <c r="B1507" s="50" t="s">
        <v>31</v>
      </c>
      <c r="C1507" s="50" t="s">
        <v>357</v>
      </c>
      <c r="D1507" s="50" t="s">
        <v>263</v>
      </c>
      <c r="E1507" s="50">
        <v>0</v>
      </c>
      <c r="F1507" s="50">
        <v>0.34743850204385573</v>
      </c>
      <c r="G1507" s="51" t="str">
        <v>湯川 2022/06/25 (土)
休日午前</v>
      </c>
    </row>
    <row r="1508" spans="1:7" ht="16.149999999999999" x14ac:dyDescent="0.7">
      <c r="A1508" s="49">
        <v>44705.436751250003</v>
      </c>
      <c r="B1508" s="50" t="s">
        <v>31</v>
      </c>
      <c r="C1508" s="50" t="s">
        <v>358</v>
      </c>
      <c r="D1508" s="50" t="s">
        <v>261</v>
      </c>
      <c r="E1508" s="50">
        <v>0</v>
      </c>
      <c r="F1508" s="50">
        <v>0.98469732332904658</v>
      </c>
      <c r="G1508" s="51" t="str">
        <v>湯川 2022/06/26 (日)
休日午後</v>
      </c>
    </row>
    <row r="1509" spans="1:7" ht="16.149999999999999" x14ac:dyDescent="0.7">
      <c r="A1509" s="49">
        <v>44705.436751250003</v>
      </c>
      <c r="B1509" s="50" t="s">
        <v>31</v>
      </c>
      <c r="C1509" s="50" t="s">
        <v>359</v>
      </c>
      <c r="D1509" s="50" t="s">
        <v>263</v>
      </c>
      <c r="E1509" s="50">
        <v>0</v>
      </c>
      <c r="F1509" s="50">
        <v>0.16598886108934896</v>
      </c>
      <c r="G1509" s="51" t="str">
        <v>湯川 2022/06/26 (日)
休日午前</v>
      </c>
    </row>
    <row r="1510" spans="1:7" ht="16.149999999999999" x14ac:dyDescent="0.7">
      <c r="A1510" s="49">
        <v>44705.436751250003</v>
      </c>
      <c r="B1510" s="50" t="s">
        <v>31</v>
      </c>
      <c r="C1510" s="50" t="s">
        <v>360</v>
      </c>
      <c r="D1510" s="50" t="s">
        <v>259</v>
      </c>
      <c r="E1510" s="50">
        <v>0</v>
      </c>
      <c r="F1510" s="50">
        <v>0.48191674668793705</v>
      </c>
      <c r="G1510" s="51" t="str">
        <v>湯川 2022/06/27 (月)
平日夜間</v>
      </c>
    </row>
    <row r="1511" spans="1:7" ht="16.149999999999999" x14ac:dyDescent="0.7">
      <c r="A1511" s="49">
        <v>44705.436751250003</v>
      </c>
      <c r="B1511" s="50" t="s">
        <v>31</v>
      </c>
      <c r="C1511" s="50" t="s">
        <v>361</v>
      </c>
      <c r="D1511" s="50" t="s">
        <v>259</v>
      </c>
      <c r="E1511" s="50">
        <v>-1</v>
      </c>
      <c r="F1511" s="50">
        <v>-4.9865310793850037E-2</v>
      </c>
      <c r="G1511" s="51" t="str">
        <v>湯川 2022/06/28 (火)
平日夜間</v>
      </c>
    </row>
    <row r="1512" spans="1:7" ht="16.149999999999999" x14ac:dyDescent="0.7">
      <c r="A1512" s="49">
        <v>44705.436751250003</v>
      </c>
      <c r="B1512" s="50" t="s">
        <v>31</v>
      </c>
      <c r="C1512" s="50" t="s">
        <v>362</v>
      </c>
      <c r="D1512" s="50" t="s">
        <v>259</v>
      </c>
      <c r="E1512" s="50">
        <v>-1</v>
      </c>
      <c r="F1512" s="50">
        <v>-0.46024560820660754</v>
      </c>
      <c r="G1512" s="51" t="str">
        <v>湯川 2022/06/29 (水)
平日夜間</v>
      </c>
    </row>
    <row r="1513" spans="1:7" ht="16.149999999999999" x14ac:dyDescent="0.7">
      <c r="A1513" s="49">
        <v>44705.436751250003</v>
      </c>
      <c r="B1513" s="50" t="s">
        <v>31</v>
      </c>
      <c r="C1513" s="50" t="s">
        <v>363</v>
      </c>
      <c r="D1513" s="50" t="s">
        <v>259</v>
      </c>
      <c r="E1513" s="50">
        <v>0</v>
      </c>
      <c r="F1513" s="50">
        <v>7.1095993338947228E-2</v>
      </c>
      <c r="G1513" s="51" t="str">
        <v>湯川 2022/06/30 (木)
平日夜間</v>
      </c>
    </row>
    <row r="1514" spans="1:7" ht="16.149999999999999" x14ac:dyDescent="0.7">
      <c r="A1514" s="49">
        <v>44705.504868761578</v>
      </c>
      <c r="B1514" s="50" t="s">
        <v>55</v>
      </c>
      <c r="C1514" s="50" t="s">
        <v>326</v>
      </c>
      <c r="D1514" s="50" t="s">
        <v>259</v>
      </c>
      <c r="E1514" s="50">
        <v>0</v>
      </c>
      <c r="F1514" s="50">
        <v>0.91119669509573353</v>
      </c>
      <c r="G1514" s="51" t="str">
        <v>河瀬 2022/06/01 (水)
平日夜間</v>
      </c>
    </row>
    <row r="1515" spans="1:7" ht="16.149999999999999" x14ac:dyDescent="0.7">
      <c r="A1515" s="49">
        <v>44705.504868761578</v>
      </c>
      <c r="B1515" s="50" t="s">
        <v>55</v>
      </c>
      <c r="C1515" s="50" t="s">
        <v>327</v>
      </c>
      <c r="D1515" s="50" t="s">
        <v>259</v>
      </c>
      <c r="E1515" s="50">
        <v>0</v>
      </c>
      <c r="F1515" s="50">
        <v>0.94147237803848394</v>
      </c>
      <c r="G1515" s="51" t="str">
        <v>河瀬 2022/06/02 (木)
平日夜間</v>
      </c>
    </row>
    <row r="1516" spans="1:7" ht="16.149999999999999" x14ac:dyDescent="0.7">
      <c r="A1516" s="49">
        <v>44705.504868761578</v>
      </c>
      <c r="B1516" s="50" t="s">
        <v>55</v>
      </c>
      <c r="C1516" s="50" t="s">
        <v>328</v>
      </c>
      <c r="D1516" s="50" t="s">
        <v>259</v>
      </c>
      <c r="E1516" s="50">
        <v>0</v>
      </c>
      <c r="F1516" s="50">
        <v>0.51342208459362548</v>
      </c>
      <c r="G1516" s="51" t="str">
        <v>河瀬 2022/06/03 (金)
平日夜間</v>
      </c>
    </row>
    <row r="1517" spans="1:7" ht="16.149999999999999" x14ac:dyDescent="0.7">
      <c r="A1517" s="49">
        <v>44705.504868761578</v>
      </c>
      <c r="B1517" s="50" t="s">
        <v>55</v>
      </c>
      <c r="C1517" s="50" t="s">
        <v>329</v>
      </c>
      <c r="D1517" s="50" t="s">
        <v>261</v>
      </c>
      <c r="E1517" s="50">
        <v>0</v>
      </c>
      <c r="F1517" s="50">
        <v>0.77907384623137221</v>
      </c>
      <c r="G1517" s="51" t="str">
        <v>河瀬 2022/06/04 (土)
休日午後</v>
      </c>
    </row>
    <row r="1518" spans="1:7" ht="16.149999999999999" x14ac:dyDescent="0.7">
      <c r="A1518" s="49">
        <v>44705.504868761578</v>
      </c>
      <c r="B1518" s="50" t="s">
        <v>55</v>
      </c>
      <c r="C1518" s="50" t="s">
        <v>330</v>
      </c>
      <c r="D1518" s="50" t="s">
        <v>263</v>
      </c>
      <c r="E1518" s="50">
        <v>0</v>
      </c>
      <c r="F1518" s="50">
        <v>0.36430957129170616</v>
      </c>
      <c r="G1518" s="51" t="str">
        <v>河瀬 2022/06/04 (土)
休日午前</v>
      </c>
    </row>
    <row r="1519" spans="1:7" ht="16.149999999999999" x14ac:dyDescent="0.7">
      <c r="A1519" s="49">
        <v>44705.504868761578</v>
      </c>
      <c r="B1519" s="50" t="s">
        <v>55</v>
      </c>
      <c r="C1519" s="50" t="s">
        <v>331</v>
      </c>
      <c r="D1519" s="50" t="s">
        <v>261</v>
      </c>
      <c r="E1519" s="50">
        <v>0</v>
      </c>
      <c r="F1519" s="50">
        <v>0.89666164674748638</v>
      </c>
      <c r="G1519" s="51" t="str">
        <v>河瀬 2022/06/05 (日)
休日午後</v>
      </c>
    </row>
    <row r="1520" spans="1:7" ht="16.149999999999999" x14ac:dyDescent="0.7">
      <c r="A1520" s="49">
        <v>44705.504868761578</v>
      </c>
      <c r="B1520" s="50" t="s">
        <v>55</v>
      </c>
      <c r="C1520" s="50" t="s">
        <v>332</v>
      </c>
      <c r="D1520" s="50" t="s">
        <v>263</v>
      </c>
      <c r="E1520" s="50">
        <v>0</v>
      </c>
      <c r="F1520" s="50">
        <v>0.19859834429573242</v>
      </c>
      <c r="G1520" s="51" t="str">
        <v>河瀬 2022/06/05 (日)
休日午前</v>
      </c>
    </row>
    <row r="1521" spans="1:7" ht="16.149999999999999" x14ac:dyDescent="0.7">
      <c r="A1521" s="49">
        <v>44705.504868761578</v>
      </c>
      <c r="B1521" s="50" t="s">
        <v>55</v>
      </c>
      <c r="C1521" s="50" t="s">
        <v>333</v>
      </c>
      <c r="D1521" s="50" t="s">
        <v>259</v>
      </c>
      <c r="E1521" s="50">
        <v>0</v>
      </c>
      <c r="F1521" s="50">
        <v>0.33974295931289955</v>
      </c>
      <c r="G1521" s="51" t="str">
        <v>河瀬 2022/06/06 (月)
平日夜間</v>
      </c>
    </row>
    <row r="1522" spans="1:7" ht="16.149999999999999" x14ac:dyDescent="0.7">
      <c r="A1522" s="49">
        <v>44705.504868761578</v>
      </c>
      <c r="B1522" s="50" t="s">
        <v>55</v>
      </c>
      <c r="C1522" s="50" t="s">
        <v>334</v>
      </c>
      <c r="D1522" s="50" t="s">
        <v>259</v>
      </c>
      <c r="E1522" s="50">
        <v>0</v>
      </c>
      <c r="F1522" s="50">
        <v>0.40611622693104099</v>
      </c>
      <c r="G1522" s="51" t="str">
        <v>河瀬 2022/06/07 (火)
平日夜間</v>
      </c>
    </row>
    <row r="1523" spans="1:7" ht="16.149999999999999" x14ac:dyDescent="0.7">
      <c r="A1523" s="49">
        <v>44705.504868761578</v>
      </c>
      <c r="B1523" s="50" t="s">
        <v>55</v>
      </c>
      <c r="C1523" s="50" t="s">
        <v>335</v>
      </c>
      <c r="D1523" s="50" t="s">
        <v>259</v>
      </c>
      <c r="E1523" s="50">
        <v>0</v>
      </c>
      <c r="F1523" s="50">
        <v>0.3889495519041799</v>
      </c>
      <c r="G1523" s="51" t="str">
        <v>河瀬 2022/06/08 (水)
平日夜間</v>
      </c>
    </row>
    <row r="1524" spans="1:7" ht="16.149999999999999" x14ac:dyDescent="0.7">
      <c r="A1524" s="49">
        <v>44705.504868761578</v>
      </c>
      <c r="B1524" s="50" t="s">
        <v>55</v>
      </c>
      <c r="C1524" s="50" t="s">
        <v>336</v>
      </c>
      <c r="D1524" s="50" t="s">
        <v>259</v>
      </c>
      <c r="E1524" s="50">
        <v>2</v>
      </c>
      <c r="F1524" s="50">
        <v>2.6755090544668465</v>
      </c>
      <c r="G1524" s="51" t="str">
        <v>河瀬 2022/06/09 (木)
平日夜間</v>
      </c>
    </row>
    <row r="1525" spans="1:7" ht="16.149999999999999" x14ac:dyDescent="0.7">
      <c r="A1525" s="49">
        <v>44705.504868761578</v>
      </c>
      <c r="B1525" s="50" t="s">
        <v>55</v>
      </c>
      <c r="C1525" s="50" t="s">
        <v>337</v>
      </c>
      <c r="D1525" s="50" t="s">
        <v>259</v>
      </c>
      <c r="E1525" s="50">
        <v>0</v>
      </c>
      <c r="F1525" s="50">
        <v>0.23796796220821292</v>
      </c>
      <c r="G1525" s="51" t="str">
        <v>河瀬 2022/06/10 (金)
平日夜間</v>
      </c>
    </row>
    <row r="1526" spans="1:7" ht="16.149999999999999" x14ac:dyDescent="0.7">
      <c r="A1526" s="49">
        <v>44705.504868761578</v>
      </c>
      <c r="B1526" s="50" t="s">
        <v>55</v>
      </c>
      <c r="C1526" s="50" t="s">
        <v>338</v>
      </c>
      <c r="D1526" s="50" t="s">
        <v>261</v>
      </c>
      <c r="E1526" s="50">
        <v>-1</v>
      </c>
      <c r="F1526" s="50">
        <v>-0.27256146213833699</v>
      </c>
      <c r="G1526" s="51" t="str">
        <v>河瀬 2022/06/11 (土)
休日午後</v>
      </c>
    </row>
    <row r="1527" spans="1:7" ht="16.149999999999999" x14ac:dyDescent="0.7">
      <c r="A1527" s="49">
        <v>44705.504868761578</v>
      </c>
      <c r="B1527" s="50" t="s">
        <v>55</v>
      </c>
      <c r="C1527" s="50" t="s">
        <v>339</v>
      </c>
      <c r="D1527" s="50" t="s">
        <v>263</v>
      </c>
      <c r="E1527" s="50">
        <v>0</v>
      </c>
      <c r="F1527" s="50">
        <v>0.22719951447773146</v>
      </c>
      <c r="G1527" s="51" t="str">
        <v>河瀬 2022/06/11 (土)
休日午前</v>
      </c>
    </row>
    <row r="1528" spans="1:7" ht="16.149999999999999" x14ac:dyDescent="0.7">
      <c r="A1528" s="49">
        <v>44705.504868761578</v>
      </c>
      <c r="B1528" s="50" t="s">
        <v>55</v>
      </c>
      <c r="C1528" s="50" t="s">
        <v>340</v>
      </c>
      <c r="D1528" s="50" t="s">
        <v>261</v>
      </c>
      <c r="E1528" s="50">
        <v>0</v>
      </c>
      <c r="F1528" s="50">
        <v>0.52167581288290532</v>
      </c>
      <c r="G1528" s="51" t="str">
        <v>河瀬 2022/06/12 (日)
休日午後</v>
      </c>
    </row>
    <row r="1529" spans="1:7" ht="16.149999999999999" x14ac:dyDescent="0.7">
      <c r="A1529" s="49">
        <v>44705.504868761578</v>
      </c>
      <c r="B1529" s="50" t="s">
        <v>55</v>
      </c>
      <c r="C1529" s="50" t="s">
        <v>341</v>
      </c>
      <c r="D1529" s="50" t="s">
        <v>263</v>
      </c>
      <c r="E1529" s="50">
        <v>-1</v>
      </c>
      <c r="F1529" s="50">
        <v>-0.14823992824605114</v>
      </c>
      <c r="G1529" s="51" t="str">
        <v>河瀬 2022/06/12 (日)
休日午前</v>
      </c>
    </row>
    <row r="1530" spans="1:7" ht="16.149999999999999" x14ac:dyDescent="0.7">
      <c r="A1530" s="49">
        <v>44705.504868761578</v>
      </c>
      <c r="B1530" s="50" t="s">
        <v>55</v>
      </c>
      <c r="C1530" s="50" t="s">
        <v>342</v>
      </c>
      <c r="D1530" s="50" t="s">
        <v>259</v>
      </c>
      <c r="E1530" s="50">
        <v>0</v>
      </c>
      <c r="F1530" s="50">
        <v>0.15122824591289263</v>
      </c>
      <c r="G1530" s="51" t="str">
        <v>河瀬 2022/06/13 (月)
平日夜間</v>
      </c>
    </row>
    <row r="1531" spans="1:7" ht="16.149999999999999" x14ac:dyDescent="0.7">
      <c r="A1531" s="49">
        <v>44705.504868761578</v>
      </c>
      <c r="B1531" s="50" t="s">
        <v>55</v>
      </c>
      <c r="C1531" s="50" t="s">
        <v>343</v>
      </c>
      <c r="D1531" s="50" t="s">
        <v>259</v>
      </c>
      <c r="E1531" s="50">
        <v>0</v>
      </c>
      <c r="F1531" s="50">
        <v>0.17262429699466741</v>
      </c>
      <c r="G1531" s="51" t="str">
        <v>河瀬 2022/06/14 (火)
平日夜間</v>
      </c>
    </row>
    <row r="1532" spans="1:7" ht="16.149999999999999" x14ac:dyDescent="0.7">
      <c r="A1532" s="49">
        <v>44705.504868761578</v>
      </c>
      <c r="B1532" s="50" t="s">
        <v>55</v>
      </c>
      <c r="C1532" s="50" t="s">
        <v>344</v>
      </c>
      <c r="D1532" s="50" t="s">
        <v>259</v>
      </c>
      <c r="E1532" s="50">
        <v>0</v>
      </c>
      <c r="F1532" s="50">
        <v>0.59202428024057663</v>
      </c>
      <c r="G1532" s="51" t="str">
        <v>河瀬 2022/06/15 (水)
平日夜間</v>
      </c>
    </row>
    <row r="1533" spans="1:7" ht="16.149999999999999" x14ac:dyDescent="0.7">
      <c r="A1533" s="49">
        <v>44705.504868761578</v>
      </c>
      <c r="B1533" s="50" t="s">
        <v>55</v>
      </c>
      <c r="C1533" s="50" t="s">
        <v>345</v>
      </c>
      <c r="D1533" s="50" t="s">
        <v>259</v>
      </c>
      <c r="E1533" s="50">
        <v>0</v>
      </c>
      <c r="F1533" s="50">
        <v>0.96655575037507369</v>
      </c>
      <c r="G1533" s="51" t="str">
        <v>河瀬 2022/06/16 (木)
平日夜間</v>
      </c>
    </row>
    <row r="1534" spans="1:7" ht="16.149999999999999" x14ac:dyDescent="0.7">
      <c r="A1534" s="49">
        <v>44705.504868761578</v>
      </c>
      <c r="B1534" s="50" t="s">
        <v>55</v>
      </c>
      <c r="C1534" s="50" t="s">
        <v>346</v>
      </c>
      <c r="D1534" s="50" t="s">
        <v>259</v>
      </c>
      <c r="E1534" s="50">
        <v>0</v>
      </c>
      <c r="F1534" s="50">
        <v>0.94169361233833193</v>
      </c>
      <c r="G1534" s="51" t="str">
        <v>河瀬 2022/06/17 (金)
平日夜間</v>
      </c>
    </row>
    <row r="1535" spans="1:7" ht="16.149999999999999" x14ac:dyDescent="0.7">
      <c r="A1535" s="49">
        <v>44705.504868761578</v>
      </c>
      <c r="B1535" s="50" t="s">
        <v>55</v>
      </c>
      <c r="C1535" s="50" t="s">
        <v>347</v>
      </c>
      <c r="D1535" s="50" t="s">
        <v>261</v>
      </c>
      <c r="E1535" s="50">
        <v>0</v>
      </c>
      <c r="F1535" s="50">
        <v>0.34973639803069467</v>
      </c>
      <c r="G1535" s="51" t="str">
        <v>河瀬 2022/06/18 (土)
休日午後</v>
      </c>
    </row>
    <row r="1536" spans="1:7" ht="16.149999999999999" x14ac:dyDescent="0.7">
      <c r="A1536" s="49">
        <v>44705.504868761578</v>
      </c>
      <c r="B1536" s="50" t="s">
        <v>55</v>
      </c>
      <c r="C1536" s="50" t="s">
        <v>348</v>
      </c>
      <c r="D1536" s="50" t="s">
        <v>263</v>
      </c>
      <c r="E1536" s="50">
        <v>0</v>
      </c>
      <c r="F1536" s="50">
        <v>0.1386022740509032</v>
      </c>
      <c r="G1536" s="51" t="str">
        <v>河瀬 2022/06/18 (土)
休日午前</v>
      </c>
    </row>
    <row r="1537" spans="1:7" ht="16.149999999999999" x14ac:dyDescent="0.7">
      <c r="A1537" s="49">
        <v>44705.504868761578</v>
      </c>
      <c r="B1537" s="50" t="s">
        <v>55</v>
      </c>
      <c r="C1537" s="50" t="s">
        <v>349</v>
      </c>
      <c r="D1537" s="50" t="s">
        <v>261</v>
      </c>
      <c r="E1537" s="50">
        <v>0</v>
      </c>
      <c r="F1537" s="50">
        <v>0.89841943373377231</v>
      </c>
      <c r="G1537" s="51" t="str">
        <v>河瀬 2022/06/19 (日)
休日午後</v>
      </c>
    </row>
    <row r="1538" spans="1:7" ht="16.149999999999999" x14ac:dyDescent="0.7">
      <c r="A1538" s="49">
        <v>44705.504868761578</v>
      </c>
      <c r="B1538" s="50" t="s">
        <v>55</v>
      </c>
      <c r="C1538" s="50" t="s">
        <v>350</v>
      </c>
      <c r="D1538" s="50" t="s">
        <v>263</v>
      </c>
      <c r="E1538" s="50">
        <v>0</v>
      </c>
      <c r="F1538" s="50">
        <v>0.80682107269385983</v>
      </c>
      <c r="G1538" s="51" t="str">
        <v>河瀬 2022/06/19 (日)
休日午前</v>
      </c>
    </row>
    <row r="1539" spans="1:7" ht="16.149999999999999" x14ac:dyDescent="0.7">
      <c r="A1539" s="49">
        <v>44705.504868761578</v>
      </c>
      <c r="B1539" s="50" t="s">
        <v>55</v>
      </c>
      <c r="C1539" s="50" t="s">
        <v>351</v>
      </c>
      <c r="D1539" s="50" t="s">
        <v>259</v>
      </c>
      <c r="E1539" s="50">
        <v>0</v>
      </c>
      <c r="F1539" s="50">
        <v>0.76769029346598794</v>
      </c>
      <c r="G1539" s="51" t="str">
        <v>河瀬 2022/06/20 (月)
平日夜間</v>
      </c>
    </row>
    <row r="1540" spans="1:7" ht="16.149999999999999" x14ac:dyDescent="0.7">
      <c r="A1540" s="49">
        <v>44705.504868761578</v>
      </c>
      <c r="B1540" s="50" t="s">
        <v>55</v>
      </c>
      <c r="C1540" s="50" t="s">
        <v>352</v>
      </c>
      <c r="D1540" s="50" t="s">
        <v>259</v>
      </c>
      <c r="E1540" s="50">
        <v>0</v>
      </c>
      <c r="F1540" s="50">
        <v>0.89746925454723381</v>
      </c>
      <c r="G1540" s="51" t="str">
        <v>河瀬 2022/06/21 (火)
平日夜間</v>
      </c>
    </row>
    <row r="1541" spans="1:7" ht="16.149999999999999" x14ac:dyDescent="0.7">
      <c r="A1541" s="49">
        <v>44705.504868761578</v>
      </c>
      <c r="B1541" s="50" t="s">
        <v>55</v>
      </c>
      <c r="C1541" s="50" t="s">
        <v>353</v>
      </c>
      <c r="D1541" s="50" t="s">
        <v>259</v>
      </c>
      <c r="E1541" s="50">
        <v>0</v>
      </c>
      <c r="F1541" s="50">
        <v>0.53469832690870756</v>
      </c>
      <c r="G1541" s="51" t="str">
        <v>河瀬 2022/06/22 (水)
平日夜間</v>
      </c>
    </row>
    <row r="1542" spans="1:7" ht="16.149999999999999" x14ac:dyDescent="0.7">
      <c r="A1542" s="49">
        <v>44705.504868761578</v>
      </c>
      <c r="B1542" s="50" t="s">
        <v>55</v>
      </c>
      <c r="C1542" s="50" t="s">
        <v>354</v>
      </c>
      <c r="D1542" s="50" t="s">
        <v>259</v>
      </c>
      <c r="E1542" s="50">
        <v>0</v>
      </c>
      <c r="F1542" s="50">
        <v>0.28273822611805688</v>
      </c>
      <c r="G1542" s="51" t="str">
        <v>河瀬 2022/06/23 (木)
平日夜間</v>
      </c>
    </row>
    <row r="1543" spans="1:7" ht="16.149999999999999" x14ac:dyDescent="0.7">
      <c r="A1543" s="49">
        <v>44705.504868761578</v>
      </c>
      <c r="B1543" s="50" t="s">
        <v>55</v>
      </c>
      <c r="C1543" s="50" t="s">
        <v>355</v>
      </c>
      <c r="D1543" s="50" t="s">
        <v>259</v>
      </c>
      <c r="E1543" s="50">
        <v>0</v>
      </c>
      <c r="F1543" s="50">
        <v>0.26789099168050434</v>
      </c>
      <c r="G1543" s="51" t="str">
        <v>河瀬 2022/06/24 (金)
平日夜間</v>
      </c>
    </row>
    <row r="1544" spans="1:7" ht="16.149999999999999" x14ac:dyDescent="0.7">
      <c r="A1544" s="49">
        <v>44705.504868761578</v>
      </c>
      <c r="B1544" s="50" t="s">
        <v>55</v>
      </c>
      <c r="C1544" s="50" t="s">
        <v>356</v>
      </c>
      <c r="D1544" s="50" t="s">
        <v>261</v>
      </c>
      <c r="E1544" s="50">
        <v>0</v>
      </c>
      <c r="F1544" s="50">
        <v>0.28452236442777079</v>
      </c>
      <c r="G1544" s="51" t="str">
        <v>河瀬 2022/06/25 (土)
休日午後</v>
      </c>
    </row>
    <row r="1545" spans="1:7" ht="16.149999999999999" x14ac:dyDescent="0.7">
      <c r="A1545" s="49">
        <v>44705.504868761578</v>
      </c>
      <c r="B1545" s="50" t="s">
        <v>55</v>
      </c>
      <c r="C1545" s="50" t="s">
        <v>357</v>
      </c>
      <c r="D1545" s="50" t="s">
        <v>263</v>
      </c>
      <c r="E1545" s="50">
        <v>0</v>
      </c>
      <c r="F1545" s="50">
        <v>0.59905679043508542</v>
      </c>
      <c r="G1545" s="51" t="str">
        <v>河瀬 2022/06/25 (土)
休日午前</v>
      </c>
    </row>
    <row r="1546" spans="1:7" ht="16.149999999999999" x14ac:dyDescent="0.7">
      <c r="A1546" s="49">
        <v>44705.504868761578</v>
      </c>
      <c r="B1546" s="50" t="s">
        <v>55</v>
      </c>
      <c r="C1546" s="50" t="s">
        <v>358</v>
      </c>
      <c r="D1546" s="50" t="s">
        <v>261</v>
      </c>
      <c r="E1546" s="50">
        <v>-1</v>
      </c>
      <c r="F1546" s="50">
        <v>-0.48405725216818452</v>
      </c>
      <c r="G1546" s="51" t="str">
        <v>河瀬 2022/06/26 (日)
休日午後</v>
      </c>
    </row>
    <row r="1547" spans="1:7" ht="16.149999999999999" x14ac:dyDescent="0.7">
      <c r="A1547" s="49">
        <v>44705.504868761578</v>
      </c>
      <c r="B1547" s="50" t="s">
        <v>55</v>
      </c>
      <c r="C1547" s="50" t="s">
        <v>359</v>
      </c>
      <c r="D1547" s="50" t="s">
        <v>263</v>
      </c>
      <c r="E1547" s="50">
        <v>-1</v>
      </c>
      <c r="F1547" s="50">
        <v>-0.2713740565615268</v>
      </c>
      <c r="G1547" s="51" t="str">
        <v>河瀬 2022/06/26 (日)
休日午前</v>
      </c>
    </row>
    <row r="1548" spans="1:7" ht="16.149999999999999" x14ac:dyDescent="0.7">
      <c r="A1548" s="49">
        <v>44705.504868761578</v>
      </c>
      <c r="B1548" s="50" t="s">
        <v>55</v>
      </c>
      <c r="C1548" s="50" t="s">
        <v>360</v>
      </c>
      <c r="D1548" s="50" t="s">
        <v>259</v>
      </c>
      <c r="E1548" s="50">
        <v>0</v>
      </c>
      <c r="F1548" s="50">
        <v>0.99956819482080173</v>
      </c>
      <c r="G1548" s="51" t="str">
        <v>河瀬 2022/06/27 (月)
平日夜間</v>
      </c>
    </row>
    <row r="1549" spans="1:7" ht="16.149999999999999" x14ac:dyDescent="0.7">
      <c r="A1549" s="49">
        <v>44705.504868761578</v>
      </c>
      <c r="B1549" s="50" t="s">
        <v>55</v>
      </c>
      <c r="C1549" s="50" t="s">
        <v>361</v>
      </c>
      <c r="D1549" s="50" t="s">
        <v>259</v>
      </c>
      <c r="E1549" s="50">
        <v>0</v>
      </c>
      <c r="F1549" s="50">
        <v>0.19707683172052426</v>
      </c>
      <c r="G1549" s="51" t="str">
        <v>河瀬 2022/06/28 (火)
平日夜間</v>
      </c>
    </row>
    <row r="1550" spans="1:7" ht="16.149999999999999" x14ac:dyDescent="0.7">
      <c r="A1550" s="49">
        <v>44705.504868761578</v>
      </c>
      <c r="B1550" s="50" t="s">
        <v>55</v>
      </c>
      <c r="C1550" s="50" t="s">
        <v>362</v>
      </c>
      <c r="D1550" s="50" t="s">
        <v>259</v>
      </c>
      <c r="E1550" s="50">
        <v>0</v>
      </c>
      <c r="F1550" s="50">
        <v>0.94999769266628431</v>
      </c>
      <c r="G1550" s="51" t="str">
        <v>河瀬 2022/06/29 (水)
平日夜間</v>
      </c>
    </row>
    <row r="1551" spans="1:7" ht="16.149999999999999" x14ac:dyDescent="0.7">
      <c r="A1551" s="49">
        <v>44705.504868761578</v>
      </c>
      <c r="B1551" s="50" t="s">
        <v>55</v>
      </c>
      <c r="C1551" s="50" t="s">
        <v>363</v>
      </c>
      <c r="D1551" s="50" t="s">
        <v>259</v>
      </c>
      <c r="E1551" s="50">
        <v>0</v>
      </c>
      <c r="F1551" s="50">
        <v>0.6710007686751327</v>
      </c>
      <c r="G1551" s="51" t="str">
        <v>河瀬 2022/06/30 (木)
平日夜間</v>
      </c>
    </row>
    <row r="1552" spans="1:7" ht="16.149999999999999" x14ac:dyDescent="0.7">
      <c r="A1552" s="49">
        <v>44705.525271921295</v>
      </c>
      <c r="B1552" s="50" t="s">
        <v>14</v>
      </c>
      <c r="C1552" s="50" t="s">
        <v>326</v>
      </c>
      <c r="D1552" s="50" t="s">
        <v>259</v>
      </c>
      <c r="E1552" s="50">
        <v>0</v>
      </c>
      <c r="F1552" s="50">
        <v>0.99893621466344928</v>
      </c>
      <c r="G1552" s="51" t="str">
        <v>林智 2022/06/01 (水)
平日夜間</v>
      </c>
    </row>
    <row r="1553" spans="1:7" ht="16.149999999999999" x14ac:dyDescent="0.7">
      <c r="A1553" s="49">
        <v>44705.525271921295</v>
      </c>
      <c r="B1553" s="50" t="s">
        <v>14</v>
      </c>
      <c r="C1553" s="50" t="s">
        <v>327</v>
      </c>
      <c r="D1553" s="50" t="s">
        <v>259</v>
      </c>
      <c r="E1553" s="50">
        <v>0</v>
      </c>
      <c r="F1553" s="50">
        <v>0.85287562419302976</v>
      </c>
      <c r="G1553" s="51" t="str">
        <v>林智 2022/06/02 (木)
平日夜間</v>
      </c>
    </row>
    <row r="1554" spans="1:7" ht="16.149999999999999" x14ac:dyDescent="0.7">
      <c r="A1554" s="49">
        <v>44705.525271921295</v>
      </c>
      <c r="B1554" s="50" t="s">
        <v>14</v>
      </c>
      <c r="C1554" s="50" t="s">
        <v>328</v>
      </c>
      <c r="D1554" s="50" t="s">
        <v>259</v>
      </c>
      <c r="E1554" s="50">
        <v>0</v>
      </c>
      <c r="F1554" s="50">
        <v>0.58646496562645867</v>
      </c>
      <c r="G1554" s="51" t="str">
        <v>林智 2022/06/03 (金)
平日夜間</v>
      </c>
    </row>
    <row r="1555" spans="1:7" ht="16.149999999999999" x14ac:dyDescent="0.7">
      <c r="A1555" s="49">
        <v>44705.525271921295</v>
      </c>
      <c r="B1555" s="50" t="s">
        <v>14</v>
      </c>
      <c r="C1555" s="50" t="s">
        <v>329</v>
      </c>
      <c r="D1555" s="50" t="s">
        <v>261</v>
      </c>
      <c r="E1555" s="50">
        <v>-1</v>
      </c>
      <c r="F1555" s="50">
        <v>-0.48690849179767981</v>
      </c>
      <c r="G1555" s="51" t="str">
        <v>林智 2022/06/04 (土)
休日午後</v>
      </c>
    </row>
    <row r="1556" spans="1:7" ht="16.149999999999999" x14ac:dyDescent="0.7">
      <c r="A1556" s="49">
        <v>44705.525271921295</v>
      </c>
      <c r="B1556" s="50" t="s">
        <v>14</v>
      </c>
      <c r="C1556" s="50" t="s">
        <v>330</v>
      </c>
      <c r="D1556" s="50" t="s">
        <v>263</v>
      </c>
      <c r="E1556" s="50">
        <v>-1</v>
      </c>
      <c r="F1556" s="50">
        <v>-0.42697633860174511</v>
      </c>
      <c r="G1556" s="51" t="str">
        <v>林智 2022/06/04 (土)
休日午前</v>
      </c>
    </row>
    <row r="1557" spans="1:7" ht="16.149999999999999" x14ac:dyDescent="0.7">
      <c r="A1557" s="49">
        <v>44705.525271921295</v>
      </c>
      <c r="B1557" s="50" t="s">
        <v>14</v>
      </c>
      <c r="C1557" s="50" t="s">
        <v>331</v>
      </c>
      <c r="D1557" s="50" t="s">
        <v>261</v>
      </c>
      <c r="E1557" s="50">
        <v>-1</v>
      </c>
      <c r="F1557" s="50">
        <v>-0.20719192092455652</v>
      </c>
      <c r="G1557" s="51" t="str">
        <v>林智 2022/06/05 (日)
休日午後</v>
      </c>
    </row>
    <row r="1558" spans="1:7" ht="16.149999999999999" x14ac:dyDescent="0.7">
      <c r="A1558" s="49">
        <v>44705.525271921295</v>
      </c>
      <c r="B1558" s="50" t="s">
        <v>14</v>
      </c>
      <c r="C1558" s="50" t="s">
        <v>332</v>
      </c>
      <c r="D1558" s="50" t="s">
        <v>263</v>
      </c>
      <c r="E1558" s="50">
        <v>-1</v>
      </c>
      <c r="F1558" s="50">
        <v>-0.52932877392280853</v>
      </c>
      <c r="G1558" s="51" t="str">
        <v>林智 2022/06/05 (日)
休日午前</v>
      </c>
    </row>
    <row r="1559" spans="1:7" ht="16.149999999999999" x14ac:dyDescent="0.7">
      <c r="A1559" s="49">
        <v>44705.525271921295</v>
      </c>
      <c r="B1559" s="50" t="s">
        <v>14</v>
      </c>
      <c r="C1559" s="50" t="s">
        <v>333</v>
      </c>
      <c r="D1559" s="50" t="s">
        <v>259</v>
      </c>
      <c r="E1559" s="50">
        <v>0</v>
      </c>
      <c r="F1559" s="50">
        <v>0.37099789662441718</v>
      </c>
      <c r="G1559" s="51" t="str">
        <v>林智 2022/06/06 (月)
平日夜間</v>
      </c>
    </row>
    <row r="1560" spans="1:7" ht="16.149999999999999" x14ac:dyDescent="0.7">
      <c r="A1560" s="49">
        <v>44705.525271921295</v>
      </c>
      <c r="B1560" s="50" t="s">
        <v>14</v>
      </c>
      <c r="C1560" s="50" t="s">
        <v>334</v>
      </c>
      <c r="D1560" s="50" t="s">
        <v>259</v>
      </c>
      <c r="E1560" s="50">
        <v>0</v>
      </c>
      <c r="F1560" s="50">
        <v>0.49052416236094465</v>
      </c>
      <c r="G1560" s="51" t="str">
        <v>林智 2022/06/07 (火)
平日夜間</v>
      </c>
    </row>
    <row r="1561" spans="1:7" ht="16.149999999999999" x14ac:dyDescent="0.7">
      <c r="A1561" s="49">
        <v>44705.525271921295</v>
      </c>
      <c r="B1561" s="50" t="s">
        <v>14</v>
      </c>
      <c r="C1561" s="50" t="s">
        <v>335</v>
      </c>
      <c r="D1561" s="50" t="s">
        <v>259</v>
      </c>
      <c r="E1561" s="50">
        <v>0</v>
      </c>
      <c r="F1561" s="50">
        <v>0.24862922579167157</v>
      </c>
      <c r="G1561" s="51" t="str">
        <v>林智 2022/06/08 (水)
平日夜間</v>
      </c>
    </row>
    <row r="1562" spans="1:7" ht="16.149999999999999" x14ac:dyDescent="0.7">
      <c r="A1562" s="49">
        <v>44705.525271921295</v>
      </c>
      <c r="B1562" s="50" t="s">
        <v>14</v>
      </c>
      <c r="C1562" s="50" t="s">
        <v>336</v>
      </c>
      <c r="D1562" s="50" t="s">
        <v>259</v>
      </c>
      <c r="E1562" s="50">
        <v>0</v>
      </c>
      <c r="F1562" s="50">
        <v>0.53194079273398676</v>
      </c>
      <c r="G1562" s="51" t="str">
        <v>林智 2022/06/09 (木)
平日夜間</v>
      </c>
    </row>
    <row r="1563" spans="1:7" ht="16.149999999999999" x14ac:dyDescent="0.7">
      <c r="A1563" s="49">
        <v>44705.525271921295</v>
      </c>
      <c r="B1563" s="50" t="s">
        <v>14</v>
      </c>
      <c r="C1563" s="50" t="s">
        <v>337</v>
      </c>
      <c r="D1563" s="50" t="s">
        <v>259</v>
      </c>
      <c r="E1563" s="50">
        <v>0</v>
      </c>
      <c r="F1563" s="50">
        <v>0.9572646927635502</v>
      </c>
      <c r="G1563" s="51" t="str">
        <v>林智 2022/06/10 (金)
平日夜間</v>
      </c>
    </row>
    <row r="1564" spans="1:7" ht="16.149999999999999" x14ac:dyDescent="0.7">
      <c r="A1564" s="49">
        <v>44705.525271921295</v>
      </c>
      <c r="B1564" s="50" t="s">
        <v>14</v>
      </c>
      <c r="C1564" s="50" t="s">
        <v>338</v>
      </c>
      <c r="D1564" s="50" t="s">
        <v>261</v>
      </c>
      <c r="E1564" s="50">
        <v>-1</v>
      </c>
      <c r="F1564" s="50">
        <v>-7.6220956763806136E-4</v>
      </c>
      <c r="G1564" s="51" t="str">
        <v>林智 2022/06/11 (土)
休日午後</v>
      </c>
    </row>
    <row r="1565" spans="1:7" ht="16.149999999999999" x14ac:dyDescent="0.7">
      <c r="A1565" s="49">
        <v>44705.525271921295</v>
      </c>
      <c r="B1565" s="50" t="s">
        <v>14</v>
      </c>
      <c r="C1565" s="50" t="s">
        <v>339</v>
      </c>
      <c r="D1565" s="50" t="s">
        <v>263</v>
      </c>
      <c r="E1565" s="50">
        <v>-1</v>
      </c>
      <c r="F1565" s="50">
        <v>-0.91534454722968372</v>
      </c>
      <c r="G1565" s="51" t="str">
        <v>林智 2022/06/11 (土)
休日午前</v>
      </c>
    </row>
    <row r="1566" spans="1:7" ht="16.149999999999999" x14ac:dyDescent="0.7">
      <c r="A1566" s="49">
        <v>44705.525271921295</v>
      </c>
      <c r="B1566" s="50" t="s">
        <v>14</v>
      </c>
      <c r="C1566" s="50" t="s">
        <v>340</v>
      </c>
      <c r="D1566" s="50" t="s">
        <v>261</v>
      </c>
      <c r="E1566" s="50">
        <v>0</v>
      </c>
      <c r="F1566" s="50">
        <v>0.68840698959668445</v>
      </c>
      <c r="G1566" s="51" t="str">
        <v>林智 2022/06/12 (日)
休日午後</v>
      </c>
    </row>
    <row r="1567" spans="1:7" ht="16.149999999999999" x14ac:dyDescent="0.7">
      <c r="A1567" s="49">
        <v>44705.525271921295</v>
      </c>
      <c r="B1567" s="50" t="s">
        <v>14</v>
      </c>
      <c r="C1567" s="50" t="s">
        <v>341</v>
      </c>
      <c r="D1567" s="50" t="s">
        <v>263</v>
      </c>
      <c r="E1567" s="50">
        <v>0</v>
      </c>
      <c r="F1567" s="50">
        <v>0.18223557098007181</v>
      </c>
      <c r="G1567" s="51" t="str">
        <v>林智 2022/06/12 (日)
休日午前</v>
      </c>
    </row>
    <row r="1568" spans="1:7" ht="16.149999999999999" x14ac:dyDescent="0.7">
      <c r="A1568" s="49">
        <v>44705.525271921295</v>
      </c>
      <c r="B1568" s="50" t="s">
        <v>14</v>
      </c>
      <c r="C1568" s="50" t="s">
        <v>342</v>
      </c>
      <c r="D1568" s="50" t="s">
        <v>259</v>
      </c>
      <c r="E1568" s="50">
        <v>0</v>
      </c>
      <c r="F1568" s="50">
        <v>0.43453513906652419</v>
      </c>
      <c r="G1568" s="51" t="str">
        <v>林智 2022/06/13 (月)
平日夜間</v>
      </c>
    </row>
    <row r="1569" spans="1:7" ht="16.149999999999999" x14ac:dyDescent="0.7">
      <c r="A1569" s="49">
        <v>44705.525271921295</v>
      </c>
      <c r="B1569" s="50" t="s">
        <v>14</v>
      </c>
      <c r="C1569" s="50" t="s">
        <v>343</v>
      </c>
      <c r="D1569" s="50" t="s">
        <v>259</v>
      </c>
      <c r="E1569" s="50">
        <v>0</v>
      </c>
      <c r="F1569" s="50">
        <v>0.69583778695370579</v>
      </c>
      <c r="G1569" s="51" t="str">
        <v>林智 2022/06/14 (火)
平日夜間</v>
      </c>
    </row>
    <row r="1570" spans="1:7" ht="16.149999999999999" x14ac:dyDescent="0.7">
      <c r="A1570" s="49">
        <v>44705.525271921295</v>
      </c>
      <c r="B1570" s="50" t="s">
        <v>14</v>
      </c>
      <c r="C1570" s="50" t="s">
        <v>344</v>
      </c>
      <c r="D1570" s="50" t="s">
        <v>259</v>
      </c>
      <c r="E1570" s="50">
        <v>-1</v>
      </c>
      <c r="F1570" s="50">
        <v>-0.74099867077465387</v>
      </c>
      <c r="G1570" s="51" t="str">
        <v>林智 2022/06/15 (水)
平日夜間</v>
      </c>
    </row>
    <row r="1571" spans="1:7" ht="16.149999999999999" x14ac:dyDescent="0.7">
      <c r="A1571" s="49">
        <v>44705.525271921295</v>
      </c>
      <c r="B1571" s="50" t="s">
        <v>14</v>
      </c>
      <c r="C1571" s="50" t="s">
        <v>345</v>
      </c>
      <c r="D1571" s="50" t="s">
        <v>259</v>
      </c>
      <c r="E1571" s="50">
        <v>0</v>
      </c>
      <c r="F1571" s="50">
        <v>0.56917814996692329</v>
      </c>
      <c r="G1571" s="51" t="str">
        <v>林智 2022/06/16 (木)
平日夜間</v>
      </c>
    </row>
    <row r="1572" spans="1:7" ht="16.149999999999999" x14ac:dyDescent="0.7">
      <c r="A1572" s="49">
        <v>44705.525271921295</v>
      </c>
      <c r="B1572" s="50" t="s">
        <v>14</v>
      </c>
      <c r="C1572" s="50" t="s">
        <v>346</v>
      </c>
      <c r="D1572" s="50" t="s">
        <v>259</v>
      </c>
      <c r="E1572" s="50">
        <v>0</v>
      </c>
      <c r="F1572" s="50">
        <v>0.19627927326555916</v>
      </c>
      <c r="G1572" s="51" t="str">
        <v>林智 2022/06/17 (金)
平日夜間</v>
      </c>
    </row>
    <row r="1573" spans="1:7" ht="16.149999999999999" x14ac:dyDescent="0.7">
      <c r="A1573" s="49">
        <v>44705.525271921295</v>
      </c>
      <c r="B1573" s="50" t="s">
        <v>14</v>
      </c>
      <c r="C1573" s="50" t="s">
        <v>347</v>
      </c>
      <c r="D1573" s="50" t="s">
        <v>261</v>
      </c>
      <c r="E1573" s="50">
        <v>-1</v>
      </c>
      <c r="F1573" s="50">
        <v>-0.46108799451139704</v>
      </c>
      <c r="G1573" s="51" t="str">
        <v>林智 2022/06/18 (土)
休日午後</v>
      </c>
    </row>
    <row r="1574" spans="1:7" ht="16.149999999999999" x14ac:dyDescent="0.7">
      <c r="A1574" s="49">
        <v>44705.525271921295</v>
      </c>
      <c r="B1574" s="50" t="s">
        <v>14</v>
      </c>
      <c r="C1574" s="50" t="s">
        <v>348</v>
      </c>
      <c r="D1574" s="50" t="s">
        <v>263</v>
      </c>
      <c r="E1574" s="50">
        <v>-1</v>
      </c>
      <c r="F1574" s="50">
        <v>-0.79409616103521419</v>
      </c>
      <c r="G1574" s="51" t="str">
        <v>林智 2022/06/18 (土)
休日午前</v>
      </c>
    </row>
    <row r="1575" spans="1:7" ht="16.149999999999999" x14ac:dyDescent="0.7">
      <c r="A1575" s="49">
        <v>44705.525271921295</v>
      </c>
      <c r="B1575" s="50" t="s">
        <v>14</v>
      </c>
      <c r="C1575" s="50" t="s">
        <v>349</v>
      </c>
      <c r="D1575" s="50" t="s">
        <v>261</v>
      </c>
      <c r="E1575" s="50">
        <v>-1</v>
      </c>
      <c r="F1575" s="50">
        <v>-0.98648218413199729</v>
      </c>
      <c r="G1575" s="51" t="str">
        <v>林智 2022/06/19 (日)
休日午後</v>
      </c>
    </row>
    <row r="1576" spans="1:7" ht="16.149999999999999" x14ac:dyDescent="0.7">
      <c r="A1576" s="49">
        <v>44705.525271921295</v>
      </c>
      <c r="B1576" s="50" t="s">
        <v>14</v>
      </c>
      <c r="C1576" s="50" t="s">
        <v>350</v>
      </c>
      <c r="D1576" s="50" t="s">
        <v>263</v>
      </c>
      <c r="E1576" s="50">
        <v>-1</v>
      </c>
      <c r="F1576" s="50">
        <v>-0.86701862546862052</v>
      </c>
      <c r="G1576" s="51" t="str">
        <v>林智 2022/06/19 (日)
休日午前</v>
      </c>
    </row>
    <row r="1577" spans="1:7" ht="16.149999999999999" x14ac:dyDescent="0.7">
      <c r="A1577" s="49">
        <v>44705.525271921295</v>
      </c>
      <c r="B1577" s="50" t="s">
        <v>14</v>
      </c>
      <c r="C1577" s="50" t="s">
        <v>351</v>
      </c>
      <c r="D1577" s="50" t="s">
        <v>259</v>
      </c>
      <c r="E1577" s="50">
        <v>-1</v>
      </c>
      <c r="F1577" s="50">
        <v>-0.26246456909216032</v>
      </c>
      <c r="G1577" s="51" t="str">
        <v>林智 2022/06/20 (月)
平日夜間</v>
      </c>
    </row>
    <row r="1578" spans="1:7" ht="16.149999999999999" x14ac:dyDescent="0.7">
      <c r="A1578" s="49">
        <v>44705.525271921295</v>
      </c>
      <c r="B1578" s="50" t="s">
        <v>14</v>
      </c>
      <c r="C1578" s="50" t="s">
        <v>352</v>
      </c>
      <c r="D1578" s="50" t="s">
        <v>259</v>
      </c>
      <c r="E1578" s="50">
        <v>0</v>
      </c>
      <c r="F1578" s="50">
        <v>0.20452660875432493</v>
      </c>
      <c r="G1578" s="51" t="str">
        <v>林智 2022/06/21 (火)
平日夜間</v>
      </c>
    </row>
    <row r="1579" spans="1:7" ht="16.149999999999999" x14ac:dyDescent="0.7">
      <c r="A1579" s="49">
        <v>44705.525271921295</v>
      </c>
      <c r="B1579" s="50" t="s">
        <v>14</v>
      </c>
      <c r="C1579" s="50" t="s">
        <v>353</v>
      </c>
      <c r="D1579" s="50" t="s">
        <v>259</v>
      </c>
      <c r="E1579" s="50">
        <v>0</v>
      </c>
      <c r="F1579" s="50">
        <v>0.75255421185992311</v>
      </c>
      <c r="G1579" s="51" t="str">
        <v>林智 2022/06/22 (水)
平日夜間</v>
      </c>
    </row>
    <row r="1580" spans="1:7" ht="16.149999999999999" x14ac:dyDescent="0.7">
      <c r="A1580" s="49">
        <v>44705.525271921295</v>
      </c>
      <c r="B1580" s="50" t="s">
        <v>14</v>
      </c>
      <c r="C1580" s="50" t="s">
        <v>354</v>
      </c>
      <c r="D1580" s="50" t="s">
        <v>259</v>
      </c>
      <c r="E1580" s="50">
        <v>0</v>
      </c>
      <c r="F1580" s="50">
        <v>0.37078877262097332</v>
      </c>
      <c r="G1580" s="51" t="str">
        <v>林智 2022/06/23 (木)
平日夜間</v>
      </c>
    </row>
    <row r="1581" spans="1:7" ht="16.149999999999999" x14ac:dyDescent="0.7">
      <c r="A1581" s="49">
        <v>44705.525271921295</v>
      </c>
      <c r="B1581" s="50" t="s">
        <v>14</v>
      </c>
      <c r="C1581" s="50" t="s">
        <v>355</v>
      </c>
      <c r="D1581" s="50" t="s">
        <v>259</v>
      </c>
      <c r="E1581" s="50">
        <v>-1</v>
      </c>
      <c r="F1581" s="50">
        <v>-0.81949285394762539</v>
      </c>
      <c r="G1581" s="51" t="str">
        <v>林智 2022/06/24 (金)
平日夜間</v>
      </c>
    </row>
    <row r="1582" spans="1:7" ht="16.149999999999999" x14ac:dyDescent="0.7">
      <c r="A1582" s="49">
        <v>44705.525271921295</v>
      </c>
      <c r="B1582" s="50" t="s">
        <v>14</v>
      </c>
      <c r="C1582" s="50" t="s">
        <v>356</v>
      </c>
      <c r="D1582" s="50" t="s">
        <v>261</v>
      </c>
      <c r="E1582" s="50">
        <v>-1</v>
      </c>
      <c r="F1582" s="50">
        <v>-0.89088774584936292</v>
      </c>
      <c r="G1582" s="51" t="str">
        <v>林智 2022/06/25 (土)
休日午後</v>
      </c>
    </row>
    <row r="1583" spans="1:7" ht="16.149999999999999" x14ac:dyDescent="0.7">
      <c r="A1583" s="49">
        <v>44705.525271921295</v>
      </c>
      <c r="B1583" s="50" t="s">
        <v>14</v>
      </c>
      <c r="C1583" s="50" t="s">
        <v>357</v>
      </c>
      <c r="D1583" s="50" t="s">
        <v>263</v>
      </c>
      <c r="E1583" s="50">
        <v>-1</v>
      </c>
      <c r="F1583" s="50">
        <v>-0.15504888790159299</v>
      </c>
      <c r="G1583" s="51" t="str">
        <v>林智 2022/06/25 (土)
休日午前</v>
      </c>
    </row>
    <row r="1584" spans="1:7" ht="16.149999999999999" x14ac:dyDescent="0.7">
      <c r="A1584" s="49">
        <v>44705.525271921295</v>
      </c>
      <c r="B1584" s="50" t="s">
        <v>14</v>
      </c>
      <c r="C1584" s="50" t="s">
        <v>358</v>
      </c>
      <c r="D1584" s="50" t="s">
        <v>261</v>
      </c>
      <c r="E1584" s="50">
        <v>2</v>
      </c>
      <c r="F1584" s="50">
        <v>2.4120127026890756</v>
      </c>
      <c r="G1584" s="51" t="str">
        <v>林智 2022/06/26 (日)
休日午後</v>
      </c>
    </row>
    <row r="1585" spans="1:7" ht="16.149999999999999" x14ac:dyDescent="0.7">
      <c r="A1585" s="49">
        <v>44705.525271921295</v>
      </c>
      <c r="B1585" s="50" t="s">
        <v>14</v>
      </c>
      <c r="C1585" s="50" t="s">
        <v>359</v>
      </c>
      <c r="D1585" s="50" t="s">
        <v>263</v>
      </c>
      <c r="E1585" s="50">
        <v>0</v>
      </c>
      <c r="F1585" s="50">
        <v>0.49750289180571006</v>
      </c>
      <c r="G1585" s="51" t="str">
        <v>林智 2022/06/26 (日)
休日午前</v>
      </c>
    </row>
    <row r="1586" spans="1:7" ht="16.149999999999999" x14ac:dyDescent="0.7">
      <c r="A1586" s="49">
        <v>44705.525271921295</v>
      </c>
      <c r="B1586" s="50" t="s">
        <v>14</v>
      </c>
      <c r="C1586" s="50" t="s">
        <v>360</v>
      </c>
      <c r="D1586" s="50" t="s">
        <v>259</v>
      </c>
      <c r="E1586" s="50">
        <v>0</v>
      </c>
      <c r="F1586" s="50">
        <v>0.71105344599778531</v>
      </c>
      <c r="G1586" s="51" t="str">
        <v>林智 2022/06/27 (月)
平日夜間</v>
      </c>
    </row>
    <row r="1587" spans="1:7" ht="16.149999999999999" x14ac:dyDescent="0.7">
      <c r="A1587" s="49">
        <v>44705.525271921295</v>
      </c>
      <c r="B1587" s="50" t="s">
        <v>14</v>
      </c>
      <c r="C1587" s="50" t="s">
        <v>361</v>
      </c>
      <c r="D1587" s="50" t="s">
        <v>259</v>
      </c>
      <c r="E1587" s="50">
        <v>0</v>
      </c>
      <c r="F1587" s="50">
        <v>0.91716733095590985</v>
      </c>
      <c r="G1587" s="51" t="str">
        <v>林智 2022/06/28 (火)
平日夜間</v>
      </c>
    </row>
    <row r="1588" spans="1:7" ht="16.149999999999999" x14ac:dyDescent="0.7">
      <c r="A1588" s="49">
        <v>44705.525271921295</v>
      </c>
      <c r="B1588" s="50" t="s">
        <v>14</v>
      </c>
      <c r="C1588" s="50" t="s">
        <v>362</v>
      </c>
      <c r="D1588" s="50" t="s">
        <v>259</v>
      </c>
      <c r="E1588" s="50">
        <v>0</v>
      </c>
      <c r="F1588" s="50">
        <v>0.47885085937961391</v>
      </c>
      <c r="G1588" s="51" t="str">
        <v>林智 2022/06/29 (水)
平日夜間</v>
      </c>
    </row>
    <row r="1589" spans="1:7" ht="16.149999999999999" x14ac:dyDescent="0.7">
      <c r="A1589" s="49">
        <v>44705.525271921295</v>
      </c>
      <c r="B1589" s="50" t="s">
        <v>14</v>
      </c>
      <c r="C1589" s="50" t="s">
        <v>363</v>
      </c>
      <c r="D1589" s="50" t="s">
        <v>259</v>
      </c>
      <c r="E1589" s="50">
        <v>0</v>
      </c>
      <c r="F1589" s="50">
        <v>6.3421428383044987E-2</v>
      </c>
      <c r="G1589" s="51" t="str">
        <v>林智 2022/06/30 (木)
平日夜間</v>
      </c>
    </row>
    <row r="1590" spans="1:7" ht="16.149999999999999" x14ac:dyDescent="0.7">
      <c r="A1590" s="49">
        <v>44705.552996365739</v>
      </c>
      <c r="B1590" s="50" t="s">
        <v>4</v>
      </c>
      <c r="C1590" s="50" t="s">
        <v>326</v>
      </c>
      <c r="D1590" s="50" t="s">
        <v>259</v>
      </c>
      <c r="E1590" s="50">
        <v>0</v>
      </c>
      <c r="F1590" s="50">
        <v>0.26772780256130724</v>
      </c>
      <c r="G1590" s="51" t="str">
        <v>井上 2022/06/01 (水)
平日夜間</v>
      </c>
    </row>
    <row r="1591" spans="1:7" ht="16.149999999999999" x14ac:dyDescent="0.7">
      <c r="A1591" s="49">
        <v>44705.552996365739</v>
      </c>
      <c r="B1591" s="50" t="s">
        <v>4</v>
      </c>
      <c r="C1591" s="50" t="s">
        <v>327</v>
      </c>
      <c r="D1591" s="50" t="s">
        <v>259</v>
      </c>
      <c r="E1591" s="50">
        <v>0</v>
      </c>
      <c r="F1591" s="50">
        <v>0.29447547230195958</v>
      </c>
      <c r="G1591" s="51" t="str">
        <v>井上 2022/06/02 (木)
平日夜間</v>
      </c>
    </row>
    <row r="1592" spans="1:7" ht="16.149999999999999" x14ac:dyDescent="0.7">
      <c r="A1592" s="49">
        <v>44705.552996365739</v>
      </c>
      <c r="B1592" s="50" t="s">
        <v>4</v>
      </c>
      <c r="C1592" s="50" t="s">
        <v>328</v>
      </c>
      <c r="D1592" s="50" t="s">
        <v>259</v>
      </c>
      <c r="E1592" s="50">
        <v>-1</v>
      </c>
      <c r="F1592" s="50">
        <v>-0.62299592075555288</v>
      </c>
      <c r="G1592" s="51" t="str">
        <v>井上 2022/06/03 (金)
平日夜間</v>
      </c>
    </row>
    <row r="1593" spans="1:7" ht="16.149999999999999" x14ac:dyDescent="0.7">
      <c r="A1593" s="49">
        <v>44705.552996365739</v>
      </c>
      <c r="B1593" s="50" t="s">
        <v>4</v>
      </c>
      <c r="C1593" s="50" t="s">
        <v>329</v>
      </c>
      <c r="D1593" s="50" t="s">
        <v>261</v>
      </c>
      <c r="E1593" s="50">
        <v>-1</v>
      </c>
      <c r="F1593" s="50">
        <v>-0.1185917160016472</v>
      </c>
      <c r="G1593" s="51" t="str">
        <v>井上 2022/06/04 (土)
休日午後</v>
      </c>
    </row>
    <row r="1594" spans="1:7" ht="16.149999999999999" x14ac:dyDescent="0.7">
      <c r="A1594" s="49">
        <v>44705.552996365739</v>
      </c>
      <c r="B1594" s="50" t="s">
        <v>4</v>
      </c>
      <c r="C1594" s="50" t="s">
        <v>330</v>
      </c>
      <c r="D1594" s="50" t="s">
        <v>263</v>
      </c>
      <c r="E1594" s="50">
        <v>-1</v>
      </c>
      <c r="F1594" s="50">
        <v>-0.92099437124798689</v>
      </c>
      <c r="G1594" s="51" t="str">
        <v>井上 2022/06/04 (土)
休日午前</v>
      </c>
    </row>
    <row r="1595" spans="1:7" ht="16.149999999999999" x14ac:dyDescent="0.7">
      <c r="A1595" s="49">
        <v>44705.552996365739</v>
      </c>
      <c r="B1595" s="50" t="s">
        <v>4</v>
      </c>
      <c r="C1595" s="50" t="s">
        <v>331</v>
      </c>
      <c r="D1595" s="50" t="s">
        <v>261</v>
      </c>
      <c r="E1595" s="50">
        <v>-1</v>
      </c>
      <c r="F1595" s="50">
        <v>-9.381607931529623E-2</v>
      </c>
      <c r="G1595" s="51" t="str">
        <v>井上 2022/06/05 (日)
休日午後</v>
      </c>
    </row>
    <row r="1596" spans="1:7" ht="16.149999999999999" x14ac:dyDescent="0.7">
      <c r="A1596" s="49">
        <v>44705.552996365739</v>
      </c>
      <c r="B1596" s="50" t="s">
        <v>4</v>
      </c>
      <c r="C1596" s="50" t="s">
        <v>332</v>
      </c>
      <c r="D1596" s="50" t="s">
        <v>263</v>
      </c>
      <c r="E1596" s="50">
        <v>-1</v>
      </c>
      <c r="F1596" s="50">
        <v>-0.33751996047340715</v>
      </c>
      <c r="G1596" s="51" t="str">
        <v>井上 2022/06/05 (日)
休日午前</v>
      </c>
    </row>
    <row r="1597" spans="1:7" ht="16.149999999999999" x14ac:dyDescent="0.7">
      <c r="A1597" s="49">
        <v>44705.552996365739</v>
      </c>
      <c r="B1597" s="50" t="s">
        <v>4</v>
      </c>
      <c r="C1597" s="50" t="s">
        <v>333</v>
      </c>
      <c r="D1597" s="50" t="s">
        <v>259</v>
      </c>
      <c r="E1597" s="50">
        <v>2</v>
      </c>
      <c r="F1597" s="50">
        <v>2.5547415913903064</v>
      </c>
      <c r="G1597" s="51" t="str">
        <v>井上 2022/06/06 (月)
平日夜間</v>
      </c>
    </row>
    <row r="1598" spans="1:7" ht="16.149999999999999" x14ac:dyDescent="0.7">
      <c r="A1598" s="49">
        <v>44705.552996365739</v>
      </c>
      <c r="B1598" s="50" t="s">
        <v>4</v>
      </c>
      <c r="C1598" s="50" t="s">
        <v>334</v>
      </c>
      <c r="D1598" s="50" t="s">
        <v>259</v>
      </c>
      <c r="E1598" s="50">
        <v>0</v>
      </c>
      <c r="F1598" s="50">
        <v>9.5265412387619541E-3</v>
      </c>
      <c r="G1598" s="51" t="str">
        <v>井上 2022/06/07 (火)
平日夜間</v>
      </c>
    </row>
    <row r="1599" spans="1:7" ht="16.149999999999999" x14ac:dyDescent="0.7">
      <c r="A1599" s="49">
        <v>44705.552996365739</v>
      </c>
      <c r="B1599" s="50" t="s">
        <v>4</v>
      </c>
      <c r="C1599" s="50" t="s">
        <v>335</v>
      </c>
      <c r="D1599" s="50" t="s">
        <v>259</v>
      </c>
      <c r="E1599" s="50">
        <v>-1</v>
      </c>
      <c r="F1599" s="50">
        <v>-0.52312815636130594</v>
      </c>
      <c r="G1599" s="51" t="str">
        <v>井上 2022/06/08 (水)
平日夜間</v>
      </c>
    </row>
    <row r="1600" spans="1:7" ht="16.149999999999999" x14ac:dyDescent="0.7">
      <c r="A1600" s="49">
        <v>44705.552996365739</v>
      </c>
      <c r="B1600" s="50" t="s">
        <v>4</v>
      </c>
      <c r="C1600" s="50" t="s">
        <v>336</v>
      </c>
      <c r="D1600" s="50" t="s">
        <v>259</v>
      </c>
      <c r="E1600" s="50">
        <v>0</v>
      </c>
      <c r="F1600" s="50">
        <v>0.43091178974294464</v>
      </c>
      <c r="G1600" s="51" t="str">
        <v>井上 2022/06/09 (木)
平日夜間</v>
      </c>
    </row>
    <row r="1601" spans="1:7" ht="16.149999999999999" x14ac:dyDescent="0.7">
      <c r="A1601" s="49">
        <v>44705.552996365739</v>
      </c>
      <c r="B1601" s="50" t="s">
        <v>4</v>
      </c>
      <c r="C1601" s="50" t="s">
        <v>337</v>
      </c>
      <c r="D1601" s="50" t="s">
        <v>259</v>
      </c>
      <c r="E1601" s="50">
        <v>0</v>
      </c>
      <c r="F1601" s="50">
        <v>0.84373518998373576</v>
      </c>
      <c r="G1601" s="51" t="str">
        <v>井上 2022/06/10 (金)
平日夜間</v>
      </c>
    </row>
    <row r="1602" spans="1:7" ht="16.149999999999999" x14ac:dyDescent="0.7">
      <c r="A1602" s="49">
        <v>44705.552996365739</v>
      </c>
      <c r="B1602" s="50" t="s">
        <v>4</v>
      </c>
      <c r="C1602" s="50" t="s">
        <v>338</v>
      </c>
      <c r="D1602" s="50" t="s">
        <v>261</v>
      </c>
      <c r="E1602" s="50">
        <v>-1</v>
      </c>
      <c r="F1602" s="50">
        <v>-0.90119813231877965</v>
      </c>
      <c r="G1602" s="51" t="str">
        <v>井上 2022/06/11 (土)
休日午後</v>
      </c>
    </row>
    <row r="1603" spans="1:7" ht="16.149999999999999" x14ac:dyDescent="0.7">
      <c r="A1603" s="49">
        <v>44705.552996365739</v>
      </c>
      <c r="B1603" s="50" t="s">
        <v>4</v>
      </c>
      <c r="C1603" s="50" t="s">
        <v>339</v>
      </c>
      <c r="D1603" s="50" t="s">
        <v>263</v>
      </c>
      <c r="E1603" s="50">
        <v>0</v>
      </c>
      <c r="F1603" s="50">
        <v>0.92786697491800307</v>
      </c>
      <c r="G1603" s="51" t="str">
        <v>井上 2022/06/11 (土)
休日午前</v>
      </c>
    </row>
    <row r="1604" spans="1:7" ht="16.149999999999999" x14ac:dyDescent="0.7">
      <c r="A1604" s="49">
        <v>44705.552996365739</v>
      </c>
      <c r="B1604" s="50" t="s">
        <v>4</v>
      </c>
      <c r="C1604" s="50" t="s">
        <v>340</v>
      </c>
      <c r="D1604" s="50" t="s">
        <v>261</v>
      </c>
      <c r="E1604" s="50">
        <v>-1</v>
      </c>
      <c r="F1604" s="50">
        <v>-0.21192147511069903</v>
      </c>
      <c r="G1604" s="51" t="str">
        <v>井上 2022/06/12 (日)
休日午後</v>
      </c>
    </row>
    <row r="1605" spans="1:7" ht="16.149999999999999" x14ac:dyDescent="0.7">
      <c r="A1605" s="49">
        <v>44705.552996365739</v>
      </c>
      <c r="B1605" s="50" t="s">
        <v>4</v>
      </c>
      <c r="C1605" s="50" t="s">
        <v>341</v>
      </c>
      <c r="D1605" s="50" t="s">
        <v>263</v>
      </c>
      <c r="E1605" s="50">
        <v>-1</v>
      </c>
      <c r="F1605" s="50">
        <v>-0.99416018010122276</v>
      </c>
      <c r="G1605" s="51" t="str">
        <v>井上 2022/06/12 (日)
休日午前</v>
      </c>
    </row>
    <row r="1606" spans="1:7" ht="16.149999999999999" x14ac:dyDescent="0.7">
      <c r="A1606" s="49">
        <v>44705.552996365739</v>
      </c>
      <c r="B1606" s="50" t="s">
        <v>4</v>
      </c>
      <c r="C1606" s="50" t="s">
        <v>342</v>
      </c>
      <c r="D1606" s="50" t="s">
        <v>259</v>
      </c>
      <c r="E1606" s="50">
        <v>0</v>
      </c>
      <c r="F1606" s="50">
        <v>6.9326621244184539E-2</v>
      </c>
      <c r="G1606" s="51" t="str">
        <v>井上 2022/06/13 (月)
平日夜間</v>
      </c>
    </row>
    <row r="1607" spans="1:7" ht="16.149999999999999" x14ac:dyDescent="0.7">
      <c r="A1607" s="49">
        <v>44705.552996365739</v>
      </c>
      <c r="B1607" s="50" t="s">
        <v>4</v>
      </c>
      <c r="C1607" s="50" t="s">
        <v>343</v>
      </c>
      <c r="D1607" s="50" t="s">
        <v>259</v>
      </c>
      <c r="E1607" s="50">
        <v>0</v>
      </c>
      <c r="F1607" s="50">
        <v>0.56090513970405254</v>
      </c>
      <c r="G1607" s="51" t="str">
        <v>井上 2022/06/14 (火)
平日夜間</v>
      </c>
    </row>
    <row r="1608" spans="1:7" ht="16.149999999999999" x14ac:dyDescent="0.7">
      <c r="A1608" s="49">
        <v>44705.552996365739</v>
      </c>
      <c r="B1608" s="50" t="s">
        <v>4</v>
      </c>
      <c r="C1608" s="50" t="s">
        <v>344</v>
      </c>
      <c r="D1608" s="50" t="s">
        <v>259</v>
      </c>
      <c r="E1608" s="50">
        <v>0</v>
      </c>
      <c r="F1608" s="50">
        <v>0.91848319258475009</v>
      </c>
      <c r="G1608" s="51" t="str">
        <v>井上 2022/06/15 (水)
平日夜間</v>
      </c>
    </row>
    <row r="1609" spans="1:7" ht="16.149999999999999" x14ac:dyDescent="0.7">
      <c r="A1609" s="49">
        <v>44705.552996365739</v>
      </c>
      <c r="B1609" s="50" t="s">
        <v>4</v>
      </c>
      <c r="C1609" s="50" t="s">
        <v>345</v>
      </c>
      <c r="D1609" s="50" t="s">
        <v>259</v>
      </c>
      <c r="E1609" s="50">
        <v>0</v>
      </c>
      <c r="F1609" s="50">
        <v>0.70422885613272612</v>
      </c>
      <c r="G1609" s="51" t="str">
        <v>井上 2022/06/16 (木)
平日夜間</v>
      </c>
    </row>
    <row r="1610" spans="1:7" ht="16.149999999999999" x14ac:dyDescent="0.7">
      <c r="A1610" s="49">
        <v>44705.552996365739</v>
      </c>
      <c r="B1610" s="50" t="s">
        <v>4</v>
      </c>
      <c r="C1610" s="50" t="s">
        <v>346</v>
      </c>
      <c r="D1610" s="50" t="s">
        <v>259</v>
      </c>
      <c r="E1610" s="50">
        <v>0</v>
      </c>
      <c r="F1610" s="50">
        <v>0.67862665039813796</v>
      </c>
      <c r="G1610" s="51" t="str">
        <v>井上 2022/06/17 (金)
平日夜間</v>
      </c>
    </row>
    <row r="1611" spans="1:7" ht="16.149999999999999" x14ac:dyDescent="0.7">
      <c r="A1611" s="49">
        <v>44705.552996365739</v>
      </c>
      <c r="B1611" s="50" t="s">
        <v>4</v>
      </c>
      <c r="C1611" s="50" t="s">
        <v>347</v>
      </c>
      <c r="D1611" s="50" t="s">
        <v>261</v>
      </c>
      <c r="E1611" s="50">
        <v>-1</v>
      </c>
      <c r="F1611" s="50">
        <v>-0.88630224682200676</v>
      </c>
      <c r="G1611" s="51" t="str">
        <v>井上 2022/06/18 (土)
休日午後</v>
      </c>
    </row>
    <row r="1612" spans="1:7" ht="16.149999999999999" x14ac:dyDescent="0.7">
      <c r="A1612" s="49">
        <v>44705.552996365739</v>
      </c>
      <c r="B1612" s="50" t="s">
        <v>4</v>
      </c>
      <c r="C1612" s="50" t="s">
        <v>348</v>
      </c>
      <c r="D1612" s="50" t="s">
        <v>263</v>
      </c>
      <c r="E1612" s="50">
        <v>0</v>
      </c>
      <c r="F1612" s="50">
        <v>0.31791440051338782</v>
      </c>
      <c r="G1612" s="51" t="str">
        <v>井上 2022/06/18 (土)
休日午前</v>
      </c>
    </row>
    <row r="1613" spans="1:7" ht="16.149999999999999" x14ac:dyDescent="0.7">
      <c r="A1613" s="49">
        <v>44705.552996365739</v>
      </c>
      <c r="B1613" s="50" t="s">
        <v>4</v>
      </c>
      <c r="C1613" s="50" t="s">
        <v>349</v>
      </c>
      <c r="D1613" s="50" t="s">
        <v>261</v>
      </c>
      <c r="E1613" s="50">
        <v>-1</v>
      </c>
      <c r="F1613" s="50">
        <v>-0.1995594694739411</v>
      </c>
      <c r="G1613" s="51" t="str">
        <v>井上 2022/06/19 (日)
休日午後</v>
      </c>
    </row>
    <row r="1614" spans="1:7" ht="16.149999999999999" x14ac:dyDescent="0.7">
      <c r="A1614" s="49">
        <v>44705.552996365739</v>
      </c>
      <c r="B1614" s="50" t="s">
        <v>4</v>
      </c>
      <c r="C1614" s="50" t="s">
        <v>350</v>
      </c>
      <c r="D1614" s="50" t="s">
        <v>263</v>
      </c>
      <c r="E1614" s="50">
        <v>-1</v>
      </c>
      <c r="F1614" s="50">
        <v>-0.97090681873102391</v>
      </c>
      <c r="G1614" s="51" t="str">
        <v>井上 2022/06/19 (日)
休日午前</v>
      </c>
    </row>
    <row r="1615" spans="1:7" ht="16.149999999999999" x14ac:dyDescent="0.7">
      <c r="A1615" s="49">
        <v>44705.552996365739</v>
      </c>
      <c r="B1615" s="50" t="s">
        <v>4</v>
      </c>
      <c r="C1615" s="50" t="s">
        <v>351</v>
      </c>
      <c r="D1615" s="50" t="s">
        <v>259</v>
      </c>
      <c r="E1615" s="50">
        <v>-1</v>
      </c>
      <c r="F1615" s="50">
        <v>-0.27403289719300883</v>
      </c>
      <c r="G1615" s="51" t="str">
        <v>井上 2022/06/20 (月)
平日夜間</v>
      </c>
    </row>
    <row r="1616" spans="1:7" ht="16.149999999999999" x14ac:dyDescent="0.7">
      <c r="A1616" s="49">
        <v>44705.552996365739</v>
      </c>
      <c r="B1616" s="50" t="s">
        <v>4</v>
      </c>
      <c r="C1616" s="50" t="s">
        <v>352</v>
      </c>
      <c r="D1616" s="50" t="s">
        <v>259</v>
      </c>
      <c r="E1616" s="50">
        <v>0</v>
      </c>
      <c r="F1616" s="50">
        <v>0.22662464492436651</v>
      </c>
      <c r="G1616" s="51" t="str">
        <v>井上 2022/06/21 (火)
平日夜間</v>
      </c>
    </row>
    <row r="1617" spans="1:7" ht="16.149999999999999" x14ac:dyDescent="0.7">
      <c r="A1617" s="49">
        <v>44705.552996365739</v>
      </c>
      <c r="B1617" s="50" t="s">
        <v>4</v>
      </c>
      <c r="C1617" s="50" t="s">
        <v>353</v>
      </c>
      <c r="D1617" s="50" t="s">
        <v>259</v>
      </c>
      <c r="E1617" s="50">
        <v>0</v>
      </c>
      <c r="F1617" s="50">
        <v>0.50093686761431111</v>
      </c>
      <c r="G1617" s="51" t="str">
        <v>井上 2022/06/22 (水)
平日夜間</v>
      </c>
    </row>
    <row r="1618" spans="1:7" ht="16.149999999999999" x14ac:dyDescent="0.7">
      <c r="A1618" s="49">
        <v>44705.552996365739</v>
      </c>
      <c r="B1618" s="50" t="s">
        <v>4</v>
      </c>
      <c r="C1618" s="50" t="s">
        <v>354</v>
      </c>
      <c r="D1618" s="50" t="s">
        <v>259</v>
      </c>
      <c r="E1618" s="50">
        <v>0</v>
      </c>
      <c r="F1618" s="50">
        <v>0.81607215610565786</v>
      </c>
      <c r="G1618" s="51" t="str">
        <v>井上 2022/06/23 (木)
平日夜間</v>
      </c>
    </row>
    <row r="1619" spans="1:7" ht="16.149999999999999" x14ac:dyDescent="0.7">
      <c r="A1619" s="49">
        <v>44705.552996365739</v>
      </c>
      <c r="B1619" s="50" t="s">
        <v>4</v>
      </c>
      <c r="C1619" s="50" t="s">
        <v>355</v>
      </c>
      <c r="D1619" s="50" t="s">
        <v>259</v>
      </c>
      <c r="E1619" s="50">
        <v>-1</v>
      </c>
      <c r="F1619" s="50">
        <v>-0.54920910127045786</v>
      </c>
      <c r="G1619" s="51" t="str">
        <v>井上 2022/06/24 (金)
平日夜間</v>
      </c>
    </row>
    <row r="1620" spans="1:7" ht="16.149999999999999" x14ac:dyDescent="0.7">
      <c r="A1620" s="49">
        <v>44705.552996365739</v>
      </c>
      <c r="B1620" s="50" t="s">
        <v>4</v>
      </c>
      <c r="C1620" s="50" t="s">
        <v>356</v>
      </c>
      <c r="D1620" s="50" t="s">
        <v>261</v>
      </c>
      <c r="E1620" s="50">
        <v>0</v>
      </c>
      <c r="F1620" s="50">
        <v>0.97445842781338166</v>
      </c>
      <c r="G1620" s="51" t="str">
        <v>井上 2022/06/25 (土)
休日午後</v>
      </c>
    </row>
    <row r="1621" spans="1:7" ht="16.149999999999999" x14ac:dyDescent="0.7">
      <c r="A1621" s="49">
        <v>44705.552996365739</v>
      </c>
      <c r="B1621" s="50" t="s">
        <v>4</v>
      </c>
      <c r="C1621" s="50" t="s">
        <v>357</v>
      </c>
      <c r="D1621" s="50" t="s">
        <v>263</v>
      </c>
      <c r="E1621" s="50">
        <v>0</v>
      </c>
      <c r="F1621" s="50">
        <v>0.28692053770439396</v>
      </c>
      <c r="G1621" s="51" t="str">
        <v>井上 2022/06/25 (土)
休日午前</v>
      </c>
    </row>
    <row r="1622" spans="1:7" ht="16.149999999999999" x14ac:dyDescent="0.7">
      <c r="A1622" s="49">
        <v>44705.552996365739</v>
      </c>
      <c r="B1622" s="50" t="s">
        <v>4</v>
      </c>
      <c r="C1622" s="50" t="s">
        <v>358</v>
      </c>
      <c r="D1622" s="50" t="s">
        <v>261</v>
      </c>
      <c r="E1622" s="50">
        <v>-1</v>
      </c>
      <c r="F1622" s="50">
        <v>-0.7054983729720441</v>
      </c>
      <c r="G1622" s="51" t="str">
        <v>井上 2022/06/26 (日)
休日午後</v>
      </c>
    </row>
    <row r="1623" spans="1:7" ht="16.149999999999999" x14ac:dyDescent="0.7">
      <c r="A1623" s="49">
        <v>44705.552996365739</v>
      </c>
      <c r="B1623" s="50" t="s">
        <v>4</v>
      </c>
      <c r="C1623" s="50" t="s">
        <v>359</v>
      </c>
      <c r="D1623" s="50" t="s">
        <v>263</v>
      </c>
      <c r="E1623" s="50">
        <v>0</v>
      </c>
      <c r="F1623" s="50">
        <v>2.4536694541588133E-2</v>
      </c>
      <c r="G1623" s="51" t="str">
        <v>井上 2022/06/26 (日)
休日午前</v>
      </c>
    </row>
    <row r="1624" spans="1:7" ht="16.149999999999999" x14ac:dyDescent="0.7">
      <c r="A1624" s="49">
        <v>44705.552996365739</v>
      </c>
      <c r="B1624" s="50" t="s">
        <v>4</v>
      </c>
      <c r="C1624" s="50" t="s">
        <v>360</v>
      </c>
      <c r="D1624" s="50" t="s">
        <v>259</v>
      </c>
      <c r="E1624" s="50">
        <v>0</v>
      </c>
      <c r="F1624" s="50">
        <v>0.80904346806553562</v>
      </c>
      <c r="G1624" s="51" t="str">
        <v>井上 2022/06/27 (月)
平日夜間</v>
      </c>
    </row>
    <row r="1625" spans="1:7" ht="16.149999999999999" x14ac:dyDescent="0.7">
      <c r="A1625" s="49">
        <v>44705.552996365739</v>
      </c>
      <c r="B1625" s="50" t="s">
        <v>4</v>
      </c>
      <c r="C1625" s="50" t="s">
        <v>361</v>
      </c>
      <c r="D1625" s="50" t="s">
        <v>259</v>
      </c>
      <c r="E1625" s="50">
        <v>0</v>
      </c>
      <c r="F1625" s="50">
        <v>0.62250531983917989</v>
      </c>
      <c r="G1625" s="51" t="str">
        <v>井上 2022/06/28 (火)
平日夜間</v>
      </c>
    </row>
    <row r="1626" spans="1:7" ht="16.149999999999999" x14ac:dyDescent="0.7">
      <c r="A1626" s="49">
        <v>44705.552996365739</v>
      </c>
      <c r="B1626" s="50" t="s">
        <v>4</v>
      </c>
      <c r="C1626" s="50" t="s">
        <v>362</v>
      </c>
      <c r="D1626" s="50" t="s">
        <v>259</v>
      </c>
      <c r="E1626" s="50">
        <v>0</v>
      </c>
      <c r="F1626" s="50">
        <v>0.64014255424571909</v>
      </c>
      <c r="G1626" s="51" t="str">
        <v>井上 2022/06/29 (水)
平日夜間</v>
      </c>
    </row>
    <row r="1627" spans="1:7" ht="16.149999999999999" x14ac:dyDescent="0.7">
      <c r="A1627" s="49">
        <v>44705.552996365739</v>
      </c>
      <c r="B1627" s="50" t="s">
        <v>4</v>
      </c>
      <c r="C1627" s="50" t="s">
        <v>363</v>
      </c>
      <c r="D1627" s="50" t="s">
        <v>259</v>
      </c>
      <c r="E1627" s="50">
        <v>0</v>
      </c>
      <c r="F1627" s="50">
        <v>0.26217502338314591</v>
      </c>
      <c r="G1627" s="51" t="str">
        <v>井上 2022/06/30 (木)
平日夜間</v>
      </c>
    </row>
    <row r="1628" spans="1:7" ht="16.149999999999999" x14ac:dyDescent="0.7">
      <c r="A1628" s="49">
        <v>44705.568649733796</v>
      </c>
      <c r="B1628" s="50" t="s">
        <v>38</v>
      </c>
      <c r="C1628" s="50" t="s">
        <v>326</v>
      </c>
      <c r="D1628" s="50" t="s">
        <v>259</v>
      </c>
      <c r="E1628" s="50">
        <v>-1</v>
      </c>
      <c r="F1628" s="50">
        <v>-0.37710711434782218</v>
      </c>
      <c r="G1628" s="51" t="str">
        <v>森岳 2022/06/01 (水)
平日夜間</v>
      </c>
    </row>
    <row r="1629" spans="1:7" ht="16.149999999999999" x14ac:dyDescent="0.7">
      <c r="A1629" s="49">
        <v>44705.568649733796</v>
      </c>
      <c r="B1629" s="50" t="s">
        <v>38</v>
      </c>
      <c r="C1629" s="50" t="s">
        <v>327</v>
      </c>
      <c r="D1629" s="50" t="s">
        <v>259</v>
      </c>
      <c r="E1629" s="50">
        <v>-1</v>
      </c>
      <c r="F1629" s="50">
        <v>-4.1650393880680925E-2</v>
      </c>
      <c r="G1629" s="51" t="str">
        <v>森岳 2022/06/02 (木)
平日夜間</v>
      </c>
    </row>
    <row r="1630" spans="1:7" ht="16.149999999999999" x14ac:dyDescent="0.7">
      <c r="A1630" s="49">
        <v>44705.568649733796</v>
      </c>
      <c r="B1630" s="50" t="s">
        <v>38</v>
      </c>
      <c r="C1630" s="50" t="s">
        <v>328</v>
      </c>
      <c r="D1630" s="50" t="s">
        <v>259</v>
      </c>
      <c r="E1630" s="50">
        <v>0</v>
      </c>
      <c r="F1630" s="50">
        <v>0.89588791852897076</v>
      </c>
      <c r="G1630" s="51" t="str">
        <v>森岳 2022/06/03 (金)
平日夜間</v>
      </c>
    </row>
    <row r="1631" spans="1:7" ht="16.149999999999999" x14ac:dyDescent="0.7">
      <c r="A1631" s="49">
        <v>44705.568649733796</v>
      </c>
      <c r="B1631" s="50" t="s">
        <v>38</v>
      </c>
      <c r="C1631" s="50" t="s">
        <v>329</v>
      </c>
      <c r="D1631" s="50" t="s">
        <v>261</v>
      </c>
      <c r="E1631" s="50">
        <v>-1</v>
      </c>
      <c r="F1631" s="50">
        <v>-3.0653675716825202E-2</v>
      </c>
      <c r="G1631" s="51" t="str">
        <v>森岳 2022/06/04 (土)
休日午後</v>
      </c>
    </row>
    <row r="1632" spans="1:7" ht="16.149999999999999" x14ac:dyDescent="0.7">
      <c r="A1632" s="49">
        <v>44705.568649733796</v>
      </c>
      <c r="B1632" s="50" t="s">
        <v>38</v>
      </c>
      <c r="C1632" s="50" t="s">
        <v>330</v>
      </c>
      <c r="D1632" s="50" t="s">
        <v>263</v>
      </c>
      <c r="E1632" s="50">
        <v>-1</v>
      </c>
      <c r="F1632" s="50">
        <v>-0.71151681531671485</v>
      </c>
      <c r="G1632" s="51" t="str">
        <v>森岳 2022/06/04 (土)
休日午前</v>
      </c>
    </row>
    <row r="1633" spans="1:7" ht="16.149999999999999" x14ac:dyDescent="0.7">
      <c r="A1633" s="49">
        <v>44705.568649733796</v>
      </c>
      <c r="B1633" s="50" t="s">
        <v>38</v>
      </c>
      <c r="C1633" s="50" t="s">
        <v>331</v>
      </c>
      <c r="D1633" s="50" t="s">
        <v>261</v>
      </c>
      <c r="E1633" s="50">
        <v>0</v>
      </c>
      <c r="F1633" s="50">
        <v>0.44019557251923169</v>
      </c>
      <c r="G1633" s="51" t="str">
        <v>森岳 2022/06/05 (日)
休日午後</v>
      </c>
    </row>
    <row r="1634" spans="1:7" ht="16.149999999999999" x14ac:dyDescent="0.7">
      <c r="A1634" s="49">
        <v>44705.568649733796</v>
      </c>
      <c r="B1634" s="50" t="s">
        <v>38</v>
      </c>
      <c r="C1634" s="50" t="s">
        <v>332</v>
      </c>
      <c r="D1634" s="50" t="s">
        <v>263</v>
      </c>
      <c r="E1634" s="50">
        <v>0</v>
      </c>
      <c r="F1634" s="50">
        <v>0.56835533702355145</v>
      </c>
      <c r="G1634" s="51" t="str">
        <v>森岳 2022/06/05 (日)
休日午前</v>
      </c>
    </row>
    <row r="1635" spans="1:7" ht="16.149999999999999" x14ac:dyDescent="0.7">
      <c r="A1635" s="49">
        <v>44705.568649733796</v>
      </c>
      <c r="B1635" s="50" t="s">
        <v>38</v>
      </c>
      <c r="C1635" s="50" t="s">
        <v>333</v>
      </c>
      <c r="D1635" s="50" t="s">
        <v>259</v>
      </c>
      <c r="E1635" s="50">
        <v>0</v>
      </c>
      <c r="F1635" s="50">
        <v>0.41908067955179429</v>
      </c>
      <c r="G1635" s="51" t="str">
        <v>森岳 2022/06/06 (月)
平日夜間</v>
      </c>
    </row>
    <row r="1636" spans="1:7" ht="16.149999999999999" x14ac:dyDescent="0.7">
      <c r="A1636" s="49">
        <v>44705.568649733796</v>
      </c>
      <c r="B1636" s="50" t="s">
        <v>38</v>
      </c>
      <c r="C1636" s="50" t="s">
        <v>334</v>
      </c>
      <c r="D1636" s="50" t="s">
        <v>259</v>
      </c>
      <c r="E1636" s="50">
        <v>-1</v>
      </c>
      <c r="F1636" s="50">
        <v>-0.58062178611700599</v>
      </c>
      <c r="G1636" s="51" t="str">
        <v>森岳 2022/06/07 (火)
平日夜間</v>
      </c>
    </row>
    <row r="1637" spans="1:7" ht="16.149999999999999" x14ac:dyDescent="0.7">
      <c r="A1637" s="49">
        <v>44705.568649733796</v>
      </c>
      <c r="B1637" s="50" t="s">
        <v>38</v>
      </c>
      <c r="C1637" s="50" t="s">
        <v>335</v>
      </c>
      <c r="D1637" s="50" t="s">
        <v>259</v>
      </c>
      <c r="E1637" s="50">
        <v>-1</v>
      </c>
      <c r="F1637" s="50">
        <v>-0.65262718825774391</v>
      </c>
      <c r="G1637" s="51" t="str">
        <v>森岳 2022/06/08 (水)
平日夜間</v>
      </c>
    </row>
    <row r="1638" spans="1:7" ht="16.149999999999999" x14ac:dyDescent="0.7">
      <c r="A1638" s="49">
        <v>44705.568649733796</v>
      </c>
      <c r="B1638" s="50" t="s">
        <v>38</v>
      </c>
      <c r="C1638" s="50" t="s">
        <v>336</v>
      </c>
      <c r="D1638" s="50" t="s">
        <v>259</v>
      </c>
      <c r="E1638" s="50">
        <v>0</v>
      </c>
      <c r="F1638" s="50">
        <v>0.30923324664902463</v>
      </c>
      <c r="G1638" s="51" t="str">
        <v>森岳 2022/06/09 (木)
平日夜間</v>
      </c>
    </row>
    <row r="1639" spans="1:7" ht="16.149999999999999" x14ac:dyDescent="0.7">
      <c r="A1639" s="49">
        <v>44705.568649733796</v>
      </c>
      <c r="B1639" s="50" t="s">
        <v>38</v>
      </c>
      <c r="C1639" s="50" t="s">
        <v>337</v>
      </c>
      <c r="D1639" s="50" t="s">
        <v>259</v>
      </c>
      <c r="E1639" s="50">
        <v>0</v>
      </c>
      <c r="F1639" s="50">
        <v>0.45332257625794248</v>
      </c>
      <c r="G1639" s="51" t="str">
        <v>森岳 2022/06/10 (金)
平日夜間</v>
      </c>
    </row>
    <row r="1640" spans="1:7" ht="16.149999999999999" x14ac:dyDescent="0.7">
      <c r="A1640" s="49">
        <v>44705.568649733796</v>
      </c>
      <c r="B1640" s="50" t="s">
        <v>38</v>
      </c>
      <c r="C1640" s="50" t="s">
        <v>338</v>
      </c>
      <c r="D1640" s="50" t="s">
        <v>261</v>
      </c>
      <c r="E1640" s="50">
        <v>-1</v>
      </c>
      <c r="F1640" s="50">
        <v>-0.14378067466986755</v>
      </c>
      <c r="G1640" s="51" t="str">
        <v>森岳 2022/06/11 (土)
休日午後</v>
      </c>
    </row>
    <row r="1641" spans="1:7" ht="16.149999999999999" x14ac:dyDescent="0.7">
      <c r="A1641" s="49">
        <v>44705.568649733796</v>
      </c>
      <c r="B1641" s="50" t="s">
        <v>38</v>
      </c>
      <c r="C1641" s="50" t="s">
        <v>339</v>
      </c>
      <c r="D1641" s="50" t="s">
        <v>263</v>
      </c>
      <c r="E1641" s="50">
        <v>-1</v>
      </c>
      <c r="F1641" s="50">
        <v>-9.7625033858917964E-2</v>
      </c>
      <c r="G1641" s="51" t="str">
        <v>森岳 2022/06/11 (土)
休日午前</v>
      </c>
    </row>
    <row r="1642" spans="1:7" ht="16.149999999999999" x14ac:dyDescent="0.7">
      <c r="A1642" s="49">
        <v>44705.568649733796</v>
      </c>
      <c r="B1642" s="50" t="s">
        <v>38</v>
      </c>
      <c r="C1642" s="50" t="s">
        <v>340</v>
      </c>
      <c r="D1642" s="50" t="s">
        <v>261</v>
      </c>
      <c r="E1642" s="50">
        <v>0</v>
      </c>
      <c r="F1642" s="50">
        <v>0.88902810958950829</v>
      </c>
      <c r="G1642" s="51" t="str">
        <v>森岳 2022/06/12 (日)
休日午後</v>
      </c>
    </row>
    <row r="1643" spans="1:7" ht="16.149999999999999" x14ac:dyDescent="0.7">
      <c r="A1643" s="49">
        <v>44705.568649733796</v>
      </c>
      <c r="B1643" s="50" t="s">
        <v>38</v>
      </c>
      <c r="C1643" s="50" t="s">
        <v>341</v>
      </c>
      <c r="D1643" s="50" t="s">
        <v>263</v>
      </c>
      <c r="E1643" s="50">
        <v>0</v>
      </c>
      <c r="F1643" s="50">
        <v>0.46610346966494065</v>
      </c>
      <c r="G1643" s="51" t="str">
        <v>森岳 2022/06/12 (日)
休日午前</v>
      </c>
    </row>
    <row r="1644" spans="1:7" ht="16.149999999999999" x14ac:dyDescent="0.7">
      <c r="A1644" s="49">
        <v>44705.568649733796</v>
      </c>
      <c r="B1644" s="50" t="s">
        <v>38</v>
      </c>
      <c r="C1644" s="50" t="s">
        <v>342</v>
      </c>
      <c r="D1644" s="50" t="s">
        <v>259</v>
      </c>
      <c r="E1644" s="50">
        <v>0</v>
      </c>
      <c r="F1644" s="50">
        <v>0.77707628261831685</v>
      </c>
      <c r="G1644" s="51" t="str">
        <v>森岳 2022/06/13 (月)
平日夜間</v>
      </c>
    </row>
    <row r="1645" spans="1:7" ht="16.149999999999999" x14ac:dyDescent="0.7">
      <c r="A1645" s="49">
        <v>44705.568649733796</v>
      </c>
      <c r="B1645" s="50" t="s">
        <v>38</v>
      </c>
      <c r="C1645" s="50" t="s">
        <v>343</v>
      </c>
      <c r="D1645" s="50" t="s">
        <v>259</v>
      </c>
      <c r="E1645" s="50">
        <v>0</v>
      </c>
      <c r="F1645" s="50">
        <v>2.7069346788656912E-2</v>
      </c>
      <c r="G1645" s="51" t="str">
        <v>森岳 2022/06/14 (火)
平日夜間</v>
      </c>
    </row>
    <row r="1646" spans="1:7" ht="16.149999999999999" x14ac:dyDescent="0.7">
      <c r="A1646" s="49">
        <v>44705.568649733796</v>
      </c>
      <c r="B1646" s="50" t="s">
        <v>38</v>
      </c>
      <c r="C1646" s="50" t="s">
        <v>344</v>
      </c>
      <c r="D1646" s="50" t="s">
        <v>259</v>
      </c>
      <c r="E1646" s="50">
        <v>-1</v>
      </c>
      <c r="F1646" s="50">
        <v>-0.31279809031472738</v>
      </c>
      <c r="G1646" s="51" t="str">
        <v>森岳 2022/06/15 (水)
平日夜間</v>
      </c>
    </row>
    <row r="1647" spans="1:7" ht="16.149999999999999" x14ac:dyDescent="0.7">
      <c r="A1647" s="49">
        <v>44705.568649733796</v>
      </c>
      <c r="B1647" s="50" t="s">
        <v>38</v>
      </c>
      <c r="C1647" s="50" t="s">
        <v>345</v>
      </c>
      <c r="D1647" s="50" t="s">
        <v>259</v>
      </c>
      <c r="E1647" s="50">
        <v>2</v>
      </c>
      <c r="F1647" s="50">
        <v>2.9705233953247796</v>
      </c>
      <c r="G1647" s="51" t="str">
        <v>森岳 2022/06/16 (木)
平日夜間</v>
      </c>
    </row>
    <row r="1648" spans="1:7" ht="16.149999999999999" x14ac:dyDescent="0.7">
      <c r="A1648" s="49">
        <v>44705.568649733796</v>
      </c>
      <c r="B1648" s="50" t="s">
        <v>38</v>
      </c>
      <c r="C1648" s="50" t="s">
        <v>346</v>
      </c>
      <c r="D1648" s="50" t="s">
        <v>259</v>
      </c>
      <c r="E1648" s="50">
        <v>0</v>
      </c>
      <c r="F1648" s="50">
        <v>0.68622147673943679</v>
      </c>
      <c r="G1648" s="51" t="str">
        <v>森岳 2022/06/17 (金)
平日夜間</v>
      </c>
    </row>
    <row r="1649" spans="1:7" ht="16.149999999999999" x14ac:dyDescent="0.7">
      <c r="A1649" s="49">
        <v>44705.568649733796</v>
      </c>
      <c r="B1649" s="50" t="s">
        <v>38</v>
      </c>
      <c r="C1649" s="50" t="s">
        <v>347</v>
      </c>
      <c r="D1649" s="50" t="s">
        <v>261</v>
      </c>
      <c r="E1649" s="50">
        <v>-1</v>
      </c>
      <c r="F1649" s="50">
        <v>-0.36777346380633236</v>
      </c>
      <c r="G1649" s="51" t="str">
        <v>森岳 2022/06/18 (土)
休日午後</v>
      </c>
    </row>
    <row r="1650" spans="1:7" ht="16.149999999999999" x14ac:dyDescent="0.7">
      <c r="A1650" s="49">
        <v>44705.568649733796</v>
      </c>
      <c r="B1650" s="50" t="s">
        <v>38</v>
      </c>
      <c r="C1650" s="50" t="s">
        <v>348</v>
      </c>
      <c r="D1650" s="50" t="s">
        <v>263</v>
      </c>
      <c r="E1650" s="50">
        <v>-1</v>
      </c>
      <c r="F1650" s="50">
        <v>-0.39753653952507029</v>
      </c>
      <c r="G1650" s="51" t="str">
        <v>森岳 2022/06/18 (土)
休日午前</v>
      </c>
    </row>
    <row r="1651" spans="1:7" ht="16.149999999999999" x14ac:dyDescent="0.7">
      <c r="A1651" s="49">
        <v>44705.568649733796</v>
      </c>
      <c r="B1651" s="50" t="s">
        <v>38</v>
      </c>
      <c r="C1651" s="50" t="s">
        <v>349</v>
      </c>
      <c r="D1651" s="50" t="s">
        <v>261</v>
      </c>
      <c r="E1651" s="50">
        <v>0</v>
      </c>
      <c r="F1651" s="50">
        <v>0.56777050429462461</v>
      </c>
      <c r="G1651" s="51" t="str">
        <v>森岳 2022/06/19 (日)
休日午後</v>
      </c>
    </row>
    <row r="1652" spans="1:7" ht="16.149999999999999" x14ac:dyDescent="0.7">
      <c r="A1652" s="49">
        <v>44705.568649733796</v>
      </c>
      <c r="B1652" s="50" t="s">
        <v>38</v>
      </c>
      <c r="C1652" s="50" t="s">
        <v>350</v>
      </c>
      <c r="D1652" s="50" t="s">
        <v>263</v>
      </c>
      <c r="E1652" s="50">
        <v>0</v>
      </c>
      <c r="F1652" s="50">
        <v>5.0462757503246802E-3</v>
      </c>
      <c r="G1652" s="51" t="str">
        <v>森岳 2022/06/19 (日)
休日午前</v>
      </c>
    </row>
    <row r="1653" spans="1:7" ht="16.149999999999999" x14ac:dyDescent="0.7">
      <c r="A1653" s="49">
        <v>44705.568649733796</v>
      </c>
      <c r="B1653" s="50" t="s">
        <v>38</v>
      </c>
      <c r="C1653" s="50" t="s">
        <v>351</v>
      </c>
      <c r="D1653" s="50" t="s">
        <v>259</v>
      </c>
      <c r="E1653" s="50">
        <v>0</v>
      </c>
      <c r="F1653" s="50">
        <v>0.33157894245560504</v>
      </c>
      <c r="G1653" s="51" t="str">
        <v>森岳 2022/06/20 (月)
平日夜間</v>
      </c>
    </row>
    <row r="1654" spans="1:7" ht="16.149999999999999" x14ac:dyDescent="0.7">
      <c r="A1654" s="49">
        <v>44705.568649733796</v>
      </c>
      <c r="B1654" s="50" t="s">
        <v>38</v>
      </c>
      <c r="C1654" s="50" t="s">
        <v>352</v>
      </c>
      <c r="D1654" s="50" t="s">
        <v>259</v>
      </c>
      <c r="E1654" s="50">
        <v>0</v>
      </c>
      <c r="F1654" s="50">
        <v>0.82091571000064101</v>
      </c>
      <c r="G1654" s="51" t="str">
        <v>森岳 2022/06/21 (火)
平日夜間</v>
      </c>
    </row>
    <row r="1655" spans="1:7" ht="16.149999999999999" x14ac:dyDescent="0.7">
      <c r="A1655" s="49">
        <v>44705.568649733796</v>
      </c>
      <c r="B1655" s="50" t="s">
        <v>38</v>
      </c>
      <c r="C1655" s="50" t="s">
        <v>353</v>
      </c>
      <c r="D1655" s="50" t="s">
        <v>259</v>
      </c>
      <c r="E1655" s="50">
        <v>-1</v>
      </c>
      <c r="F1655" s="50">
        <v>-0.80957356538719982</v>
      </c>
      <c r="G1655" s="51" t="str">
        <v>森岳 2022/06/22 (水)
平日夜間</v>
      </c>
    </row>
    <row r="1656" spans="1:7" ht="16.149999999999999" x14ac:dyDescent="0.7">
      <c r="A1656" s="49">
        <v>44705.568649733796</v>
      </c>
      <c r="B1656" s="50" t="s">
        <v>38</v>
      </c>
      <c r="C1656" s="50" t="s">
        <v>354</v>
      </c>
      <c r="D1656" s="50" t="s">
        <v>259</v>
      </c>
      <c r="E1656" s="50">
        <v>-1</v>
      </c>
      <c r="F1656" s="50">
        <v>-0.74150411751729983</v>
      </c>
      <c r="G1656" s="51" t="str">
        <v>森岳 2022/06/23 (木)
平日夜間</v>
      </c>
    </row>
    <row r="1657" spans="1:7" ht="16.149999999999999" x14ac:dyDescent="0.7">
      <c r="A1657" s="49">
        <v>44705.568649733796</v>
      </c>
      <c r="B1657" s="50" t="s">
        <v>38</v>
      </c>
      <c r="C1657" s="50" t="s">
        <v>355</v>
      </c>
      <c r="D1657" s="50" t="s">
        <v>259</v>
      </c>
      <c r="E1657" s="50">
        <v>0</v>
      </c>
      <c r="F1657" s="50">
        <v>0.63635049036546443</v>
      </c>
      <c r="G1657" s="51" t="str">
        <v>森岳 2022/06/24 (金)
平日夜間</v>
      </c>
    </row>
    <row r="1658" spans="1:7" ht="16.149999999999999" x14ac:dyDescent="0.7">
      <c r="A1658" s="49">
        <v>44705.568649733796</v>
      </c>
      <c r="B1658" s="50" t="s">
        <v>38</v>
      </c>
      <c r="C1658" s="50" t="s">
        <v>356</v>
      </c>
      <c r="D1658" s="50" t="s">
        <v>261</v>
      </c>
      <c r="E1658" s="50">
        <v>0</v>
      </c>
      <c r="F1658" s="50">
        <v>3.8222743962315286E-2</v>
      </c>
      <c r="G1658" s="51" t="str">
        <v>森岳 2022/06/25 (土)
休日午後</v>
      </c>
    </row>
    <row r="1659" spans="1:7" ht="16.149999999999999" x14ac:dyDescent="0.7">
      <c r="A1659" s="49">
        <v>44705.568649733796</v>
      </c>
      <c r="B1659" s="50" t="s">
        <v>38</v>
      </c>
      <c r="C1659" s="50" t="s">
        <v>357</v>
      </c>
      <c r="D1659" s="50" t="s">
        <v>263</v>
      </c>
      <c r="E1659" s="50">
        <v>0</v>
      </c>
      <c r="F1659" s="50">
        <v>0.21306477033076732</v>
      </c>
      <c r="G1659" s="51" t="str">
        <v>森岳 2022/06/25 (土)
休日午前</v>
      </c>
    </row>
    <row r="1660" spans="1:7" ht="16.149999999999999" x14ac:dyDescent="0.7">
      <c r="A1660" s="49">
        <v>44705.568649733796</v>
      </c>
      <c r="B1660" s="50" t="s">
        <v>38</v>
      </c>
      <c r="C1660" s="50" t="s">
        <v>358</v>
      </c>
      <c r="D1660" s="50" t="s">
        <v>261</v>
      </c>
      <c r="E1660" s="50">
        <v>0</v>
      </c>
      <c r="F1660" s="50">
        <v>0.29876138006360109</v>
      </c>
      <c r="G1660" s="51" t="str">
        <v>森岳 2022/06/26 (日)
休日午後</v>
      </c>
    </row>
    <row r="1661" spans="1:7" ht="16.149999999999999" x14ac:dyDescent="0.7">
      <c r="A1661" s="49">
        <v>44705.568649733796</v>
      </c>
      <c r="B1661" s="50" t="s">
        <v>38</v>
      </c>
      <c r="C1661" s="50" t="s">
        <v>359</v>
      </c>
      <c r="D1661" s="50" t="s">
        <v>263</v>
      </c>
      <c r="E1661" s="50">
        <v>0</v>
      </c>
      <c r="F1661" s="50">
        <v>0.37457792491448982</v>
      </c>
      <c r="G1661" s="51" t="str">
        <v>森岳 2022/06/26 (日)
休日午前</v>
      </c>
    </row>
    <row r="1662" spans="1:7" ht="16.149999999999999" x14ac:dyDescent="0.7">
      <c r="A1662" s="49">
        <v>44705.568649733796</v>
      </c>
      <c r="B1662" s="50" t="s">
        <v>38</v>
      </c>
      <c r="C1662" s="50" t="s">
        <v>360</v>
      </c>
      <c r="D1662" s="50" t="s">
        <v>259</v>
      </c>
      <c r="E1662" s="50">
        <v>2</v>
      </c>
      <c r="F1662" s="50">
        <v>2.2239682873660307</v>
      </c>
      <c r="G1662" s="51" t="str">
        <v>森岳 2022/06/27 (月)
平日夜間</v>
      </c>
    </row>
    <row r="1663" spans="1:7" ht="16.149999999999999" x14ac:dyDescent="0.7">
      <c r="A1663" s="49">
        <v>44705.568649733796</v>
      </c>
      <c r="B1663" s="50" t="s">
        <v>38</v>
      </c>
      <c r="C1663" s="50" t="s">
        <v>361</v>
      </c>
      <c r="D1663" s="50" t="s">
        <v>259</v>
      </c>
      <c r="E1663" s="50">
        <v>0</v>
      </c>
      <c r="F1663" s="50">
        <v>0.11748593079011127</v>
      </c>
      <c r="G1663" s="51" t="str">
        <v>森岳 2022/06/28 (火)
平日夜間</v>
      </c>
    </row>
    <row r="1664" spans="1:7" ht="16.149999999999999" x14ac:dyDescent="0.7">
      <c r="A1664" s="49">
        <v>44705.568649733796</v>
      </c>
      <c r="B1664" s="50" t="s">
        <v>38</v>
      </c>
      <c r="C1664" s="50" t="s">
        <v>362</v>
      </c>
      <c r="D1664" s="50" t="s">
        <v>259</v>
      </c>
      <c r="E1664" s="50">
        <v>-1</v>
      </c>
      <c r="F1664" s="50">
        <v>-0.89206776167143187</v>
      </c>
      <c r="G1664" s="51" t="str">
        <v>森岳 2022/06/29 (水)
平日夜間</v>
      </c>
    </row>
    <row r="1665" spans="1:7" ht="16.149999999999999" x14ac:dyDescent="0.7">
      <c r="A1665" s="49">
        <v>44705.568649733796</v>
      </c>
      <c r="B1665" s="50" t="s">
        <v>38</v>
      </c>
      <c r="C1665" s="50" t="s">
        <v>363</v>
      </c>
      <c r="D1665" s="50" t="s">
        <v>259</v>
      </c>
      <c r="E1665" s="50">
        <v>-1</v>
      </c>
      <c r="F1665" s="50">
        <v>-0.35076574816996819</v>
      </c>
      <c r="G1665" s="51" t="str">
        <v>森岳 2022/06/30 (木)
平日夜間</v>
      </c>
    </row>
    <row r="1666" spans="1:7" ht="16.149999999999999" x14ac:dyDescent="0.7">
      <c r="A1666" s="49">
        <v>44705.968177430557</v>
      </c>
      <c r="B1666" s="50" t="s">
        <v>10</v>
      </c>
      <c r="C1666" s="50" t="s">
        <v>326</v>
      </c>
      <c r="D1666" s="50" t="s">
        <v>259</v>
      </c>
      <c r="E1666" s="50">
        <v>1</v>
      </c>
      <c r="F1666" s="50">
        <v>1.7188792459383162</v>
      </c>
      <c r="G1666" s="51" t="str">
        <v>福井 2022/06/01 (水)
平日夜間</v>
      </c>
    </row>
    <row r="1667" spans="1:7" ht="16.149999999999999" x14ac:dyDescent="0.7">
      <c r="A1667" s="49">
        <v>44705.968177430557</v>
      </c>
      <c r="B1667" s="50" t="s">
        <v>10</v>
      </c>
      <c r="C1667" s="50" t="s">
        <v>327</v>
      </c>
      <c r="D1667" s="50" t="s">
        <v>259</v>
      </c>
      <c r="E1667" s="50">
        <v>0</v>
      </c>
      <c r="F1667" s="50">
        <v>0.17868598758980014</v>
      </c>
      <c r="G1667" s="51" t="str">
        <v>福井 2022/06/02 (木)
平日夜間</v>
      </c>
    </row>
    <row r="1668" spans="1:7" ht="16.149999999999999" x14ac:dyDescent="0.7">
      <c r="A1668" s="49">
        <v>44705.968177430557</v>
      </c>
      <c r="B1668" s="50" t="s">
        <v>10</v>
      </c>
      <c r="C1668" s="50" t="s">
        <v>328</v>
      </c>
      <c r="D1668" s="50" t="s">
        <v>259</v>
      </c>
      <c r="E1668" s="50">
        <v>0</v>
      </c>
      <c r="F1668" s="50">
        <v>0.36319920853736876</v>
      </c>
      <c r="G1668" s="51" t="str">
        <v>福井 2022/06/03 (金)
平日夜間</v>
      </c>
    </row>
    <row r="1669" spans="1:7" ht="16.149999999999999" x14ac:dyDescent="0.7">
      <c r="A1669" s="49">
        <v>44705.968177430557</v>
      </c>
      <c r="B1669" s="50" t="s">
        <v>10</v>
      </c>
      <c r="C1669" s="50" t="s">
        <v>329</v>
      </c>
      <c r="D1669" s="50" t="s">
        <v>261</v>
      </c>
      <c r="E1669" s="50">
        <v>2</v>
      </c>
      <c r="F1669" s="50">
        <v>2.5016446513213295</v>
      </c>
      <c r="G1669" s="51" t="str">
        <v>福井 2022/06/04 (土)
休日午後</v>
      </c>
    </row>
    <row r="1670" spans="1:7" ht="16.149999999999999" x14ac:dyDescent="0.7">
      <c r="A1670" s="49">
        <v>44705.968177430557</v>
      </c>
      <c r="B1670" s="50" t="s">
        <v>10</v>
      </c>
      <c r="C1670" s="50" t="s">
        <v>330</v>
      </c>
      <c r="D1670" s="50" t="s">
        <v>263</v>
      </c>
      <c r="E1670" s="50">
        <v>0</v>
      </c>
      <c r="F1670" s="50">
        <v>0.53614079580529306</v>
      </c>
      <c r="G1670" s="51" t="str">
        <v>福井 2022/06/04 (土)
休日午前</v>
      </c>
    </row>
    <row r="1671" spans="1:7" ht="16.149999999999999" x14ac:dyDescent="0.7">
      <c r="A1671" s="49">
        <v>44705.968177430557</v>
      </c>
      <c r="B1671" s="50" t="s">
        <v>10</v>
      </c>
      <c r="C1671" s="50" t="s">
        <v>331</v>
      </c>
      <c r="D1671" s="50" t="s">
        <v>261</v>
      </c>
      <c r="E1671" s="50">
        <v>-1</v>
      </c>
      <c r="F1671" s="50">
        <v>-4.2626973280482705E-2</v>
      </c>
      <c r="G1671" s="51" t="str">
        <v>福井 2022/06/05 (日)
休日午後</v>
      </c>
    </row>
    <row r="1672" spans="1:7" ht="16.149999999999999" x14ac:dyDescent="0.7">
      <c r="A1672" s="49">
        <v>44705.968177430557</v>
      </c>
      <c r="B1672" s="50" t="s">
        <v>10</v>
      </c>
      <c r="C1672" s="50" t="s">
        <v>332</v>
      </c>
      <c r="D1672" s="50" t="s">
        <v>263</v>
      </c>
      <c r="E1672" s="50">
        <v>-1</v>
      </c>
      <c r="F1672" s="50">
        <v>-0.55237883528021503</v>
      </c>
      <c r="G1672" s="51" t="str">
        <v>福井 2022/06/05 (日)
休日午前</v>
      </c>
    </row>
    <row r="1673" spans="1:7" ht="16.149999999999999" x14ac:dyDescent="0.7">
      <c r="A1673" s="49">
        <v>44705.968177430557</v>
      </c>
      <c r="B1673" s="50" t="s">
        <v>10</v>
      </c>
      <c r="C1673" s="50" t="s">
        <v>333</v>
      </c>
      <c r="D1673" s="50" t="s">
        <v>259</v>
      </c>
      <c r="E1673" s="50">
        <v>0</v>
      </c>
      <c r="F1673" s="50">
        <v>0.85172621791539682</v>
      </c>
      <c r="G1673" s="51" t="str">
        <v>福井 2022/06/06 (月)
平日夜間</v>
      </c>
    </row>
    <row r="1674" spans="1:7" ht="16.149999999999999" x14ac:dyDescent="0.7">
      <c r="A1674" s="49">
        <v>44705.968177430557</v>
      </c>
      <c r="B1674" s="50" t="s">
        <v>10</v>
      </c>
      <c r="C1674" s="50" t="s">
        <v>334</v>
      </c>
      <c r="D1674" s="50" t="s">
        <v>259</v>
      </c>
      <c r="E1674" s="50">
        <v>0</v>
      </c>
      <c r="F1674" s="50">
        <v>0.75694417155293658</v>
      </c>
      <c r="G1674" s="51" t="str">
        <v>福井 2022/06/07 (火)
平日夜間</v>
      </c>
    </row>
    <row r="1675" spans="1:7" ht="16.149999999999999" x14ac:dyDescent="0.7">
      <c r="A1675" s="49">
        <v>44705.968177430557</v>
      </c>
      <c r="B1675" s="50" t="s">
        <v>10</v>
      </c>
      <c r="C1675" s="50" t="s">
        <v>335</v>
      </c>
      <c r="D1675" s="50" t="s">
        <v>259</v>
      </c>
      <c r="E1675" s="50">
        <v>-1</v>
      </c>
      <c r="F1675" s="50">
        <v>-0.46175186986691896</v>
      </c>
      <c r="G1675" s="51" t="str">
        <v>福井 2022/06/08 (水)
平日夜間</v>
      </c>
    </row>
    <row r="1676" spans="1:7" ht="16.149999999999999" x14ac:dyDescent="0.7">
      <c r="A1676" s="49">
        <v>44705.968177430557</v>
      </c>
      <c r="B1676" s="50" t="s">
        <v>10</v>
      </c>
      <c r="C1676" s="50" t="s">
        <v>336</v>
      </c>
      <c r="D1676" s="50" t="s">
        <v>259</v>
      </c>
      <c r="E1676" s="50">
        <v>-1</v>
      </c>
      <c r="F1676" s="50">
        <v>-0.78788489184672894</v>
      </c>
      <c r="G1676" s="51" t="str">
        <v>福井 2022/06/09 (木)
平日夜間</v>
      </c>
    </row>
    <row r="1677" spans="1:7" ht="16.149999999999999" x14ac:dyDescent="0.7">
      <c r="A1677" s="49">
        <v>44705.968177430557</v>
      </c>
      <c r="B1677" s="50" t="s">
        <v>10</v>
      </c>
      <c r="C1677" s="50" t="s">
        <v>337</v>
      </c>
      <c r="D1677" s="50" t="s">
        <v>259</v>
      </c>
      <c r="E1677" s="50">
        <v>-1</v>
      </c>
      <c r="F1677" s="50">
        <v>-0.50261226258021763</v>
      </c>
      <c r="G1677" s="51" t="str">
        <v>福井 2022/06/10 (金)
平日夜間</v>
      </c>
    </row>
    <row r="1678" spans="1:7" ht="16.149999999999999" x14ac:dyDescent="0.7">
      <c r="A1678" s="49">
        <v>44705.968177430557</v>
      </c>
      <c r="B1678" s="50" t="s">
        <v>10</v>
      </c>
      <c r="C1678" s="50" t="s">
        <v>338</v>
      </c>
      <c r="D1678" s="50" t="s">
        <v>261</v>
      </c>
      <c r="E1678" s="50">
        <v>0</v>
      </c>
      <c r="F1678" s="50">
        <v>0.71029373535205687</v>
      </c>
      <c r="G1678" s="51" t="str">
        <v>福井 2022/06/11 (土)
休日午後</v>
      </c>
    </row>
    <row r="1679" spans="1:7" ht="16.149999999999999" x14ac:dyDescent="0.7">
      <c r="A1679" s="49">
        <v>44705.968177430557</v>
      </c>
      <c r="B1679" s="50" t="s">
        <v>10</v>
      </c>
      <c r="C1679" s="50" t="s">
        <v>339</v>
      </c>
      <c r="D1679" s="50" t="s">
        <v>263</v>
      </c>
      <c r="E1679" s="50">
        <v>0</v>
      </c>
      <c r="F1679" s="50">
        <v>0.49784889370996765</v>
      </c>
      <c r="G1679" s="51" t="str">
        <v>福井 2022/06/11 (土)
休日午前</v>
      </c>
    </row>
    <row r="1680" spans="1:7" ht="16.149999999999999" x14ac:dyDescent="0.7">
      <c r="A1680" s="49">
        <v>44705.968177430557</v>
      </c>
      <c r="B1680" s="50" t="s">
        <v>10</v>
      </c>
      <c r="C1680" s="50" t="s">
        <v>340</v>
      </c>
      <c r="D1680" s="50" t="s">
        <v>261</v>
      </c>
      <c r="E1680" s="50">
        <v>0</v>
      </c>
      <c r="F1680" s="50">
        <v>3.6260855562305627E-2</v>
      </c>
      <c r="G1680" s="51" t="str">
        <v>福井 2022/06/12 (日)
休日午後</v>
      </c>
    </row>
    <row r="1681" spans="1:7" ht="16.149999999999999" x14ac:dyDescent="0.7">
      <c r="A1681" s="49">
        <v>44705.968177430557</v>
      </c>
      <c r="B1681" s="50" t="s">
        <v>10</v>
      </c>
      <c r="C1681" s="50" t="s">
        <v>341</v>
      </c>
      <c r="D1681" s="50" t="s">
        <v>263</v>
      </c>
      <c r="E1681" s="50">
        <v>0</v>
      </c>
      <c r="F1681" s="50">
        <v>0.65228729525347706</v>
      </c>
      <c r="G1681" s="51" t="str">
        <v>福井 2022/06/12 (日)
休日午前</v>
      </c>
    </row>
    <row r="1682" spans="1:7" ht="16.149999999999999" x14ac:dyDescent="0.7">
      <c r="A1682" s="49">
        <v>44705.968177430557</v>
      </c>
      <c r="B1682" s="50" t="s">
        <v>10</v>
      </c>
      <c r="C1682" s="50" t="s">
        <v>342</v>
      </c>
      <c r="D1682" s="50" t="s">
        <v>259</v>
      </c>
      <c r="E1682" s="50">
        <v>0</v>
      </c>
      <c r="F1682" s="50">
        <v>0.71926785613606437</v>
      </c>
      <c r="G1682" s="51" t="str">
        <v>福井 2022/06/13 (月)
平日夜間</v>
      </c>
    </row>
    <row r="1683" spans="1:7" ht="16.149999999999999" x14ac:dyDescent="0.7">
      <c r="A1683" s="49">
        <v>44705.968177430557</v>
      </c>
      <c r="B1683" s="50" t="s">
        <v>10</v>
      </c>
      <c r="C1683" s="50" t="s">
        <v>343</v>
      </c>
      <c r="D1683" s="50" t="s">
        <v>259</v>
      </c>
      <c r="E1683" s="50">
        <v>0</v>
      </c>
      <c r="F1683" s="50">
        <v>0.2623856003674474</v>
      </c>
      <c r="G1683" s="51" t="str">
        <v>福井 2022/06/14 (火)
平日夜間</v>
      </c>
    </row>
    <row r="1684" spans="1:7" ht="16.149999999999999" x14ac:dyDescent="0.7">
      <c r="A1684" s="49">
        <v>44705.968177430557</v>
      </c>
      <c r="B1684" s="50" t="s">
        <v>10</v>
      </c>
      <c r="C1684" s="50" t="s">
        <v>344</v>
      </c>
      <c r="D1684" s="50" t="s">
        <v>259</v>
      </c>
      <c r="E1684" s="50">
        <v>1</v>
      </c>
      <c r="F1684" s="50">
        <v>1.1030645228025946</v>
      </c>
      <c r="G1684" s="51" t="str">
        <v>福井 2022/06/15 (水)
平日夜間</v>
      </c>
    </row>
    <row r="1685" spans="1:7" ht="16.149999999999999" x14ac:dyDescent="0.7">
      <c r="A1685" s="49">
        <v>44705.968177430557</v>
      </c>
      <c r="B1685" s="50" t="s">
        <v>10</v>
      </c>
      <c r="C1685" s="50" t="s">
        <v>345</v>
      </c>
      <c r="D1685" s="50" t="s">
        <v>259</v>
      </c>
      <c r="E1685" s="50">
        <v>1</v>
      </c>
      <c r="F1685" s="50">
        <v>1.1151496489537893</v>
      </c>
      <c r="G1685" s="51" t="str">
        <v>福井 2022/06/16 (木)
平日夜間</v>
      </c>
    </row>
    <row r="1686" spans="1:7" ht="16.149999999999999" x14ac:dyDescent="0.7">
      <c r="A1686" s="49">
        <v>44705.968177430557</v>
      </c>
      <c r="B1686" s="50" t="s">
        <v>10</v>
      </c>
      <c r="C1686" s="50" t="s">
        <v>346</v>
      </c>
      <c r="D1686" s="50" t="s">
        <v>259</v>
      </c>
      <c r="E1686" s="50">
        <v>-1</v>
      </c>
      <c r="F1686" s="50">
        <v>-0.26619413645916468</v>
      </c>
      <c r="G1686" s="51" t="str">
        <v>福井 2022/06/17 (金)
平日夜間</v>
      </c>
    </row>
    <row r="1687" spans="1:7" ht="16.149999999999999" x14ac:dyDescent="0.7">
      <c r="A1687" s="49">
        <v>44705.968177430557</v>
      </c>
      <c r="B1687" s="50" t="s">
        <v>10</v>
      </c>
      <c r="C1687" s="50" t="s">
        <v>347</v>
      </c>
      <c r="D1687" s="50" t="s">
        <v>261</v>
      </c>
      <c r="E1687" s="50">
        <v>-1</v>
      </c>
      <c r="F1687" s="50">
        <v>-0.38332608284689096</v>
      </c>
      <c r="G1687" s="51" t="str">
        <v>福井 2022/06/18 (土)
休日午後</v>
      </c>
    </row>
    <row r="1688" spans="1:7" ht="16.149999999999999" x14ac:dyDescent="0.7">
      <c r="A1688" s="49">
        <v>44705.968177430557</v>
      </c>
      <c r="B1688" s="50" t="s">
        <v>10</v>
      </c>
      <c r="C1688" s="50" t="s">
        <v>348</v>
      </c>
      <c r="D1688" s="50" t="s">
        <v>263</v>
      </c>
      <c r="E1688" s="50">
        <v>-1</v>
      </c>
      <c r="F1688" s="50">
        <v>-9.6789806338435147E-2</v>
      </c>
      <c r="G1688" s="51" t="str">
        <v>福井 2022/06/18 (土)
休日午前</v>
      </c>
    </row>
    <row r="1689" spans="1:7" ht="16.149999999999999" x14ac:dyDescent="0.7">
      <c r="A1689" s="49">
        <v>44705.968177430557</v>
      </c>
      <c r="B1689" s="50" t="s">
        <v>10</v>
      </c>
      <c r="C1689" s="50" t="s">
        <v>349</v>
      </c>
      <c r="D1689" s="50" t="s">
        <v>261</v>
      </c>
      <c r="E1689" s="50">
        <v>-1</v>
      </c>
      <c r="F1689" s="50">
        <v>-0.64039846031407466</v>
      </c>
      <c r="G1689" s="51" t="str">
        <v>福井 2022/06/19 (日)
休日午後</v>
      </c>
    </row>
    <row r="1690" spans="1:7" ht="16.149999999999999" x14ac:dyDescent="0.7">
      <c r="A1690" s="49">
        <v>44705.968177430557</v>
      </c>
      <c r="B1690" s="50" t="s">
        <v>10</v>
      </c>
      <c r="C1690" s="50" t="s">
        <v>350</v>
      </c>
      <c r="D1690" s="50" t="s">
        <v>263</v>
      </c>
      <c r="E1690" s="50">
        <v>-1</v>
      </c>
      <c r="F1690" s="50">
        <v>-0.3922439955871968</v>
      </c>
      <c r="G1690" s="51" t="str">
        <v>福井 2022/06/19 (日)
休日午前</v>
      </c>
    </row>
    <row r="1691" spans="1:7" ht="16.149999999999999" x14ac:dyDescent="0.7">
      <c r="A1691" s="49">
        <v>44705.968177430557</v>
      </c>
      <c r="B1691" s="50" t="s">
        <v>10</v>
      </c>
      <c r="C1691" s="50" t="s">
        <v>351</v>
      </c>
      <c r="D1691" s="50" t="s">
        <v>259</v>
      </c>
      <c r="E1691" s="50">
        <v>0</v>
      </c>
      <c r="F1691" s="50">
        <v>0.69904332861163887</v>
      </c>
      <c r="G1691" s="51" t="str">
        <v>福井 2022/06/20 (月)
平日夜間</v>
      </c>
    </row>
    <row r="1692" spans="1:7" ht="16.149999999999999" x14ac:dyDescent="0.7">
      <c r="A1692" s="49">
        <v>44705.968177430557</v>
      </c>
      <c r="B1692" s="50" t="s">
        <v>10</v>
      </c>
      <c r="C1692" s="50" t="s">
        <v>352</v>
      </c>
      <c r="D1692" s="50" t="s">
        <v>259</v>
      </c>
      <c r="E1692" s="50">
        <v>0</v>
      </c>
      <c r="F1692" s="50">
        <v>0.25308676724742663</v>
      </c>
      <c r="G1692" s="51" t="str">
        <v>福井 2022/06/21 (火)
平日夜間</v>
      </c>
    </row>
    <row r="1693" spans="1:7" ht="16.149999999999999" x14ac:dyDescent="0.7">
      <c r="A1693" s="49">
        <v>44705.968177430557</v>
      </c>
      <c r="B1693" s="50" t="s">
        <v>10</v>
      </c>
      <c r="C1693" s="50" t="s">
        <v>353</v>
      </c>
      <c r="D1693" s="50" t="s">
        <v>259</v>
      </c>
      <c r="E1693" s="50">
        <v>2</v>
      </c>
      <c r="F1693" s="50">
        <v>2.1690320789259445</v>
      </c>
      <c r="G1693" s="51" t="str">
        <v>福井 2022/06/22 (水)
平日夜間</v>
      </c>
    </row>
    <row r="1694" spans="1:7" ht="16.149999999999999" x14ac:dyDescent="0.7">
      <c r="A1694" s="49">
        <v>44705.968177430557</v>
      </c>
      <c r="B1694" s="50" t="s">
        <v>10</v>
      </c>
      <c r="C1694" s="50" t="s">
        <v>354</v>
      </c>
      <c r="D1694" s="50" t="s">
        <v>259</v>
      </c>
      <c r="E1694" s="50">
        <v>0</v>
      </c>
      <c r="F1694" s="50">
        <v>0.84681447747974126</v>
      </c>
      <c r="G1694" s="51" t="str">
        <v>福井 2022/06/23 (木)
平日夜間</v>
      </c>
    </row>
    <row r="1695" spans="1:7" ht="16.149999999999999" x14ac:dyDescent="0.7">
      <c r="A1695" s="49">
        <v>44705.968177430557</v>
      </c>
      <c r="B1695" s="50" t="s">
        <v>10</v>
      </c>
      <c r="C1695" s="50" t="s">
        <v>355</v>
      </c>
      <c r="D1695" s="50" t="s">
        <v>259</v>
      </c>
      <c r="E1695" s="50">
        <v>0</v>
      </c>
      <c r="F1695" s="50">
        <v>3.8868543921657395E-2</v>
      </c>
      <c r="G1695" s="51" t="str">
        <v>福井 2022/06/24 (金)
平日夜間</v>
      </c>
    </row>
    <row r="1696" spans="1:7" ht="16.149999999999999" x14ac:dyDescent="0.7">
      <c r="A1696" s="49">
        <v>44705.968177430557</v>
      </c>
      <c r="B1696" s="50" t="s">
        <v>10</v>
      </c>
      <c r="C1696" s="50" t="s">
        <v>356</v>
      </c>
      <c r="D1696" s="50" t="s">
        <v>261</v>
      </c>
      <c r="E1696" s="50">
        <v>0</v>
      </c>
      <c r="F1696" s="50">
        <v>0.50865938853624337</v>
      </c>
      <c r="G1696" s="51" t="str">
        <v>福井 2022/06/25 (土)
休日午後</v>
      </c>
    </row>
    <row r="1697" spans="1:7" ht="16.149999999999999" x14ac:dyDescent="0.7">
      <c r="A1697" s="49">
        <v>44705.968177430557</v>
      </c>
      <c r="B1697" s="50" t="s">
        <v>10</v>
      </c>
      <c r="C1697" s="50" t="s">
        <v>357</v>
      </c>
      <c r="D1697" s="50" t="s">
        <v>263</v>
      </c>
      <c r="E1697" s="50">
        <v>0</v>
      </c>
      <c r="F1697" s="50">
        <v>0.73651223523464759</v>
      </c>
      <c r="G1697" s="51" t="str">
        <v>福井 2022/06/25 (土)
休日午前</v>
      </c>
    </row>
    <row r="1698" spans="1:7" ht="16.149999999999999" x14ac:dyDescent="0.7">
      <c r="A1698" s="49">
        <v>44705.968177430557</v>
      </c>
      <c r="B1698" s="50" t="s">
        <v>10</v>
      </c>
      <c r="C1698" s="50" t="s">
        <v>358</v>
      </c>
      <c r="D1698" s="50" t="s">
        <v>261</v>
      </c>
      <c r="E1698" s="50">
        <v>0</v>
      </c>
      <c r="F1698" s="50">
        <v>0.32235617644278292</v>
      </c>
      <c r="G1698" s="51" t="str">
        <v>福井 2022/06/26 (日)
休日午後</v>
      </c>
    </row>
    <row r="1699" spans="1:7" ht="16.149999999999999" x14ac:dyDescent="0.7">
      <c r="A1699" s="49">
        <v>44705.968177430557</v>
      </c>
      <c r="B1699" s="50" t="s">
        <v>10</v>
      </c>
      <c r="C1699" s="50" t="s">
        <v>359</v>
      </c>
      <c r="D1699" s="50" t="s">
        <v>263</v>
      </c>
      <c r="E1699" s="50">
        <v>0</v>
      </c>
      <c r="F1699" s="50">
        <v>0.2853419146115721</v>
      </c>
      <c r="G1699" s="51" t="str">
        <v>福井 2022/06/26 (日)
休日午前</v>
      </c>
    </row>
    <row r="1700" spans="1:7" ht="16.149999999999999" x14ac:dyDescent="0.7">
      <c r="A1700" s="49">
        <v>44705.968177430557</v>
      </c>
      <c r="B1700" s="50" t="s">
        <v>10</v>
      </c>
      <c r="C1700" s="50" t="s">
        <v>360</v>
      </c>
      <c r="D1700" s="50" t="s">
        <v>259</v>
      </c>
      <c r="E1700" s="50">
        <v>0</v>
      </c>
      <c r="F1700" s="50">
        <v>0.91072773312904975</v>
      </c>
      <c r="G1700" s="51" t="str">
        <v>福井 2022/06/27 (月)
平日夜間</v>
      </c>
    </row>
    <row r="1701" spans="1:7" ht="16.149999999999999" x14ac:dyDescent="0.7">
      <c r="A1701" s="49">
        <v>44705.968177430557</v>
      </c>
      <c r="B1701" s="50" t="s">
        <v>10</v>
      </c>
      <c r="C1701" s="50" t="s">
        <v>361</v>
      </c>
      <c r="D1701" s="50" t="s">
        <v>259</v>
      </c>
      <c r="E1701" s="50">
        <v>0</v>
      </c>
      <c r="F1701" s="50">
        <v>0.43935368016851339</v>
      </c>
      <c r="G1701" s="51" t="str">
        <v>福井 2022/06/28 (火)
平日夜間</v>
      </c>
    </row>
    <row r="1702" spans="1:7" ht="16.149999999999999" x14ac:dyDescent="0.7">
      <c r="A1702" s="49">
        <v>44705.968177430557</v>
      </c>
      <c r="B1702" s="50" t="s">
        <v>10</v>
      </c>
      <c r="C1702" s="50" t="s">
        <v>362</v>
      </c>
      <c r="D1702" s="50" t="s">
        <v>259</v>
      </c>
      <c r="E1702" s="50">
        <v>0</v>
      </c>
      <c r="F1702" s="50">
        <v>0.98369757950398196</v>
      </c>
      <c r="G1702" s="51" t="str">
        <v>福井 2022/06/29 (水)
平日夜間</v>
      </c>
    </row>
    <row r="1703" spans="1:7" ht="16.149999999999999" x14ac:dyDescent="0.7">
      <c r="A1703" s="49">
        <v>44705.968177430557</v>
      </c>
      <c r="B1703" s="50" t="s">
        <v>10</v>
      </c>
      <c r="C1703" s="50" t="s">
        <v>363</v>
      </c>
      <c r="D1703" s="50" t="s">
        <v>259</v>
      </c>
      <c r="E1703" s="50">
        <v>0</v>
      </c>
      <c r="F1703" s="50">
        <v>5.0950828302530393E-2</v>
      </c>
      <c r="G1703" s="51" t="str">
        <v>福井 2022/06/30 (木)
平日夜間</v>
      </c>
    </row>
    <row r="1704" spans="1:7" ht="16.149999999999999" x14ac:dyDescent="0.7">
      <c r="A1704" s="49">
        <v>44706.36224717593</v>
      </c>
      <c r="B1704" s="50" t="s">
        <v>8</v>
      </c>
      <c r="C1704" s="50" t="s">
        <v>326</v>
      </c>
      <c r="D1704" s="50" t="s">
        <v>259</v>
      </c>
      <c r="E1704" s="50">
        <v>0</v>
      </c>
      <c r="F1704" s="50">
        <v>0.21612147396436687</v>
      </c>
      <c r="G1704" s="51" t="str">
        <v>宗 2022/06/01 (水)
平日夜間</v>
      </c>
    </row>
    <row r="1705" spans="1:7" ht="16.149999999999999" x14ac:dyDescent="0.7">
      <c r="A1705" s="49">
        <v>44706.36224717593</v>
      </c>
      <c r="B1705" s="50" t="s">
        <v>8</v>
      </c>
      <c r="C1705" s="50" t="s">
        <v>327</v>
      </c>
      <c r="D1705" s="50" t="s">
        <v>259</v>
      </c>
      <c r="E1705" s="50">
        <v>0</v>
      </c>
      <c r="F1705" s="50">
        <v>0.85372434921570384</v>
      </c>
      <c r="G1705" s="51" t="str">
        <v>宗 2022/06/02 (木)
平日夜間</v>
      </c>
    </row>
    <row r="1706" spans="1:7" ht="16.149999999999999" x14ac:dyDescent="0.7">
      <c r="A1706" s="49">
        <v>44706.36224717593</v>
      </c>
      <c r="B1706" s="50" t="s">
        <v>8</v>
      </c>
      <c r="C1706" s="50" t="s">
        <v>328</v>
      </c>
      <c r="D1706" s="50" t="s">
        <v>259</v>
      </c>
      <c r="E1706" s="50">
        <v>0</v>
      </c>
      <c r="F1706" s="50">
        <v>0.25012012471001488</v>
      </c>
      <c r="G1706" s="51" t="str">
        <v>宗 2022/06/03 (金)
平日夜間</v>
      </c>
    </row>
    <row r="1707" spans="1:7" ht="16.149999999999999" x14ac:dyDescent="0.7">
      <c r="A1707" s="49">
        <v>44706.36224717593</v>
      </c>
      <c r="B1707" s="50" t="s">
        <v>8</v>
      </c>
      <c r="C1707" s="50" t="s">
        <v>329</v>
      </c>
      <c r="D1707" s="50" t="s">
        <v>261</v>
      </c>
      <c r="E1707" s="50">
        <v>0</v>
      </c>
      <c r="F1707" s="50">
        <v>0.11110735363812152</v>
      </c>
      <c r="G1707" s="51" t="str">
        <v>宗 2022/06/04 (土)
休日午後</v>
      </c>
    </row>
    <row r="1708" spans="1:7" ht="16.149999999999999" x14ac:dyDescent="0.7">
      <c r="A1708" s="49">
        <v>44706.36224717593</v>
      </c>
      <c r="B1708" s="50" t="s">
        <v>8</v>
      </c>
      <c r="C1708" s="50" t="s">
        <v>330</v>
      </c>
      <c r="D1708" s="50" t="s">
        <v>263</v>
      </c>
      <c r="E1708" s="50">
        <v>0</v>
      </c>
      <c r="F1708" s="50">
        <v>0.33365020895171216</v>
      </c>
      <c r="G1708" s="51" t="str">
        <v>宗 2022/06/04 (土)
休日午前</v>
      </c>
    </row>
    <row r="1709" spans="1:7" ht="16.149999999999999" x14ac:dyDescent="0.7">
      <c r="A1709" s="49">
        <v>44706.36224717593</v>
      </c>
      <c r="B1709" s="50" t="s">
        <v>8</v>
      </c>
      <c r="C1709" s="50" t="s">
        <v>331</v>
      </c>
      <c r="D1709" s="50" t="s">
        <v>261</v>
      </c>
      <c r="E1709" s="50">
        <v>0</v>
      </c>
      <c r="F1709" s="50">
        <v>0.16121823191841145</v>
      </c>
      <c r="G1709" s="51" t="str">
        <v>宗 2022/06/05 (日)
休日午後</v>
      </c>
    </row>
    <row r="1710" spans="1:7" ht="16.149999999999999" x14ac:dyDescent="0.7">
      <c r="A1710" s="49">
        <v>44706.36224717593</v>
      </c>
      <c r="B1710" s="50" t="s">
        <v>8</v>
      </c>
      <c r="C1710" s="50" t="s">
        <v>332</v>
      </c>
      <c r="D1710" s="50" t="s">
        <v>263</v>
      </c>
      <c r="E1710" s="50">
        <v>0</v>
      </c>
      <c r="F1710" s="50">
        <v>0.72646569501752989</v>
      </c>
      <c r="G1710" s="51" t="str">
        <v>宗 2022/06/05 (日)
休日午前</v>
      </c>
    </row>
    <row r="1711" spans="1:7" ht="16.149999999999999" x14ac:dyDescent="0.7">
      <c r="A1711" s="49">
        <v>44706.36224717593</v>
      </c>
      <c r="B1711" s="50" t="s">
        <v>8</v>
      </c>
      <c r="C1711" s="50" t="s">
        <v>333</v>
      </c>
      <c r="D1711" s="50" t="s">
        <v>259</v>
      </c>
      <c r="E1711" s="50">
        <v>0</v>
      </c>
      <c r="F1711" s="50">
        <v>0.63638832528919509</v>
      </c>
      <c r="G1711" s="51" t="str">
        <v>宗 2022/06/06 (月)
平日夜間</v>
      </c>
    </row>
    <row r="1712" spans="1:7" ht="16.149999999999999" x14ac:dyDescent="0.7">
      <c r="A1712" s="49">
        <v>44706.36224717593</v>
      </c>
      <c r="B1712" s="50" t="s">
        <v>8</v>
      </c>
      <c r="C1712" s="50" t="s">
        <v>334</v>
      </c>
      <c r="D1712" s="50" t="s">
        <v>259</v>
      </c>
      <c r="E1712" s="50">
        <v>-1</v>
      </c>
      <c r="F1712" s="50">
        <v>-0.61929858715642672</v>
      </c>
      <c r="G1712" s="51" t="str">
        <v>宗 2022/06/07 (火)
平日夜間</v>
      </c>
    </row>
    <row r="1713" spans="1:7" ht="16.149999999999999" x14ac:dyDescent="0.7">
      <c r="A1713" s="49">
        <v>44706.36224717593</v>
      </c>
      <c r="B1713" s="50" t="s">
        <v>8</v>
      </c>
      <c r="C1713" s="50" t="s">
        <v>335</v>
      </c>
      <c r="D1713" s="50" t="s">
        <v>259</v>
      </c>
      <c r="E1713" s="50">
        <v>-1</v>
      </c>
      <c r="F1713" s="50">
        <v>-0.29942709916370447</v>
      </c>
      <c r="G1713" s="51" t="str">
        <v>宗 2022/06/08 (水)
平日夜間</v>
      </c>
    </row>
    <row r="1714" spans="1:7" ht="16.149999999999999" x14ac:dyDescent="0.7">
      <c r="A1714" s="49">
        <v>44706.36224717593</v>
      </c>
      <c r="B1714" s="50" t="s">
        <v>8</v>
      </c>
      <c r="C1714" s="50" t="s">
        <v>336</v>
      </c>
      <c r="D1714" s="50" t="s">
        <v>259</v>
      </c>
      <c r="E1714" s="50">
        <v>0</v>
      </c>
      <c r="F1714" s="50">
        <v>0.10067591625664529</v>
      </c>
      <c r="G1714" s="51" t="str">
        <v>宗 2022/06/09 (木)
平日夜間</v>
      </c>
    </row>
    <row r="1715" spans="1:7" ht="16.149999999999999" x14ac:dyDescent="0.7">
      <c r="A1715" s="49">
        <v>44706.36224717593</v>
      </c>
      <c r="B1715" s="50" t="s">
        <v>8</v>
      </c>
      <c r="C1715" s="50" t="s">
        <v>337</v>
      </c>
      <c r="D1715" s="50" t="s">
        <v>259</v>
      </c>
      <c r="E1715" s="50">
        <v>0</v>
      </c>
      <c r="F1715" s="50">
        <v>0.71419574147243736</v>
      </c>
      <c r="G1715" s="51" t="str">
        <v>宗 2022/06/10 (金)
平日夜間</v>
      </c>
    </row>
    <row r="1716" spans="1:7" ht="16.149999999999999" x14ac:dyDescent="0.7">
      <c r="A1716" s="49">
        <v>44706.36224717593</v>
      </c>
      <c r="B1716" s="50" t="s">
        <v>8</v>
      </c>
      <c r="C1716" s="50" t="s">
        <v>338</v>
      </c>
      <c r="D1716" s="50" t="s">
        <v>261</v>
      </c>
      <c r="E1716" s="50">
        <v>0</v>
      </c>
      <c r="F1716" s="50">
        <v>0.85083697188819496</v>
      </c>
      <c r="G1716" s="51" t="str">
        <v>宗 2022/06/11 (土)
休日午後</v>
      </c>
    </row>
    <row r="1717" spans="1:7" ht="16.149999999999999" x14ac:dyDescent="0.7">
      <c r="A1717" s="49">
        <v>44706.36224717593</v>
      </c>
      <c r="B1717" s="50" t="s">
        <v>8</v>
      </c>
      <c r="C1717" s="50" t="s">
        <v>339</v>
      </c>
      <c r="D1717" s="50" t="s">
        <v>263</v>
      </c>
      <c r="E1717" s="50">
        <v>0</v>
      </c>
      <c r="F1717" s="50">
        <v>0.73137808785328762</v>
      </c>
      <c r="G1717" s="51" t="str">
        <v>宗 2022/06/11 (土)
休日午前</v>
      </c>
    </row>
    <row r="1718" spans="1:7" ht="16.149999999999999" x14ac:dyDescent="0.7">
      <c r="A1718" s="49">
        <v>44706.36224717593</v>
      </c>
      <c r="B1718" s="50" t="s">
        <v>8</v>
      </c>
      <c r="C1718" s="50" t="s">
        <v>340</v>
      </c>
      <c r="D1718" s="50" t="s">
        <v>261</v>
      </c>
      <c r="E1718" s="50">
        <v>0</v>
      </c>
      <c r="F1718" s="50">
        <v>0.1065088718303373</v>
      </c>
      <c r="G1718" s="51" t="str">
        <v>宗 2022/06/12 (日)
休日午後</v>
      </c>
    </row>
    <row r="1719" spans="1:7" ht="16.149999999999999" x14ac:dyDescent="0.7">
      <c r="A1719" s="49">
        <v>44706.36224717593</v>
      </c>
      <c r="B1719" s="50" t="s">
        <v>8</v>
      </c>
      <c r="C1719" s="50" t="s">
        <v>341</v>
      </c>
      <c r="D1719" s="50" t="s">
        <v>263</v>
      </c>
      <c r="E1719" s="50">
        <v>0</v>
      </c>
      <c r="F1719" s="50">
        <v>0.92985743883941896</v>
      </c>
      <c r="G1719" s="51" t="str">
        <v>宗 2022/06/12 (日)
休日午前</v>
      </c>
    </row>
    <row r="1720" spans="1:7" ht="16.149999999999999" x14ac:dyDescent="0.7">
      <c r="A1720" s="49">
        <v>44706.36224717593</v>
      </c>
      <c r="B1720" s="50" t="s">
        <v>8</v>
      </c>
      <c r="C1720" s="50" t="s">
        <v>342</v>
      </c>
      <c r="D1720" s="50" t="s">
        <v>259</v>
      </c>
      <c r="E1720" s="50">
        <v>0</v>
      </c>
      <c r="F1720" s="50">
        <v>0.87704218448679527</v>
      </c>
      <c r="G1720" s="51" t="str">
        <v>宗 2022/06/13 (月)
平日夜間</v>
      </c>
    </row>
    <row r="1721" spans="1:7" ht="16.149999999999999" x14ac:dyDescent="0.7">
      <c r="A1721" s="49">
        <v>44706.36224717593</v>
      </c>
      <c r="B1721" s="50" t="s">
        <v>8</v>
      </c>
      <c r="C1721" s="50" t="s">
        <v>343</v>
      </c>
      <c r="D1721" s="50" t="s">
        <v>259</v>
      </c>
      <c r="E1721" s="50">
        <v>0</v>
      </c>
      <c r="F1721" s="50">
        <v>0.49725085708329164</v>
      </c>
      <c r="G1721" s="51" t="str">
        <v>宗 2022/06/14 (火)
平日夜間</v>
      </c>
    </row>
    <row r="1722" spans="1:7" ht="16.149999999999999" x14ac:dyDescent="0.7">
      <c r="A1722" s="49">
        <v>44706.36224717593</v>
      </c>
      <c r="B1722" s="50" t="s">
        <v>8</v>
      </c>
      <c r="C1722" s="50" t="s">
        <v>344</v>
      </c>
      <c r="D1722" s="50" t="s">
        <v>259</v>
      </c>
      <c r="E1722" s="50">
        <v>0</v>
      </c>
      <c r="F1722" s="50">
        <v>0.34529027699816561</v>
      </c>
      <c r="G1722" s="51" t="str">
        <v>宗 2022/06/15 (水)
平日夜間</v>
      </c>
    </row>
    <row r="1723" spans="1:7" ht="16.149999999999999" x14ac:dyDescent="0.7">
      <c r="A1723" s="49">
        <v>44706.36224717593</v>
      </c>
      <c r="B1723" s="50" t="s">
        <v>8</v>
      </c>
      <c r="C1723" s="50" t="s">
        <v>345</v>
      </c>
      <c r="D1723" s="50" t="s">
        <v>259</v>
      </c>
      <c r="E1723" s="50">
        <v>0</v>
      </c>
      <c r="F1723" s="50">
        <v>0.74769599375979245</v>
      </c>
      <c r="G1723" s="51" t="str">
        <v>宗 2022/06/16 (木)
平日夜間</v>
      </c>
    </row>
    <row r="1724" spans="1:7" ht="16.149999999999999" x14ac:dyDescent="0.7">
      <c r="A1724" s="49">
        <v>44706.36224717593</v>
      </c>
      <c r="B1724" s="50" t="s">
        <v>8</v>
      </c>
      <c r="C1724" s="50" t="s">
        <v>346</v>
      </c>
      <c r="D1724" s="50" t="s">
        <v>259</v>
      </c>
      <c r="E1724" s="50">
        <v>0</v>
      </c>
      <c r="F1724" s="50">
        <v>8.6062305151578311E-2</v>
      </c>
      <c r="G1724" s="51" t="str">
        <v>宗 2022/06/17 (金)
平日夜間</v>
      </c>
    </row>
    <row r="1725" spans="1:7" ht="16.149999999999999" x14ac:dyDescent="0.7">
      <c r="A1725" s="49">
        <v>44706.36224717593</v>
      </c>
      <c r="B1725" s="50" t="s">
        <v>8</v>
      </c>
      <c r="C1725" s="50" t="s">
        <v>347</v>
      </c>
      <c r="D1725" s="50" t="s">
        <v>261</v>
      </c>
      <c r="E1725" s="50">
        <v>0</v>
      </c>
      <c r="F1725" s="50">
        <v>0.83607054618149745</v>
      </c>
      <c r="G1725" s="51" t="str">
        <v>宗 2022/06/18 (土)
休日午後</v>
      </c>
    </row>
    <row r="1726" spans="1:7" ht="16.149999999999999" x14ac:dyDescent="0.7">
      <c r="A1726" s="49">
        <v>44706.36224717593</v>
      </c>
      <c r="B1726" s="50" t="s">
        <v>8</v>
      </c>
      <c r="C1726" s="50" t="s">
        <v>348</v>
      </c>
      <c r="D1726" s="50" t="s">
        <v>263</v>
      </c>
      <c r="E1726" s="50">
        <v>0</v>
      </c>
      <c r="F1726" s="50">
        <v>0.82225399982101921</v>
      </c>
      <c r="G1726" s="51" t="str">
        <v>宗 2022/06/18 (土)
休日午前</v>
      </c>
    </row>
    <row r="1727" spans="1:7" ht="16.149999999999999" x14ac:dyDescent="0.7">
      <c r="A1727" s="49">
        <v>44706.36224717593</v>
      </c>
      <c r="B1727" s="50" t="s">
        <v>8</v>
      </c>
      <c r="C1727" s="50" t="s">
        <v>349</v>
      </c>
      <c r="D1727" s="50" t="s">
        <v>261</v>
      </c>
      <c r="E1727" s="50">
        <v>0</v>
      </c>
      <c r="F1727" s="50">
        <v>0.61175655088298742</v>
      </c>
      <c r="G1727" s="51" t="str">
        <v>宗 2022/06/19 (日)
休日午後</v>
      </c>
    </row>
    <row r="1728" spans="1:7" ht="16.149999999999999" x14ac:dyDescent="0.7">
      <c r="A1728" s="49">
        <v>44706.36224717593</v>
      </c>
      <c r="B1728" s="50" t="s">
        <v>8</v>
      </c>
      <c r="C1728" s="50" t="s">
        <v>350</v>
      </c>
      <c r="D1728" s="50" t="s">
        <v>263</v>
      </c>
      <c r="E1728" s="50">
        <v>0</v>
      </c>
      <c r="F1728" s="50">
        <v>0.68370684024000306</v>
      </c>
      <c r="G1728" s="51" t="str">
        <v>宗 2022/06/19 (日)
休日午前</v>
      </c>
    </row>
    <row r="1729" spans="1:7" ht="16.149999999999999" x14ac:dyDescent="0.7">
      <c r="A1729" s="49">
        <v>44706.36224717593</v>
      </c>
      <c r="B1729" s="50" t="s">
        <v>8</v>
      </c>
      <c r="C1729" s="50" t="s">
        <v>351</v>
      </c>
      <c r="D1729" s="50" t="s">
        <v>259</v>
      </c>
      <c r="E1729" s="50">
        <v>0</v>
      </c>
      <c r="F1729" s="50">
        <v>0.56696207949254207</v>
      </c>
      <c r="G1729" s="51" t="str">
        <v>宗 2022/06/20 (月)
平日夜間</v>
      </c>
    </row>
    <row r="1730" spans="1:7" ht="16.149999999999999" x14ac:dyDescent="0.7">
      <c r="A1730" s="49">
        <v>44706.36224717593</v>
      </c>
      <c r="B1730" s="50" t="s">
        <v>8</v>
      </c>
      <c r="C1730" s="50" t="s">
        <v>352</v>
      </c>
      <c r="D1730" s="50" t="s">
        <v>259</v>
      </c>
      <c r="E1730" s="50">
        <v>0</v>
      </c>
      <c r="F1730" s="50">
        <v>0.20681526944395046</v>
      </c>
      <c r="G1730" s="51" t="str">
        <v>宗 2022/06/21 (火)
平日夜間</v>
      </c>
    </row>
    <row r="1731" spans="1:7" ht="16.149999999999999" x14ac:dyDescent="0.7">
      <c r="A1731" s="49">
        <v>44706.36224717593</v>
      </c>
      <c r="B1731" s="50" t="s">
        <v>8</v>
      </c>
      <c r="C1731" s="50" t="s">
        <v>353</v>
      </c>
      <c r="D1731" s="50" t="s">
        <v>259</v>
      </c>
      <c r="E1731" s="50">
        <v>0</v>
      </c>
      <c r="F1731" s="50">
        <v>0.83589594818591584</v>
      </c>
      <c r="G1731" s="51" t="str">
        <v>宗 2022/06/22 (水)
平日夜間</v>
      </c>
    </row>
    <row r="1732" spans="1:7" ht="16.149999999999999" x14ac:dyDescent="0.7">
      <c r="A1732" s="49">
        <v>44706.36224717593</v>
      </c>
      <c r="B1732" s="50" t="s">
        <v>8</v>
      </c>
      <c r="C1732" s="50" t="s">
        <v>354</v>
      </c>
      <c r="D1732" s="50" t="s">
        <v>259</v>
      </c>
      <c r="E1732" s="50">
        <v>0</v>
      </c>
      <c r="F1732" s="50">
        <v>0.23734377222423286</v>
      </c>
      <c r="G1732" s="51" t="str">
        <v>宗 2022/06/23 (木)
平日夜間</v>
      </c>
    </row>
    <row r="1733" spans="1:7" ht="16.149999999999999" x14ac:dyDescent="0.7">
      <c r="A1733" s="49">
        <v>44706.36224717593</v>
      </c>
      <c r="B1733" s="50" t="s">
        <v>8</v>
      </c>
      <c r="C1733" s="50" t="s">
        <v>355</v>
      </c>
      <c r="D1733" s="50" t="s">
        <v>259</v>
      </c>
      <c r="E1733" s="50">
        <v>0</v>
      </c>
      <c r="F1733" s="50">
        <v>0.77535810287079387</v>
      </c>
      <c r="G1733" s="51" t="str">
        <v>宗 2022/06/24 (金)
平日夜間</v>
      </c>
    </row>
    <row r="1734" spans="1:7" ht="16.149999999999999" x14ac:dyDescent="0.7">
      <c r="A1734" s="49">
        <v>44706.36224717593</v>
      </c>
      <c r="B1734" s="50" t="s">
        <v>8</v>
      </c>
      <c r="C1734" s="50" t="s">
        <v>356</v>
      </c>
      <c r="D1734" s="50" t="s">
        <v>261</v>
      </c>
      <c r="E1734" s="50">
        <v>0</v>
      </c>
      <c r="F1734" s="50">
        <v>0.98169386488029442</v>
      </c>
      <c r="G1734" s="51" t="str">
        <v>宗 2022/06/25 (土)
休日午後</v>
      </c>
    </row>
    <row r="1735" spans="1:7" ht="16.149999999999999" x14ac:dyDescent="0.7">
      <c r="A1735" s="49">
        <v>44706.36224717593</v>
      </c>
      <c r="B1735" s="50" t="s">
        <v>8</v>
      </c>
      <c r="C1735" s="50" t="s">
        <v>357</v>
      </c>
      <c r="D1735" s="50" t="s">
        <v>263</v>
      </c>
      <c r="E1735" s="50">
        <v>0</v>
      </c>
      <c r="F1735" s="50">
        <v>0.24612376361411492</v>
      </c>
      <c r="G1735" s="51" t="str">
        <v>宗 2022/06/25 (土)
休日午前</v>
      </c>
    </row>
    <row r="1736" spans="1:7" ht="16.149999999999999" x14ac:dyDescent="0.7">
      <c r="A1736" s="49">
        <v>44706.36224717593</v>
      </c>
      <c r="B1736" s="50" t="s">
        <v>8</v>
      </c>
      <c r="C1736" s="50" t="s">
        <v>358</v>
      </c>
      <c r="D1736" s="50" t="s">
        <v>261</v>
      </c>
      <c r="E1736" s="50">
        <v>0</v>
      </c>
      <c r="F1736" s="50">
        <v>0.82239312799724451</v>
      </c>
      <c r="G1736" s="51" t="str">
        <v>宗 2022/06/26 (日)
休日午後</v>
      </c>
    </row>
    <row r="1737" spans="1:7" ht="16.149999999999999" x14ac:dyDescent="0.7">
      <c r="A1737" s="49">
        <v>44706.36224717593</v>
      </c>
      <c r="B1737" s="50" t="s">
        <v>8</v>
      </c>
      <c r="C1737" s="50" t="s">
        <v>359</v>
      </c>
      <c r="D1737" s="50" t="s">
        <v>263</v>
      </c>
      <c r="E1737" s="50">
        <v>0</v>
      </c>
      <c r="F1737" s="50">
        <v>0.73147898869487005</v>
      </c>
      <c r="G1737" s="51" t="str">
        <v>宗 2022/06/26 (日)
休日午前</v>
      </c>
    </row>
    <row r="1738" spans="1:7" ht="16.149999999999999" x14ac:dyDescent="0.7">
      <c r="A1738" s="49">
        <v>44706.36224717593</v>
      </c>
      <c r="B1738" s="50" t="s">
        <v>8</v>
      </c>
      <c r="C1738" s="50" t="s">
        <v>360</v>
      </c>
      <c r="D1738" s="50" t="s">
        <v>259</v>
      </c>
      <c r="E1738" s="50">
        <v>0</v>
      </c>
      <c r="F1738" s="50">
        <v>0.26013543238951331</v>
      </c>
      <c r="G1738" s="51" t="str">
        <v>宗 2022/06/27 (月)
平日夜間</v>
      </c>
    </row>
    <row r="1739" spans="1:7" ht="16.149999999999999" x14ac:dyDescent="0.7">
      <c r="A1739" s="49">
        <v>44706.36224717593</v>
      </c>
      <c r="B1739" s="50" t="s">
        <v>8</v>
      </c>
      <c r="C1739" s="50" t="s">
        <v>361</v>
      </c>
      <c r="D1739" s="50" t="s">
        <v>259</v>
      </c>
      <c r="E1739" s="50">
        <v>0</v>
      </c>
      <c r="F1739" s="50">
        <v>0.83794120260335969</v>
      </c>
      <c r="G1739" s="51" t="str">
        <v>宗 2022/06/28 (火)
平日夜間</v>
      </c>
    </row>
    <row r="1740" spans="1:7" ht="16.149999999999999" x14ac:dyDescent="0.7">
      <c r="A1740" s="49">
        <v>44706.36224717593</v>
      </c>
      <c r="B1740" s="50" t="s">
        <v>8</v>
      </c>
      <c r="C1740" s="50" t="s">
        <v>362</v>
      </c>
      <c r="D1740" s="50" t="s">
        <v>259</v>
      </c>
      <c r="E1740" s="50">
        <v>0</v>
      </c>
      <c r="F1740" s="50">
        <v>0.77436331759879984</v>
      </c>
      <c r="G1740" s="51" t="str">
        <v>宗 2022/06/29 (水)
平日夜間</v>
      </c>
    </row>
    <row r="1741" spans="1:7" ht="16.149999999999999" x14ac:dyDescent="0.7">
      <c r="A1741" s="49">
        <v>44706.36224717593</v>
      </c>
      <c r="B1741" s="50" t="s">
        <v>8</v>
      </c>
      <c r="C1741" s="50" t="s">
        <v>363</v>
      </c>
      <c r="D1741" s="50" t="s">
        <v>259</v>
      </c>
      <c r="E1741" s="50">
        <v>2</v>
      </c>
      <c r="F1741" s="50">
        <v>2.7893909042076213</v>
      </c>
      <c r="G1741" s="51" t="str">
        <v>宗 2022/06/30 (木)
平日夜間</v>
      </c>
    </row>
    <row r="1742" spans="1:7" ht="16.149999999999999" x14ac:dyDescent="0.7">
      <c r="A1742" s="49">
        <v>44728.640279768515</v>
      </c>
      <c r="B1742" s="50" t="s">
        <v>18</v>
      </c>
      <c r="C1742" s="50" t="s">
        <v>364</v>
      </c>
      <c r="D1742" s="50" t="s">
        <v>259</v>
      </c>
      <c r="E1742" s="50">
        <v>-1</v>
      </c>
      <c r="F1742" s="50">
        <v>-0.60554144692432943</v>
      </c>
      <c r="G1742" s="51" t="str">
        <v>中瀬 2022/07/01 (金)
平日夜間</v>
      </c>
    </row>
    <row r="1743" spans="1:7" ht="16.149999999999999" x14ac:dyDescent="0.7">
      <c r="A1743" s="49">
        <v>44728.640279768515</v>
      </c>
      <c r="B1743" s="50" t="s">
        <v>18</v>
      </c>
      <c r="C1743" s="50" t="s">
        <v>365</v>
      </c>
      <c r="D1743" s="50" t="s">
        <v>261</v>
      </c>
      <c r="E1743" s="50">
        <v>-1</v>
      </c>
      <c r="F1743" s="50">
        <v>-0.9372784387962021</v>
      </c>
      <c r="G1743" s="51" t="str">
        <v>中瀬 2022/07/02 (土)
休日午後</v>
      </c>
    </row>
    <row r="1744" spans="1:7" ht="16.149999999999999" x14ac:dyDescent="0.7">
      <c r="A1744" s="49">
        <v>44728.640279768515</v>
      </c>
      <c r="B1744" s="50" t="s">
        <v>18</v>
      </c>
      <c r="C1744" s="50" t="s">
        <v>366</v>
      </c>
      <c r="D1744" s="50" t="s">
        <v>263</v>
      </c>
      <c r="E1744" s="50">
        <v>-1</v>
      </c>
      <c r="F1744" s="50">
        <v>-0.10946552138932386</v>
      </c>
      <c r="G1744" s="51" t="str">
        <v>中瀬 2022/07/02 (土)
休日午前</v>
      </c>
    </row>
    <row r="1745" spans="1:7" ht="16.149999999999999" x14ac:dyDescent="0.7">
      <c r="A1745" s="49">
        <v>44728.640279768515</v>
      </c>
      <c r="B1745" s="50" t="s">
        <v>18</v>
      </c>
      <c r="C1745" s="50" t="s">
        <v>367</v>
      </c>
      <c r="D1745" s="50" t="s">
        <v>261</v>
      </c>
      <c r="E1745" s="50">
        <v>-1</v>
      </c>
      <c r="F1745" s="50">
        <v>-5.6579189385985718E-3</v>
      </c>
      <c r="G1745" s="51" t="str">
        <v>中瀬 2022/07/03 (日)
休日午後</v>
      </c>
    </row>
    <row r="1746" spans="1:7" ht="16.149999999999999" x14ac:dyDescent="0.7">
      <c r="A1746" s="49">
        <v>44728.640279768515</v>
      </c>
      <c r="B1746" s="50" t="s">
        <v>18</v>
      </c>
      <c r="C1746" s="50" t="s">
        <v>368</v>
      </c>
      <c r="D1746" s="50" t="s">
        <v>263</v>
      </c>
      <c r="E1746" s="50">
        <v>-1</v>
      </c>
      <c r="F1746" s="50">
        <v>-0.99567783487205141</v>
      </c>
      <c r="G1746" s="51" t="str">
        <v>中瀬 2022/07/03 (日)
休日午前</v>
      </c>
    </row>
    <row r="1747" spans="1:7" ht="16.149999999999999" x14ac:dyDescent="0.7">
      <c r="A1747" s="49">
        <v>44728.640279768515</v>
      </c>
      <c r="B1747" s="50" t="s">
        <v>18</v>
      </c>
      <c r="C1747" s="50" t="s">
        <v>369</v>
      </c>
      <c r="D1747" s="50" t="s">
        <v>259</v>
      </c>
      <c r="E1747" s="50">
        <v>2</v>
      </c>
      <c r="F1747" s="50">
        <v>2.1214721056435764</v>
      </c>
      <c r="G1747" s="51" t="str">
        <v>中瀬 2022/07/04 (月)
平日夜間</v>
      </c>
    </row>
    <row r="1748" spans="1:7" ht="16.149999999999999" x14ac:dyDescent="0.7">
      <c r="A1748" s="49">
        <v>44728.640279768515</v>
      </c>
      <c r="B1748" s="50" t="s">
        <v>18</v>
      </c>
      <c r="C1748" s="50" t="s">
        <v>370</v>
      </c>
      <c r="D1748" s="50" t="s">
        <v>259</v>
      </c>
      <c r="E1748" s="50">
        <v>0</v>
      </c>
      <c r="F1748" s="50">
        <v>0.59896641632136127</v>
      </c>
      <c r="G1748" s="51" t="str">
        <v>中瀬 2022/07/05 (火)
平日夜間</v>
      </c>
    </row>
    <row r="1749" spans="1:7" ht="16.149999999999999" x14ac:dyDescent="0.7">
      <c r="A1749" s="49">
        <v>44728.640279768515</v>
      </c>
      <c r="B1749" s="50" t="s">
        <v>18</v>
      </c>
      <c r="C1749" s="50" t="s">
        <v>371</v>
      </c>
      <c r="D1749" s="50" t="s">
        <v>259</v>
      </c>
      <c r="E1749" s="50">
        <v>0</v>
      </c>
      <c r="F1749" s="50">
        <v>0.29616079368206027</v>
      </c>
      <c r="G1749" s="51" t="str">
        <v>中瀬 2022/07/06 (水)
平日夜間</v>
      </c>
    </row>
    <row r="1750" spans="1:7" ht="16.149999999999999" x14ac:dyDescent="0.7">
      <c r="A1750" s="49">
        <v>44728.640279768515</v>
      </c>
      <c r="B1750" s="50" t="s">
        <v>18</v>
      </c>
      <c r="C1750" s="50" t="s">
        <v>372</v>
      </c>
      <c r="D1750" s="50" t="s">
        <v>259</v>
      </c>
      <c r="E1750" s="50">
        <v>0</v>
      </c>
      <c r="F1750" s="50">
        <v>0.32440739941530139</v>
      </c>
      <c r="G1750" s="51" t="str">
        <v>中瀬 2022/07/07 (木)
平日夜間</v>
      </c>
    </row>
    <row r="1751" spans="1:7" ht="16.149999999999999" x14ac:dyDescent="0.7">
      <c r="A1751" s="49">
        <v>44728.640279768515</v>
      </c>
      <c r="B1751" s="50" t="s">
        <v>18</v>
      </c>
      <c r="C1751" s="50" t="s">
        <v>373</v>
      </c>
      <c r="D1751" s="50" t="s">
        <v>259</v>
      </c>
      <c r="E1751" s="50">
        <v>0</v>
      </c>
      <c r="F1751" s="50">
        <v>0.73291297419438894</v>
      </c>
      <c r="G1751" s="51" t="str">
        <v>中瀬 2022/07/08 (金)
平日夜間</v>
      </c>
    </row>
    <row r="1752" spans="1:7" ht="16.149999999999999" x14ac:dyDescent="0.7">
      <c r="A1752" s="49">
        <v>44728.640279768515</v>
      </c>
      <c r="B1752" s="50" t="s">
        <v>18</v>
      </c>
      <c r="C1752" s="50" t="s">
        <v>374</v>
      </c>
      <c r="D1752" s="50" t="s">
        <v>261</v>
      </c>
      <c r="E1752" s="50">
        <v>-1</v>
      </c>
      <c r="F1752" s="50">
        <v>-0.69960664405236028</v>
      </c>
      <c r="G1752" s="51" t="str">
        <v>中瀬 2022/07/09 (土)
休日午後</v>
      </c>
    </row>
    <row r="1753" spans="1:7" ht="16.149999999999999" x14ac:dyDescent="0.7">
      <c r="A1753" s="49">
        <v>44728.640279768515</v>
      </c>
      <c r="B1753" s="50" t="s">
        <v>18</v>
      </c>
      <c r="C1753" s="50" t="s">
        <v>375</v>
      </c>
      <c r="D1753" s="50" t="s">
        <v>263</v>
      </c>
      <c r="E1753" s="50">
        <v>0</v>
      </c>
      <c r="F1753" s="50">
        <v>0.92424166398834151</v>
      </c>
      <c r="G1753" s="51" t="str">
        <v>中瀬 2022/07/09 (土)
休日午前</v>
      </c>
    </row>
    <row r="1754" spans="1:7" ht="16.149999999999999" x14ac:dyDescent="0.7">
      <c r="A1754" s="49">
        <v>44728.640279768515</v>
      </c>
      <c r="B1754" s="50" t="s">
        <v>18</v>
      </c>
      <c r="C1754" s="50" t="s">
        <v>376</v>
      </c>
      <c r="D1754" s="50" t="s">
        <v>261</v>
      </c>
      <c r="E1754" s="50">
        <v>-1</v>
      </c>
      <c r="F1754" s="50">
        <v>-0.59576452308332595</v>
      </c>
      <c r="G1754" s="51" t="str">
        <v>中瀬 2022/07/10 (日)
休日午後</v>
      </c>
    </row>
    <row r="1755" spans="1:7" ht="16.149999999999999" x14ac:dyDescent="0.7">
      <c r="A1755" s="49">
        <v>44728.640279768515</v>
      </c>
      <c r="B1755" s="50" t="s">
        <v>18</v>
      </c>
      <c r="C1755" s="50" t="s">
        <v>377</v>
      </c>
      <c r="D1755" s="50" t="s">
        <v>263</v>
      </c>
      <c r="E1755" s="50">
        <v>-1</v>
      </c>
      <c r="F1755" s="50">
        <v>-0.12885099673030065</v>
      </c>
      <c r="G1755" s="51" t="str">
        <v>中瀬 2022/07/10 (日)
休日午前</v>
      </c>
    </row>
    <row r="1756" spans="1:7" ht="16.149999999999999" x14ac:dyDescent="0.7">
      <c r="A1756" s="49">
        <v>44728.640279768515</v>
      </c>
      <c r="B1756" s="50" t="s">
        <v>18</v>
      </c>
      <c r="C1756" s="50" t="s">
        <v>378</v>
      </c>
      <c r="D1756" s="50" t="s">
        <v>259</v>
      </c>
      <c r="E1756" s="50">
        <v>0</v>
      </c>
      <c r="F1756" s="50">
        <v>0.98160854130862907</v>
      </c>
      <c r="G1756" s="51" t="str">
        <v>中瀬 2022/07/11 (月)
平日夜間</v>
      </c>
    </row>
    <row r="1757" spans="1:7" ht="16.149999999999999" x14ac:dyDescent="0.7">
      <c r="A1757" s="49">
        <v>44728.640279768515</v>
      </c>
      <c r="B1757" s="50" t="s">
        <v>18</v>
      </c>
      <c r="C1757" s="50" t="s">
        <v>379</v>
      </c>
      <c r="D1757" s="50" t="s">
        <v>259</v>
      </c>
      <c r="E1757" s="50">
        <v>0</v>
      </c>
      <c r="F1757" s="50">
        <v>0.59913170585371667</v>
      </c>
      <c r="G1757" s="51" t="str">
        <v>中瀬 2022/07/12 (火)
平日夜間</v>
      </c>
    </row>
    <row r="1758" spans="1:7" ht="16.149999999999999" x14ac:dyDescent="0.7">
      <c r="A1758" s="49">
        <v>44728.640279768515</v>
      </c>
      <c r="B1758" s="50" t="s">
        <v>18</v>
      </c>
      <c r="C1758" s="50" t="s">
        <v>380</v>
      </c>
      <c r="D1758" s="50" t="s">
        <v>259</v>
      </c>
      <c r="E1758" s="50">
        <v>-1</v>
      </c>
      <c r="F1758" s="50">
        <v>-0.91227776353702472</v>
      </c>
      <c r="G1758" s="51" t="str">
        <v>中瀬 2022/07/13 (水)
平日夜間</v>
      </c>
    </row>
    <row r="1759" spans="1:7" ht="16.149999999999999" x14ac:dyDescent="0.7">
      <c r="A1759" s="49">
        <v>44728.640279768515</v>
      </c>
      <c r="B1759" s="50" t="s">
        <v>18</v>
      </c>
      <c r="C1759" s="50" t="s">
        <v>381</v>
      </c>
      <c r="D1759" s="50" t="s">
        <v>259</v>
      </c>
      <c r="E1759" s="50">
        <v>-1</v>
      </c>
      <c r="F1759" s="50">
        <v>-7.2819306370166315E-2</v>
      </c>
      <c r="G1759" s="51" t="str">
        <v>中瀬 2022/07/14 (木)
平日夜間</v>
      </c>
    </row>
    <row r="1760" spans="1:7" ht="16.149999999999999" x14ac:dyDescent="0.7">
      <c r="A1760" s="49">
        <v>44728.640279768515</v>
      </c>
      <c r="B1760" s="50" t="s">
        <v>18</v>
      </c>
      <c r="C1760" s="50" t="s">
        <v>382</v>
      </c>
      <c r="D1760" s="50" t="s">
        <v>259</v>
      </c>
      <c r="E1760" s="50">
        <v>-1</v>
      </c>
      <c r="F1760" s="50">
        <v>-0.79160156172539975</v>
      </c>
      <c r="G1760" s="51" t="str">
        <v>中瀬 2022/07/15 (金)
平日夜間</v>
      </c>
    </row>
    <row r="1761" spans="1:7" ht="16.149999999999999" x14ac:dyDescent="0.7">
      <c r="A1761" s="49">
        <v>44728.640279768515</v>
      </c>
      <c r="B1761" s="50" t="s">
        <v>18</v>
      </c>
      <c r="C1761" s="50" t="s">
        <v>383</v>
      </c>
      <c r="D1761" s="50" t="s">
        <v>261</v>
      </c>
      <c r="E1761" s="50">
        <v>-1</v>
      </c>
      <c r="F1761" s="50">
        <v>-0.48590957781515542</v>
      </c>
      <c r="G1761" s="51" t="str">
        <v>中瀬 2022/07/16 (土)
休日午後</v>
      </c>
    </row>
    <row r="1762" spans="1:7" ht="16.149999999999999" x14ac:dyDescent="0.7">
      <c r="A1762" s="49">
        <v>44728.640279768515</v>
      </c>
      <c r="B1762" s="50" t="s">
        <v>18</v>
      </c>
      <c r="C1762" s="50" t="s">
        <v>384</v>
      </c>
      <c r="D1762" s="50" t="s">
        <v>263</v>
      </c>
      <c r="E1762" s="50">
        <v>-1</v>
      </c>
      <c r="F1762" s="50">
        <v>-0.30470342469067546</v>
      </c>
      <c r="G1762" s="51" t="str">
        <v>中瀬 2022/07/16 (土)
休日午前</v>
      </c>
    </row>
    <row r="1763" spans="1:7" ht="16.149999999999999" x14ac:dyDescent="0.7">
      <c r="A1763" s="49">
        <v>44728.640279768515</v>
      </c>
      <c r="B1763" s="50" t="s">
        <v>18</v>
      </c>
      <c r="C1763" s="50" t="s">
        <v>385</v>
      </c>
      <c r="D1763" s="50" t="s">
        <v>261</v>
      </c>
      <c r="E1763" s="50">
        <v>-1</v>
      </c>
      <c r="F1763" s="50">
        <v>-0.62896308288272973</v>
      </c>
      <c r="G1763" s="51" t="str">
        <v>中瀬 2022/07/17 (日)
休日午後</v>
      </c>
    </row>
    <row r="1764" spans="1:7" ht="16.149999999999999" x14ac:dyDescent="0.7">
      <c r="A1764" s="49">
        <v>44728.640279768515</v>
      </c>
      <c r="B1764" s="50" t="s">
        <v>18</v>
      </c>
      <c r="C1764" s="50" t="s">
        <v>386</v>
      </c>
      <c r="D1764" s="50" t="s">
        <v>263</v>
      </c>
      <c r="E1764" s="50">
        <v>-1</v>
      </c>
      <c r="F1764" s="50">
        <v>-0.38587311686768144</v>
      </c>
      <c r="G1764" s="51" t="str">
        <v>中瀬 2022/07/17 (日)
休日午前</v>
      </c>
    </row>
    <row r="1765" spans="1:7" ht="16.149999999999999" x14ac:dyDescent="0.7">
      <c r="A1765" s="49">
        <v>44728.640279768515</v>
      </c>
      <c r="B1765" s="50" t="s">
        <v>18</v>
      </c>
      <c r="C1765" s="50" t="s">
        <v>387</v>
      </c>
      <c r="D1765" s="50" t="s">
        <v>259</v>
      </c>
      <c r="E1765" s="50">
        <v>-1</v>
      </c>
      <c r="F1765" s="50">
        <v>-0.31154563621502618</v>
      </c>
      <c r="G1765" s="51" t="str">
        <v>中瀬 2022/07/19 (火)
平日夜間</v>
      </c>
    </row>
    <row r="1766" spans="1:7" ht="16.149999999999999" x14ac:dyDescent="0.7">
      <c r="A1766" s="49">
        <v>44728.640279768515</v>
      </c>
      <c r="B1766" s="50" t="s">
        <v>18</v>
      </c>
      <c r="C1766" s="50" t="s">
        <v>388</v>
      </c>
      <c r="D1766" s="50" t="s">
        <v>259</v>
      </c>
      <c r="E1766" s="50">
        <v>0</v>
      </c>
      <c r="F1766" s="50">
        <v>0.7967161375981815</v>
      </c>
      <c r="G1766" s="51" t="str">
        <v>中瀬 2022/07/20 (水)
平日夜間</v>
      </c>
    </row>
    <row r="1767" spans="1:7" ht="16.149999999999999" x14ac:dyDescent="0.7">
      <c r="A1767" s="49">
        <v>44728.640279768515</v>
      </c>
      <c r="B1767" s="50" t="s">
        <v>18</v>
      </c>
      <c r="C1767" s="50" t="s">
        <v>389</v>
      </c>
      <c r="D1767" s="50" t="s">
        <v>259</v>
      </c>
      <c r="E1767" s="50">
        <v>0</v>
      </c>
      <c r="F1767" s="50">
        <v>0.49475157511763923</v>
      </c>
      <c r="G1767" s="51" t="str">
        <v>中瀬 2022/07/21 (木)
平日夜間</v>
      </c>
    </row>
    <row r="1768" spans="1:7" ht="16.149999999999999" x14ac:dyDescent="0.7">
      <c r="A1768" s="49">
        <v>44728.640279768515</v>
      </c>
      <c r="B1768" s="50" t="s">
        <v>18</v>
      </c>
      <c r="C1768" s="50" t="s">
        <v>390</v>
      </c>
      <c r="D1768" s="50" t="s">
        <v>259</v>
      </c>
      <c r="E1768" s="50">
        <v>0</v>
      </c>
      <c r="F1768" s="50">
        <v>0.51725866702115564</v>
      </c>
      <c r="G1768" s="51" t="str">
        <v>中瀬 2022/07/22 (金)
平日夜間</v>
      </c>
    </row>
    <row r="1769" spans="1:7" ht="16.149999999999999" x14ac:dyDescent="0.7">
      <c r="A1769" s="49">
        <v>44728.640279768515</v>
      </c>
      <c r="B1769" s="50" t="s">
        <v>18</v>
      </c>
      <c r="C1769" s="50" t="s">
        <v>391</v>
      </c>
      <c r="D1769" s="50" t="s">
        <v>261</v>
      </c>
      <c r="E1769" s="50">
        <v>0</v>
      </c>
      <c r="F1769" s="50">
        <v>0.9122432842449828</v>
      </c>
      <c r="G1769" s="51" t="str">
        <v>中瀬 2022/07/23 (土)
休日午後</v>
      </c>
    </row>
    <row r="1770" spans="1:7" ht="16.149999999999999" x14ac:dyDescent="0.7">
      <c r="A1770" s="49">
        <v>44728.640279768515</v>
      </c>
      <c r="B1770" s="50" t="s">
        <v>18</v>
      </c>
      <c r="C1770" s="50" t="s">
        <v>392</v>
      </c>
      <c r="D1770" s="50" t="s">
        <v>263</v>
      </c>
      <c r="E1770" s="50">
        <v>0</v>
      </c>
      <c r="F1770" s="50">
        <v>0.13297198376873065</v>
      </c>
      <c r="G1770" s="51" t="str">
        <v>中瀬 2022/07/23 (土)
休日午前</v>
      </c>
    </row>
    <row r="1771" spans="1:7" ht="16.149999999999999" x14ac:dyDescent="0.7">
      <c r="A1771" s="49">
        <v>44728.640279768515</v>
      </c>
      <c r="B1771" s="50" t="s">
        <v>18</v>
      </c>
      <c r="C1771" s="50" t="s">
        <v>393</v>
      </c>
      <c r="D1771" s="50" t="s">
        <v>261</v>
      </c>
      <c r="E1771" s="50">
        <v>0</v>
      </c>
      <c r="F1771" s="50">
        <v>0.99026215237191439</v>
      </c>
      <c r="G1771" s="51" t="str">
        <v>中瀬 2022/07/24 (日)
休日午後</v>
      </c>
    </row>
    <row r="1772" spans="1:7" ht="16.149999999999999" x14ac:dyDescent="0.7">
      <c r="A1772" s="49">
        <v>44728.640279768515</v>
      </c>
      <c r="B1772" s="50" t="s">
        <v>18</v>
      </c>
      <c r="C1772" s="50" t="s">
        <v>394</v>
      </c>
      <c r="D1772" s="50" t="s">
        <v>263</v>
      </c>
      <c r="E1772" s="50">
        <v>0</v>
      </c>
      <c r="F1772" s="50">
        <v>9.1718657393467184E-2</v>
      </c>
      <c r="G1772" s="51" t="str">
        <v>中瀬 2022/07/24 (日)
休日午前</v>
      </c>
    </row>
    <row r="1773" spans="1:7" ht="16.149999999999999" x14ac:dyDescent="0.7">
      <c r="A1773" s="49">
        <v>44728.640279768515</v>
      </c>
      <c r="B1773" s="50" t="s">
        <v>18</v>
      </c>
      <c r="C1773" s="50" t="s">
        <v>395</v>
      </c>
      <c r="D1773" s="50" t="s">
        <v>259</v>
      </c>
      <c r="E1773" s="50">
        <v>0</v>
      </c>
      <c r="F1773" s="50">
        <v>0.58334773763861847</v>
      </c>
      <c r="G1773" s="51" t="str">
        <v>中瀬 2022/07/25 (月)
平日夜間</v>
      </c>
    </row>
    <row r="1774" spans="1:7" ht="16.149999999999999" x14ac:dyDescent="0.7">
      <c r="A1774" s="49">
        <v>44728.640279768515</v>
      </c>
      <c r="B1774" s="50" t="s">
        <v>18</v>
      </c>
      <c r="C1774" s="50" t="s">
        <v>396</v>
      </c>
      <c r="D1774" s="50" t="s">
        <v>259</v>
      </c>
      <c r="E1774" s="50">
        <v>0</v>
      </c>
      <c r="F1774" s="50">
        <v>0.58193301976677447</v>
      </c>
      <c r="G1774" s="51" t="str">
        <v>中瀬 2022/07/26 (火)
平日夜間</v>
      </c>
    </row>
    <row r="1775" spans="1:7" ht="16.149999999999999" x14ac:dyDescent="0.7">
      <c r="A1775" s="49">
        <v>44728.640279768515</v>
      </c>
      <c r="B1775" s="50" t="s">
        <v>18</v>
      </c>
      <c r="C1775" s="50" t="s">
        <v>397</v>
      </c>
      <c r="D1775" s="50" t="s">
        <v>259</v>
      </c>
      <c r="E1775" s="50">
        <v>0</v>
      </c>
      <c r="F1775" s="50">
        <v>0.1002476327232511</v>
      </c>
      <c r="G1775" s="51" t="str">
        <v>中瀬 2022/07/27 (水)
平日夜間</v>
      </c>
    </row>
    <row r="1776" spans="1:7" ht="16.149999999999999" x14ac:dyDescent="0.7">
      <c r="A1776" s="49">
        <v>44728.640279768515</v>
      </c>
      <c r="B1776" s="50" t="s">
        <v>18</v>
      </c>
      <c r="C1776" s="50" t="s">
        <v>398</v>
      </c>
      <c r="D1776" s="50" t="s">
        <v>259</v>
      </c>
      <c r="E1776" s="50">
        <v>0</v>
      </c>
      <c r="F1776" s="50">
        <v>0.99421387344194656</v>
      </c>
      <c r="G1776" s="51" t="str">
        <v>中瀬 2022/07/28 (木)
平日夜間</v>
      </c>
    </row>
    <row r="1777" spans="1:7" ht="16.149999999999999" x14ac:dyDescent="0.7">
      <c r="A1777" s="49">
        <v>44728.640279768515</v>
      </c>
      <c r="B1777" s="50" t="s">
        <v>18</v>
      </c>
      <c r="C1777" s="50" t="s">
        <v>399</v>
      </c>
      <c r="D1777" s="50" t="s">
        <v>259</v>
      </c>
      <c r="E1777" s="50">
        <v>0</v>
      </c>
      <c r="F1777" s="50">
        <v>0.38298231603092203</v>
      </c>
      <c r="G1777" s="51" t="str">
        <v>中瀬 2022/07/29 (金)
平日夜間</v>
      </c>
    </row>
    <row r="1778" spans="1:7" ht="16.149999999999999" x14ac:dyDescent="0.7">
      <c r="A1778" s="49">
        <v>44728.640279768515</v>
      </c>
      <c r="B1778" s="50" t="s">
        <v>18</v>
      </c>
      <c r="C1778" s="50" t="s">
        <v>400</v>
      </c>
      <c r="D1778" s="50" t="s">
        <v>261</v>
      </c>
      <c r="E1778" s="50">
        <v>0</v>
      </c>
      <c r="F1778" s="50">
        <v>0.21820863188458706</v>
      </c>
      <c r="G1778" s="51" t="str">
        <v>中瀬 2022/07/30 (土)
休日午後</v>
      </c>
    </row>
    <row r="1779" spans="1:7" ht="16.149999999999999" x14ac:dyDescent="0.7">
      <c r="A1779" s="49">
        <v>44728.640279768515</v>
      </c>
      <c r="B1779" s="50" t="s">
        <v>18</v>
      </c>
      <c r="C1779" s="50" t="s">
        <v>401</v>
      </c>
      <c r="D1779" s="50" t="s">
        <v>263</v>
      </c>
      <c r="E1779" s="50">
        <v>0</v>
      </c>
      <c r="F1779" s="50">
        <v>0.97273163755621872</v>
      </c>
      <c r="G1779" s="51" t="str">
        <v>中瀬 2022/07/30 (土)
休日午前</v>
      </c>
    </row>
    <row r="1780" spans="1:7" ht="16.149999999999999" x14ac:dyDescent="0.7">
      <c r="A1780" s="49">
        <v>44728.640279768515</v>
      </c>
      <c r="B1780" s="50" t="s">
        <v>18</v>
      </c>
      <c r="C1780" s="50" t="s">
        <v>402</v>
      </c>
      <c r="D1780" s="50" t="s">
        <v>261</v>
      </c>
      <c r="E1780" s="50">
        <v>0</v>
      </c>
      <c r="F1780" s="50">
        <v>0.34513959699444596</v>
      </c>
      <c r="G1780" s="51" t="str">
        <v>中瀬 2022/07/31 (日)
休日午後</v>
      </c>
    </row>
    <row r="1781" spans="1:7" ht="16.149999999999999" x14ac:dyDescent="0.7">
      <c r="A1781" s="49">
        <v>44728.640279768515</v>
      </c>
      <c r="B1781" s="50" t="s">
        <v>18</v>
      </c>
      <c r="C1781" s="50" t="s">
        <v>403</v>
      </c>
      <c r="D1781" s="50" t="s">
        <v>263</v>
      </c>
      <c r="E1781" s="50">
        <v>0</v>
      </c>
      <c r="F1781" s="50">
        <v>0.65364771036074476</v>
      </c>
      <c r="G1781" s="51" t="str">
        <v>中瀬 2022/07/31 (日)
休日午前</v>
      </c>
    </row>
    <row r="1782" spans="1:7" ht="16.149999999999999" x14ac:dyDescent="0.7">
      <c r="A1782" s="49">
        <v>44728.661615578705</v>
      </c>
      <c r="B1782" s="50" t="s">
        <v>31</v>
      </c>
      <c r="C1782" s="50" t="s">
        <v>364</v>
      </c>
      <c r="D1782" s="50" t="s">
        <v>259</v>
      </c>
      <c r="E1782" s="50">
        <v>-1</v>
      </c>
      <c r="F1782" s="50">
        <v>-0.20868015883335511</v>
      </c>
      <c r="G1782" s="51" t="str">
        <v>湯川 2022/07/01 (金)
平日夜間</v>
      </c>
    </row>
    <row r="1783" spans="1:7" ht="16.149999999999999" x14ac:dyDescent="0.7">
      <c r="A1783" s="49">
        <v>44728.661615578705</v>
      </c>
      <c r="B1783" s="50" t="s">
        <v>31</v>
      </c>
      <c r="C1783" s="50" t="s">
        <v>365</v>
      </c>
      <c r="D1783" s="50" t="s">
        <v>261</v>
      </c>
      <c r="E1783" s="50">
        <v>0</v>
      </c>
      <c r="F1783" s="50">
        <v>0.6794678233777609</v>
      </c>
      <c r="G1783" s="51" t="str">
        <v>湯川 2022/07/02 (土)
休日午後</v>
      </c>
    </row>
    <row r="1784" spans="1:7" ht="16.149999999999999" x14ac:dyDescent="0.7">
      <c r="A1784" s="49">
        <v>44728.661615578705</v>
      </c>
      <c r="B1784" s="50" t="s">
        <v>31</v>
      </c>
      <c r="C1784" s="50" t="s">
        <v>366</v>
      </c>
      <c r="D1784" s="50" t="s">
        <v>263</v>
      </c>
      <c r="E1784" s="50">
        <v>0</v>
      </c>
      <c r="F1784" s="50">
        <v>0.37270359917184459</v>
      </c>
      <c r="G1784" s="51" t="str">
        <v>湯川 2022/07/02 (土)
休日午前</v>
      </c>
    </row>
    <row r="1785" spans="1:7" ht="16.149999999999999" x14ac:dyDescent="0.7">
      <c r="A1785" s="49">
        <v>44728.661615578705</v>
      </c>
      <c r="B1785" s="50" t="s">
        <v>31</v>
      </c>
      <c r="C1785" s="50" t="s">
        <v>367</v>
      </c>
      <c r="D1785" s="50" t="s">
        <v>261</v>
      </c>
      <c r="E1785" s="50">
        <v>0</v>
      </c>
      <c r="F1785" s="50">
        <v>0.32067780771530896</v>
      </c>
      <c r="G1785" s="51" t="str">
        <v>湯川 2022/07/03 (日)
休日午後</v>
      </c>
    </row>
    <row r="1786" spans="1:7" ht="16.149999999999999" x14ac:dyDescent="0.7">
      <c r="A1786" s="49">
        <v>44728.661615578705</v>
      </c>
      <c r="B1786" s="50" t="s">
        <v>31</v>
      </c>
      <c r="C1786" s="50" t="s">
        <v>368</v>
      </c>
      <c r="D1786" s="50" t="s">
        <v>263</v>
      </c>
      <c r="E1786" s="50">
        <v>0</v>
      </c>
      <c r="F1786" s="50">
        <v>0.57712058776507358</v>
      </c>
      <c r="G1786" s="51" t="str">
        <v>湯川 2022/07/03 (日)
休日午前</v>
      </c>
    </row>
    <row r="1787" spans="1:7" ht="16.149999999999999" x14ac:dyDescent="0.7">
      <c r="A1787" s="49">
        <v>44728.661615578705</v>
      </c>
      <c r="B1787" s="50" t="s">
        <v>31</v>
      </c>
      <c r="C1787" s="50" t="s">
        <v>369</v>
      </c>
      <c r="D1787" s="50" t="s">
        <v>259</v>
      </c>
      <c r="E1787" s="50">
        <v>0</v>
      </c>
      <c r="F1787" s="50">
        <v>0.80908787927523029</v>
      </c>
      <c r="G1787" s="51" t="str">
        <v>湯川 2022/07/04 (月)
平日夜間</v>
      </c>
    </row>
    <row r="1788" spans="1:7" ht="16.149999999999999" x14ac:dyDescent="0.7">
      <c r="A1788" s="49">
        <v>44728.661615578705</v>
      </c>
      <c r="B1788" s="50" t="s">
        <v>31</v>
      </c>
      <c r="C1788" s="50" t="s">
        <v>370</v>
      </c>
      <c r="D1788" s="50" t="s">
        <v>259</v>
      </c>
      <c r="E1788" s="50">
        <v>0</v>
      </c>
      <c r="F1788" s="50">
        <v>0.92850189680314466</v>
      </c>
      <c r="G1788" s="51" t="str">
        <v>湯川 2022/07/05 (火)
平日夜間</v>
      </c>
    </row>
    <row r="1789" spans="1:7" ht="16.149999999999999" x14ac:dyDescent="0.7">
      <c r="A1789" s="49">
        <v>44728.661615578705</v>
      </c>
      <c r="B1789" s="50" t="s">
        <v>31</v>
      </c>
      <c r="C1789" s="50" t="s">
        <v>371</v>
      </c>
      <c r="D1789" s="50" t="s">
        <v>259</v>
      </c>
      <c r="E1789" s="50">
        <v>0</v>
      </c>
      <c r="F1789" s="50">
        <v>0.76299069903578443</v>
      </c>
      <c r="G1789" s="51" t="str">
        <v>湯川 2022/07/06 (水)
平日夜間</v>
      </c>
    </row>
    <row r="1790" spans="1:7" ht="16.149999999999999" x14ac:dyDescent="0.7">
      <c r="A1790" s="49">
        <v>44728.661615578705</v>
      </c>
      <c r="B1790" s="50" t="s">
        <v>31</v>
      </c>
      <c r="C1790" s="50" t="s">
        <v>372</v>
      </c>
      <c r="D1790" s="50" t="s">
        <v>259</v>
      </c>
      <c r="E1790" s="50">
        <v>0</v>
      </c>
      <c r="F1790" s="50">
        <v>0.5962795867904378</v>
      </c>
      <c r="G1790" s="51" t="str">
        <v>湯川 2022/07/07 (木)
平日夜間</v>
      </c>
    </row>
    <row r="1791" spans="1:7" ht="16.149999999999999" x14ac:dyDescent="0.7">
      <c r="A1791" s="49">
        <v>44728.661615578705</v>
      </c>
      <c r="B1791" s="50" t="s">
        <v>31</v>
      </c>
      <c r="C1791" s="50" t="s">
        <v>373</v>
      </c>
      <c r="D1791" s="50" t="s">
        <v>259</v>
      </c>
      <c r="E1791" s="50">
        <v>-1</v>
      </c>
      <c r="F1791" s="50">
        <v>-0.521294220593012</v>
      </c>
      <c r="G1791" s="51" t="str">
        <v>湯川 2022/07/08 (金)
平日夜間</v>
      </c>
    </row>
    <row r="1792" spans="1:7" ht="16.149999999999999" x14ac:dyDescent="0.7">
      <c r="A1792" s="49">
        <v>44728.661615578705</v>
      </c>
      <c r="B1792" s="50" t="s">
        <v>31</v>
      </c>
      <c r="C1792" s="50" t="s">
        <v>374</v>
      </c>
      <c r="D1792" s="50" t="s">
        <v>261</v>
      </c>
      <c r="E1792" s="50">
        <v>0</v>
      </c>
      <c r="F1792" s="50">
        <v>0.15107814255364493</v>
      </c>
      <c r="G1792" s="51" t="str">
        <v>湯川 2022/07/09 (土)
休日午後</v>
      </c>
    </row>
    <row r="1793" spans="1:7" ht="16.149999999999999" x14ac:dyDescent="0.7">
      <c r="A1793" s="49">
        <v>44728.661615578705</v>
      </c>
      <c r="B1793" s="50" t="s">
        <v>31</v>
      </c>
      <c r="C1793" s="50" t="s">
        <v>375</v>
      </c>
      <c r="D1793" s="50" t="s">
        <v>263</v>
      </c>
      <c r="E1793" s="50">
        <v>0</v>
      </c>
      <c r="F1793" s="50">
        <v>4.9149028368958403E-2</v>
      </c>
      <c r="G1793" s="51" t="str">
        <v>湯川 2022/07/09 (土)
休日午前</v>
      </c>
    </row>
    <row r="1794" spans="1:7" ht="16.149999999999999" x14ac:dyDescent="0.7">
      <c r="A1794" s="49">
        <v>44728.661615578705</v>
      </c>
      <c r="B1794" s="50" t="s">
        <v>31</v>
      </c>
      <c r="C1794" s="50" t="s">
        <v>376</v>
      </c>
      <c r="D1794" s="50" t="s">
        <v>261</v>
      </c>
      <c r="E1794" s="50">
        <v>0</v>
      </c>
      <c r="F1794" s="50">
        <v>0.4100355395325721</v>
      </c>
      <c r="G1794" s="51" t="str">
        <v>湯川 2022/07/10 (日)
休日午後</v>
      </c>
    </row>
    <row r="1795" spans="1:7" ht="16.149999999999999" x14ac:dyDescent="0.7">
      <c r="A1795" s="49">
        <v>44728.661615578705</v>
      </c>
      <c r="B1795" s="50" t="s">
        <v>31</v>
      </c>
      <c r="C1795" s="50" t="s">
        <v>377</v>
      </c>
      <c r="D1795" s="50" t="s">
        <v>263</v>
      </c>
      <c r="E1795" s="50">
        <v>0</v>
      </c>
      <c r="F1795" s="50">
        <v>0.15007997133165274</v>
      </c>
      <c r="G1795" s="51" t="str">
        <v>湯川 2022/07/10 (日)
休日午前</v>
      </c>
    </row>
    <row r="1796" spans="1:7" ht="16.149999999999999" x14ac:dyDescent="0.7">
      <c r="A1796" s="49">
        <v>44728.661615578705</v>
      </c>
      <c r="B1796" s="50" t="s">
        <v>31</v>
      </c>
      <c r="C1796" s="50" t="s">
        <v>378</v>
      </c>
      <c r="D1796" s="50" t="s">
        <v>259</v>
      </c>
      <c r="E1796" s="50">
        <v>0</v>
      </c>
      <c r="F1796" s="50">
        <v>0.69891679123907391</v>
      </c>
      <c r="G1796" s="51" t="str">
        <v>湯川 2022/07/11 (月)
平日夜間</v>
      </c>
    </row>
    <row r="1797" spans="1:7" ht="16.149999999999999" x14ac:dyDescent="0.7">
      <c r="A1797" s="49">
        <v>44728.661615578705</v>
      </c>
      <c r="B1797" s="50" t="s">
        <v>31</v>
      </c>
      <c r="C1797" s="50" t="s">
        <v>379</v>
      </c>
      <c r="D1797" s="50" t="s">
        <v>259</v>
      </c>
      <c r="E1797" s="50">
        <v>0</v>
      </c>
      <c r="F1797" s="50">
        <v>0.44147630551169459</v>
      </c>
      <c r="G1797" s="51" t="str">
        <v>湯川 2022/07/12 (火)
平日夜間</v>
      </c>
    </row>
    <row r="1798" spans="1:7" ht="16.149999999999999" x14ac:dyDescent="0.7">
      <c r="A1798" s="49">
        <v>44728.661615578705</v>
      </c>
      <c r="B1798" s="50" t="s">
        <v>31</v>
      </c>
      <c r="C1798" s="50" t="s">
        <v>380</v>
      </c>
      <c r="D1798" s="50" t="s">
        <v>259</v>
      </c>
      <c r="E1798" s="50">
        <v>0</v>
      </c>
      <c r="F1798" s="50">
        <v>0.34296376451080168</v>
      </c>
      <c r="G1798" s="51" t="str">
        <v>湯川 2022/07/13 (水)
平日夜間</v>
      </c>
    </row>
    <row r="1799" spans="1:7" ht="16.149999999999999" x14ac:dyDescent="0.7">
      <c r="A1799" s="49">
        <v>44728.661615578705</v>
      </c>
      <c r="B1799" s="50" t="s">
        <v>31</v>
      </c>
      <c r="C1799" s="50" t="s">
        <v>381</v>
      </c>
      <c r="D1799" s="50" t="s">
        <v>259</v>
      </c>
      <c r="E1799" s="50">
        <v>0</v>
      </c>
      <c r="F1799" s="50">
        <v>0.3293659028598761</v>
      </c>
      <c r="G1799" s="51" t="str">
        <v>湯川 2022/07/14 (木)
平日夜間</v>
      </c>
    </row>
    <row r="1800" spans="1:7" ht="16.149999999999999" x14ac:dyDescent="0.7">
      <c r="A1800" s="49">
        <v>44728.661615578705</v>
      </c>
      <c r="B1800" s="50" t="s">
        <v>31</v>
      </c>
      <c r="C1800" s="50" t="s">
        <v>382</v>
      </c>
      <c r="D1800" s="50" t="s">
        <v>259</v>
      </c>
      <c r="E1800" s="50">
        <v>-1</v>
      </c>
      <c r="F1800" s="50">
        <v>-0.76590630764125667</v>
      </c>
      <c r="G1800" s="51" t="str">
        <v>湯川 2022/07/15 (金)
平日夜間</v>
      </c>
    </row>
    <row r="1801" spans="1:7" ht="16.149999999999999" x14ac:dyDescent="0.7">
      <c r="A1801" s="49">
        <v>44728.661615578705</v>
      </c>
      <c r="B1801" s="50" t="s">
        <v>31</v>
      </c>
      <c r="C1801" s="50" t="s">
        <v>383</v>
      </c>
      <c r="D1801" s="50" t="s">
        <v>261</v>
      </c>
      <c r="E1801" s="50">
        <v>0</v>
      </c>
      <c r="F1801" s="50">
        <v>0.95503323225480519</v>
      </c>
      <c r="G1801" s="51" t="str">
        <v>湯川 2022/07/16 (土)
休日午後</v>
      </c>
    </row>
    <row r="1802" spans="1:7" ht="16.149999999999999" x14ac:dyDescent="0.7">
      <c r="A1802" s="49">
        <v>44728.661615578705</v>
      </c>
      <c r="B1802" s="50" t="s">
        <v>31</v>
      </c>
      <c r="C1802" s="50" t="s">
        <v>384</v>
      </c>
      <c r="D1802" s="50" t="s">
        <v>263</v>
      </c>
      <c r="E1802" s="50">
        <v>0</v>
      </c>
      <c r="F1802" s="50">
        <v>0.64844534254455377</v>
      </c>
      <c r="G1802" s="51" t="str">
        <v>湯川 2022/07/16 (土)
休日午前</v>
      </c>
    </row>
    <row r="1803" spans="1:7" ht="16.149999999999999" x14ac:dyDescent="0.7">
      <c r="A1803" s="49">
        <v>44728.661615578705</v>
      </c>
      <c r="B1803" s="50" t="s">
        <v>31</v>
      </c>
      <c r="C1803" s="50" t="s">
        <v>385</v>
      </c>
      <c r="D1803" s="50" t="s">
        <v>261</v>
      </c>
      <c r="E1803" s="50">
        <v>1</v>
      </c>
      <c r="F1803" s="50">
        <v>1.3800701973077238</v>
      </c>
      <c r="G1803" s="51" t="str">
        <v>湯川 2022/07/17 (日)
休日午後</v>
      </c>
    </row>
    <row r="1804" spans="1:7" ht="16.149999999999999" x14ac:dyDescent="0.7">
      <c r="A1804" s="49">
        <v>44728.661615578705</v>
      </c>
      <c r="B1804" s="50" t="s">
        <v>31</v>
      </c>
      <c r="C1804" s="50" t="s">
        <v>386</v>
      </c>
      <c r="D1804" s="50" t="s">
        <v>263</v>
      </c>
      <c r="E1804" s="50">
        <v>1</v>
      </c>
      <c r="F1804" s="50">
        <v>1.4413824242143676</v>
      </c>
      <c r="G1804" s="51" t="str">
        <v>湯川 2022/07/17 (日)
休日午前</v>
      </c>
    </row>
    <row r="1805" spans="1:7" ht="16.149999999999999" x14ac:dyDescent="0.7">
      <c r="A1805" s="49">
        <v>44728.661615578705</v>
      </c>
      <c r="B1805" s="50" t="s">
        <v>31</v>
      </c>
      <c r="C1805" s="50" t="s">
        <v>387</v>
      </c>
      <c r="D1805" s="50" t="s">
        <v>259</v>
      </c>
      <c r="E1805" s="50">
        <v>0</v>
      </c>
      <c r="F1805" s="50">
        <v>0.18949709965002826</v>
      </c>
      <c r="G1805" s="51" t="str">
        <v>湯川 2022/07/19 (火)
平日夜間</v>
      </c>
    </row>
    <row r="1806" spans="1:7" ht="16.149999999999999" x14ac:dyDescent="0.7">
      <c r="A1806" s="49">
        <v>44728.661615578705</v>
      </c>
      <c r="B1806" s="50" t="s">
        <v>31</v>
      </c>
      <c r="C1806" s="50" t="s">
        <v>388</v>
      </c>
      <c r="D1806" s="50" t="s">
        <v>259</v>
      </c>
      <c r="E1806" s="50">
        <v>0</v>
      </c>
      <c r="F1806" s="50">
        <v>0.22265764819891976</v>
      </c>
      <c r="G1806" s="51" t="str">
        <v>湯川 2022/07/20 (水)
平日夜間</v>
      </c>
    </row>
    <row r="1807" spans="1:7" ht="16.149999999999999" x14ac:dyDescent="0.7">
      <c r="A1807" s="49">
        <v>44728.661615578705</v>
      </c>
      <c r="B1807" s="50" t="s">
        <v>31</v>
      </c>
      <c r="C1807" s="50" t="s">
        <v>389</v>
      </c>
      <c r="D1807" s="50" t="s">
        <v>259</v>
      </c>
      <c r="E1807" s="50">
        <v>0</v>
      </c>
      <c r="F1807" s="50">
        <v>0.53803008806179853</v>
      </c>
      <c r="G1807" s="51" t="str">
        <v>湯川 2022/07/21 (木)
平日夜間</v>
      </c>
    </row>
    <row r="1808" spans="1:7" ht="16.149999999999999" x14ac:dyDescent="0.7">
      <c r="A1808" s="49">
        <v>44728.661615578705</v>
      </c>
      <c r="B1808" s="50" t="s">
        <v>31</v>
      </c>
      <c r="C1808" s="50" t="s">
        <v>390</v>
      </c>
      <c r="D1808" s="50" t="s">
        <v>259</v>
      </c>
      <c r="E1808" s="50">
        <v>-1</v>
      </c>
      <c r="F1808" s="50">
        <v>-0.73058260033472866</v>
      </c>
      <c r="G1808" s="51" t="str">
        <v>湯川 2022/07/22 (金)
平日夜間</v>
      </c>
    </row>
    <row r="1809" spans="1:7" ht="16.149999999999999" x14ac:dyDescent="0.7">
      <c r="A1809" s="49">
        <v>44728.661615578705</v>
      </c>
      <c r="B1809" s="50" t="s">
        <v>31</v>
      </c>
      <c r="C1809" s="50" t="s">
        <v>391</v>
      </c>
      <c r="D1809" s="50" t="s">
        <v>261</v>
      </c>
      <c r="E1809" s="50">
        <v>0</v>
      </c>
      <c r="F1809" s="50">
        <v>0.13443769766265601</v>
      </c>
      <c r="G1809" s="51" t="str">
        <v>湯川 2022/07/23 (土)
休日午後</v>
      </c>
    </row>
    <row r="1810" spans="1:7" ht="16.149999999999999" x14ac:dyDescent="0.7">
      <c r="A1810" s="49">
        <v>44728.661615578705</v>
      </c>
      <c r="B1810" s="50" t="s">
        <v>31</v>
      </c>
      <c r="C1810" s="50" t="s">
        <v>392</v>
      </c>
      <c r="D1810" s="50" t="s">
        <v>263</v>
      </c>
      <c r="E1810" s="50">
        <v>0</v>
      </c>
      <c r="F1810" s="50">
        <v>0.26546925990523995</v>
      </c>
      <c r="G1810" s="51" t="str">
        <v>湯川 2022/07/23 (土)
休日午前</v>
      </c>
    </row>
    <row r="1811" spans="1:7" ht="16.149999999999999" x14ac:dyDescent="0.7">
      <c r="A1811" s="49">
        <v>44728.661615578705</v>
      </c>
      <c r="B1811" s="50" t="s">
        <v>31</v>
      </c>
      <c r="C1811" s="50" t="s">
        <v>393</v>
      </c>
      <c r="D1811" s="50" t="s">
        <v>261</v>
      </c>
      <c r="E1811" s="50">
        <v>0</v>
      </c>
      <c r="F1811" s="50">
        <v>0.44418727981470485</v>
      </c>
      <c r="G1811" s="51" t="str">
        <v>湯川 2022/07/24 (日)
休日午後</v>
      </c>
    </row>
    <row r="1812" spans="1:7" ht="16.149999999999999" x14ac:dyDescent="0.7">
      <c r="A1812" s="49">
        <v>44728.661615578705</v>
      </c>
      <c r="B1812" s="50" t="s">
        <v>31</v>
      </c>
      <c r="C1812" s="50" t="s">
        <v>394</v>
      </c>
      <c r="D1812" s="50" t="s">
        <v>263</v>
      </c>
      <c r="E1812" s="50">
        <v>0</v>
      </c>
      <c r="F1812" s="50">
        <v>0.67116913679413415</v>
      </c>
      <c r="G1812" s="51" t="str">
        <v>湯川 2022/07/24 (日)
休日午前</v>
      </c>
    </row>
    <row r="1813" spans="1:7" ht="16.149999999999999" x14ac:dyDescent="0.7">
      <c r="A1813" s="49">
        <v>44728.661615578705</v>
      </c>
      <c r="B1813" s="50" t="s">
        <v>31</v>
      </c>
      <c r="C1813" s="50" t="s">
        <v>395</v>
      </c>
      <c r="D1813" s="50" t="s">
        <v>259</v>
      </c>
      <c r="E1813" s="50">
        <v>-1</v>
      </c>
      <c r="F1813" s="50">
        <v>-0.58535829919421078</v>
      </c>
      <c r="G1813" s="51" t="str">
        <v>湯川 2022/07/25 (月)
平日夜間</v>
      </c>
    </row>
    <row r="1814" spans="1:7" ht="16.149999999999999" x14ac:dyDescent="0.7">
      <c r="A1814" s="49">
        <v>44728.661615578705</v>
      </c>
      <c r="B1814" s="50" t="s">
        <v>31</v>
      </c>
      <c r="C1814" s="50" t="s">
        <v>396</v>
      </c>
      <c r="D1814" s="50" t="s">
        <v>259</v>
      </c>
      <c r="E1814" s="50">
        <v>0</v>
      </c>
      <c r="F1814" s="50">
        <v>0.92287504292142342</v>
      </c>
      <c r="G1814" s="51" t="str">
        <v>湯川 2022/07/26 (火)
平日夜間</v>
      </c>
    </row>
    <row r="1815" spans="1:7" ht="16.149999999999999" x14ac:dyDescent="0.7">
      <c r="A1815" s="49">
        <v>44728.661615578705</v>
      </c>
      <c r="B1815" s="50" t="s">
        <v>31</v>
      </c>
      <c r="C1815" s="50" t="s">
        <v>397</v>
      </c>
      <c r="D1815" s="50" t="s">
        <v>259</v>
      </c>
      <c r="E1815" s="50">
        <v>-1</v>
      </c>
      <c r="F1815" s="50">
        <v>-0.63457514536227544</v>
      </c>
      <c r="G1815" s="51" t="str">
        <v>湯川 2022/07/27 (水)
平日夜間</v>
      </c>
    </row>
    <row r="1816" spans="1:7" ht="16.149999999999999" x14ac:dyDescent="0.7">
      <c r="A1816" s="49">
        <v>44728.661615578705</v>
      </c>
      <c r="B1816" s="50" t="s">
        <v>31</v>
      </c>
      <c r="C1816" s="50" t="s">
        <v>398</v>
      </c>
      <c r="D1816" s="50" t="s">
        <v>259</v>
      </c>
      <c r="E1816" s="50">
        <v>0</v>
      </c>
      <c r="F1816" s="50">
        <v>0.15939302416576306</v>
      </c>
      <c r="G1816" s="51" t="str">
        <v>湯川 2022/07/28 (木)
平日夜間</v>
      </c>
    </row>
    <row r="1817" spans="1:7" ht="16.149999999999999" x14ac:dyDescent="0.7">
      <c r="A1817" s="49">
        <v>44728.661615578705</v>
      </c>
      <c r="B1817" s="50" t="s">
        <v>31</v>
      </c>
      <c r="C1817" s="50" t="s">
        <v>399</v>
      </c>
      <c r="D1817" s="50" t="s">
        <v>259</v>
      </c>
      <c r="E1817" s="50">
        <v>-1</v>
      </c>
      <c r="F1817" s="50">
        <v>-0.11266927867540488</v>
      </c>
      <c r="G1817" s="51" t="str">
        <v>湯川 2022/07/29 (金)
平日夜間</v>
      </c>
    </row>
    <row r="1818" spans="1:7" ht="16.149999999999999" x14ac:dyDescent="0.7">
      <c r="A1818" s="49">
        <v>44728.661615578705</v>
      </c>
      <c r="B1818" s="50" t="s">
        <v>31</v>
      </c>
      <c r="C1818" s="50" t="s">
        <v>400</v>
      </c>
      <c r="D1818" s="50" t="s">
        <v>261</v>
      </c>
      <c r="E1818" s="50">
        <v>0</v>
      </c>
      <c r="F1818" s="50">
        <v>0.37372827190833635</v>
      </c>
      <c r="G1818" s="51" t="str">
        <v>湯川 2022/07/30 (土)
休日午後</v>
      </c>
    </row>
    <row r="1819" spans="1:7" ht="16.149999999999999" x14ac:dyDescent="0.7">
      <c r="A1819" s="49">
        <v>44728.661615578705</v>
      </c>
      <c r="B1819" s="50" t="s">
        <v>31</v>
      </c>
      <c r="C1819" s="50" t="s">
        <v>401</v>
      </c>
      <c r="D1819" s="50" t="s">
        <v>263</v>
      </c>
      <c r="E1819" s="50">
        <v>0</v>
      </c>
      <c r="F1819" s="50">
        <v>0.26640338443126255</v>
      </c>
      <c r="G1819" s="51" t="str">
        <v>湯川 2022/07/30 (土)
休日午前</v>
      </c>
    </row>
    <row r="1820" spans="1:7" ht="16.149999999999999" x14ac:dyDescent="0.7">
      <c r="A1820" s="49">
        <v>44728.661615578705</v>
      </c>
      <c r="B1820" s="50" t="s">
        <v>31</v>
      </c>
      <c r="C1820" s="50" t="s">
        <v>402</v>
      </c>
      <c r="D1820" s="50" t="s">
        <v>261</v>
      </c>
      <c r="E1820" s="50">
        <v>0</v>
      </c>
      <c r="F1820" s="50">
        <v>0.62626380718248709</v>
      </c>
      <c r="G1820" s="51" t="str">
        <v>湯川 2022/07/31 (日)
休日午後</v>
      </c>
    </row>
    <row r="1821" spans="1:7" ht="16.149999999999999" x14ac:dyDescent="0.7">
      <c r="A1821" s="49">
        <v>44728.661615578705</v>
      </c>
      <c r="B1821" s="50" t="s">
        <v>31</v>
      </c>
      <c r="C1821" s="50" t="s">
        <v>403</v>
      </c>
      <c r="D1821" s="50" t="s">
        <v>263</v>
      </c>
      <c r="E1821" s="50">
        <v>0</v>
      </c>
      <c r="F1821" s="50">
        <v>0.41693656944690227</v>
      </c>
      <c r="G1821" s="51" t="str">
        <v>湯川 2022/07/31 (日)
休日午前</v>
      </c>
    </row>
    <row r="1822" spans="1:7" ht="16.149999999999999" x14ac:dyDescent="0.7">
      <c r="A1822" s="49">
        <v>44728.822853599537</v>
      </c>
      <c r="B1822" s="50" t="s">
        <v>2</v>
      </c>
      <c r="C1822" s="50" t="s">
        <v>364</v>
      </c>
      <c r="D1822" s="50" t="s">
        <v>259</v>
      </c>
      <c r="E1822" s="50">
        <v>-1</v>
      </c>
      <c r="F1822" s="50">
        <v>-0.32080956744242051</v>
      </c>
      <c r="G1822" s="51" t="str">
        <v>伊藤 2022/07/01 (金)
平日夜間</v>
      </c>
    </row>
    <row r="1823" spans="1:7" ht="16.149999999999999" x14ac:dyDescent="0.7">
      <c r="A1823" s="49">
        <v>44728.822853599537</v>
      </c>
      <c r="B1823" s="50" t="s">
        <v>2</v>
      </c>
      <c r="C1823" s="50" t="s">
        <v>365</v>
      </c>
      <c r="D1823" s="50" t="s">
        <v>261</v>
      </c>
      <c r="E1823" s="50">
        <v>-1</v>
      </c>
      <c r="F1823" s="50">
        <v>-0.13552005055961702</v>
      </c>
      <c r="G1823" s="51" t="str">
        <v>伊藤 2022/07/02 (土)
休日午後</v>
      </c>
    </row>
    <row r="1824" spans="1:7" ht="16.149999999999999" x14ac:dyDescent="0.7">
      <c r="A1824" s="49">
        <v>44728.822853599537</v>
      </c>
      <c r="B1824" s="50" t="s">
        <v>2</v>
      </c>
      <c r="C1824" s="50" t="s">
        <v>366</v>
      </c>
      <c r="D1824" s="50" t="s">
        <v>263</v>
      </c>
      <c r="E1824" s="50">
        <v>-1</v>
      </c>
      <c r="F1824" s="50">
        <v>-0.89105527598071754</v>
      </c>
      <c r="G1824" s="51" t="str">
        <v>伊藤 2022/07/02 (土)
休日午前</v>
      </c>
    </row>
    <row r="1825" spans="1:7" ht="16.149999999999999" x14ac:dyDescent="0.7">
      <c r="A1825" s="49">
        <v>44728.822853599537</v>
      </c>
      <c r="B1825" s="50" t="s">
        <v>2</v>
      </c>
      <c r="C1825" s="50" t="s">
        <v>367</v>
      </c>
      <c r="D1825" s="50" t="s">
        <v>261</v>
      </c>
      <c r="E1825" s="50">
        <v>0</v>
      </c>
      <c r="F1825" s="50">
        <v>0.34365385672536397</v>
      </c>
      <c r="G1825" s="51" t="str">
        <v>伊藤 2022/07/03 (日)
休日午後</v>
      </c>
    </row>
    <row r="1826" spans="1:7" ht="16.149999999999999" x14ac:dyDescent="0.7">
      <c r="A1826" s="49">
        <v>44728.822853599537</v>
      </c>
      <c r="B1826" s="50" t="s">
        <v>2</v>
      </c>
      <c r="C1826" s="50" t="s">
        <v>368</v>
      </c>
      <c r="D1826" s="50" t="s">
        <v>263</v>
      </c>
      <c r="E1826" s="50">
        <v>0</v>
      </c>
      <c r="F1826" s="50">
        <v>0.96613910141198978</v>
      </c>
      <c r="G1826" s="51" t="str">
        <v>伊藤 2022/07/03 (日)
休日午前</v>
      </c>
    </row>
    <row r="1827" spans="1:7" ht="16.149999999999999" x14ac:dyDescent="0.7">
      <c r="A1827" s="49">
        <v>44728.822853599537</v>
      </c>
      <c r="B1827" s="50" t="s">
        <v>2</v>
      </c>
      <c r="C1827" s="50" t="s">
        <v>369</v>
      </c>
      <c r="D1827" s="50" t="s">
        <v>259</v>
      </c>
      <c r="E1827" s="50">
        <v>0</v>
      </c>
      <c r="F1827" s="50">
        <v>0.29588030794509046</v>
      </c>
      <c r="G1827" s="51" t="str">
        <v>伊藤 2022/07/04 (月)
平日夜間</v>
      </c>
    </row>
    <row r="1828" spans="1:7" ht="16.149999999999999" x14ac:dyDescent="0.7">
      <c r="A1828" s="49">
        <v>44728.822853599537</v>
      </c>
      <c r="B1828" s="50" t="s">
        <v>2</v>
      </c>
      <c r="C1828" s="50" t="s">
        <v>370</v>
      </c>
      <c r="D1828" s="50" t="s">
        <v>259</v>
      </c>
      <c r="E1828" s="50">
        <v>0</v>
      </c>
      <c r="F1828" s="50">
        <v>0.75028858908190887</v>
      </c>
      <c r="G1828" s="51" t="str">
        <v>伊藤 2022/07/05 (火)
平日夜間</v>
      </c>
    </row>
    <row r="1829" spans="1:7" ht="16.149999999999999" x14ac:dyDescent="0.7">
      <c r="A1829" s="49">
        <v>44728.822853599537</v>
      </c>
      <c r="B1829" s="50" t="s">
        <v>2</v>
      </c>
      <c r="C1829" s="50" t="s">
        <v>371</v>
      </c>
      <c r="D1829" s="50" t="s">
        <v>259</v>
      </c>
      <c r="E1829" s="50">
        <v>0</v>
      </c>
      <c r="F1829" s="50">
        <v>9.3640281041506679E-2</v>
      </c>
      <c r="G1829" s="51" t="str">
        <v>伊藤 2022/07/06 (水)
平日夜間</v>
      </c>
    </row>
    <row r="1830" spans="1:7" ht="16.149999999999999" x14ac:dyDescent="0.7">
      <c r="A1830" s="49">
        <v>44728.822853599537</v>
      </c>
      <c r="B1830" s="50" t="s">
        <v>2</v>
      </c>
      <c r="C1830" s="50" t="s">
        <v>372</v>
      </c>
      <c r="D1830" s="50" t="s">
        <v>259</v>
      </c>
      <c r="E1830" s="50">
        <v>0</v>
      </c>
      <c r="F1830" s="50">
        <v>0.55212013178598163</v>
      </c>
      <c r="G1830" s="51" t="str">
        <v>伊藤 2022/07/07 (木)
平日夜間</v>
      </c>
    </row>
    <row r="1831" spans="1:7" ht="16.149999999999999" x14ac:dyDescent="0.7">
      <c r="A1831" s="49">
        <v>44728.822853599537</v>
      </c>
      <c r="B1831" s="50" t="s">
        <v>2</v>
      </c>
      <c r="C1831" s="50" t="s">
        <v>373</v>
      </c>
      <c r="D1831" s="50" t="s">
        <v>259</v>
      </c>
      <c r="E1831" s="50">
        <v>-1</v>
      </c>
      <c r="F1831" s="50">
        <v>-0.4197782212170944</v>
      </c>
      <c r="G1831" s="51" t="str">
        <v>伊藤 2022/07/08 (金)
平日夜間</v>
      </c>
    </row>
    <row r="1832" spans="1:7" ht="16.149999999999999" x14ac:dyDescent="0.7">
      <c r="A1832" s="49">
        <v>44728.822853599537</v>
      </c>
      <c r="B1832" s="50" t="s">
        <v>2</v>
      </c>
      <c r="C1832" s="50" t="s">
        <v>374</v>
      </c>
      <c r="D1832" s="50" t="s">
        <v>261</v>
      </c>
      <c r="E1832" s="50">
        <v>-1</v>
      </c>
      <c r="F1832" s="50">
        <v>-0.64490571963205978</v>
      </c>
      <c r="G1832" s="51" t="str">
        <v>伊藤 2022/07/09 (土)
休日午後</v>
      </c>
    </row>
    <row r="1833" spans="1:7" ht="16.149999999999999" x14ac:dyDescent="0.7">
      <c r="A1833" s="49">
        <v>44728.822853599537</v>
      </c>
      <c r="B1833" s="50" t="s">
        <v>2</v>
      </c>
      <c r="C1833" s="50" t="s">
        <v>375</v>
      </c>
      <c r="D1833" s="50" t="s">
        <v>263</v>
      </c>
      <c r="E1833" s="50">
        <v>-1</v>
      </c>
      <c r="F1833" s="50">
        <v>-0.53526634762590164</v>
      </c>
      <c r="G1833" s="51" t="str">
        <v>伊藤 2022/07/09 (土)
休日午前</v>
      </c>
    </row>
    <row r="1834" spans="1:7" ht="16.149999999999999" x14ac:dyDescent="0.7">
      <c r="A1834" s="49">
        <v>44728.822853599537</v>
      </c>
      <c r="B1834" s="50" t="s">
        <v>2</v>
      </c>
      <c r="C1834" s="50" t="s">
        <v>376</v>
      </c>
      <c r="D1834" s="50" t="s">
        <v>261</v>
      </c>
      <c r="E1834" s="50">
        <v>-1</v>
      </c>
      <c r="F1834" s="50">
        <v>-0.25168757817462839</v>
      </c>
      <c r="G1834" s="51" t="str">
        <v>伊藤 2022/07/10 (日)
休日午後</v>
      </c>
    </row>
    <row r="1835" spans="1:7" ht="16.149999999999999" x14ac:dyDescent="0.7">
      <c r="A1835" s="49">
        <v>44728.822853599537</v>
      </c>
      <c r="B1835" s="50" t="s">
        <v>2</v>
      </c>
      <c r="C1835" s="50" t="s">
        <v>377</v>
      </c>
      <c r="D1835" s="50" t="s">
        <v>263</v>
      </c>
      <c r="E1835" s="50">
        <v>-1</v>
      </c>
      <c r="F1835" s="50">
        <v>-0.54685791203754519</v>
      </c>
      <c r="G1835" s="51" t="str">
        <v>伊藤 2022/07/10 (日)
休日午前</v>
      </c>
    </row>
    <row r="1836" spans="1:7" ht="16.149999999999999" x14ac:dyDescent="0.7">
      <c r="A1836" s="49">
        <v>44728.822853599537</v>
      </c>
      <c r="B1836" s="50" t="s">
        <v>2</v>
      </c>
      <c r="C1836" s="50" t="s">
        <v>378</v>
      </c>
      <c r="D1836" s="50" t="s">
        <v>259</v>
      </c>
      <c r="E1836" s="50">
        <v>0</v>
      </c>
      <c r="F1836" s="50">
        <v>0.38277455159845264</v>
      </c>
      <c r="G1836" s="51" t="str">
        <v>伊藤 2022/07/11 (月)
平日夜間</v>
      </c>
    </row>
    <row r="1837" spans="1:7" ht="16.149999999999999" x14ac:dyDescent="0.7">
      <c r="A1837" s="49">
        <v>44728.822853599537</v>
      </c>
      <c r="B1837" s="50" t="s">
        <v>2</v>
      </c>
      <c r="C1837" s="50" t="s">
        <v>379</v>
      </c>
      <c r="D1837" s="50" t="s">
        <v>259</v>
      </c>
      <c r="E1837" s="50">
        <v>0</v>
      </c>
      <c r="F1837" s="50">
        <v>6.5664864443325754E-2</v>
      </c>
      <c r="G1837" s="51" t="str">
        <v>伊藤 2022/07/12 (火)
平日夜間</v>
      </c>
    </row>
    <row r="1838" spans="1:7" ht="16.149999999999999" x14ac:dyDescent="0.7">
      <c r="A1838" s="49">
        <v>44728.822853599537</v>
      </c>
      <c r="B1838" s="50" t="s">
        <v>2</v>
      </c>
      <c r="C1838" s="50" t="s">
        <v>380</v>
      </c>
      <c r="D1838" s="50" t="s">
        <v>259</v>
      </c>
      <c r="E1838" s="50">
        <v>0</v>
      </c>
      <c r="F1838" s="50">
        <v>0.65652225592025015</v>
      </c>
      <c r="G1838" s="51" t="str">
        <v>伊藤 2022/07/13 (水)
平日夜間</v>
      </c>
    </row>
    <row r="1839" spans="1:7" ht="16.149999999999999" x14ac:dyDescent="0.7">
      <c r="A1839" s="49">
        <v>44728.822853599537</v>
      </c>
      <c r="B1839" s="50" t="s">
        <v>2</v>
      </c>
      <c r="C1839" s="50" t="s">
        <v>381</v>
      </c>
      <c r="D1839" s="50" t="s">
        <v>259</v>
      </c>
      <c r="E1839" s="50">
        <v>0</v>
      </c>
      <c r="F1839" s="50">
        <v>0.16292030430445892</v>
      </c>
      <c r="G1839" s="51" t="str">
        <v>伊藤 2022/07/14 (木)
平日夜間</v>
      </c>
    </row>
    <row r="1840" spans="1:7" ht="16.149999999999999" x14ac:dyDescent="0.7">
      <c r="A1840" s="49">
        <v>44728.822853599537</v>
      </c>
      <c r="B1840" s="50" t="s">
        <v>2</v>
      </c>
      <c r="C1840" s="50" t="s">
        <v>382</v>
      </c>
      <c r="D1840" s="50" t="s">
        <v>259</v>
      </c>
      <c r="E1840" s="50">
        <v>-1</v>
      </c>
      <c r="F1840" s="50">
        <v>-0.29505119201493724</v>
      </c>
      <c r="G1840" s="51" t="str">
        <v>伊藤 2022/07/15 (金)
平日夜間</v>
      </c>
    </row>
    <row r="1841" spans="1:7" ht="16.149999999999999" x14ac:dyDescent="0.7">
      <c r="A1841" s="49">
        <v>44728.822853599537</v>
      </c>
      <c r="B1841" s="50" t="s">
        <v>2</v>
      </c>
      <c r="C1841" s="50" t="s">
        <v>383</v>
      </c>
      <c r="D1841" s="50" t="s">
        <v>261</v>
      </c>
      <c r="E1841" s="50">
        <v>-1</v>
      </c>
      <c r="F1841" s="50">
        <v>-0.7488734893211757</v>
      </c>
      <c r="G1841" s="51" t="str">
        <v>伊藤 2022/07/16 (土)
休日午後</v>
      </c>
    </row>
    <row r="1842" spans="1:7" ht="16.149999999999999" x14ac:dyDescent="0.7">
      <c r="A1842" s="49">
        <v>44728.822853599537</v>
      </c>
      <c r="B1842" s="50" t="s">
        <v>2</v>
      </c>
      <c r="C1842" s="50" t="s">
        <v>384</v>
      </c>
      <c r="D1842" s="50" t="s">
        <v>263</v>
      </c>
      <c r="E1842" s="50">
        <v>-1</v>
      </c>
      <c r="F1842" s="50">
        <v>-0.81449798366541248</v>
      </c>
      <c r="G1842" s="51" t="str">
        <v>伊藤 2022/07/16 (土)
休日午前</v>
      </c>
    </row>
    <row r="1843" spans="1:7" ht="16.149999999999999" x14ac:dyDescent="0.7">
      <c r="A1843" s="49">
        <v>44728.822853599537</v>
      </c>
      <c r="B1843" s="50" t="s">
        <v>2</v>
      </c>
      <c r="C1843" s="50" t="s">
        <v>385</v>
      </c>
      <c r="D1843" s="50" t="s">
        <v>261</v>
      </c>
      <c r="E1843" s="50">
        <v>0</v>
      </c>
      <c r="F1843" s="50">
        <v>0.32572331430364021</v>
      </c>
      <c r="G1843" s="51" t="str">
        <v>伊藤 2022/07/17 (日)
休日午後</v>
      </c>
    </row>
    <row r="1844" spans="1:7" ht="16.149999999999999" x14ac:dyDescent="0.7">
      <c r="A1844" s="49">
        <v>44728.822853599537</v>
      </c>
      <c r="B1844" s="50" t="s">
        <v>2</v>
      </c>
      <c r="C1844" s="50" t="s">
        <v>386</v>
      </c>
      <c r="D1844" s="50" t="s">
        <v>263</v>
      </c>
      <c r="E1844" s="50">
        <v>0</v>
      </c>
      <c r="F1844" s="50">
        <v>0.12533871044224831</v>
      </c>
      <c r="G1844" s="51" t="str">
        <v>伊藤 2022/07/17 (日)
休日午前</v>
      </c>
    </row>
    <row r="1845" spans="1:7" ht="16.149999999999999" x14ac:dyDescent="0.7">
      <c r="A1845" s="49">
        <v>44728.822853599537</v>
      </c>
      <c r="B1845" s="50" t="s">
        <v>2</v>
      </c>
      <c r="C1845" s="50" t="s">
        <v>387</v>
      </c>
      <c r="D1845" s="50" t="s">
        <v>259</v>
      </c>
      <c r="E1845" s="50">
        <v>0</v>
      </c>
      <c r="F1845" s="50">
        <v>0.65755451089710371</v>
      </c>
      <c r="G1845" s="51" t="str">
        <v>伊藤 2022/07/19 (火)
平日夜間</v>
      </c>
    </row>
    <row r="1846" spans="1:7" ht="16.149999999999999" x14ac:dyDescent="0.7">
      <c r="A1846" s="49">
        <v>44728.822853599537</v>
      </c>
      <c r="B1846" s="50" t="s">
        <v>2</v>
      </c>
      <c r="C1846" s="50" t="s">
        <v>388</v>
      </c>
      <c r="D1846" s="50" t="s">
        <v>259</v>
      </c>
      <c r="E1846" s="50">
        <v>0</v>
      </c>
      <c r="F1846" s="50">
        <v>3.0094423810323789E-2</v>
      </c>
      <c r="G1846" s="51" t="str">
        <v>伊藤 2022/07/20 (水)
平日夜間</v>
      </c>
    </row>
    <row r="1847" spans="1:7" ht="16.149999999999999" x14ac:dyDescent="0.7">
      <c r="A1847" s="49">
        <v>44728.822853599537</v>
      </c>
      <c r="B1847" s="50" t="s">
        <v>2</v>
      </c>
      <c r="C1847" s="50" t="s">
        <v>389</v>
      </c>
      <c r="D1847" s="50" t="s">
        <v>259</v>
      </c>
      <c r="E1847" s="50">
        <v>0</v>
      </c>
      <c r="F1847" s="50">
        <v>0.93920235315270784</v>
      </c>
      <c r="G1847" s="51" t="str">
        <v>伊藤 2022/07/21 (木)
平日夜間</v>
      </c>
    </row>
    <row r="1848" spans="1:7" ht="16.149999999999999" x14ac:dyDescent="0.7">
      <c r="A1848" s="49">
        <v>44728.822853599537</v>
      </c>
      <c r="B1848" s="50" t="s">
        <v>2</v>
      </c>
      <c r="C1848" s="50" t="s">
        <v>390</v>
      </c>
      <c r="D1848" s="50" t="s">
        <v>259</v>
      </c>
      <c r="E1848" s="50">
        <v>-1</v>
      </c>
      <c r="F1848" s="50">
        <v>-0.92650176349815183</v>
      </c>
      <c r="G1848" s="51" t="str">
        <v>伊藤 2022/07/22 (金)
平日夜間</v>
      </c>
    </row>
    <row r="1849" spans="1:7" ht="16.149999999999999" x14ac:dyDescent="0.7">
      <c r="A1849" s="49">
        <v>44728.822853599537</v>
      </c>
      <c r="B1849" s="50" t="s">
        <v>2</v>
      </c>
      <c r="C1849" s="50" t="s">
        <v>391</v>
      </c>
      <c r="D1849" s="50" t="s">
        <v>261</v>
      </c>
      <c r="E1849" s="50">
        <v>-1</v>
      </c>
      <c r="F1849" s="50">
        <v>-0.58973660794580463</v>
      </c>
      <c r="G1849" s="51" t="str">
        <v>伊藤 2022/07/23 (土)
休日午後</v>
      </c>
    </row>
    <row r="1850" spans="1:7" ht="16.149999999999999" x14ac:dyDescent="0.7">
      <c r="A1850" s="49">
        <v>44728.822853599537</v>
      </c>
      <c r="B1850" s="50" t="s">
        <v>2</v>
      </c>
      <c r="C1850" s="50" t="s">
        <v>392</v>
      </c>
      <c r="D1850" s="50" t="s">
        <v>263</v>
      </c>
      <c r="E1850" s="50">
        <v>-1</v>
      </c>
      <c r="F1850" s="50">
        <v>-0.25743670917377015</v>
      </c>
      <c r="G1850" s="51" t="str">
        <v>伊藤 2022/07/23 (土)
休日午前</v>
      </c>
    </row>
    <row r="1851" spans="1:7" ht="16.149999999999999" x14ac:dyDescent="0.7">
      <c r="A1851" s="49">
        <v>44728.822853599537</v>
      </c>
      <c r="B1851" s="50" t="s">
        <v>2</v>
      </c>
      <c r="C1851" s="50" t="s">
        <v>393</v>
      </c>
      <c r="D1851" s="50" t="s">
        <v>261</v>
      </c>
      <c r="E1851" s="50">
        <v>0</v>
      </c>
      <c r="F1851" s="50">
        <v>0.74824487718784005</v>
      </c>
      <c r="G1851" s="51" t="str">
        <v>伊藤 2022/07/24 (日)
休日午後</v>
      </c>
    </row>
    <row r="1852" spans="1:7" ht="16.149999999999999" x14ac:dyDescent="0.7">
      <c r="A1852" s="49">
        <v>44728.822853599537</v>
      </c>
      <c r="B1852" s="50" t="s">
        <v>2</v>
      </c>
      <c r="C1852" s="50" t="s">
        <v>394</v>
      </c>
      <c r="D1852" s="50" t="s">
        <v>263</v>
      </c>
      <c r="E1852" s="50">
        <v>0</v>
      </c>
      <c r="F1852" s="50">
        <v>0.12887894729279936</v>
      </c>
      <c r="G1852" s="51" t="str">
        <v>伊藤 2022/07/24 (日)
休日午前</v>
      </c>
    </row>
    <row r="1853" spans="1:7" ht="16.149999999999999" x14ac:dyDescent="0.7">
      <c r="A1853" s="49">
        <v>44728.822853599537</v>
      </c>
      <c r="B1853" s="50" t="s">
        <v>2</v>
      </c>
      <c r="C1853" s="50" t="s">
        <v>395</v>
      </c>
      <c r="D1853" s="50" t="s">
        <v>259</v>
      </c>
      <c r="E1853" s="50">
        <v>0</v>
      </c>
      <c r="F1853" s="50">
        <v>0.37685680344870609</v>
      </c>
      <c r="G1853" s="51" t="str">
        <v>伊藤 2022/07/25 (月)
平日夜間</v>
      </c>
    </row>
    <row r="1854" spans="1:7" ht="16.149999999999999" x14ac:dyDescent="0.7">
      <c r="A1854" s="49">
        <v>44728.822853599537</v>
      </c>
      <c r="B1854" s="50" t="s">
        <v>2</v>
      </c>
      <c r="C1854" s="50" t="s">
        <v>396</v>
      </c>
      <c r="D1854" s="50" t="s">
        <v>259</v>
      </c>
      <c r="E1854" s="50">
        <v>0</v>
      </c>
      <c r="F1854" s="50">
        <v>0.35947328989875116</v>
      </c>
      <c r="G1854" s="51" t="str">
        <v>伊藤 2022/07/26 (火)
平日夜間</v>
      </c>
    </row>
    <row r="1855" spans="1:7" ht="16.149999999999999" x14ac:dyDescent="0.7">
      <c r="A1855" s="49">
        <v>44728.822853599537</v>
      </c>
      <c r="B1855" s="50" t="s">
        <v>2</v>
      </c>
      <c r="C1855" s="50" t="s">
        <v>397</v>
      </c>
      <c r="D1855" s="50" t="s">
        <v>259</v>
      </c>
      <c r="E1855" s="50">
        <v>0</v>
      </c>
      <c r="F1855" s="50">
        <v>0.15887630955671006</v>
      </c>
      <c r="G1855" s="51" t="str">
        <v>伊藤 2022/07/27 (水)
平日夜間</v>
      </c>
    </row>
    <row r="1856" spans="1:7" ht="16.149999999999999" x14ac:dyDescent="0.7">
      <c r="A1856" s="49">
        <v>44728.822853599537</v>
      </c>
      <c r="B1856" s="50" t="s">
        <v>2</v>
      </c>
      <c r="C1856" s="50" t="s">
        <v>398</v>
      </c>
      <c r="D1856" s="50" t="s">
        <v>259</v>
      </c>
      <c r="E1856" s="50">
        <v>0</v>
      </c>
      <c r="F1856" s="50">
        <v>4.2360377261274618E-3</v>
      </c>
      <c r="G1856" s="51" t="str">
        <v>伊藤 2022/07/28 (木)
平日夜間</v>
      </c>
    </row>
    <row r="1857" spans="1:7" ht="16.149999999999999" x14ac:dyDescent="0.7">
      <c r="A1857" s="49">
        <v>44728.822853599537</v>
      </c>
      <c r="B1857" s="50" t="s">
        <v>2</v>
      </c>
      <c r="C1857" s="50" t="s">
        <v>399</v>
      </c>
      <c r="D1857" s="50" t="s">
        <v>259</v>
      </c>
      <c r="E1857" s="50">
        <v>-1</v>
      </c>
      <c r="F1857" s="50">
        <v>-0.42319551386592447</v>
      </c>
      <c r="G1857" s="51" t="str">
        <v>伊藤 2022/07/29 (金)
平日夜間</v>
      </c>
    </row>
    <row r="1858" spans="1:7" ht="16.149999999999999" x14ac:dyDescent="0.7">
      <c r="A1858" s="49">
        <v>44728.822853599537</v>
      </c>
      <c r="B1858" s="50" t="s">
        <v>2</v>
      </c>
      <c r="C1858" s="50" t="s">
        <v>400</v>
      </c>
      <c r="D1858" s="50" t="s">
        <v>261</v>
      </c>
      <c r="E1858" s="50">
        <v>-1</v>
      </c>
      <c r="F1858" s="50">
        <v>-2.1856414894453779E-2</v>
      </c>
      <c r="G1858" s="51" t="str">
        <v>伊藤 2022/07/30 (土)
休日午後</v>
      </c>
    </row>
    <row r="1859" spans="1:7" ht="16.149999999999999" x14ac:dyDescent="0.7">
      <c r="A1859" s="49">
        <v>44728.822853599537</v>
      </c>
      <c r="B1859" s="50" t="s">
        <v>2</v>
      </c>
      <c r="C1859" s="50" t="s">
        <v>401</v>
      </c>
      <c r="D1859" s="50" t="s">
        <v>263</v>
      </c>
      <c r="E1859" s="50">
        <v>-1</v>
      </c>
      <c r="F1859" s="50">
        <v>-0.54822362907864086</v>
      </c>
      <c r="G1859" s="51" t="str">
        <v>伊藤 2022/07/30 (土)
休日午前</v>
      </c>
    </row>
    <row r="1860" spans="1:7" ht="16.149999999999999" x14ac:dyDescent="0.7">
      <c r="A1860" s="49">
        <v>44728.822853599537</v>
      </c>
      <c r="B1860" s="50" t="s">
        <v>2</v>
      </c>
      <c r="C1860" s="50" t="s">
        <v>402</v>
      </c>
      <c r="D1860" s="50" t="s">
        <v>261</v>
      </c>
      <c r="E1860" s="50">
        <v>2</v>
      </c>
      <c r="F1860" s="50">
        <v>2.6360565957305204</v>
      </c>
      <c r="G1860" s="51" t="str">
        <v>伊藤 2022/07/31 (日)
休日午後</v>
      </c>
    </row>
    <row r="1861" spans="1:7" ht="16.149999999999999" x14ac:dyDescent="0.7">
      <c r="A1861" s="49">
        <v>44728.822853599537</v>
      </c>
      <c r="B1861" s="50" t="s">
        <v>2</v>
      </c>
      <c r="C1861" s="50" t="s">
        <v>403</v>
      </c>
      <c r="D1861" s="50" t="s">
        <v>263</v>
      </c>
      <c r="E1861" s="50">
        <v>2</v>
      </c>
      <c r="F1861" s="50">
        <v>2.164974527425346</v>
      </c>
      <c r="G1861" s="51" t="str">
        <v>伊藤 2022/07/31 (日)
休日午前</v>
      </c>
    </row>
    <row r="1862" spans="1:7" ht="16.149999999999999" x14ac:dyDescent="0.7">
      <c r="A1862" s="49">
        <v>44729.760633854166</v>
      </c>
      <c r="B1862" s="50" t="s">
        <v>14</v>
      </c>
      <c r="C1862" s="50" t="s">
        <v>364</v>
      </c>
      <c r="D1862" s="50" t="s">
        <v>259</v>
      </c>
      <c r="E1862" s="50">
        <v>-1</v>
      </c>
      <c r="F1862" s="50">
        <v>-0.77484421474369092</v>
      </c>
      <c r="G1862" s="51" t="str">
        <v>林智 2022/07/01 (金)
平日夜間</v>
      </c>
    </row>
    <row r="1863" spans="1:7" ht="16.149999999999999" x14ac:dyDescent="0.7">
      <c r="A1863" s="49">
        <v>44729.760633854166</v>
      </c>
      <c r="B1863" s="50" t="s">
        <v>14</v>
      </c>
      <c r="C1863" s="50" t="s">
        <v>365</v>
      </c>
      <c r="D1863" s="50" t="s">
        <v>261</v>
      </c>
      <c r="E1863" s="50">
        <v>-1</v>
      </c>
      <c r="F1863" s="50">
        <v>-0.27849864196370877</v>
      </c>
      <c r="G1863" s="51" t="str">
        <v>林智 2022/07/02 (土)
休日午後</v>
      </c>
    </row>
    <row r="1864" spans="1:7" ht="16.149999999999999" x14ac:dyDescent="0.7">
      <c r="A1864" s="49">
        <v>44729.760633854166</v>
      </c>
      <c r="B1864" s="50" t="s">
        <v>14</v>
      </c>
      <c r="C1864" s="50" t="s">
        <v>366</v>
      </c>
      <c r="D1864" s="50" t="s">
        <v>263</v>
      </c>
      <c r="E1864" s="50">
        <v>0</v>
      </c>
      <c r="F1864" s="50">
        <v>0.56816498633814283</v>
      </c>
      <c r="G1864" s="51" t="str">
        <v>林智 2022/07/02 (土)
休日午前</v>
      </c>
    </row>
    <row r="1865" spans="1:7" ht="16.149999999999999" x14ac:dyDescent="0.7">
      <c r="A1865" s="49">
        <v>44729.760633854166</v>
      </c>
      <c r="B1865" s="50" t="s">
        <v>14</v>
      </c>
      <c r="C1865" s="50" t="s">
        <v>367</v>
      </c>
      <c r="D1865" s="50" t="s">
        <v>261</v>
      </c>
      <c r="E1865" s="50">
        <v>-1</v>
      </c>
      <c r="F1865" s="50">
        <v>-0.51244255888660772</v>
      </c>
      <c r="G1865" s="51" t="str">
        <v>林智 2022/07/03 (日)
休日午後</v>
      </c>
    </row>
    <row r="1866" spans="1:7" ht="16.149999999999999" x14ac:dyDescent="0.7">
      <c r="A1866" s="49">
        <v>44729.760633854166</v>
      </c>
      <c r="B1866" s="50" t="s">
        <v>14</v>
      </c>
      <c r="C1866" s="50" t="s">
        <v>368</v>
      </c>
      <c r="D1866" s="50" t="s">
        <v>263</v>
      </c>
      <c r="E1866" s="50">
        <v>-1</v>
      </c>
      <c r="F1866" s="50">
        <v>-0.48381523141204497</v>
      </c>
      <c r="G1866" s="51" t="str">
        <v>林智 2022/07/03 (日)
休日午前</v>
      </c>
    </row>
    <row r="1867" spans="1:7" ht="16.149999999999999" x14ac:dyDescent="0.7">
      <c r="A1867" s="49">
        <v>44729.760633854166</v>
      </c>
      <c r="B1867" s="50" t="s">
        <v>14</v>
      </c>
      <c r="C1867" s="50" t="s">
        <v>369</v>
      </c>
      <c r="D1867" s="50" t="s">
        <v>259</v>
      </c>
      <c r="E1867" s="50">
        <v>0</v>
      </c>
      <c r="F1867" s="50">
        <v>0.68044130074330456</v>
      </c>
      <c r="G1867" s="51" t="str">
        <v>林智 2022/07/04 (月)
平日夜間</v>
      </c>
    </row>
    <row r="1868" spans="1:7" ht="16.149999999999999" x14ac:dyDescent="0.7">
      <c r="A1868" s="49">
        <v>44729.760633854166</v>
      </c>
      <c r="B1868" s="50" t="s">
        <v>14</v>
      </c>
      <c r="C1868" s="50" t="s">
        <v>370</v>
      </c>
      <c r="D1868" s="50" t="s">
        <v>259</v>
      </c>
      <c r="E1868" s="50">
        <v>-1</v>
      </c>
      <c r="F1868" s="50">
        <v>-0.45844300451627085</v>
      </c>
      <c r="G1868" s="51" t="str">
        <v>林智 2022/07/05 (火)
平日夜間</v>
      </c>
    </row>
    <row r="1869" spans="1:7" ht="16.149999999999999" x14ac:dyDescent="0.7">
      <c r="A1869" s="49">
        <v>44729.760633854166</v>
      </c>
      <c r="B1869" s="50" t="s">
        <v>14</v>
      </c>
      <c r="C1869" s="50" t="s">
        <v>371</v>
      </c>
      <c r="D1869" s="50" t="s">
        <v>259</v>
      </c>
      <c r="E1869" s="50">
        <v>0</v>
      </c>
      <c r="F1869" s="50">
        <v>4.0233395467468513E-2</v>
      </c>
      <c r="G1869" s="51" t="str">
        <v>林智 2022/07/06 (水)
平日夜間</v>
      </c>
    </row>
    <row r="1870" spans="1:7" ht="16.149999999999999" x14ac:dyDescent="0.7">
      <c r="A1870" s="49">
        <v>44729.760633854166</v>
      </c>
      <c r="B1870" s="50" t="s">
        <v>14</v>
      </c>
      <c r="C1870" s="50" t="s">
        <v>372</v>
      </c>
      <c r="D1870" s="50" t="s">
        <v>259</v>
      </c>
      <c r="E1870" s="50">
        <v>0</v>
      </c>
      <c r="F1870" s="50">
        <v>0.94899564335155495</v>
      </c>
      <c r="G1870" s="51" t="str">
        <v>林智 2022/07/07 (木)
平日夜間</v>
      </c>
    </row>
    <row r="1871" spans="1:7" ht="16.149999999999999" x14ac:dyDescent="0.7">
      <c r="A1871" s="49">
        <v>44729.760633854166</v>
      </c>
      <c r="B1871" s="50" t="s">
        <v>14</v>
      </c>
      <c r="C1871" s="50" t="s">
        <v>373</v>
      </c>
      <c r="D1871" s="50" t="s">
        <v>259</v>
      </c>
      <c r="E1871" s="50">
        <v>0</v>
      </c>
      <c r="F1871" s="50">
        <v>0.80175294983574963</v>
      </c>
      <c r="G1871" s="51" t="str">
        <v>林智 2022/07/08 (金)
平日夜間</v>
      </c>
    </row>
    <row r="1872" spans="1:7" ht="16.149999999999999" x14ac:dyDescent="0.7">
      <c r="A1872" s="49">
        <v>44729.760633854166</v>
      </c>
      <c r="B1872" s="50" t="s">
        <v>14</v>
      </c>
      <c r="C1872" s="50" t="s">
        <v>374</v>
      </c>
      <c r="D1872" s="50" t="s">
        <v>261</v>
      </c>
      <c r="E1872" s="50">
        <v>-1</v>
      </c>
      <c r="F1872" s="50">
        <v>-0.31916200274772488</v>
      </c>
      <c r="G1872" s="51" t="str">
        <v>林智 2022/07/09 (土)
休日午後</v>
      </c>
    </row>
    <row r="1873" spans="1:7" ht="16.149999999999999" x14ac:dyDescent="0.7">
      <c r="A1873" s="49">
        <v>44729.760633854166</v>
      </c>
      <c r="B1873" s="50" t="s">
        <v>14</v>
      </c>
      <c r="C1873" s="50" t="s">
        <v>375</v>
      </c>
      <c r="D1873" s="50" t="s">
        <v>263</v>
      </c>
      <c r="E1873" s="50">
        <v>-1</v>
      </c>
      <c r="F1873" s="50">
        <v>-0.55667337090736346</v>
      </c>
      <c r="G1873" s="51" t="str">
        <v>林智 2022/07/09 (土)
休日午前</v>
      </c>
    </row>
    <row r="1874" spans="1:7" ht="16.149999999999999" x14ac:dyDescent="0.7">
      <c r="A1874" s="49">
        <v>44729.760633854166</v>
      </c>
      <c r="B1874" s="50" t="s">
        <v>14</v>
      </c>
      <c r="C1874" s="50" t="s">
        <v>376</v>
      </c>
      <c r="D1874" s="50" t="s">
        <v>261</v>
      </c>
      <c r="E1874" s="50">
        <v>-1</v>
      </c>
      <c r="F1874" s="50">
        <v>-0.67902024064870359</v>
      </c>
      <c r="G1874" s="51" t="str">
        <v>林智 2022/07/10 (日)
休日午後</v>
      </c>
    </row>
    <row r="1875" spans="1:7" ht="16.149999999999999" x14ac:dyDescent="0.7">
      <c r="A1875" s="49">
        <v>44729.760633854166</v>
      </c>
      <c r="B1875" s="50" t="s">
        <v>14</v>
      </c>
      <c r="C1875" s="50" t="s">
        <v>377</v>
      </c>
      <c r="D1875" s="50" t="s">
        <v>263</v>
      </c>
      <c r="E1875" s="50">
        <v>-1</v>
      </c>
      <c r="F1875" s="50">
        <v>-0.3870318812011424</v>
      </c>
      <c r="G1875" s="51" t="str">
        <v>林智 2022/07/10 (日)
休日午前</v>
      </c>
    </row>
    <row r="1876" spans="1:7" ht="16.149999999999999" x14ac:dyDescent="0.7">
      <c r="A1876" s="49">
        <v>44729.760633854166</v>
      </c>
      <c r="B1876" s="50" t="s">
        <v>14</v>
      </c>
      <c r="C1876" s="50" t="s">
        <v>378</v>
      </c>
      <c r="D1876" s="50" t="s">
        <v>259</v>
      </c>
      <c r="E1876" s="50">
        <v>2</v>
      </c>
      <c r="F1876" s="50">
        <v>2.9710852160818417</v>
      </c>
      <c r="G1876" s="51" t="str">
        <v>林智 2022/07/11 (月)
平日夜間</v>
      </c>
    </row>
    <row r="1877" spans="1:7" ht="16.149999999999999" x14ac:dyDescent="0.7">
      <c r="A1877" s="49">
        <v>44729.760633854166</v>
      </c>
      <c r="B1877" s="50" t="s">
        <v>14</v>
      </c>
      <c r="C1877" s="50" t="s">
        <v>379</v>
      </c>
      <c r="D1877" s="50" t="s">
        <v>259</v>
      </c>
      <c r="E1877" s="50">
        <v>0</v>
      </c>
      <c r="F1877" s="50">
        <v>0.57302310690876168</v>
      </c>
      <c r="G1877" s="51" t="str">
        <v>林智 2022/07/12 (火)
平日夜間</v>
      </c>
    </row>
    <row r="1878" spans="1:7" ht="16.149999999999999" x14ac:dyDescent="0.7">
      <c r="A1878" s="49">
        <v>44729.760633854166</v>
      </c>
      <c r="B1878" s="50" t="s">
        <v>14</v>
      </c>
      <c r="C1878" s="50" t="s">
        <v>380</v>
      </c>
      <c r="D1878" s="50" t="s">
        <v>259</v>
      </c>
      <c r="E1878" s="50">
        <v>0</v>
      </c>
      <c r="F1878" s="50">
        <v>0.26413013493324988</v>
      </c>
      <c r="G1878" s="51" t="str">
        <v>林智 2022/07/13 (水)
平日夜間</v>
      </c>
    </row>
    <row r="1879" spans="1:7" ht="16.149999999999999" x14ac:dyDescent="0.7">
      <c r="A1879" s="49">
        <v>44729.760633854166</v>
      </c>
      <c r="B1879" s="50" t="s">
        <v>14</v>
      </c>
      <c r="C1879" s="50" t="s">
        <v>381</v>
      </c>
      <c r="D1879" s="50" t="s">
        <v>259</v>
      </c>
      <c r="E1879" s="50">
        <v>0</v>
      </c>
      <c r="F1879" s="50">
        <v>0.91026678316298737</v>
      </c>
      <c r="G1879" s="51" t="str">
        <v>林智 2022/07/14 (木)
平日夜間</v>
      </c>
    </row>
    <row r="1880" spans="1:7" ht="16.149999999999999" x14ac:dyDescent="0.7">
      <c r="A1880" s="49">
        <v>44729.760633854166</v>
      </c>
      <c r="B1880" s="50" t="s">
        <v>14</v>
      </c>
      <c r="C1880" s="50" t="s">
        <v>382</v>
      </c>
      <c r="D1880" s="50" t="s">
        <v>259</v>
      </c>
      <c r="E1880" s="50">
        <v>0</v>
      </c>
      <c r="F1880" s="50">
        <v>0.54467345865642658</v>
      </c>
      <c r="G1880" s="51" t="str">
        <v>林智 2022/07/15 (金)
平日夜間</v>
      </c>
    </row>
    <row r="1881" spans="1:7" ht="16.149999999999999" x14ac:dyDescent="0.7">
      <c r="A1881" s="49">
        <v>44729.760633854166</v>
      </c>
      <c r="B1881" s="50" t="s">
        <v>14</v>
      </c>
      <c r="C1881" s="50" t="s">
        <v>383</v>
      </c>
      <c r="D1881" s="50" t="s">
        <v>261</v>
      </c>
      <c r="E1881" s="50">
        <v>-1</v>
      </c>
      <c r="F1881" s="50">
        <v>-0.67296529813114847</v>
      </c>
      <c r="G1881" s="51" t="str">
        <v>林智 2022/07/16 (土)
休日午後</v>
      </c>
    </row>
    <row r="1882" spans="1:7" ht="16.149999999999999" x14ac:dyDescent="0.7">
      <c r="A1882" s="49">
        <v>44729.760633854166</v>
      </c>
      <c r="B1882" s="50" t="s">
        <v>14</v>
      </c>
      <c r="C1882" s="50" t="s">
        <v>384</v>
      </c>
      <c r="D1882" s="50" t="s">
        <v>263</v>
      </c>
      <c r="E1882" s="50">
        <v>-1</v>
      </c>
      <c r="F1882" s="50">
        <v>-0.80369707189607098</v>
      </c>
      <c r="G1882" s="51" t="str">
        <v>林智 2022/07/16 (土)
休日午前</v>
      </c>
    </row>
    <row r="1883" spans="1:7" ht="16.149999999999999" x14ac:dyDescent="0.7">
      <c r="A1883" s="49">
        <v>44729.760633854166</v>
      </c>
      <c r="B1883" s="50" t="s">
        <v>14</v>
      </c>
      <c r="C1883" s="50" t="s">
        <v>385</v>
      </c>
      <c r="D1883" s="50" t="s">
        <v>261</v>
      </c>
      <c r="E1883" s="50">
        <v>-1</v>
      </c>
      <c r="F1883" s="50">
        <v>-0.52357094209805988</v>
      </c>
      <c r="G1883" s="51" t="str">
        <v>林智 2022/07/17 (日)
休日午後</v>
      </c>
    </row>
    <row r="1884" spans="1:7" ht="16.149999999999999" x14ac:dyDescent="0.7">
      <c r="A1884" s="49">
        <v>44729.760633854166</v>
      </c>
      <c r="B1884" s="50" t="s">
        <v>14</v>
      </c>
      <c r="C1884" s="50" t="s">
        <v>386</v>
      </c>
      <c r="D1884" s="50" t="s">
        <v>263</v>
      </c>
      <c r="E1884" s="50">
        <v>-1</v>
      </c>
      <c r="F1884" s="50">
        <v>-0.30844893262623274</v>
      </c>
      <c r="G1884" s="51" t="str">
        <v>林智 2022/07/17 (日)
休日午前</v>
      </c>
    </row>
    <row r="1885" spans="1:7" ht="16.149999999999999" x14ac:dyDescent="0.7">
      <c r="A1885" s="49">
        <v>44729.760633854166</v>
      </c>
      <c r="B1885" s="50" t="s">
        <v>14</v>
      </c>
      <c r="C1885" s="50" t="s">
        <v>387</v>
      </c>
      <c r="D1885" s="50" t="s">
        <v>259</v>
      </c>
      <c r="E1885" s="50">
        <v>0</v>
      </c>
      <c r="F1885" s="50">
        <v>0.97237204158129664</v>
      </c>
      <c r="G1885" s="51" t="str">
        <v>林智 2022/07/19 (火)
平日夜間</v>
      </c>
    </row>
    <row r="1886" spans="1:7" ht="16.149999999999999" x14ac:dyDescent="0.7">
      <c r="A1886" s="49">
        <v>44729.760633854166</v>
      </c>
      <c r="B1886" s="50" t="s">
        <v>14</v>
      </c>
      <c r="C1886" s="50" t="s">
        <v>388</v>
      </c>
      <c r="D1886" s="50" t="s">
        <v>259</v>
      </c>
      <c r="E1886" s="50">
        <v>0</v>
      </c>
      <c r="F1886" s="50">
        <v>0.62851145584198531</v>
      </c>
      <c r="G1886" s="51" t="str">
        <v>林智 2022/07/20 (水)
平日夜間</v>
      </c>
    </row>
    <row r="1887" spans="1:7" ht="16.149999999999999" x14ac:dyDescent="0.7">
      <c r="A1887" s="49">
        <v>44729.760633854166</v>
      </c>
      <c r="B1887" s="50" t="s">
        <v>14</v>
      </c>
      <c r="C1887" s="50" t="s">
        <v>389</v>
      </c>
      <c r="D1887" s="50" t="s">
        <v>259</v>
      </c>
      <c r="E1887" s="50">
        <v>0</v>
      </c>
      <c r="F1887" s="50">
        <v>0.57176313285209823</v>
      </c>
      <c r="G1887" s="51" t="str">
        <v>林智 2022/07/21 (木)
平日夜間</v>
      </c>
    </row>
    <row r="1888" spans="1:7" ht="16.149999999999999" x14ac:dyDescent="0.7">
      <c r="A1888" s="49">
        <v>44729.760633854166</v>
      </c>
      <c r="B1888" s="50" t="s">
        <v>14</v>
      </c>
      <c r="C1888" s="50" t="s">
        <v>390</v>
      </c>
      <c r="D1888" s="50" t="s">
        <v>259</v>
      </c>
      <c r="E1888" s="50">
        <v>0</v>
      </c>
      <c r="F1888" s="50">
        <v>0.63371617370661482</v>
      </c>
      <c r="G1888" s="51" t="str">
        <v>林智 2022/07/22 (金)
平日夜間</v>
      </c>
    </row>
    <row r="1889" spans="1:7" ht="16.149999999999999" x14ac:dyDescent="0.7">
      <c r="A1889" s="49">
        <v>44729.760633854166</v>
      </c>
      <c r="B1889" s="50" t="s">
        <v>14</v>
      </c>
      <c r="C1889" s="50" t="s">
        <v>391</v>
      </c>
      <c r="D1889" s="50" t="s">
        <v>261</v>
      </c>
      <c r="E1889" s="50">
        <v>-1</v>
      </c>
      <c r="F1889" s="50">
        <v>-0.44236506193183955</v>
      </c>
      <c r="G1889" s="51" t="str">
        <v>林智 2022/07/23 (土)
休日午後</v>
      </c>
    </row>
    <row r="1890" spans="1:7" ht="16.149999999999999" x14ac:dyDescent="0.7">
      <c r="A1890" s="49">
        <v>44729.760633854166</v>
      </c>
      <c r="B1890" s="50" t="s">
        <v>14</v>
      </c>
      <c r="C1890" s="50" t="s">
        <v>392</v>
      </c>
      <c r="D1890" s="50" t="s">
        <v>263</v>
      </c>
      <c r="E1890" s="50">
        <v>-1</v>
      </c>
      <c r="F1890" s="50">
        <v>-0.20330524651195003</v>
      </c>
      <c r="G1890" s="51" t="str">
        <v>林智 2022/07/23 (土)
休日午前</v>
      </c>
    </row>
    <row r="1891" spans="1:7" ht="16.149999999999999" x14ac:dyDescent="0.7">
      <c r="A1891" s="49">
        <v>44729.760633854166</v>
      </c>
      <c r="B1891" s="50" t="s">
        <v>14</v>
      </c>
      <c r="C1891" s="50" t="s">
        <v>393</v>
      </c>
      <c r="D1891" s="50" t="s">
        <v>261</v>
      </c>
      <c r="E1891" s="50">
        <v>-1</v>
      </c>
      <c r="F1891" s="50">
        <v>-0.53507969831713553</v>
      </c>
      <c r="G1891" s="51" t="str">
        <v>林智 2022/07/24 (日)
休日午後</v>
      </c>
    </row>
    <row r="1892" spans="1:7" ht="16.149999999999999" x14ac:dyDescent="0.7">
      <c r="A1892" s="49">
        <v>44729.760633854166</v>
      </c>
      <c r="B1892" s="50" t="s">
        <v>14</v>
      </c>
      <c r="C1892" s="50" t="s">
        <v>394</v>
      </c>
      <c r="D1892" s="50" t="s">
        <v>263</v>
      </c>
      <c r="E1892" s="50">
        <v>-1</v>
      </c>
      <c r="F1892" s="50">
        <v>-0.18468158433539617</v>
      </c>
      <c r="G1892" s="51" t="str">
        <v>林智 2022/07/24 (日)
休日午前</v>
      </c>
    </row>
    <row r="1893" spans="1:7" ht="16.149999999999999" x14ac:dyDescent="0.7">
      <c r="A1893" s="49">
        <v>44729.760633854166</v>
      </c>
      <c r="B1893" s="50" t="s">
        <v>14</v>
      </c>
      <c r="C1893" s="50" t="s">
        <v>395</v>
      </c>
      <c r="D1893" s="50" t="s">
        <v>259</v>
      </c>
      <c r="E1893" s="50">
        <v>2</v>
      </c>
      <c r="F1893" s="50">
        <v>2.9363867379923372</v>
      </c>
      <c r="G1893" s="51" t="str">
        <v>林智 2022/07/25 (月)
平日夜間</v>
      </c>
    </row>
    <row r="1894" spans="1:7" ht="16.149999999999999" x14ac:dyDescent="0.7">
      <c r="A1894" s="49">
        <v>44729.760633854166</v>
      </c>
      <c r="B1894" s="50" t="s">
        <v>14</v>
      </c>
      <c r="C1894" s="50" t="s">
        <v>396</v>
      </c>
      <c r="D1894" s="50" t="s">
        <v>259</v>
      </c>
      <c r="E1894" s="50">
        <v>0</v>
      </c>
      <c r="F1894" s="50">
        <v>0.6845944188314006</v>
      </c>
      <c r="G1894" s="51" t="str">
        <v>林智 2022/07/26 (火)
平日夜間</v>
      </c>
    </row>
    <row r="1895" spans="1:7" ht="16.149999999999999" x14ac:dyDescent="0.7">
      <c r="A1895" s="49">
        <v>44729.760633854166</v>
      </c>
      <c r="B1895" s="50" t="s">
        <v>14</v>
      </c>
      <c r="C1895" s="50" t="s">
        <v>397</v>
      </c>
      <c r="D1895" s="50" t="s">
        <v>259</v>
      </c>
      <c r="E1895" s="50">
        <v>0</v>
      </c>
      <c r="F1895" s="50">
        <v>0.79931027275079947</v>
      </c>
      <c r="G1895" s="51" t="str">
        <v>林智 2022/07/27 (水)
平日夜間</v>
      </c>
    </row>
    <row r="1896" spans="1:7" ht="16.149999999999999" x14ac:dyDescent="0.7">
      <c r="A1896" s="49">
        <v>44729.760633854166</v>
      </c>
      <c r="B1896" s="50" t="s">
        <v>14</v>
      </c>
      <c r="C1896" s="50" t="s">
        <v>398</v>
      </c>
      <c r="D1896" s="50" t="s">
        <v>259</v>
      </c>
      <c r="E1896" s="50">
        <v>0</v>
      </c>
      <c r="F1896" s="50">
        <v>0.47820020919136108</v>
      </c>
      <c r="G1896" s="51" t="str">
        <v>林智 2022/07/28 (木)
平日夜間</v>
      </c>
    </row>
    <row r="1897" spans="1:7" ht="16.149999999999999" x14ac:dyDescent="0.7">
      <c r="A1897" s="49">
        <v>44729.760633854166</v>
      </c>
      <c r="B1897" s="50" t="s">
        <v>14</v>
      </c>
      <c r="C1897" s="50" t="s">
        <v>399</v>
      </c>
      <c r="D1897" s="50" t="s">
        <v>259</v>
      </c>
      <c r="E1897" s="50">
        <v>0</v>
      </c>
      <c r="F1897" s="50">
        <v>0.65917779425847156</v>
      </c>
      <c r="G1897" s="51" t="str">
        <v>林智 2022/07/29 (金)
平日夜間</v>
      </c>
    </row>
    <row r="1898" spans="1:7" ht="16.149999999999999" x14ac:dyDescent="0.7">
      <c r="A1898" s="49">
        <v>44729.760633854166</v>
      </c>
      <c r="B1898" s="50" t="s">
        <v>14</v>
      </c>
      <c r="C1898" s="50" t="s">
        <v>400</v>
      </c>
      <c r="D1898" s="50" t="s">
        <v>261</v>
      </c>
      <c r="E1898" s="50">
        <v>-1</v>
      </c>
      <c r="F1898" s="50">
        <v>-0.58962199600743648</v>
      </c>
      <c r="G1898" s="51" t="str">
        <v>林智 2022/07/30 (土)
休日午後</v>
      </c>
    </row>
    <row r="1899" spans="1:7" ht="16.149999999999999" x14ac:dyDescent="0.7">
      <c r="A1899" s="49">
        <v>44729.760633854166</v>
      </c>
      <c r="B1899" s="50" t="s">
        <v>14</v>
      </c>
      <c r="C1899" s="50" t="s">
        <v>401</v>
      </c>
      <c r="D1899" s="50" t="s">
        <v>263</v>
      </c>
      <c r="E1899" s="50">
        <v>-1</v>
      </c>
      <c r="F1899" s="50">
        <v>-4.4373732774708685E-2</v>
      </c>
      <c r="G1899" s="51" t="str">
        <v>林智 2022/07/30 (土)
休日午前</v>
      </c>
    </row>
    <row r="1900" spans="1:7" ht="16.149999999999999" x14ac:dyDescent="0.7">
      <c r="A1900" s="49">
        <v>44729.760633854166</v>
      </c>
      <c r="B1900" s="50" t="s">
        <v>14</v>
      </c>
      <c r="C1900" s="50" t="s">
        <v>402</v>
      </c>
      <c r="D1900" s="50" t="s">
        <v>261</v>
      </c>
      <c r="E1900" s="50">
        <v>-1</v>
      </c>
      <c r="F1900" s="50">
        <v>-0.93569436582277388</v>
      </c>
      <c r="G1900" s="51" t="str">
        <v>林智 2022/07/31 (日)
休日午後</v>
      </c>
    </row>
    <row r="1901" spans="1:7" ht="16.149999999999999" x14ac:dyDescent="0.7">
      <c r="A1901" s="49">
        <v>44729.760633854166</v>
      </c>
      <c r="B1901" s="50" t="s">
        <v>14</v>
      </c>
      <c r="C1901" s="50" t="s">
        <v>403</v>
      </c>
      <c r="D1901" s="50" t="s">
        <v>263</v>
      </c>
      <c r="E1901" s="50">
        <v>-1</v>
      </c>
      <c r="F1901" s="50">
        <v>-0.27871547404503882</v>
      </c>
      <c r="G1901" s="51" t="str">
        <v>林智 2022/07/31 (日)
休日午前</v>
      </c>
    </row>
    <row r="1902" spans="1:7" ht="16.149999999999999" x14ac:dyDescent="0.7">
      <c r="A1902" s="49">
        <v>44729.78376633102</v>
      </c>
      <c r="B1902" s="50" t="s">
        <v>4</v>
      </c>
      <c r="C1902" s="50" t="s">
        <v>364</v>
      </c>
      <c r="D1902" s="50" t="s">
        <v>259</v>
      </c>
      <c r="E1902" s="50">
        <v>-1</v>
      </c>
      <c r="F1902" s="50">
        <v>-0.29778433920223835</v>
      </c>
      <c r="G1902" s="51" t="str">
        <v>井上 2022/07/01 (金)
平日夜間</v>
      </c>
    </row>
    <row r="1903" spans="1:7" ht="16.149999999999999" x14ac:dyDescent="0.7">
      <c r="A1903" s="49">
        <v>44729.78376633102</v>
      </c>
      <c r="B1903" s="50" t="s">
        <v>4</v>
      </c>
      <c r="C1903" s="50" t="s">
        <v>365</v>
      </c>
      <c r="D1903" s="50" t="s">
        <v>261</v>
      </c>
      <c r="E1903" s="50">
        <v>-1</v>
      </c>
      <c r="F1903" s="50">
        <v>-9.350793495145493E-2</v>
      </c>
      <c r="G1903" s="51" t="str">
        <v>井上 2022/07/02 (土)
休日午後</v>
      </c>
    </row>
    <row r="1904" spans="1:7" ht="16.149999999999999" x14ac:dyDescent="0.7">
      <c r="A1904" s="49">
        <v>44729.78376633102</v>
      </c>
      <c r="B1904" s="50" t="s">
        <v>4</v>
      </c>
      <c r="C1904" s="50" t="s">
        <v>366</v>
      </c>
      <c r="D1904" s="50" t="s">
        <v>263</v>
      </c>
      <c r="E1904" s="50">
        <v>-1</v>
      </c>
      <c r="F1904" s="50">
        <v>-0.19750575363156941</v>
      </c>
      <c r="G1904" s="51" t="str">
        <v>井上 2022/07/02 (土)
休日午前</v>
      </c>
    </row>
    <row r="1905" spans="1:7" ht="16.149999999999999" x14ac:dyDescent="0.7">
      <c r="A1905" s="49">
        <v>44729.78376633102</v>
      </c>
      <c r="B1905" s="50" t="s">
        <v>4</v>
      </c>
      <c r="C1905" s="50" t="s">
        <v>367</v>
      </c>
      <c r="D1905" s="50" t="s">
        <v>261</v>
      </c>
      <c r="E1905" s="50">
        <v>-1</v>
      </c>
      <c r="F1905" s="50">
        <v>-0.86360603262978342</v>
      </c>
      <c r="G1905" s="51" t="str">
        <v>井上 2022/07/03 (日)
休日午後</v>
      </c>
    </row>
    <row r="1906" spans="1:7" ht="16.149999999999999" x14ac:dyDescent="0.7">
      <c r="A1906" s="49">
        <v>44729.78376633102</v>
      </c>
      <c r="B1906" s="50" t="s">
        <v>4</v>
      </c>
      <c r="C1906" s="50" t="s">
        <v>368</v>
      </c>
      <c r="D1906" s="50" t="s">
        <v>263</v>
      </c>
      <c r="E1906" s="50">
        <v>-1</v>
      </c>
      <c r="F1906" s="50">
        <v>-0.70129020091608973</v>
      </c>
      <c r="G1906" s="51" t="str">
        <v>井上 2022/07/03 (日)
休日午前</v>
      </c>
    </row>
    <row r="1907" spans="1:7" ht="16.149999999999999" x14ac:dyDescent="0.7">
      <c r="A1907" s="49">
        <v>44729.78376633102</v>
      </c>
      <c r="B1907" s="50" t="s">
        <v>4</v>
      </c>
      <c r="C1907" s="50" t="s">
        <v>369</v>
      </c>
      <c r="D1907" s="50" t="s">
        <v>259</v>
      </c>
      <c r="E1907" s="50">
        <v>0</v>
      </c>
      <c r="F1907" s="50">
        <v>0.98663682584905898</v>
      </c>
      <c r="G1907" s="51" t="str">
        <v>井上 2022/07/04 (月)
平日夜間</v>
      </c>
    </row>
    <row r="1908" spans="1:7" ht="16.149999999999999" x14ac:dyDescent="0.7">
      <c r="A1908" s="49">
        <v>44729.78376633102</v>
      </c>
      <c r="B1908" s="50" t="s">
        <v>4</v>
      </c>
      <c r="C1908" s="50" t="s">
        <v>370</v>
      </c>
      <c r="D1908" s="50" t="s">
        <v>259</v>
      </c>
      <c r="E1908" s="50">
        <v>0</v>
      </c>
      <c r="F1908" s="50">
        <v>0.39380916705396163</v>
      </c>
      <c r="G1908" s="51" t="str">
        <v>井上 2022/07/05 (火)
平日夜間</v>
      </c>
    </row>
    <row r="1909" spans="1:7" ht="16.149999999999999" x14ac:dyDescent="0.7">
      <c r="A1909" s="49">
        <v>44729.78376633102</v>
      </c>
      <c r="B1909" s="50" t="s">
        <v>4</v>
      </c>
      <c r="C1909" s="50" t="s">
        <v>371</v>
      </c>
      <c r="D1909" s="50" t="s">
        <v>259</v>
      </c>
      <c r="E1909" s="50">
        <v>0</v>
      </c>
      <c r="F1909" s="50">
        <v>0.78303710380308744</v>
      </c>
      <c r="G1909" s="51" t="str">
        <v>井上 2022/07/06 (水)
平日夜間</v>
      </c>
    </row>
    <row r="1910" spans="1:7" ht="16.149999999999999" x14ac:dyDescent="0.7">
      <c r="A1910" s="49">
        <v>44729.78376633102</v>
      </c>
      <c r="B1910" s="50" t="s">
        <v>4</v>
      </c>
      <c r="C1910" s="50" t="s">
        <v>372</v>
      </c>
      <c r="D1910" s="50" t="s">
        <v>259</v>
      </c>
      <c r="E1910" s="50">
        <v>0</v>
      </c>
      <c r="F1910" s="50">
        <v>0.42749986137872176</v>
      </c>
      <c r="G1910" s="51" t="str">
        <v>井上 2022/07/07 (木)
平日夜間</v>
      </c>
    </row>
    <row r="1911" spans="1:7" ht="16.149999999999999" x14ac:dyDescent="0.7">
      <c r="A1911" s="49">
        <v>44729.78376633102</v>
      </c>
      <c r="B1911" s="50" t="s">
        <v>4</v>
      </c>
      <c r="C1911" s="50" t="s">
        <v>373</v>
      </c>
      <c r="D1911" s="50" t="s">
        <v>259</v>
      </c>
      <c r="E1911" s="50">
        <v>-1</v>
      </c>
      <c r="F1911" s="50">
        <v>-0.67784738936920297</v>
      </c>
      <c r="G1911" s="51" t="str">
        <v>井上 2022/07/08 (金)
平日夜間</v>
      </c>
    </row>
    <row r="1912" spans="1:7" ht="16.149999999999999" x14ac:dyDescent="0.7">
      <c r="A1912" s="49">
        <v>44729.78376633102</v>
      </c>
      <c r="B1912" s="50" t="s">
        <v>4</v>
      </c>
      <c r="C1912" s="50" t="s">
        <v>374</v>
      </c>
      <c r="D1912" s="50" t="s">
        <v>261</v>
      </c>
      <c r="E1912" s="50">
        <v>-1</v>
      </c>
      <c r="F1912" s="50">
        <v>-0.27906276292871812</v>
      </c>
      <c r="G1912" s="51" t="str">
        <v>井上 2022/07/09 (土)
休日午後</v>
      </c>
    </row>
    <row r="1913" spans="1:7" ht="16.149999999999999" x14ac:dyDescent="0.7">
      <c r="A1913" s="49">
        <v>44729.78376633102</v>
      </c>
      <c r="B1913" s="50" t="s">
        <v>4</v>
      </c>
      <c r="C1913" s="50" t="s">
        <v>375</v>
      </c>
      <c r="D1913" s="50" t="s">
        <v>263</v>
      </c>
      <c r="E1913" s="50">
        <v>-1</v>
      </c>
      <c r="F1913" s="50">
        <v>-0.79224049572152988</v>
      </c>
      <c r="G1913" s="51" t="str">
        <v>井上 2022/07/09 (土)
休日午前</v>
      </c>
    </row>
    <row r="1914" spans="1:7" ht="16.149999999999999" x14ac:dyDescent="0.7">
      <c r="A1914" s="49">
        <v>44729.78376633102</v>
      </c>
      <c r="B1914" s="50" t="s">
        <v>4</v>
      </c>
      <c r="C1914" s="50" t="s">
        <v>376</v>
      </c>
      <c r="D1914" s="50" t="s">
        <v>261</v>
      </c>
      <c r="E1914" s="50">
        <v>-1</v>
      </c>
      <c r="F1914" s="50">
        <v>-7.8722985527305278E-2</v>
      </c>
      <c r="G1914" s="51" t="str">
        <v>井上 2022/07/10 (日)
休日午後</v>
      </c>
    </row>
    <row r="1915" spans="1:7" ht="16.149999999999999" x14ac:dyDescent="0.7">
      <c r="A1915" s="49">
        <v>44729.78376633102</v>
      </c>
      <c r="B1915" s="50" t="s">
        <v>4</v>
      </c>
      <c r="C1915" s="50" t="s">
        <v>377</v>
      </c>
      <c r="D1915" s="50" t="s">
        <v>263</v>
      </c>
      <c r="E1915" s="50">
        <v>-1</v>
      </c>
      <c r="F1915" s="50">
        <v>-9.1612887953220978E-2</v>
      </c>
      <c r="G1915" s="51" t="str">
        <v>井上 2022/07/10 (日)
休日午前</v>
      </c>
    </row>
    <row r="1916" spans="1:7" ht="16.149999999999999" x14ac:dyDescent="0.7">
      <c r="A1916" s="49">
        <v>44729.78376633102</v>
      </c>
      <c r="B1916" s="50" t="s">
        <v>4</v>
      </c>
      <c r="C1916" s="50" t="s">
        <v>378</v>
      </c>
      <c r="D1916" s="50" t="s">
        <v>259</v>
      </c>
      <c r="E1916" s="50">
        <v>-1</v>
      </c>
      <c r="F1916" s="50">
        <v>-0.38044683737137275</v>
      </c>
      <c r="G1916" s="51" t="str">
        <v>井上 2022/07/11 (月)
平日夜間</v>
      </c>
    </row>
    <row r="1917" spans="1:7" ht="16.149999999999999" x14ac:dyDescent="0.7">
      <c r="A1917" s="49">
        <v>44729.78376633102</v>
      </c>
      <c r="B1917" s="50" t="s">
        <v>4</v>
      </c>
      <c r="C1917" s="50" t="s">
        <v>379</v>
      </c>
      <c r="D1917" s="50" t="s">
        <v>259</v>
      </c>
      <c r="E1917" s="50">
        <v>0</v>
      </c>
      <c r="F1917" s="50">
        <v>0.35294105815708976</v>
      </c>
      <c r="G1917" s="51" t="str">
        <v>井上 2022/07/12 (火)
平日夜間</v>
      </c>
    </row>
    <row r="1918" spans="1:7" ht="16.149999999999999" x14ac:dyDescent="0.7">
      <c r="A1918" s="49">
        <v>44729.78376633102</v>
      </c>
      <c r="B1918" s="50" t="s">
        <v>4</v>
      </c>
      <c r="C1918" s="50" t="s">
        <v>380</v>
      </c>
      <c r="D1918" s="50" t="s">
        <v>259</v>
      </c>
      <c r="E1918" s="50">
        <v>0</v>
      </c>
      <c r="F1918" s="50">
        <v>0.49159344709211705</v>
      </c>
      <c r="G1918" s="51" t="str">
        <v>井上 2022/07/13 (水)
平日夜間</v>
      </c>
    </row>
    <row r="1919" spans="1:7" ht="16.149999999999999" x14ac:dyDescent="0.7">
      <c r="A1919" s="49">
        <v>44729.78376633102</v>
      </c>
      <c r="B1919" s="50" t="s">
        <v>4</v>
      </c>
      <c r="C1919" s="50" t="s">
        <v>381</v>
      </c>
      <c r="D1919" s="50" t="s">
        <v>259</v>
      </c>
      <c r="E1919" s="50">
        <v>0</v>
      </c>
      <c r="F1919" s="50">
        <v>0.40676895511814171</v>
      </c>
      <c r="G1919" s="51" t="str">
        <v>井上 2022/07/14 (木)
平日夜間</v>
      </c>
    </row>
    <row r="1920" spans="1:7" ht="16.149999999999999" x14ac:dyDescent="0.7">
      <c r="A1920" s="49">
        <v>44729.78376633102</v>
      </c>
      <c r="B1920" s="50" t="s">
        <v>4</v>
      </c>
      <c r="C1920" s="50" t="s">
        <v>382</v>
      </c>
      <c r="D1920" s="50" t="s">
        <v>259</v>
      </c>
      <c r="E1920" s="50">
        <v>0</v>
      </c>
      <c r="F1920" s="50">
        <v>0.88157474451504125</v>
      </c>
      <c r="G1920" s="51" t="str">
        <v>井上 2022/07/15 (金)
平日夜間</v>
      </c>
    </row>
    <row r="1921" spans="1:7" ht="16.149999999999999" x14ac:dyDescent="0.7">
      <c r="A1921" s="49">
        <v>44729.78376633102</v>
      </c>
      <c r="B1921" s="50" t="s">
        <v>4</v>
      </c>
      <c r="C1921" s="50" t="s">
        <v>383</v>
      </c>
      <c r="D1921" s="50" t="s">
        <v>261</v>
      </c>
      <c r="E1921" s="50">
        <v>-1</v>
      </c>
      <c r="F1921" s="50">
        <v>-0.79514515588173684</v>
      </c>
      <c r="G1921" s="51" t="str">
        <v>井上 2022/07/16 (土)
休日午後</v>
      </c>
    </row>
    <row r="1922" spans="1:7" ht="16.149999999999999" x14ac:dyDescent="0.7">
      <c r="A1922" s="49">
        <v>44729.78376633102</v>
      </c>
      <c r="B1922" s="50" t="s">
        <v>4</v>
      </c>
      <c r="C1922" s="50" t="s">
        <v>384</v>
      </c>
      <c r="D1922" s="50" t="s">
        <v>263</v>
      </c>
      <c r="E1922" s="50">
        <v>0</v>
      </c>
      <c r="F1922" s="50">
        <v>0.18034322916058976</v>
      </c>
      <c r="G1922" s="51" t="str">
        <v>井上 2022/07/16 (土)
休日午前</v>
      </c>
    </row>
    <row r="1923" spans="1:7" ht="16.149999999999999" x14ac:dyDescent="0.7">
      <c r="A1923" s="49">
        <v>44729.78376633102</v>
      </c>
      <c r="B1923" s="50" t="s">
        <v>4</v>
      </c>
      <c r="C1923" s="50" t="s">
        <v>385</v>
      </c>
      <c r="D1923" s="50" t="s">
        <v>261</v>
      </c>
      <c r="E1923" s="50">
        <v>-1</v>
      </c>
      <c r="F1923" s="50">
        <v>-0.91268860855825507</v>
      </c>
      <c r="G1923" s="51" t="str">
        <v>井上 2022/07/17 (日)
休日午後</v>
      </c>
    </row>
    <row r="1924" spans="1:7" ht="16.149999999999999" x14ac:dyDescent="0.7">
      <c r="A1924" s="49">
        <v>44729.78376633102</v>
      </c>
      <c r="B1924" s="50" t="s">
        <v>4</v>
      </c>
      <c r="C1924" s="50" t="s">
        <v>386</v>
      </c>
      <c r="D1924" s="50" t="s">
        <v>263</v>
      </c>
      <c r="E1924" s="50">
        <v>-1</v>
      </c>
      <c r="F1924" s="50">
        <v>-0.83086249926564926</v>
      </c>
      <c r="G1924" s="51" t="str">
        <v>井上 2022/07/17 (日)
休日午前</v>
      </c>
    </row>
    <row r="1925" spans="1:7" ht="16.149999999999999" x14ac:dyDescent="0.7">
      <c r="A1925" s="49">
        <v>44729.78376633102</v>
      </c>
      <c r="B1925" s="50" t="s">
        <v>4</v>
      </c>
      <c r="C1925" s="50" t="s">
        <v>404</v>
      </c>
      <c r="D1925" s="50" t="s">
        <v>261</v>
      </c>
      <c r="E1925" s="50">
        <v>-1</v>
      </c>
      <c r="F1925" s="50">
        <v>-0.2414342137836627</v>
      </c>
      <c r="G1925" s="51" t="str">
        <v>井上 2022/07/18 (月)
休日午後</v>
      </c>
    </row>
    <row r="1926" spans="1:7" ht="16.149999999999999" x14ac:dyDescent="0.7">
      <c r="A1926" s="49">
        <v>44729.78376633102</v>
      </c>
      <c r="B1926" s="50" t="s">
        <v>4</v>
      </c>
      <c r="C1926" s="50" t="s">
        <v>405</v>
      </c>
      <c r="D1926" s="50" t="s">
        <v>263</v>
      </c>
      <c r="E1926" s="50">
        <v>-1</v>
      </c>
      <c r="F1926" s="50">
        <v>-0.18066764778394084</v>
      </c>
      <c r="G1926" s="51" t="str">
        <v>井上 2022/07/18 (月)
休日午前</v>
      </c>
    </row>
    <row r="1927" spans="1:7" ht="16.149999999999999" x14ac:dyDescent="0.7">
      <c r="A1927" s="49">
        <v>44729.78376633102</v>
      </c>
      <c r="B1927" s="50" t="s">
        <v>4</v>
      </c>
      <c r="C1927" s="50" t="s">
        <v>387</v>
      </c>
      <c r="D1927" s="50" t="s">
        <v>259</v>
      </c>
      <c r="E1927" s="50">
        <v>-1</v>
      </c>
      <c r="F1927" s="50">
        <v>-0.16024699553126953</v>
      </c>
      <c r="G1927" s="51" t="str">
        <v>井上 2022/07/19 (火)
平日夜間</v>
      </c>
    </row>
    <row r="1928" spans="1:7" ht="16.149999999999999" x14ac:dyDescent="0.7">
      <c r="A1928" s="49">
        <v>44729.78376633102</v>
      </c>
      <c r="B1928" s="50" t="s">
        <v>4</v>
      </c>
      <c r="C1928" s="50" t="s">
        <v>388</v>
      </c>
      <c r="D1928" s="50" t="s">
        <v>259</v>
      </c>
      <c r="E1928" s="50">
        <v>0</v>
      </c>
      <c r="F1928" s="50">
        <v>0.85240945917911604</v>
      </c>
      <c r="G1928" s="51" t="str">
        <v>井上 2022/07/20 (水)
平日夜間</v>
      </c>
    </row>
    <row r="1929" spans="1:7" ht="16.149999999999999" x14ac:dyDescent="0.7">
      <c r="A1929" s="49">
        <v>44729.78376633102</v>
      </c>
      <c r="B1929" s="50" t="s">
        <v>4</v>
      </c>
      <c r="C1929" s="50" t="s">
        <v>389</v>
      </c>
      <c r="D1929" s="50" t="s">
        <v>259</v>
      </c>
      <c r="E1929" s="50">
        <v>0</v>
      </c>
      <c r="F1929" s="50">
        <v>0.17202247714908481</v>
      </c>
      <c r="G1929" s="51" t="str">
        <v>井上 2022/07/21 (木)
平日夜間</v>
      </c>
    </row>
    <row r="1930" spans="1:7" ht="16.149999999999999" x14ac:dyDescent="0.7">
      <c r="A1930" s="49">
        <v>44729.78376633102</v>
      </c>
      <c r="B1930" s="50" t="s">
        <v>4</v>
      </c>
      <c r="C1930" s="50" t="s">
        <v>390</v>
      </c>
      <c r="D1930" s="50" t="s">
        <v>259</v>
      </c>
      <c r="E1930" s="50">
        <v>0</v>
      </c>
      <c r="F1930" s="50">
        <v>9.4870559156781997E-2</v>
      </c>
      <c r="G1930" s="51" t="str">
        <v>井上 2022/07/22 (金)
平日夜間</v>
      </c>
    </row>
    <row r="1931" spans="1:7" ht="16.149999999999999" x14ac:dyDescent="0.7">
      <c r="A1931" s="49">
        <v>44729.78376633102</v>
      </c>
      <c r="B1931" s="50" t="s">
        <v>4</v>
      </c>
      <c r="C1931" s="50" t="s">
        <v>391</v>
      </c>
      <c r="D1931" s="50" t="s">
        <v>261</v>
      </c>
      <c r="E1931" s="50">
        <v>-1</v>
      </c>
      <c r="F1931" s="50">
        <v>-0.10401725614747592</v>
      </c>
      <c r="G1931" s="51" t="str">
        <v>井上 2022/07/23 (土)
休日午後</v>
      </c>
    </row>
    <row r="1932" spans="1:7" ht="16.149999999999999" x14ac:dyDescent="0.7">
      <c r="A1932" s="49">
        <v>44729.78376633102</v>
      </c>
      <c r="B1932" s="50" t="s">
        <v>4</v>
      </c>
      <c r="C1932" s="50" t="s">
        <v>392</v>
      </c>
      <c r="D1932" s="50" t="s">
        <v>263</v>
      </c>
      <c r="E1932" s="50">
        <v>0</v>
      </c>
      <c r="F1932" s="50">
        <v>0.99325582851972283</v>
      </c>
      <c r="G1932" s="51" t="str">
        <v>井上 2022/07/23 (土)
休日午前</v>
      </c>
    </row>
    <row r="1933" spans="1:7" ht="16.149999999999999" x14ac:dyDescent="0.7">
      <c r="A1933" s="49">
        <v>44729.78376633102</v>
      </c>
      <c r="B1933" s="50" t="s">
        <v>4</v>
      </c>
      <c r="C1933" s="50" t="s">
        <v>393</v>
      </c>
      <c r="D1933" s="50" t="s">
        <v>261</v>
      </c>
      <c r="E1933" s="50">
        <v>-1</v>
      </c>
      <c r="F1933" s="50">
        <v>-0.22316140948815533</v>
      </c>
      <c r="G1933" s="51" t="str">
        <v>井上 2022/07/24 (日)
休日午後</v>
      </c>
    </row>
    <row r="1934" spans="1:7" ht="16.149999999999999" x14ac:dyDescent="0.7">
      <c r="A1934" s="49">
        <v>44729.78376633102</v>
      </c>
      <c r="B1934" s="50" t="s">
        <v>4</v>
      </c>
      <c r="C1934" s="50" t="s">
        <v>394</v>
      </c>
      <c r="D1934" s="50" t="s">
        <v>263</v>
      </c>
      <c r="E1934" s="50">
        <v>-1</v>
      </c>
      <c r="F1934" s="50">
        <v>-0.71185489611015029</v>
      </c>
      <c r="G1934" s="51" t="str">
        <v>井上 2022/07/24 (日)
休日午前</v>
      </c>
    </row>
    <row r="1935" spans="1:7" ht="16.149999999999999" x14ac:dyDescent="0.7">
      <c r="A1935" s="49">
        <v>44729.78376633102</v>
      </c>
      <c r="B1935" s="50" t="s">
        <v>4</v>
      </c>
      <c r="C1935" s="50" t="s">
        <v>395</v>
      </c>
      <c r="D1935" s="50" t="s">
        <v>259</v>
      </c>
      <c r="E1935" s="50">
        <v>0</v>
      </c>
      <c r="F1935" s="50">
        <v>0.70744803269567824</v>
      </c>
      <c r="G1935" s="51" t="str">
        <v>井上 2022/07/25 (月)
平日夜間</v>
      </c>
    </row>
    <row r="1936" spans="1:7" ht="16.149999999999999" x14ac:dyDescent="0.7">
      <c r="A1936" s="49">
        <v>44729.78376633102</v>
      </c>
      <c r="B1936" s="50" t="s">
        <v>4</v>
      </c>
      <c r="C1936" s="50" t="s">
        <v>396</v>
      </c>
      <c r="D1936" s="50" t="s">
        <v>259</v>
      </c>
      <c r="E1936" s="50">
        <v>0</v>
      </c>
      <c r="F1936" s="50">
        <v>0.91732580636801475</v>
      </c>
      <c r="G1936" s="51" t="str">
        <v>井上 2022/07/26 (火)
平日夜間</v>
      </c>
    </row>
    <row r="1937" spans="1:7" ht="16.149999999999999" x14ac:dyDescent="0.7">
      <c r="A1937" s="49">
        <v>44729.78376633102</v>
      </c>
      <c r="B1937" s="50" t="s">
        <v>4</v>
      </c>
      <c r="C1937" s="50" t="s">
        <v>397</v>
      </c>
      <c r="D1937" s="50" t="s">
        <v>259</v>
      </c>
      <c r="E1937" s="50">
        <v>0</v>
      </c>
      <c r="F1937" s="50">
        <v>0.29539466850177609</v>
      </c>
      <c r="G1937" s="51" t="str">
        <v>井上 2022/07/27 (水)
平日夜間</v>
      </c>
    </row>
    <row r="1938" spans="1:7" ht="16.149999999999999" x14ac:dyDescent="0.7">
      <c r="A1938" s="49">
        <v>44729.78376633102</v>
      </c>
      <c r="B1938" s="50" t="s">
        <v>4</v>
      </c>
      <c r="C1938" s="50" t="s">
        <v>398</v>
      </c>
      <c r="D1938" s="50" t="s">
        <v>259</v>
      </c>
      <c r="E1938" s="50">
        <v>-1</v>
      </c>
      <c r="F1938" s="50">
        <v>-0.52392126961198859</v>
      </c>
      <c r="G1938" s="51" t="str">
        <v>井上 2022/07/28 (木)
平日夜間</v>
      </c>
    </row>
    <row r="1939" spans="1:7" ht="16.149999999999999" x14ac:dyDescent="0.7">
      <c r="A1939" s="49">
        <v>44729.78376633102</v>
      </c>
      <c r="B1939" s="50" t="s">
        <v>4</v>
      </c>
      <c r="C1939" s="50" t="s">
        <v>399</v>
      </c>
      <c r="D1939" s="50" t="s">
        <v>259</v>
      </c>
      <c r="E1939" s="50">
        <v>0</v>
      </c>
      <c r="F1939" s="50">
        <v>0.60069926629105841</v>
      </c>
      <c r="G1939" s="51" t="str">
        <v>井上 2022/07/29 (金)
平日夜間</v>
      </c>
    </row>
    <row r="1940" spans="1:7" ht="16.149999999999999" x14ac:dyDescent="0.7">
      <c r="A1940" s="49">
        <v>44729.78376633102</v>
      </c>
      <c r="B1940" s="50" t="s">
        <v>4</v>
      </c>
      <c r="C1940" s="50" t="s">
        <v>400</v>
      </c>
      <c r="D1940" s="50" t="s">
        <v>261</v>
      </c>
      <c r="E1940" s="50">
        <v>-1</v>
      </c>
      <c r="F1940" s="50">
        <v>-0.64876269037714951</v>
      </c>
      <c r="G1940" s="51" t="str">
        <v>井上 2022/07/30 (土)
休日午後</v>
      </c>
    </row>
    <row r="1941" spans="1:7" ht="16.149999999999999" x14ac:dyDescent="0.7">
      <c r="A1941" s="49">
        <v>44729.78376633102</v>
      </c>
      <c r="B1941" s="50" t="s">
        <v>4</v>
      </c>
      <c r="C1941" s="50" t="s">
        <v>401</v>
      </c>
      <c r="D1941" s="50" t="s">
        <v>263</v>
      </c>
      <c r="E1941" s="50">
        <v>0</v>
      </c>
      <c r="F1941" s="50">
        <v>0.85483494165442142</v>
      </c>
      <c r="G1941" s="51" t="str">
        <v>井上 2022/07/30 (土)
休日午前</v>
      </c>
    </row>
    <row r="1942" spans="1:7" ht="16.149999999999999" x14ac:dyDescent="0.7">
      <c r="A1942" s="49">
        <v>44729.78376633102</v>
      </c>
      <c r="B1942" s="50" t="s">
        <v>4</v>
      </c>
      <c r="C1942" s="50" t="s">
        <v>402</v>
      </c>
      <c r="D1942" s="50" t="s">
        <v>261</v>
      </c>
      <c r="E1942" s="50">
        <v>-1</v>
      </c>
      <c r="F1942" s="50">
        <v>-0.58426924522755597</v>
      </c>
      <c r="G1942" s="51" t="str">
        <v>井上 2022/07/31 (日)
休日午後</v>
      </c>
    </row>
    <row r="1943" spans="1:7" ht="16.149999999999999" x14ac:dyDescent="0.7">
      <c r="A1943" s="49">
        <v>44729.78376633102</v>
      </c>
      <c r="B1943" s="50" t="s">
        <v>4</v>
      </c>
      <c r="C1943" s="50" t="s">
        <v>403</v>
      </c>
      <c r="D1943" s="50" t="s">
        <v>263</v>
      </c>
      <c r="E1943" s="50">
        <v>-1</v>
      </c>
      <c r="F1943" s="50">
        <v>-0.60010088729303845</v>
      </c>
      <c r="G1943" s="51" t="str">
        <v>井上 2022/07/31 (日)
休日午前</v>
      </c>
    </row>
    <row r="1944" spans="1:7" ht="16.149999999999999" x14ac:dyDescent="0.7">
      <c r="A1944" s="49">
        <v>44729.855356481479</v>
      </c>
      <c r="B1944" s="50" t="s">
        <v>15</v>
      </c>
      <c r="C1944" s="50" t="s">
        <v>364</v>
      </c>
      <c r="D1944" s="50" t="s">
        <v>259</v>
      </c>
      <c r="E1944" s="50">
        <v>-1</v>
      </c>
      <c r="F1944" s="50">
        <v>-0.60561483589492493</v>
      </c>
      <c r="G1944" s="51" t="str">
        <v>太良 2022/07/01 (金)
平日夜間</v>
      </c>
    </row>
    <row r="1945" spans="1:7" ht="16.149999999999999" x14ac:dyDescent="0.7">
      <c r="A1945" s="49">
        <v>44729.855356481479</v>
      </c>
      <c r="B1945" s="50" t="s">
        <v>15</v>
      </c>
      <c r="C1945" s="50" t="s">
        <v>365</v>
      </c>
      <c r="D1945" s="50" t="s">
        <v>261</v>
      </c>
      <c r="E1945" s="50">
        <v>0</v>
      </c>
      <c r="F1945" s="50">
        <v>0.10012257875935249</v>
      </c>
      <c r="G1945" s="51" t="str">
        <v>太良 2022/07/02 (土)
休日午後</v>
      </c>
    </row>
    <row r="1946" spans="1:7" ht="16.149999999999999" x14ac:dyDescent="0.7">
      <c r="A1946" s="49">
        <v>44729.855356481479</v>
      </c>
      <c r="B1946" s="50" t="s">
        <v>15</v>
      </c>
      <c r="C1946" s="50" t="s">
        <v>366</v>
      </c>
      <c r="D1946" s="50" t="s">
        <v>263</v>
      </c>
      <c r="E1946" s="50">
        <v>-1</v>
      </c>
      <c r="F1946" s="50">
        <v>-0.57040963158654145</v>
      </c>
      <c r="G1946" s="51" t="str">
        <v>太良 2022/07/02 (土)
休日午前</v>
      </c>
    </row>
    <row r="1947" spans="1:7" ht="16.149999999999999" x14ac:dyDescent="0.7">
      <c r="A1947" s="49">
        <v>44729.855356481479</v>
      </c>
      <c r="B1947" s="50" t="s">
        <v>15</v>
      </c>
      <c r="C1947" s="50" t="s">
        <v>367</v>
      </c>
      <c r="D1947" s="50" t="s">
        <v>261</v>
      </c>
      <c r="E1947" s="50">
        <v>0</v>
      </c>
      <c r="F1947" s="50">
        <v>0.98895740359881712</v>
      </c>
      <c r="G1947" s="51" t="str">
        <v>太良 2022/07/03 (日)
休日午後</v>
      </c>
    </row>
    <row r="1948" spans="1:7" ht="16.149999999999999" x14ac:dyDescent="0.7">
      <c r="A1948" s="49">
        <v>44729.855356481479</v>
      </c>
      <c r="B1948" s="50" t="s">
        <v>15</v>
      </c>
      <c r="C1948" s="50" t="s">
        <v>368</v>
      </c>
      <c r="D1948" s="50" t="s">
        <v>263</v>
      </c>
      <c r="E1948" s="50">
        <v>0</v>
      </c>
      <c r="F1948" s="50">
        <v>9.475581911431652E-2</v>
      </c>
      <c r="G1948" s="51" t="str">
        <v>太良 2022/07/03 (日)
休日午前</v>
      </c>
    </row>
    <row r="1949" spans="1:7" ht="16.149999999999999" x14ac:dyDescent="0.7">
      <c r="A1949" s="49">
        <v>44729.855356481479</v>
      </c>
      <c r="B1949" s="50" t="s">
        <v>15</v>
      </c>
      <c r="C1949" s="50" t="s">
        <v>369</v>
      </c>
      <c r="D1949" s="50" t="s">
        <v>259</v>
      </c>
      <c r="E1949" s="50">
        <v>-1</v>
      </c>
      <c r="F1949" s="50">
        <v>-0.56662159617516239</v>
      </c>
      <c r="G1949" s="51" t="str">
        <v>太良 2022/07/04 (月)
平日夜間</v>
      </c>
    </row>
    <row r="1950" spans="1:7" ht="16.149999999999999" x14ac:dyDescent="0.7">
      <c r="A1950" s="49">
        <v>44729.855356481479</v>
      </c>
      <c r="B1950" s="50" t="s">
        <v>15</v>
      </c>
      <c r="C1950" s="50" t="s">
        <v>370</v>
      </c>
      <c r="D1950" s="50" t="s">
        <v>259</v>
      </c>
      <c r="E1950" s="50">
        <v>0</v>
      </c>
      <c r="F1950" s="50">
        <v>0.96269874539309663</v>
      </c>
      <c r="G1950" s="51" t="str">
        <v>太良 2022/07/05 (火)
平日夜間</v>
      </c>
    </row>
    <row r="1951" spans="1:7" ht="16.149999999999999" x14ac:dyDescent="0.7">
      <c r="A1951" s="49">
        <v>44729.855356481479</v>
      </c>
      <c r="B1951" s="50" t="s">
        <v>15</v>
      </c>
      <c r="C1951" s="50" t="s">
        <v>371</v>
      </c>
      <c r="D1951" s="50" t="s">
        <v>259</v>
      </c>
      <c r="E1951" s="50">
        <v>0</v>
      </c>
      <c r="F1951" s="50">
        <v>0.12776919837000955</v>
      </c>
      <c r="G1951" s="51" t="str">
        <v>太良 2022/07/06 (水)
平日夜間</v>
      </c>
    </row>
    <row r="1952" spans="1:7" ht="16.149999999999999" x14ac:dyDescent="0.7">
      <c r="A1952" s="49">
        <v>44729.855356481479</v>
      </c>
      <c r="B1952" s="50" t="s">
        <v>15</v>
      </c>
      <c r="C1952" s="50" t="s">
        <v>372</v>
      </c>
      <c r="D1952" s="50" t="s">
        <v>259</v>
      </c>
      <c r="E1952" s="50">
        <v>0</v>
      </c>
      <c r="F1952" s="50">
        <v>0.55408994626243935</v>
      </c>
      <c r="G1952" s="51" t="str">
        <v>太良 2022/07/07 (木)
平日夜間</v>
      </c>
    </row>
    <row r="1953" spans="1:7" ht="16.149999999999999" x14ac:dyDescent="0.7">
      <c r="A1953" s="49">
        <v>44729.855356481479</v>
      </c>
      <c r="B1953" s="50" t="s">
        <v>15</v>
      </c>
      <c r="C1953" s="50" t="s">
        <v>373</v>
      </c>
      <c r="D1953" s="50" t="s">
        <v>259</v>
      </c>
      <c r="E1953" s="50">
        <v>-1</v>
      </c>
      <c r="F1953" s="50">
        <v>-0.68895865846277671</v>
      </c>
      <c r="G1953" s="51" t="str">
        <v>太良 2022/07/08 (金)
平日夜間</v>
      </c>
    </row>
    <row r="1954" spans="1:7" ht="16.149999999999999" x14ac:dyDescent="0.7">
      <c r="A1954" s="49">
        <v>44729.855356481479</v>
      </c>
      <c r="B1954" s="50" t="s">
        <v>15</v>
      </c>
      <c r="C1954" s="50" t="s">
        <v>374</v>
      </c>
      <c r="D1954" s="50" t="s">
        <v>261</v>
      </c>
      <c r="E1954" s="50">
        <v>-1</v>
      </c>
      <c r="F1954" s="50">
        <v>-0.25182752451257784</v>
      </c>
      <c r="G1954" s="51" t="str">
        <v>太良 2022/07/09 (土)
休日午後</v>
      </c>
    </row>
    <row r="1955" spans="1:7" ht="16.149999999999999" x14ac:dyDescent="0.7">
      <c r="A1955" s="49">
        <v>44729.855356481479</v>
      </c>
      <c r="B1955" s="50" t="s">
        <v>15</v>
      </c>
      <c r="C1955" s="50" t="s">
        <v>375</v>
      </c>
      <c r="D1955" s="50" t="s">
        <v>263</v>
      </c>
      <c r="E1955" s="50">
        <v>-1</v>
      </c>
      <c r="F1955" s="50">
        <v>-0.57485214682187546</v>
      </c>
      <c r="G1955" s="51" t="str">
        <v>太良 2022/07/09 (土)
休日午前</v>
      </c>
    </row>
    <row r="1956" spans="1:7" ht="16.149999999999999" x14ac:dyDescent="0.7">
      <c r="A1956" s="49">
        <v>44729.855356481479</v>
      </c>
      <c r="B1956" s="50" t="s">
        <v>15</v>
      </c>
      <c r="C1956" s="50" t="s">
        <v>376</v>
      </c>
      <c r="D1956" s="50" t="s">
        <v>261</v>
      </c>
      <c r="E1956" s="50">
        <v>-1</v>
      </c>
      <c r="F1956" s="50">
        <v>-0.60186263817069441</v>
      </c>
      <c r="G1956" s="51" t="str">
        <v>太良 2022/07/10 (日)
休日午後</v>
      </c>
    </row>
    <row r="1957" spans="1:7" ht="16.149999999999999" x14ac:dyDescent="0.7">
      <c r="A1957" s="49">
        <v>44729.855356481479</v>
      </c>
      <c r="B1957" s="50" t="s">
        <v>15</v>
      </c>
      <c r="C1957" s="50" t="s">
        <v>377</v>
      </c>
      <c r="D1957" s="50" t="s">
        <v>263</v>
      </c>
      <c r="E1957" s="50">
        <v>-1</v>
      </c>
      <c r="F1957" s="50">
        <v>-0.40509339650836695</v>
      </c>
      <c r="G1957" s="51" t="str">
        <v>太良 2022/07/10 (日)
休日午前</v>
      </c>
    </row>
    <row r="1958" spans="1:7" ht="16.149999999999999" x14ac:dyDescent="0.7">
      <c r="A1958" s="49">
        <v>44729.855356481479</v>
      </c>
      <c r="B1958" s="50" t="s">
        <v>15</v>
      </c>
      <c r="C1958" s="50" t="s">
        <v>378</v>
      </c>
      <c r="D1958" s="50" t="s">
        <v>259</v>
      </c>
      <c r="E1958" s="50">
        <v>0</v>
      </c>
      <c r="F1958" s="50">
        <v>3.5339946240009024E-2</v>
      </c>
      <c r="G1958" s="51" t="str">
        <v>太良 2022/07/11 (月)
平日夜間</v>
      </c>
    </row>
    <row r="1959" spans="1:7" ht="16.149999999999999" x14ac:dyDescent="0.7">
      <c r="A1959" s="49">
        <v>44729.855356481479</v>
      </c>
      <c r="B1959" s="50" t="s">
        <v>15</v>
      </c>
      <c r="C1959" s="50" t="s">
        <v>379</v>
      </c>
      <c r="D1959" s="50" t="s">
        <v>259</v>
      </c>
      <c r="E1959" s="50">
        <v>0</v>
      </c>
      <c r="F1959" s="50">
        <v>0.48800576480716429</v>
      </c>
      <c r="G1959" s="51" t="str">
        <v>太良 2022/07/12 (火)
平日夜間</v>
      </c>
    </row>
    <row r="1960" spans="1:7" ht="16.149999999999999" x14ac:dyDescent="0.7">
      <c r="A1960" s="49">
        <v>44729.855356481479</v>
      </c>
      <c r="B1960" s="50" t="s">
        <v>15</v>
      </c>
      <c r="C1960" s="50" t="s">
        <v>380</v>
      </c>
      <c r="D1960" s="50" t="s">
        <v>259</v>
      </c>
      <c r="E1960" s="50">
        <v>-1</v>
      </c>
      <c r="F1960" s="50">
        <v>-0.9329146869472289</v>
      </c>
      <c r="G1960" s="51" t="str">
        <v>太良 2022/07/13 (水)
平日夜間</v>
      </c>
    </row>
    <row r="1961" spans="1:7" ht="16.149999999999999" x14ac:dyDescent="0.7">
      <c r="A1961" s="49">
        <v>44729.855356481479</v>
      </c>
      <c r="B1961" s="50" t="s">
        <v>15</v>
      </c>
      <c r="C1961" s="50" t="s">
        <v>381</v>
      </c>
      <c r="D1961" s="50" t="s">
        <v>259</v>
      </c>
      <c r="E1961" s="50">
        <v>0</v>
      </c>
      <c r="F1961" s="50">
        <v>0.63589570626808412</v>
      </c>
      <c r="G1961" s="51" t="str">
        <v>太良 2022/07/14 (木)
平日夜間</v>
      </c>
    </row>
    <row r="1962" spans="1:7" ht="16.149999999999999" x14ac:dyDescent="0.7">
      <c r="A1962" s="49">
        <v>44729.855356481479</v>
      </c>
      <c r="B1962" s="50" t="s">
        <v>15</v>
      </c>
      <c r="C1962" s="50" t="s">
        <v>382</v>
      </c>
      <c r="D1962" s="50" t="s">
        <v>259</v>
      </c>
      <c r="E1962" s="50">
        <v>-1</v>
      </c>
      <c r="F1962" s="50">
        <v>-0.2785836405666331</v>
      </c>
      <c r="G1962" s="51" t="str">
        <v>太良 2022/07/15 (金)
平日夜間</v>
      </c>
    </row>
    <row r="1963" spans="1:7" ht="16.149999999999999" x14ac:dyDescent="0.7">
      <c r="A1963" s="49">
        <v>44729.855356481479</v>
      </c>
      <c r="B1963" s="50" t="s">
        <v>15</v>
      </c>
      <c r="C1963" s="50" t="s">
        <v>383</v>
      </c>
      <c r="D1963" s="50" t="s">
        <v>261</v>
      </c>
      <c r="E1963" s="50">
        <v>-1</v>
      </c>
      <c r="F1963" s="50">
        <v>-0.17298224532631412</v>
      </c>
      <c r="G1963" s="51" t="str">
        <v>太良 2022/07/16 (土)
休日午後</v>
      </c>
    </row>
    <row r="1964" spans="1:7" ht="16.149999999999999" x14ac:dyDescent="0.7">
      <c r="A1964" s="49">
        <v>44729.855356481479</v>
      </c>
      <c r="B1964" s="50" t="s">
        <v>15</v>
      </c>
      <c r="C1964" s="50" t="s">
        <v>384</v>
      </c>
      <c r="D1964" s="50" t="s">
        <v>263</v>
      </c>
      <c r="E1964" s="50">
        <v>-1</v>
      </c>
      <c r="F1964" s="50">
        <v>-0.32864872285959779</v>
      </c>
      <c r="G1964" s="51" t="str">
        <v>太良 2022/07/16 (土)
休日午前</v>
      </c>
    </row>
    <row r="1965" spans="1:7" ht="16.149999999999999" x14ac:dyDescent="0.7">
      <c r="A1965" s="49">
        <v>44729.855356481479</v>
      </c>
      <c r="B1965" s="50" t="s">
        <v>15</v>
      </c>
      <c r="C1965" s="50" t="s">
        <v>385</v>
      </c>
      <c r="D1965" s="50" t="s">
        <v>261</v>
      </c>
      <c r="E1965" s="50">
        <v>-1</v>
      </c>
      <c r="F1965" s="50">
        <v>-0.17736222330540241</v>
      </c>
      <c r="G1965" s="51" t="str">
        <v>太良 2022/07/17 (日)
休日午後</v>
      </c>
    </row>
    <row r="1966" spans="1:7" ht="16.149999999999999" x14ac:dyDescent="0.7">
      <c r="A1966" s="49">
        <v>44729.855356481479</v>
      </c>
      <c r="B1966" s="50" t="s">
        <v>15</v>
      </c>
      <c r="C1966" s="50" t="s">
        <v>386</v>
      </c>
      <c r="D1966" s="50" t="s">
        <v>263</v>
      </c>
      <c r="E1966" s="50">
        <v>-1</v>
      </c>
      <c r="F1966" s="50">
        <v>-0.16987899834895104</v>
      </c>
      <c r="G1966" s="51" t="str">
        <v>太良 2022/07/17 (日)
休日午前</v>
      </c>
    </row>
    <row r="1967" spans="1:7" ht="16.149999999999999" x14ac:dyDescent="0.7">
      <c r="A1967" s="49">
        <v>44729.855356481479</v>
      </c>
      <c r="B1967" s="50" t="s">
        <v>15</v>
      </c>
      <c r="C1967" s="50" t="s">
        <v>404</v>
      </c>
      <c r="D1967" s="50" t="s">
        <v>261</v>
      </c>
      <c r="E1967" s="50">
        <v>2</v>
      </c>
      <c r="F1967" s="50">
        <v>2.1552303956446348</v>
      </c>
      <c r="G1967" s="51" t="str">
        <v>太良 2022/07/18 (月)
休日午後</v>
      </c>
    </row>
    <row r="1968" spans="1:7" ht="16.149999999999999" x14ac:dyDescent="0.7">
      <c r="A1968" s="49">
        <v>44729.855356481479</v>
      </c>
      <c r="B1968" s="50" t="s">
        <v>15</v>
      </c>
      <c r="C1968" s="50" t="s">
        <v>405</v>
      </c>
      <c r="D1968" s="50" t="s">
        <v>263</v>
      </c>
      <c r="E1968" s="50">
        <v>0</v>
      </c>
      <c r="F1968" s="50">
        <v>2.1314622569319264E-2</v>
      </c>
      <c r="G1968" s="51" t="str">
        <v>太良 2022/07/18 (月)
休日午前</v>
      </c>
    </row>
    <row r="1969" spans="1:7" ht="16.149999999999999" x14ac:dyDescent="0.7">
      <c r="A1969" s="49">
        <v>44729.855356481479</v>
      </c>
      <c r="B1969" s="50" t="s">
        <v>15</v>
      </c>
      <c r="C1969" s="50" t="s">
        <v>387</v>
      </c>
      <c r="D1969" s="50" t="s">
        <v>259</v>
      </c>
      <c r="E1969" s="50">
        <v>-1</v>
      </c>
      <c r="F1969" s="50">
        <v>-7.2600267995219792E-2</v>
      </c>
      <c r="G1969" s="51" t="str">
        <v>太良 2022/07/19 (火)
平日夜間</v>
      </c>
    </row>
    <row r="1970" spans="1:7" ht="16.149999999999999" x14ac:dyDescent="0.7">
      <c r="A1970" s="49">
        <v>44729.855356481479</v>
      </c>
      <c r="B1970" s="50" t="s">
        <v>15</v>
      </c>
      <c r="C1970" s="50" t="s">
        <v>388</v>
      </c>
      <c r="D1970" s="50" t="s">
        <v>259</v>
      </c>
      <c r="E1970" s="50">
        <v>0</v>
      </c>
      <c r="F1970" s="50">
        <v>0.94507363212870632</v>
      </c>
      <c r="G1970" s="51" t="str">
        <v>太良 2022/07/20 (水)
平日夜間</v>
      </c>
    </row>
    <row r="1971" spans="1:7" ht="16.149999999999999" x14ac:dyDescent="0.7">
      <c r="A1971" s="49">
        <v>44729.855356481479</v>
      </c>
      <c r="B1971" s="50" t="s">
        <v>15</v>
      </c>
      <c r="C1971" s="50" t="s">
        <v>389</v>
      </c>
      <c r="D1971" s="50" t="s">
        <v>259</v>
      </c>
      <c r="E1971" s="50">
        <v>-1</v>
      </c>
      <c r="F1971" s="50">
        <v>-0.51685864887735056</v>
      </c>
      <c r="G1971" s="51" t="str">
        <v>太良 2022/07/21 (木)
平日夜間</v>
      </c>
    </row>
    <row r="1972" spans="1:7" ht="16.149999999999999" x14ac:dyDescent="0.7">
      <c r="A1972" s="49">
        <v>44729.855356481479</v>
      </c>
      <c r="B1972" s="50" t="s">
        <v>15</v>
      </c>
      <c r="C1972" s="50" t="s">
        <v>390</v>
      </c>
      <c r="D1972" s="50" t="s">
        <v>259</v>
      </c>
      <c r="E1972" s="50">
        <v>-1</v>
      </c>
      <c r="F1972" s="50">
        <v>-0.93760508035820678</v>
      </c>
      <c r="G1972" s="51" t="str">
        <v>太良 2022/07/22 (金)
平日夜間</v>
      </c>
    </row>
    <row r="1973" spans="1:7" ht="16.149999999999999" x14ac:dyDescent="0.7">
      <c r="A1973" s="49">
        <v>44729.855356481479</v>
      </c>
      <c r="B1973" s="50" t="s">
        <v>15</v>
      </c>
      <c r="C1973" s="50" t="s">
        <v>391</v>
      </c>
      <c r="D1973" s="50" t="s">
        <v>261</v>
      </c>
      <c r="E1973" s="50">
        <v>-1</v>
      </c>
      <c r="F1973" s="50">
        <v>-0.64465173049916857</v>
      </c>
      <c r="G1973" s="51" t="str">
        <v>太良 2022/07/23 (土)
休日午後</v>
      </c>
    </row>
    <row r="1974" spans="1:7" ht="16.149999999999999" x14ac:dyDescent="0.7">
      <c r="A1974" s="49">
        <v>44729.855356481479</v>
      </c>
      <c r="B1974" s="50" t="s">
        <v>15</v>
      </c>
      <c r="C1974" s="50" t="s">
        <v>392</v>
      </c>
      <c r="D1974" s="50" t="s">
        <v>263</v>
      </c>
      <c r="E1974" s="50">
        <v>-1</v>
      </c>
      <c r="F1974" s="50">
        <v>-0.98791319536736211</v>
      </c>
      <c r="G1974" s="51" t="str">
        <v>太良 2022/07/23 (土)
休日午前</v>
      </c>
    </row>
    <row r="1975" spans="1:7" ht="16.149999999999999" x14ac:dyDescent="0.7">
      <c r="A1975" s="49">
        <v>44729.855356481479</v>
      </c>
      <c r="B1975" s="50" t="s">
        <v>15</v>
      </c>
      <c r="C1975" s="50" t="s">
        <v>393</v>
      </c>
      <c r="D1975" s="50" t="s">
        <v>261</v>
      </c>
      <c r="E1975" s="50">
        <v>-1</v>
      </c>
      <c r="F1975" s="50">
        <v>-0.63304755286217307</v>
      </c>
      <c r="G1975" s="51" t="str">
        <v>太良 2022/07/24 (日)
休日午後</v>
      </c>
    </row>
    <row r="1976" spans="1:7" ht="16.149999999999999" x14ac:dyDescent="0.7">
      <c r="A1976" s="49">
        <v>44729.855356481479</v>
      </c>
      <c r="B1976" s="50" t="s">
        <v>15</v>
      </c>
      <c r="C1976" s="50" t="s">
        <v>394</v>
      </c>
      <c r="D1976" s="50" t="s">
        <v>263</v>
      </c>
      <c r="E1976" s="50">
        <v>-1</v>
      </c>
      <c r="F1976" s="50">
        <v>-0.76228697354433161</v>
      </c>
      <c r="G1976" s="51" t="str">
        <v>太良 2022/07/24 (日)
休日午前</v>
      </c>
    </row>
    <row r="1977" spans="1:7" ht="16.149999999999999" x14ac:dyDescent="0.7">
      <c r="A1977" s="49">
        <v>44729.855356481479</v>
      </c>
      <c r="B1977" s="50" t="s">
        <v>15</v>
      </c>
      <c r="C1977" s="50" t="s">
        <v>395</v>
      </c>
      <c r="D1977" s="50" t="s">
        <v>259</v>
      </c>
      <c r="E1977" s="50">
        <v>-1</v>
      </c>
      <c r="F1977" s="50">
        <v>-0.27164174831746712</v>
      </c>
      <c r="G1977" s="51" t="str">
        <v>太良 2022/07/25 (月)
平日夜間</v>
      </c>
    </row>
    <row r="1978" spans="1:7" ht="16.149999999999999" x14ac:dyDescent="0.7">
      <c r="A1978" s="49">
        <v>44729.855356481479</v>
      </c>
      <c r="B1978" s="50" t="s">
        <v>15</v>
      </c>
      <c r="C1978" s="50" t="s">
        <v>396</v>
      </c>
      <c r="D1978" s="50" t="s">
        <v>259</v>
      </c>
      <c r="E1978" s="50">
        <v>-1</v>
      </c>
      <c r="F1978" s="50">
        <v>-7.1330304155649893E-2</v>
      </c>
      <c r="G1978" s="51" t="str">
        <v>太良 2022/07/26 (火)
平日夜間</v>
      </c>
    </row>
    <row r="1979" spans="1:7" ht="16.149999999999999" x14ac:dyDescent="0.7">
      <c r="A1979" s="49">
        <v>44729.855356481479</v>
      </c>
      <c r="B1979" s="50" t="s">
        <v>15</v>
      </c>
      <c r="C1979" s="50" t="s">
        <v>397</v>
      </c>
      <c r="D1979" s="50" t="s">
        <v>259</v>
      </c>
      <c r="E1979" s="50">
        <v>-1</v>
      </c>
      <c r="F1979" s="50">
        <v>-0.21565704093794658</v>
      </c>
      <c r="G1979" s="51" t="str">
        <v>太良 2022/07/27 (水)
平日夜間</v>
      </c>
    </row>
    <row r="1980" spans="1:7" ht="16.149999999999999" x14ac:dyDescent="0.7">
      <c r="A1980" s="49">
        <v>44729.855356481479</v>
      </c>
      <c r="B1980" s="50" t="s">
        <v>15</v>
      </c>
      <c r="C1980" s="50" t="s">
        <v>398</v>
      </c>
      <c r="D1980" s="50" t="s">
        <v>259</v>
      </c>
      <c r="E1980" s="50">
        <v>-1</v>
      </c>
      <c r="F1980" s="50">
        <v>-0.95277975062835241</v>
      </c>
      <c r="G1980" s="51" t="str">
        <v>太良 2022/07/28 (木)
平日夜間</v>
      </c>
    </row>
    <row r="1981" spans="1:7" ht="16.149999999999999" x14ac:dyDescent="0.7">
      <c r="A1981" s="49">
        <v>44729.855356481479</v>
      </c>
      <c r="B1981" s="50" t="s">
        <v>15</v>
      </c>
      <c r="C1981" s="50" t="s">
        <v>399</v>
      </c>
      <c r="D1981" s="50" t="s">
        <v>259</v>
      </c>
      <c r="E1981" s="50">
        <v>-1</v>
      </c>
      <c r="F1981" s="50">
        <v>-0.84673572896256566</v>
      </c>
      <c r="G1981" s="51" t="str">
        <v>太良 2022/07/29 (金)
平日夜間</v>
      </c>
    </row>
    <row r="1982" spans="1:7" ht="16.149999999999999" x14ac:dyDescent="0.7">
      <c r="A1982" s="49">
        <v>44729.855356481479</v>
      </c>
      <c r="B1982" s="50" t="s">
        <v>15</v>
      </c>
      <c r="C1982" s="50" t="s">
        <v>400</v>
      </c>
      <c r="D1982" s="50" t="s">
        <v>261</v>
      </c>
      <c r="E1982" s="50">
        <v>-1</v>
      </c>
      <c r="F1982" s="50">
        <v>-0.41226326732938845</v>
      </c>
      <c r="G1982" s="51" t="str">
        <v>太良 2022/07/30 (土)
休日午後</v>
      </c>
    </row>
    <row r="1983" spans="1:7" ht="16.149999999999999" x14ac:dyDescent="0.7">
      <c r="A1983" s="49">
        <v>44729.855356481479</v>
      </c>
      <c r="B1983" s="50" t="s">
        <v>15</v>
      </c>
      <c r="C1983" s="50" t="s">
        <v>401</v>
      </c>
      <c r="D1983" s="50" t="s">
        <v>263</v>
      </c>
      <c r="E1983" s="50">
        <v>-1</v>
      </c>
      <c r="F1983" s="50">
        <v>-0.25017159205498896</v>
      </c>
      <c r="G1983" s="51" t="str">
        <v>太良 2022/07/30 (土)
休日午前</v>
      </c>
    </row>
    <row r="1984" spans="1:7" ht="16.149999999999999" x14ac:dyDescent="0.7">
      <c r="A1984" s="49">
        <v>44729.855356481479</v>
      </c>
      <c r="B1984" s="50" t="s">
        <v>15</v>
      </c>
      <c r="C1984" s="50" t="s">
        <v>402</v>
      </c>
      <c r="D1984" s="50" t="s">
        <v>261</v>
      </c>
      <c r="E1984" s="50">
        <v>-1</v>
      </c>
      <c r="F1984" s="50">
        <v>-0.24639370900585944</v>
      </c>
      <c r="G1984" s="51" t="str">
        <v>太良 2022/07/31 (日)
休日午後</v>
      </c>
    </row>
    <row r="1985" spans="1:7" ht="16.149999999999999" x14ac:dyDescent="0.7">
      <c r="A1985" s="49">
        <v>44729.855356481479</v>
      </c>
      <c r="B1985" s="50" t="s">
        <v>15</v>
      </c>
      <c r="C1985" s="50" t="s">
        <v>403</v>
      </c>
      <c r="D1985" s="50" t="s">
        <v>263</v>
      </c>
      <c r="E1985" s="50">
        <v>-1</v>
      </c>
      <c r="F1985" s="50">
        <v>-0.42027059294904734</v>
      </c>
      <c r="G1985" s="51" t="str">
        <v>太良 2022/07/31 (日)
休日午前</v>
      </c>
    </row>
    <row r="1986" spans="1:7" ht="16.149999999999999" x14ac:dyDescent="0.7">
      <c r="A1986" s="49">
        <v>44730.370458819445</v>
      </c>
      <c r="B1986" s="50" t="s">
        <v>13</v>
      </c>
      <c r="C1986" s="50" t="s">
        <v>364</v>
      </c>
      <c r="D1986" s="50" t="s">
        <v>259</v>
      </c>
      <c r="E1986" s="50">
        <v>0</v>
      </c>
      <c r="F1986" s="50">
        <v>0.11999480189568223</v>
      </c>
      <c r="G1986" s="51" t="str">
        <v>新美 2022/07/01 (金)
平日夜間</v>
      </c>
    </row>
    <row r="1987" spans="1:7" ht="16.149999999999999" x14ac:dyDescent="0.7">
      <c r="A1987" s="49">
        <v>44730.370458819445</v>
      </c>
      <c r="B1987" s="50" t="s">
        <v>13</v>
      </c>
      <c r="C1987" s="50" t="s">
        <v>365</v>
      </c>
      <c r="D1987" s="50" t="s">
        <v>261</v>
      </c>
      <c r="E1987" s="50">
        <v>0</v>
      </c>
      <c r="F1987" s="50">
        <v>9.6776049208988857E-2</v>
      </c>
      <c r="G1987" s="51" t="str">
        <v>新美 2022/07/02 (土)
休日午後</v>
      </c>
    </row>
    <row r="1988" spans="1:7" ht="16.149999999999999" x14ac:dyDescent="0.7">
      <c r="A1988" s="49">
        <v>44730.370458819445</v>
      </c>
      <c r="B1988" s="50" t="s">
        <v>13</v>
      </c>
      <c r="C1988" s="50" t="s">
        <v>366</v>
      </c>
      <c r="D1988" s="50" t="s">
        <v>263</v>
      </c>
      <c r="E1988" s="50">
        <v>0</v>
      </c>
      <c r="F1988" s="50">
        <v>0.31738741935112391</v>
      </c>
      <c r="G1988" s="51" t="str">
        <v>新美 2022/07/02 (土)
休日午前</v>
      </c>
    </row>
    <row r="1989" spans="1:7" ht="16.149999999999999" x14ac:dyDescent="0.7">
      <c r="A1989" s="49">
        <v>44730.370458819445</v>
      </c>
      <c r="B1989" s="50" t="s">
        <v>13</v>
      </c>
      <c r="C1989" s="50" t="s">
        <v>367</v>
      </c>
      <c r="D1989" s="50" t="s">
        <v>261</v>
      </c>
      <c r="E1989" s="50">
        <v>0</v>
      </c>
      <c r="F1989" s="50">
        <v>0.90102605793980461</v>
      </c>
      <c r="G1989" s="51" t="str">
        <v>新美 2022/07/03 (日)
休日午後</v>
      </c>
    </row>
    <row r="1990" spans="1:7" ht="16.149999999999999" x14ac:dyDescent="0.7">
      <c r="A1990" s="49">
        <v>44730.370458819445</v>
      </c>
      <c r="B1990" s="50" t="s">
        <v>13</v>
      </c>
      <c r="C1990" s="50" t="s">
        <v>368</v>
      </c>
      <c r="D1990" s="50" t="s">
        <v>263</v>
      </c>
      <c r="E1990" s="50">
        <v>0</v>
      </c>
      <c r="F1990" s="50">
        <v>0.60826561702096527</v>
      </c>
      <c r="G1990" s="51" t="str">
        <v>新美 2022/07/03 (日)
休日午前</v>
      </c>
    </row>
    <row r="1991" spans="1:7" ht="16.149999999999999" x14ac:dyDescent="0.7">
      <c r="A1991" s="49">
        <v>44730.370458819445</v>
      </c>
      <c r="B1991" s="50" t="s">
        <v>13</v>
      </c>
      <c r="C1991" s="50" t="s">
        <v>369</v>
      </c>
      <c r="D1991" s="50" t="s">
        <v>259</v>
      </c>
      <c r="E1991" s="50">
        <v>0</v>
      </c>
      <c r="F1991" s="50">
        <v>0.57158850845972609</v>
      </c>
      <c r="G1991" s="51" t="str">
        <v>新美 2022/07/04 (月)
平日夜間</v>
      </c>
    </row>
    <row r="1992" spans="1:7" ht="16.149999999999999" x14ac:dyDescent="0.7">
      <c r="A1992" s="49">
        <v>44730.370458819445</v>
      </c>
      <c r="B1992" s="50" t="s">
        <v>13</v>
      </c>
      <c r="C1992" s="50" t="s">
        <v>370</v>
      </c>
      <c r="D1992" s="50" t="s">
        <v>259</v>
      </c>
      <c r="E1992" s="50">
        <v>0</v>
      </c>
      <c r="F1992" s="50">
        <v>0.58040724715022329</v>
      </c>
      <c r="G1992" s="51" t="str">
        <v>新美 2022/07/05 (火)
平日夜間</v>
      </c>
    </row>
    <row r="1993" spans="1:7" ht="16.149999999999999" x14ac:dyDescent="0.7">
      <c r="A1993" s="49">
        <v>44730.370458819445</v>
      </c>
      <c r="B1993" s="50" t="s">
        <v>13</v>
      </c>
      <c r="C1993" s="50" t="s">
        <v>371</v>
      </c>
      <c r="D1993" s="50" t="s">
        <v>259</v>
      </c>
      <c r="E1993" s="50">
        <v>-1</v>
      </c>
      <c r="F1993" s="50">
        <v>-9.1600742966124749E-4</v>
      </c>
      <c r="G1993" s="51" t="str">
        <v>新美 2022/07/06 (水)
平日夜間</v>
      </c>
    </row>
    <row r="1994" spans="1:7" ht="16.149999999999999" x14ac:dyDescent="0.7">
      <c r="A1994" s="49">
        <v>44730.370458819445</v>
      </c>
      <c r="B1994" s="50" t="s">
        <v>13</v>
      </c>
      <c r="C1994" s="50" t="s">
        <v>372</v>
      </c>
      <c r="D1994" s="50" t="s">
        <v>259</v>
      </c>
      <c r="E1994" s="50">
        <v>0</v>
      </c>
      <c r="F1994" s="50">
        <v>8.510869677409505E-2</v>
      </c>
      <c r="G1994" s="51" t="str">
        <v>新美 2022/07/07 (木)
平日夜間</v>
      </c>
    </row>
    <row r="1995" spans="1:7" ht="16.149999999999999" x14ac:dyDescent="0.7">
      <c r="A1995" s="49">
        <v>44730.370458819445</v>
      </c>
      <c r="B1995" s="50" t="s">
        <v>13</v>
      </c>
      <c r="C1995" s="50" t="s">
        <v>373</v>
      </c>
      <c r="D1995" s="50" t="s">
        <v>259</v>
      </c>
      <c r="E1995" s="50">
        <v>0</v>
      </c>
      <c r="F1995" s="50">
        <v>6.5709946139477671E-2</v>
      </c>
      <c r="G1995" s="51" t="str">
        <v>新美 2022/07/08 (金)
平日夜間</v>
      </c>
    </row>
    <row r="1996" spans="1:7" ht="16.149999999999999" x14ac:dyDescent="0.7">
      <c r="A1996" s="49">
        <v>44730.370458819445</v>
      </c>
      <c r="B1996" s="50" t="s">
        <v>13</v>
      </c>
      <c r="C1996" s="50" t="s">
        <v>374</v>
      </c>
      <c r="D1996" s="50" t="s">
        <v>261</v>
      </c>
      <c r="E1996" s="50">
        <v>0</v>
      </c>
      <c r="F1996" s="50">
        <v>0.22377399167989798</v>
      </c>
      <c r="G1996" s="51" t="str">
        <v>新美 2022/07/09 (土)
休日午後</v>
      </c>
    </row>
    <row r="1997" spans="1:7" ht="16.149999999999999" x14ac:dyDescent="0.7">
      <c r="A1997" s="49">
        <v>44730.370458819445</v>
      </c>
      <c r="B1997" s="50" t="s">
        <v>13</v>
      </c>
      <c r="C1997" s="50" t="s">
        <v>375</v>
      </c>
      <c r="D1997" s="50" t="s">
        <v>263</v>
      </c>
      <c r="E1997" s="50">
        <v>0</v>
      </c>
      <c r="F1997" s="50">
        <v>0.38430540611835284</v>
      </c>
      <c r="G1997" s="51" t="str">
        <v>新美 2022/07/09 (土)
休日午前</v>
      </c>
    </row>
    <row r="1998" spans="1:7" ht="16.149999999999999" x14ac:dyDescent="0.7">
      <c r="A1998" s="49">
        <v>44730.370458819445</v>
      </c>
      <c r="B1998" s="50" t="s">
        <v>13</v>
      </c>
      <c r="C1998" s="50" t="s">
        <v>376</v>
      </c>
      <c r="D1998" s="50" t="s">
        <v>261</v>
      </c>
      <c r="E1998" s="50">
        <v>0</v>
      </c>
      <c r="F1998" s="50">
        <v>0.39228181451835287</v>
      </c>
      <c r="G1998" s="51" t="str">
        <v>新美 2022/07/10 (日)
休日午後</v>
      </c>
    </row>
    <row r="1999" spans="1:7" ht="16.149999999999999" x14ac:dyDescent="0.7">
      <c r="A1999" s="49">
        <v>44730.370458819445</v>
      </c>
      <c r="B1999" s="50" t="s">
        <v>13</v>
      </c>
      <c r="C1999" s="50" t="s">
        <v>377</v>
      </c>
      <c r="D1999" s="50" t="s">
        <v>263</v>
      </c>
      <c r="E1999" s="50">
        <v>0</v>
      </c>
      <c r="F1999" s="50">
        <v>1.2454431548671874E-2</v>
      </c>
      <c r="G1999" s="51" t="str">
        <v>新美 2022/07/10 (日)
休日午前</v>
      </c>
    </row>
    <row r="2000" spans="1:7" ht="16.149999999999999" x14ac:dyDescent="0.7">
      <c r="A2000" s="49">
        <v>44730.370458819445</v>
      </c>
      <c r="B2000" s="50" t="s">
        <v>13</v>
      </c>
      <c r="C2000" s="50" t="s">
        <v>378</v>
      </c>
      <c r="D2000" s="50" t="s">
        <v>259</v>
      </c>
      <c r="E2000" s="50">
        <v>-1</v>
      </c>
      <c r="F2000" s="50">
        <v>-5.3499271596034514E-2</v>
      </c>
      <c r="G2000" s="51" t="str">
        <v>新美 2022/07/11 (月)
平日夜間</v>
      </c>
    </row>
    <row r="2001" spans="1:7" ht="16.149999999999999" x14ac:dyDescent="0.7">
      <c r="A2001" s="49">
        <v>44730.370458819445</v>
      </c>
      <c r="B2001" s="50" t="s">
        <v>13</v>
      </c>
      <c r="C2001" s="50" t="s">
        <v>379</v>
      </c>
      <c r="D2001" s="50" t="s">
        <v>259</v>
      </c>
      <c r="E2001" s="50">
        <v>-1</v>
      </c>
      <c r="F2001" s="50">
        <v>-0.11826104317034725</v>
      </c>
      <c r="G2001" s="51" t="str">
        <v>新美 2022/07/12 (火)
平日夜間</v>
      </c>
    </row>
    <row r="2002" spans="1:7" ht="16.149999999999999" x14ac:dyDescent="0.7">
      <c r="A2002" s="49">
        <v>44730.370458819445</v>
      </c>
      <c r="B2002" s="50" t="s">
        <v>13</v>
      </c>
      <c r="C2002" s="50" t="s">
        <v>380</v>
      </c>
      <c r="D2002" s="50" t="s">
        <v>259</v>
      </c>
      <c r="E2002" s="50">
        <v>-1</v>
      </c>
      <c r="F2002" s="50">
        <v>-0.17158999671142161</v>
      </c>
      <c r="G2002" s="51" t="str">
        <v>新美 2022/07/13 (水)
平日夜間</v>
      </c>
    </row>
    <row r="2003" spans="1:7" ht="16.149999999999999" x14ac:dyDescent="0.7">
      <c r="A2003" s="49">
        <v>44730.370458819445</v>
      </c>
      <c r="B2003" s="50" t="s">
        <v>13</v>
      </c>
      <c r="C2003" s="50" t="s">
        <v>381</v>
      </c>
      <c r="D2003" s="50" t="s">
        <v>259</v>
      </c>
      <c r="E2003" s="50">
        <v>0</v>
      </c>
      <c r="F2003" s="50">
        <v>0.80294215313653039</v>
      </c>
      <c r="G2003" s="51" t="str">
        <v>新美 2022/07/14 (木)
平日夜間</v>
      </c>
    </row>
    <row r="2004" spans="1:7" ht="16.149999999999999" x14ac:dyDescent="0.7">
      <c r="A2004" s="49">
        <v>44730.370458819445</v>
      </c>
      <c r="B2004" s="50" t="s">
        <v>13</v>
      </c>
      <c r="C2004" s="50" t="s">
        <v>382</v>
      </c>
      <c r="D2004" s="50" t="s">
        <v>259</v>
      </c>
      <c r="E2004" s="50">
        <v>0</v>
      </c>
      <c r="F2004" s="50">
        <v>8.1291085720768264E-2</v>
      </c>
      <c r="G2004" s="51" t="str">
        <v>新美 2022/07/15 (金)
平日夜間</v>
      </c>
    </row>
    <row r="2005" spans="1:7" ht="16.149999999999999" x14ac:dyDescent="0.7">
      <c r="A2005" s="49">
        <v>44730.370458819445</v>
      </c>
      <c r="B2005" s="50" t="s">
        <v>13</v>
      </c>
      <c r="C2005" s="50" t="s">
        <v>383</v>
      </c>
      <c r="D2005" s="50" t="s">
        <v>261</v>
      </c>
      <c r="E2005" s="50">
        <v>-1</v>
      </c>
      <c r="F2005" s="50">
        <v>-0.28061943289045632</v>
      </c>
      <c r="G2005" s="51" t="str">
        <v>新美 2022/07/16 (土)
休日午後</v>
      </c>
    </row>
    <row r="2006" spans="1:7" ht="16.149999999999999" x14ac:dyDescent="0.7">
      <c r="A2006" s="49">
        <v>44730.370458819445</v>
      </c>
      <c r="B2006" s="50" t="s">
        <v>13</v>
      </c>
      <c r="C2006" s="50" t="s">
        <v>384</v>
      </c>
      <c r="D2006" s="50" t="s">
        <v>263</v>
      </c>
      <c r="E2006" s="50">
        <v>-1</v>
      </c>
      <c r="F2006" s="50">
        <v>-0.77965165620446064</v>
      </c>
      <c r="G2006" s="51" t="str">
        <v>新美 2022/07/16 (土)
休日午前</v>
      </c>
    </row>
    <row r="2007" spans="1:7" ht="16.149999999999999" x14ac:dyDescent="0.7">
      <c r="A2007" s="49">
        <v>44730.370458819445</v>
      </c>
      <c r="B2007" s="50" t="s">
        <v>13</v>
      </c>
      <c r="C2007" s="50" t="s">
        <v>385</v>
      </c>
      <c r="D2007" s="50" t="s">
        <v>261</v>
      </c>
      <c r="E2007" s="50">
        <v>-1</v>
      </c>
      <c r="F2007" s="50">
        <v>-2.0938142982730445E-2</v>
      </c>
      <c r="G2007" s="51" t="str">
        <v>新美 2022/07/17 (日)
休日午後</v>
      </c>
    </row>
    <row r="2008" spans="1:7" ht="16.149999999999999" x14ac:dyDescent="0.7">
      <c r="A2008" s="49">
        <v>44730.370458819445</v>
      </c>
      <c r="B2008" s="50" t="s">
        <v>13</v>
      </c>
      <c r="C2008" s="50" t="s">
        <v>386</v>
      </c>
      <c r="D2008" s="50" t="s">
        <v>263</v>
      </c>
      <c r="E2008" s="50">
        <v>-1</v>
      </c>
      <c r="F2008" s="50">
        <v>-0.6138641971185228</v>
      </c>
      <c r="G2008" s="51" t="str">
        <v>新美 2022/07/17 (日)
休日午前</v>
      </c>
    </row>
    <row r="2009" spans="1:7" ht="16.149999999999999" x14ac:dyDescent="0.7">
      <c r="A2009" s="49">
        <v>44730.370458819445</v>
      </c>
      <c r="B2009" s="50" t="s">
        <v>13</v>
      </c>
      <c r="C2009" s="50" t="s">
        <v>404</v>
      </c>
      <c r="D2009" s="50" t="s">
        <v>261</v>
      </c>
      <c r="E2009" s="50">
        <v>0</v>
      </c>
      <c r="F2009" s="50">
        <v>0.11482856317126422</v>
      </c>
      <c r="G2009" s="51" t="str">
        <v>新美 2022/07/18 (月)
休日午後</v>
      </c>
    </row>
    <row r="2010" spans="1:7" ht="16.149999999999999" x14ac:dyDescent="0.7">
      <c r="A2010" s="49">
        <v>44730.370458819445</v>
      </c>
      <c r="B2010" s="50" t="s">
        <v>13</v>
      </c>
      <c r="C2010" s="50" t="s">
        <v>405</v>
      </c>
      <c r="D2010" s="50" t="s">
        <v>263</v>
      </c>
      <c r="E2010" s="50">
        <v>0</v>
      </c>
      <c r="F2010" s="50">
        <v>0.16597064678949547</v>
      </c>
      <c r="G2010" s="51" t="str">
        <v>新美 2022/07/18 (月)
休日午前</v>
      </c>
    </row>
    <row r="2011" spans="1:7" ht="16.149999999999999" x14ac:dyDescent="0.7">
      <c r="A2011" s="49">
        <v>44730.370458819445</v>
      </c>
      <c r="B2011" s="50" t="s">
        <v>13</v>
      </c>
      <c r="C2011" s="50" t="s">
        <v>387</v>
      </c>
      <c r="D2011" s="50" t="s">
        <v>259</v>
      </c>
      <c r="E2011" s="50">
        <v>0</v>
      </c>
      <c r="F2011" s="50">
        <v>0.42086462520405932</v>
      </c>
      <c r="G2011" s="51" t="str">
        <v>新美 2022/07/19 (火)
平日夜間</v>
      </c>
    </row>
    <row r="2012" spans="1:7" ht="16.149999999999999" x14ac:dyDescent="0.7">
      <c r="A2012" s="49">
        <v>44730.370458819445</v>
      </c>
      <c r="B2012" s="50" t="s">
        <v>13</v>
      </c>
      <c r="C2012" s="50" t="s">
        <v>388</v>
      </c>
      <c r="D2012" s="50" t="s">
        <v>259</v>
      </c>
      <c r="E2012" s="50">
        <v>-1</v>
      </c>
      <c r="F2012" s="50">
        <v>-0.18912414028253632</v>
      </c>
      <c r="G2012" s="51" t="str">
        <v>新美 2022/07/20 (水)
平日夜間</v>
      </c>
    </row>
    <row r="2013" spans="1:7" ht="16.149999999999999" x14ac:dyDescent="0.7">
      <c r="A2013" s="49">
        <v>44730.370458819445</v>
      </c>
      <c r="B2013" s="50" t="s">
        <v>13</v>
      </c>
      <c r="C2013" s="50" t="s">
        <v>389</v>
      </c>
      <c r="D2013" s="50" t="s">
        <v>259</v>
      </c>
      <c r="E2013" s="50">
        <v>0</v>
      </c>
      <c r="F2013" s="50">
        <v>0.34150683287026617</v>
      </c>
      <c r="G2013" s="51" t="str">
        <v>新美 2022/07/21 (木)
平日夜間</v>
      </c>
    </row>
    <row r="2014" spans="1:7" ht="16.149999999999999" x14ac:dyDescent="0.7">
      <c r="A2014" s="49">
        <v>44730.370458819445</v>
      </c>
      <c r="B2014" s="50" t="s">
        <v>13</v>
      </c>
      <c r="C2014" s="50" t="s">
        <v>390</v>
      </c>
      <c r="D2014" s="50" t="s">
        <v>259</v>
      </c>
      <c r="E2014" s="50">
        <v>0</v>
      </c>
      <c r="F2014" s="50">
        <v>1.7897440320352231E-2</v>
      </c>
      <c r="G2014" s="51" t="str">
        <v>新美 2022/07/22 (金)
平日夜間</v>
      </c>
    </row>
    <row r="2015" spans="1:7" ht="16.149999999999999" x14ac:dyDescent="0.7">
      <c r="A2015" s="49">
        <v>44730.370458819445</v>
      </c>
      <c r="B2015" s="50" t="s">
        <v>13</v>
      </c>
      <c r="C2015" s="50" t="s">
        <v>391</v>
      </c>
      <c r="D2015" s="50" t="s">
        <v>261</v>
      </c>
      <c r="E2015" s="50">
        <v>0</v>
      </c>
      <c r="F2015" s="50">
        <v>0.17538591629433276</v>
      </c>
      <c r="G2015" s="51" t="str">
        <v>新美 2022/07/23 (土)
休日午後</v>
      </c>
    </row>
    <row r="2016" spans="1:7" ht="16.149999999999999" x14ac:dyDescent="0.7">
      <c r="A2016" s="49">
        <v>44730.370458819445</v>
      </c>
      <c r="B2016" s="50" t="s">
        <v>13</v>
      </c>
      <c r="C2016" s="50" t="s">
        <v>392</v>
      </c>
      <c r="D2016" s="50" t="s">
        <v>263</v>
      </c>
      <c r="E2016" s="50">
        <v>0</v>
      </c>
      <c r="F2016" s="50">
        <v>0.60605380352068527</v>
      </c>
      <c r="G2016" s="51" t="str">
        <v>新美 2022/07/23 (土)
休日午前</v>
      </c>
    </row>
    <row r="2017" spans="1:7" ht="16.149999999999999" x14ac:dyDescent="0.7">
      <c r="A2017" s="49">
        <v>44730.370458819445</v>
      </c>
      <c r="B2017" s="50" t="s">
        <v>13</v>
      </c>
      <c r="C2017" s="50" t="s">
        <v>393</v>
      </c>
      <c r="D2017" s="50" t="s">
        <v>261</v>
      </c>
      <c r="E2017" s="50">
        <v>0</v>
      </c>
      <c r="F2017" s="50">
        <v>0.28925453692457337</v>
      </c>
      <c r="G2017" s="51" t="str">
        <v>新美 2022/07/24 (日)
休日午後</v>
      </c>
    </row>
    <row r="2018" spans="1:7" ht="16.149999999999999" x14ac:dyDescent="0.7">
      <c r="A2018" s="49">
        <v>44730.370458819445</v>
      </c>
      <c r="B2018" s="50" t="s">
        <v>13</v>
      </c>
      <c r="C2018" s="50" t="s">
        <v>394</v>
      </c>
      <c r="D2018" s="50" t="s">
        <v>263</v>
      </c>
      <c r="E2018" s="50">
        <v>0</v>
      </c>
      <c r="F2018" s="50">
        <v>0.54219165307047046</v>
      </c>
      <c r="G2018" s="51" t="str">
        <v>新美 2022/07/24 (日)
休日午前</v>
      </c>
    </row>
    <row r="2019" spans="1:7" ht="16.149999999999999" x14ac:dyDescent="0.7">
      <c r="A2019" s="49">
        <v>44730.370458819445</v>
      </c>
      <c r="B2019" s="50" t="s">
        <v>13</v>
      </c>
      <c r="C2019" s="50" t="s">
        <v>395</v>
      </c>
      <c r="D2019" s="50" t="s">
        <v>259</v>
      </c>
      <c r="E2019" s="50">
        <v>0</v>
      </c>
      <c r="F2019" s="50">
        <v>0.23075938030328391</v>
      </c>
      <c r="G2019" s="51" t="str">
        <v>新美 2022/07/25 (月)
平日夜間</v>
      </c>
    </row>
    <row r="2020" spans="1:7" ht="16.149999999999999" x14ac:dyDescent="0.7">
      <c r="A2020" s="49">
        <v>44730.370458819445</v>
      </c>
      <c r="B2020" s="50" t="s">
        <v>13</v>
      </c>
      <c r="C2020" s="50" t="s">
        <v>396</v>
      </c>
      <c r="D2020" s="50" t="s">
        <v>259</v>
      </c>
      <c r="E2020" s="50">
        <v>0</v>
      </c>
      <c r="F2020" s="50">
        <v>0.67407248800672237</v>
      </c>
      <c r="G2020" s="51" t="str">
        <v>新美 2022/07/26 (火)
平日夜間</v>
      </c>
    </row>
    <row r="2021" spans="1:7" ht="16.149999999999999" x14ac:dyDescent="0.7">
      <c r="A2021" s="49">
        <v>44730.370458819445</v>
      </c>
      <c r="B2021" s="50" t="s">
        <v>13</v>
      </c>
      <c r="C2021" s="50" t="s">
        <v>397</v>
      </c>
      <c r="D2021" s="50" t="s">
        <v>259</v>
      </c>
      <c r="E2021" s="50">
        <v>-1</v>
      </c>
      <c r="F2021" s="50">
        <v>-0.86736849394332594</v>
      </c>
      <c r="G2021" s="51" t="str">
        <v>新美 2022/07/27 (水)
平日夜間</v>
      </c>
    </row>
    <row r="2022" spans="1:7" ht="16.149999999999999" x14ac:dyDescent="0.7">
      <c r="A2022" s="49">
        <v>44730.370458819445</v>
      </c>
      <c r="B2022" s="50" t="s">
        <v>13</v>
      </c>
      <c r="C2022" s="50" t="s">
        <v>398</v>
      </c>
      <c r="D2022" s="50" t="s">
        <v>259</v>
      </c>
      <c r="E2022" s="50">
        <v>0</v>
      </c>
      <c r="F2022" s="50">
        <v>0.83243541069915383</v>
      </c>
      <c r="G2022" s="51" t="str">
        <v>新美 2022/07/28 (木)
平日夜間</v>
      </c>
    </row>
    <row r="2023" spans="1:7" ht="16.149999999999999" x14ac:dyDescent="0.7">
      <c r="A2023" s="49">
        <v>44730.370458819445</v>
      </c>
      <c r="B2023" s="50" t="s">
        <v>13</v>
      </c>
      <c r="C2023" s="50" t="s">
        <v>399</v>
      </c>
      <c r="D2023" s="50" t="s">
        <v>259</v>
      </c>
      <c r="E2023" s="50">
        <v>0</v>
      </c>
      <c r="F2023" s="50">
        <v>0.20262477136761037</v>
      </c>
      <c r="G2023" s="51" t="str">
        <v>新美 2022/07/29 (金)
平日夜間</v>
      </c>
    </row>
    <row r="2024" spans="1:7" ht="16.149999999999999" x14ac:dyDescent="0.7">
      <c r="A2024" s="49">
        <v>44730.370458819445</v>
      </c>
      <c r="B2024" s="50" t="s">
        <v>13</v>
      </c>
      <c r="C2024" s="50" t="s">
        <v>400</v>
      </c>
      <c r="D2024" s="50" t="s">
        <v>261</v>
      </c>
      <c r="E2024" s="50">
        <v>0</v>
      </c>
      <c r="F2024" s="50">
        <v>0.40147311766755034</v>
      </c>
      <c r="G2024" s="51" t="str">
        <v>新美 2022/07/30 (土)
休日午後</v>
      </c>
    </row>
    <row r="2025" spans="1:7" ht="16.149999999999999" x14ac:dyDescent="0.7">
      <c r="A2025" s="49">
        <v>44730.370458819445</v>
      </c>
      <c r="B2025" s="50" t="s">
        <v>13</v>
      </c>
      <c r="C2025" s="50" t="s">
        <v>401</v>
      </c>
      <c r="D2025" s="50" t="s">
        <v>263</v>
      </c>
      <c r="E2025" s="50">
        <v>0</v>
      </c>
      <c r="F2025" s="50">
        <v>0.80598082047431774</v>
      </c>
      <c r="G2025" s="51" t="str">
        <v>新美 2022/07/30 (土)
休日午前</v>
      </c>
    </row>
    <row r="2026" spans="1:7" ht="16.149999999999999" x14ac:dyDescent="0.7">
      <c r="A2026" s="49">
        <v>44730.370458819445</v>
      </c>
      <c r="B2026" s="50" t="s">
        <v>13</v>
      </c>
      <c r="C2026" s="50" t="s">
        <v>402</v>
      </c>
      <c r="D2026" s="50" t="s">
        <v>261</v>
      </c>
      <c r="E2026" s="50">
        <v>0</v>
      </c>
      <c r="F2026" s="50">
        <v>0.37029802060177497</v>
      </c>
      <c r="G2026" s="51" t="str">
        <v>新美 2022/07/31 (日)
休日午後</v>
      </c>
    </row>
    <row r="2027" spans="1:7" ht="16.149999999999999" x14ac:dyDescent="0.7">
      <c r="A2027" s="49">
        <v>44730.370458819445</v>
      </c>
      <c r="B2027" s="50" t="s">
        <v>13</v>
      </c>
      <c r="C2027" s="50" t="s">
        <v>403</v>
      </c>
      <c r="D2027" s="50" t="s">
        <v>263</v>
      </c>
      <c r="E2027" s="50">
        <v>0</v>
      </c>
      <c r="F2027" s="50">
        <v>0.78192834590677718</v>
      </c>
      <c r="G2027" s="51" t="str">
        <v>新美 2022/07/31 (日)
休日午前</v>
      </c>
    </row>
    <row r="2028" spans="1:7" ht="16.149999999999999" x14ac:dyDescent="0.7">
      <c r="A2028" s="49">
        <v>44730.381510763887</v>
      </c>
      <c r="B2028" s="50" t="s">
        <v>2</v>
      </c>
      <c r="C2028" s="50" t="s">
        <v>364</v>
      </c>
      <c r="D2028" s="50" t="s">
        <v>259</v>
      </c>
      <c r="E2028" s="50">
        <v>-1</v>
      </c>
      <c r="F2028" s="50">
        <v>-0.68904263913430741</v>
      </c>
      <c r="G2028" s="51" t="str">
        <v>伊藤 2022/07/01 (金)
平日夜間</v>
      </c>
    </row>
    <row r="2029" spans="1:7" ht="16.149999999999999" x14ac:dyDescent="0.7">
      <c r="A2029" s="49">
        <v>44730.381510763887</v>
      </c>
      <c r="B2029" s="50" t="s">
        <v>2</v>
      </c>
      <c r="C2029" s="50" t="s">
        <v>365</v>
      </c>
      <c r="D2029" s="50" t="s">
        <v>261</v>
      </c>
      <c r="E2029" s="50">
        <v>-1</v>
      </c>
      <c r="F2029" s="50">
        <v>-0.48522927951682737</v>
      </c>
      <c r="G2029" s="51" t="str">
        <v>伊藤 2022/07/02 (土)
休日午後</v>
      </c>
    </row>
    <row r="2030" spans="1:7" ht="16.149999999999999" x14ac:dyDescent="0.7">
      <c r="A2030" s="49">
        <v>44730.381510763887</v>
      </c>
      <c r="B2030" s="50" t="s">
        <v>2</v>
      </c>
      <c r="C2030" s="50" t="s">
        <v>366</v>
      </c>
      <c r="D2030" s="50" t="s">
        <v>263</v>
      </c>
      <c r="E2030" s="50">
        <v>-1</v>
      </c>
      <c r="F2030" s="50">
        <v>-0.98086257532456544</v>
      </c>
      <c r="G2030" s="51" t="str">
        <v>伊藤 2022/07/02 (土)
休日午前</v>
      </c>
    </row>
    <row r="2031" spans="1:7" ht="16.149999999999999" x14ac:dyDescent="0.7">
      <c r="A2031" s="49">
        <v>44730.381510763887</v>
      </c>
      <c r="B2031" s="50" t="s">
        <v>2</v>
      </c>
      <c r="C2031" s="50" t="s">
        <v>367</v>
      </c>
      <c r="D2031" s="50" t="s">
        <v>261</v>
      </c>
      <c r="E2031" s="50">
        <v>0</v>
      </c>
      <c r="F2031" s="50">
        <v>0.27644164348617206</v>
      </c>
      <c r="G2031" s="51" t="str">
        <v>伊藤 2022/07/03 (日)
休日午後</v>
      </c>
    </row>
    <row r="2032" spans="1:7" ht="16.149999999999999" x14ac:dyDescent="0.7">
      <c r="A2032" s="49">
        <v>44730.381510763887</v>
      </c>
      <c r="B2032" s="50" t="s">
        <v>2</v>
      </c>
      <c r="C2032" s="50" t="s">
        <v>368</v>
      </c>
      <c r="D2032" s="50" t="s">
        <v>263</v>
      </c>
      <c r="E2032" s="50">
        <v>0</v>
      </c>
      <c r="F2032" s="50">
        <v>0.31274114136201958</v>
      </c>
      <c r="G2032" s="51" t="str">
        <v>伊藤 2022/07/03 (日)
休日午前</v>
      </c>
    </row>
    <row r="2033" spans="1:7" ht="16.149999999999999" x14ac:dyDescent="0.7">
      <c r="A2033" s="49">
        <v>44730.381510763887</v>
      </c>
      <c r="B2033" s="50" t="s">
        <v>2</v>
      </c>
      <c r="C2033" s="50" t="s">
        <v>369</v>
      </c>
      <c r="D2033" s="50" t="s">
        <v>259</v>
      </c>
      <c r="E2033" s="50">
        <v>0</v>
      </c>
      <c r="F2033" s="50">
        <v>0.12204719053508395</v>
      </c>
      <c r="G2033" s="51" t="str">
        <v>伊藤 2022/07/04 (月)
平日夜間</v>
      </c>
    </row>
    <row r="2034" spans="1:7" ht="16.149999999999999" x14ac:dyDescent="0.7">
      <c r="A2034" s="49">
        <v>44730.381510763887</v>
      </c>
      <c r="B2034" s="50" t="s">
        <v>2</v>
      </c>
      <c r="C2034" s="50" t="s">
        <v>370</v>
      </c>
      <c r="D2034" s="50" t="s">
        <v>259</v>
      </c>
      <c r="E2034" s="50">
        <v>0</v>
      </c>
      <c r="F2034" s="50">
        <v>0.5885288488705267</v>
      </c>
      <c r="G2034" s="51" t="str">
        <v>伊藤 2022/07/05 (火)
平日夜間</v>
      </c>
    </row>
    <row r="2035" spans="1:7" ht="16.149999999999999" x14ac:dyDescent="0.7">
      <c r="A2035" s="49">
        <v>44730.381510763887</v>
      </c>
      <c r="B2035" s="50" t="s">
        <v>2</v>
      </c>
      <c r="C2035" s="50" t="s">
        <v>371</v>
      </c>
      <c r="D2035" s="50" t="s">
        <v>259</v>
      </c>
      <c r="E2035" s="50">
        <v>0</v>
      </c>
      <c r="F2035" s="50">
        <v>0.73697950934975887</v>
      </c>
      <c r="G2035" s="51" t="str">
        <v>伊藤 2022/07/06 (水)
平日夜間</v>
      </c>
    </row>
    <row r="2036" spans="1:7" ht="16.149999999999999" x14ac:dyDescent="0.7">
      <c r="A2036" s="49">
        <v>44730.381510763887</v>
      </c>
      <c r="B2036" s="50" t="s">
        <v>2</v>
      </c>
      <c r="C2036" s="50" t="s">
        <v>372</v>
      </c>
      <c r="D2036" s="50" t="s">
        <v>259</v>
      </c>
      <c r="E2036" s="50">
        <v>0</v>
      </c>
      <c r="F2036" s="50">
        <v>0.63449377213937752</v>
      </c>
      <c r="G2036" s="51" t="str">
        <v>伊藤 2022/07/07 (木)
平日夜間</v>
      </c>
    </row>
    <row r="2037" spans="1:7" ht="16.149999999999999" x14ac:dyDescent="0.7">
      <c r="A2037" s="49">
        <v>44730.381510763887</v>
      </c>
      <c r="B2037" s="50" t="s">
        <v>2</v>
      </c>
      <c r="C2037" s="50" t="s">
        <v>373</v>
      </c>
      <c r="D2037" s="50" t="s">
        <v>259</v>
      </c>
      <c r="E2037" s="50">
        <v>-1</v>
      </c>
      <c r="F2037" s="50">
        <v>-0.40434103891030859</v>
      </c>
      <c r="G2037" s="51" t="str">
        <v>伊藤 2022/07/08 (金)
平日夜間</v>
      </c>
    </row>
    <row r="2038" spans="1:7" ht="16.149999999999999" x14ac:dyDescent="0.7">
      <c r="A2038" s="49">
        <v>44730.381510763887</v>
      </c>
      <c r="B2038" s="50" t="s">
        <v>2</v>
      </c>
      <c r="C2038" s="50" t="s">
        <v>374</v>
      </c>
      <c r="D2038" s="50" t="s">
        <v>261</v>
      </c>
      <c r="E2038" s="50">
        <v>-1</v>
      </c>
      <c r="F2038" s="50">
        <v>-9.2256622248815034E-2</v>
      </c>
      <c r="G2038" s="51" t="str">
        <v>伊藤 2022/07/09 (土)
休日午後</v>
      </c>
    </row>
    <row r="2039" spans="1:7" ht="16.149999999999999" x14ac:dyDescent="0.7">
      <c r="A2039" s="49">
        <v>44730.381510763887</v>
      </c>
      <c r="B2039" s="50" t="s">
        <v>2</v>
      </c>
      <c r="C2039" s="50" t="s">
        <v>375</v>
      </c>
      <c r="D2039" s="50" t="s">
        <v>263</v>
      </c>
      <c r="E2039" s="50">
        <v>-1</v>
      </c>
      <c r="F2039" s="50">
        <v>-0.82688020623256553</v>
      </c>
      <c r="G2039" s="51" t="str">
        <v>伊藤 2022/07/09 (土)
休日午前</v>
      </c>
    </row>
    <row r="2040" spans="1:7" ht="16.149999999999999" x14ac:dyDescent="0.7">
      <c r="A2040" s="49">
        <v>44730.381510763887</v>
      </c>
      <c r="B2040" s="50" t="s">
        <v>2</v>
      </c>
      <c r="C2040" s="50" t="s">
        <v>376</v>
      </c>
      <c r="D2040" s="50" t="s">
        <v>261</v>
      </c>
      <c r="E2040" s="50">
        <v>-1</v>
      </c>
      <c r="F2040" s="50">
        <v>-0.3556642871986897</v>
      </c>
      <c r="G2040" s="51" t="str">
        <v>伊藤 2022/07/10 (日)
休日午後</v>
      </c>
    </row>
    <row r="2041" spans="1:7" ht="16.149999999999999" x14ac:dyDescent="0.7">
      <c r="A2041" s="49">
        <v>44730.381510763887</v>
      </c>
      <c r="B2041" s="50" t="s">
        <v>2</v>
      </c>
      <c r="C2041" s="50" t="s">
        <v>377</v>
      </c>
      <c r="D2041" s="50" t="s">
        <v>263</v>
      </c>
      <c r="E2041" s="50">
        <v>-1</v>
      </c>
      <c r="F2041" s="50">
        <v>-1.7535656830881541E-2</v>
      </c>
      <c r="G2041" s="51" t="str">
        <v>伊藤 2022/07/10 (日)
休日午前</v>
      </c>
    </row>
    <row r="2042" spans="1:7" ht="16.149999999999999" x14ac:dyDescent="0.7">
      <c r="A2042" s="49">
        <v>44730.381510763887</v>
      </c>
      <c r="B2042" s="50" t="s">
        <v>2</v>
      </c>
      <c r="C2042" s="50" t="s">
        <v>378</v>
      </c>
      <c r="D2042" s="50" t="s">
        <v>259</v>
      </c>
      <c r="E2042" s="50">
        <v>0</v>
      </c>
      <c r="F2042" s="50">
        <v>0.67814814435193238</v>
      </c>
      <c r="G2042" s="51" t="str">
        <v>伊藤 2022/07/11 (月)
平日夜間</v>
      </c>
    </row>
    <row r="2043" spans="1:7" ht="16.149999999999999" x14ac:dyDescent="0.7">
      <c r="A2043" s="49">
        <v>44730.381510763887</v>
      </c>
      <c r="B2043" s="50" t="s">
        <v>2</v>
      </c>
      <c r="C2043" s="50" t="s">
        <v>379</v>
      </c>
      <c r="D2043" s="50" t="s">
        <v>259</v>
      </c>
      <c r="E2043" s="50">
        <v>0</v>
      </c>
      <c r="F2043" s="50">
        <v>0.80294355978096799</v>
      </c>
      <c r="G2043" s="51" t="str">
        <v>伊藤 2022/07/12 (火)
平日夜間</v>
      </c>
    </row>
    <row r="2044" spans="1:7" ht="16.149999999999999" x14ac:dyDescent="0.7">
      <c r="A2044" s="49">
        <v>44730.381510763887</v>
      </c>
      <c r="B2044" s="50" t="s">
        <v>2</v>
      </c>
      <c r="C2044" s="50" t="s">
        <v>380</v>
      </c>
      <c r="D2044" s="50" t="s">
        <v>259</v>
      </c>
      <c r="E2044" s="50">
        <v>0</v>
      </c>
      <c r="F2044" s="50">
        <v>0.90885049511590843</v>
      </c>
      <c r="G2044" s="51" t="str">
        <v>伊藤 2022/07/13 (水)
平日夜間</v>
      </c>
    </row>
    <row r="2045" spans="1:7" ht="16.149999999999999" x14ac:dyDescent="0.7">
      <c r="A2045" s="49">
        <v>44730.381510763887</v>
      </c>
      <c r="B2045" s="50" t="s">
        <v>2</v>
      </c>
      <c r="C2045" s="50" t="s">
        <v>381</v>
      </c>
      <c r="D2045" s="50" t="s">
        <v>259</v>
      </c>
      <c r="E2045" s="50">
        <v>0</v>
      </c>
      <c r="F2045" s="50">
        <v>0.68418485392151585</v>
      </c>
      <c r="G2045" s="51" t="str">
        <v>伊藤 2022/07/14 (木)
平日夜間</v>
      </c>
    </row>
    <row r="2046" spans="1:7" ht="16.149999999999999" x14ac:dyDescent="0.7">
      <c r="A2046" s="49">
        <v>44730.381510763887</v>
      </c>
      <c r="B2046" s="50" t="s">
        <v>2</v>
      </c>
      <c r="C2046" s="50" t="s">
        <v>382</v>
      </c>
      <c r="D2046" s="50" t="s">
        <v>259</v>
      </c>
      <c r="E2046" s="50">
        <v>-1</v>
      </c>
      <c r="F2046" s="50">
        <v>-0.70371460340231851</v>
      </c>
      <c r="G2046" s="51" t="str">
        <v>伊藤 2022/07/15 (金)
平日夜間</v>
      </c>
    </row>
    <row r="2047" spans="1:7" ht="16.149999999999999" x14ac:dyDescent="0.7">
      <c r="A2047" s="49">
        <v>44730.381510763887</v>
      </c>
      <c r="B2047" s="50" t="s">
        <v>2</v>
      </c>
      <c r="C2047" s="50" t="s">
        <v>383</v>
      </c>
      <c r="D2047" s="50" t="s">
        <v>261</v>
      </c>
      <c r="E2047" s="50">
        <v>-1</v>
      </c>
      <c r="F2047" s="50">
        <v>-0.18962296408612667</v>
      </c>
      <c r="G2047" s="51" t="str">
        <v>伊藤 2022/07/16 (土)
休日午後</v>
      </c>
    </row>
    <row r="2048" spans="1:7" ht="16.149999999999999" x14ac:dyDescent="0.7">
      <c r="A2048" s="49">
        <v>44730.381510763887</v>
      </c>
      <c r="B2048" s="50" t="s">
        <v>2</v>
      </c>
      <c r="C2048" s="50" t="s">
        <v>384</v>
      </c>
      <c r="D2048" s="50" t="s">
        <v>263</v>
      </c>
      <c r="E2048" s="50">
        <v>-1</v>
      </c>
      <c r="F2048" s="50">
        <v>-0.19538543698459998</v>
      </c>
      <c r="G2048" s="51" t="str">
        <v>伊藤 2022/07/16 (土)
休日午前</v>
      </c>
    </row>
    <row r="2049" spans="1:7" ht="16.149999999999999" x14ac:dyDescent="0.7">
      <c r="A2049" s="49">
        <v>44730.381510763887</v>
      </c>
      <c r="B2049" s="50" t="s">
        <v>2</v>
      </c>
      <c r="C2049" s="50" t="s">
        <v>385</v>
      </c>
      <c r="D2049" s="50" t="s">
        <v>261</v>
      </c>
      <c r="E2049" s="50">
        <v>0</v>
      </c>
      <c r="F2049" s="50">
        <v>0.48859899780616667</v>
      </c>
      <c r="G2049" s="51" t="str">
        <v>伊藤 2022/07/17 (日)
休日午後</v>
      </c>
    </row>
    <row r="2050" spans="1:7" ht="16.149999999999999" x14ac:dyDescent="0.7">
      <c r="A2050" s="49">
        <v>44730.381510763887</v>
      </c>
      <c r="B2050" s="50" t="s">
        <v>2</v>
      </c>
      <c r="C2050" s="50" t="s">
        <v>386</v>
      </c>
      <c r="D2050" s="50" t="s">
        <v>263</v>
      </c>
      <c r="E2050" s="50">
        <v>0</v>
      </c>
      <c r="F2050" s="50">
        <v>0.76696417054361787</v>
      </c>
      <c r="G2050" s="51" t="str">
        <v>伊藤 2022/07/17 (日)
休日午前</v>
      </c>
    </row>
    <row r="2051" spans="1:7" ht="16.149999999999999" x14ac:dyDescent="0.7">
      <c r="A2051" s="49">
        <v>44730.381510763887</v>
      </c>
      <c r="B2051" s="50" t="s">
        <v>2</v>
      </c>
      <c r="C2051" s="50" t="s">
        <v>404</v>
      </c>
      <c r="D2051" s="50" t="s">
        <v>261</v>
      </c>
      <c r="E2051" s="50">
        <v>2</v>
      </c>
      <c r="F2051" s="50">
        <v>2.1736075857602151</v>
      </c>
      <c r="G2051" s="51" t="str">
        <v>伊藤 2022/07/18 (月)
休日午後</v>
      </c>
    </row>
    <row r="2052" spans="1:7" ht="16.149999999999999" x14ac:dyDescent="0.7">
      <c r="A2052" s="49">
        <v>44730.381510763887</v>
      </c>
      <c r="B2052" s="50" t="s">
        <v>2</v>
      </c>
      <c r="C2052" s="50" t="s">
        <v>405</v>
      </c>
      <c r="D2052" s="50" t="s">
        <v>263</v>
      </c>
      <c r="E2052" s="50">
        <v>2</v>
      </c>
      <c r="F2052" s="50">
        <v>2.6677788587708449</v>
      </c>
      <c r="G2052" s="51" t="str">
        <v>伊藤 2022/07/18 (月)
休日午前</v>
      </c>
    </row>
    <row r="2053" spans="1:7" ht="16.149999999999999" x14ac:dyDescent="0.7">
      <c r="A2053" s="49">
        <v>44730.381510763887</v>
      </c>
      <c r="B2053" s="50" t="s">
        <v>2</v>
      </c>
      <c r="C2053" s="50" t="s">
        <v>387</v>
      </c>
      <c r="D2053" s="50" t="s">
        <v>259</v>
      </c>
      <c r="E2053" s="50">
        <v>0</v>
      </c>
      <c r="F2053" s="50">
        <v>0.70360841723942946</v>
      </c>
      <c r="G2053" s="51" t="str">
        <v>伊藤 2022/07/19 (火)
平日夜間</v>
      </c>
    </row>
    <row r="2054" spans="1:7" ht="16.149999999999999" x14ac:dyDescent="0.7">
      <c r="A2054" s="49">
        <v>44730.381510763887</v>
      </c>
      <c r="B2054" s="50" t="s">
        <v>2</v>
      </c>
      <c r="C2054" s="50" t="s">
        <v>388</v>
      </c>
      <c r="D2054" s="50" t="s">
        <v>259</v>
      </c>
      <c r="E2054" s="50">
        <v>0</v>
      </c>
      <c r="F2054" s="50">
        <v>0.70205559387889482</v>
      </c>
      <c r="G2054" s="51" t="str">
        <v>伊藤 2022/07/20 (水)
平日夜間</v>
      </c>
    </row>
    <row r="2055" spans="1:7" ht="16.149999999999999" x14ac:dyDescent="0.7">
      <c r="A2055" s="49">
        <v>44730.381510763887</v>
      </c>
      <c r="B2055" s="50" t="s">
        <v>2</v>
      </c>
      <c r="C2055" s="50" t="s">
        <v>389</v>
      </c>
      <c r="D2055" s="50" t="s">
        <v>259</v>
      </c>
      <c r="E2055" s="50">
        <v>0</v>
      </c>
      <c r="F2055" s="50">
        <v>0.49695032491289637</v>
      </c>
      <c r="G2055" s="51" t="str">
        <v>伊藤 2022/07/21 (木)
平日夜間</v>
      </c>
    </row>
    <row r="2056" spans="1:7" ht="16.149999999999999" x14ac:dyDescent="0.7">
      <c r="A2056" s="49">
        <v>44730.381510763887</v>
      </c>
      <c r="B2056" s="50" t="s">
        <v>2</v>
      </c>
      <c r="C2056" s="50" t="s">
        <v>390</v>
      </c>
      <c r="D2056" s="50" t="s">
        <v>259</v>
      </c>
      <c r="E2056" s="50">
        <v>-1</v>
      </c>
      <c r="F2056" s="50">
        <v>-0.12512671041238232</v>
      </c>
      <c r="G2056" s="51" t="str">
        <v>伊藤 2022/07/22 (金)
平日夜間</v>
      </c>
    </row>
    <row r="2057" spans="1:7" ht="16.149999999999999" x14ac:dyDescent="0.7">
      <c r="A2057" s="49">
        <v>44730.381510763887</v>
      </c>
      <c r="B2057" s="50" t="s">
        <v>2</v>
      </c>
      <c r="C2057" s="50" t="s">
        <v>391</v>
      </c>
      <c r="D2057" s="50" t="s">
        <v>261</v>
      </c>
      <c r="E2057" s="50">
        <v>-1</v>
      </c>
      <c r="F2057" s="50">
        <v>-0.85869298003918071</v>
      </c>
      <c r="G2057" s="51" t="str">
        <v>伊藤 2022/07/23 (土)
休日午後</v>
      </c>
    </row>
    <row r="2058" spans="1:7" ht="16.149999999999999" x14ac:dyDescent="0.7">
      <c r="A2058" s="49">
        <v>44730.381510763887</v>
      </c>
      <c r="B2058" s="50" t="s">
        <v>2</v>
      </c>
      <c r="C2058" s="50" t="s">
        <v>392</v>
      </c>
      <c r="D2058" s="50" t="s">
        <v>263</v>
      </c>
      <c r="E2058" s="50">
        <v>-1</v>
      </c>
      <c r="F2058" s="50">
        <v>-0.21317012159410131</v>
      </c>
      <c r="G2058" s="51" t="str">
        <v>伊藤 2022/07/23 (土)
休日午前</v>
      </c>
    </row>
    <row r="2059" spans="1:7" ht="16.149999999999999" x14ac:dyDescent="0.7">
      <c r="A2059" s="49">
        <v>44730.381510763887</v>
      </c>
      <c r="B2059" s="50" t="s">
        <v>2</v>
      </c>
      <c r="C2059" s="50" t="s">
        <v>393</v>
      </c>
      <c r="D2059" s="50" t="s">
        <v>261</v>
      </c>
      <c r="E2059" s="50">
        <v>0</v>
      </c>
      <c r="F2059" s="50">
        <v>0.20773184050185289</v>
      </c>
      <c r="G2059" s="51" t="str">
        <v>伊藤 2022/07/24 (日)
休日午後</v>
      </c>
    </row>
    <row r="2060" spans="1:7" ht="16.149999999999999" x14ac:dyDescent="0.7">
      <c r="A2060" s="49">
        <v>44730.381510763887</v>
      </c>
      <c r="B2060" s="50" t="s">
        <v>2</v>
      </c>
      <c r="C2060" s="50" t="s">
        <v>394</v>
      </c>
      <c r="D2060" s="50" t="s">
        <v>263</v>
      </c>
      <c r="E2060" s="50">
        <v>0</v>
      </c>
      <c r="F2060" s="50">
        <v>0.92048168503579619</v>
      </c>
      <c r="G2060" s="51" t="str">
        <v>伊藤 2022/07/24 (日)
休日午前</v>
      </c>
    </row>
    <row r="2061" spans="1:7" ht="16.149999999999999" x14ac:dyDescent="0.7">
      <c r="A2061" s="49">
        <v>44730.381510763887</v>
      </c>
      <c r="B2061" s="50" t="s">
        <v>2</v>
      </c>
      <c r="C2061" s="50" t="s">
        <v>395</v>
      </c>
      <c r="D2061" s="50" t="s">
        <v>259</v>
      </c>
      <c r="E2061" s="50">
        <v>0</v>
      </c>
      <c r="F2061" s="50">
        <v>4.6160797282987387E-2</v>
      </c>
      <c r="G2061" s="51" t="str">
        <v>伊藤 2022/07/25 (月)
平日夜間</v>
      </c>
    </row>
    <row r="2062" spans="1:7" ht="16.149999999999999" x14ac:dyDescent="0.7">
      <c r="A2062" s="49">
        <v>44730.381510763887</v>
      </c>
      <c r="B2062" s="50" t="s">
        <v>2</v>
      </c>
      <c r="C2062" s="50" t="s">
        <v>396</v>
      </c>
      <c r="D2062" s="50" t="s">
        <v>259</v>
      </c>
      <c r="E2062" s="50">
        <v>0</v>
      </c>
      <c r="F2062" s="50">
        <v>0.39092461528961708</v>
      </c>
      <c r="G2062" s="51" t="str">
        <v>伊藤 2022/07/26 (火)
平日夜間</v>
      </c>
    </row>
    <row r="2063" spans="1:7" ht="16.149999999999999" x14ac:dyDescent="0.7">
      <c r="A2063" s="49">
        <v>44730.381510763887</v>
      </c>
      <c r="B2063" s="50" t="s">
        <v>2</v>
      </c>
      <c r="C2063" s="50" t="s">
        <v>397</v>
      </c>
      <c r="D2063" s="50" t="s">
        <v>259</v>
      </c>
      <c r="E2063" s="50">
        <v>0</v>
      </c>
      <c r="F2063" s="50">
        <v>0.58840632130783677</v>
      </c>
      <c r="G2063" s="51" t="str">
        <v>伊藤 2022/07/27 (水)
平日夜間</v>
      </c>
    </row>
    <row r="2064" spans="1:7" ht="16.149999999999999" x14ac:dyDescent="0.7">
      <c r="A2064" s="49">
        <v>44730.381510763887</v>
      </c>
      <c r="B2064" s="50" t="s">
        <v>2</v>
      </c>
      <c r="C2064" s="50" t="s">
        <v>398</v>
      </c>
      <c r="D2064" s="50" t="s">
        <v>259</v>
      </c>
      <c r="E2064" s="50">
        <v>0</v>
      </c>
      <c r="F2064" s="50">
        <v>0.40202982181197244</v>
      </c>
      <c r="G2064" s="51" t="str">
        <v>伊藤 2022/07/28 (木)
平日夜間</v>
      </c>
    </row>
    <row r="2065" spans="1:7" ht="16.149999999999999" x14ac:dyDescent="0.7">
      <c r="A2065" s="49">
        <v>44730.381510763887</v>
      </c>
      <c r="B2065" s="50" t="s">
        <v>2</v>
      </c>
      <c r="C2065" s="50" t="s">
        <v>399</v>
      </c>
      <c r="D2065" s="50" t="s">
        <v>259</v>
      </c>
      <c r="E2065" s="50">
        <v>-1</v>
      </c>
      <c r="F2065" s="50">
        <v>-0.47322696886790516</v>
      </c>
      <c r="G2065" s="51" t="str">
        <v>伊藤 2022/07/29 (金)
平日夜間</v>
      </c>
    </row>
    <row r="2066" spans="1:7" ht="16.149999999999999" x14ac:dyDescent="0.7">
      <c r="A2066" s="49">
        <v>44730.381510763887</v>
      </c>
      <c r="B2066" s="50" t="s">
        <v>2</v>
      </c>
      <c r="C2066" s="50" t="s">
        <v>400</v>
      </c>
      <c r="D2066" s="50" t="s">
        <v>261</v>
      </c>
      <c r="E2066" s="50">
        <v>-1</v>
      </c>
      <c r="F2066" s="50">
        <v>-0.96417521690846231</v>
      </c>
      <c r="G2066" s="51" t="str">
        <v>伊藤 2022/07/30 (土)
休日午後</v>
      </c>
    </row>
    <row r="2067" spans="1:7" ht="16.149999999999999" x14ac:dyDescent="0.7">
      <c r="A2067" s="49">
        <v>44730.381510763887</v>
      </c>
      <c r="B2067" s="50" t="s">
        <v>2</v>
      </c>
      <c r="C2067" s="50" t="s">
        <v>401</v>
      </c>
      <c r="D2067" s="50" t="s">
        <v>263</v>
      </c>
      <c r="E2067" s="50">
        <v>-1</v>
      </c>
      <c r="F2067" s="50">
        <v>-0.49974711233318758</v>
      </c>
      <c r="G2067" s="51" t="str">
        <v>伊藤 2022/07/30 (土)
休日午前</v>
      </c>
    </row>
    <row r="2068" spans="1:7" ht="16.149999999999999" x14ac:dyDescent="0.7">
      <c r="A2068" s="49">
        <v>44730.381510763887</v>
      </c>
      <c r="B2068" s="50" t="s">
        <v>2</v>
      </c>
      <c r="C2068" s="50" t="s">
        <v>402</v>
      </c>
      <c r="D2068" s="50" t="s">
        <v>261</v>
      </c>
      <c r="E2068" s="50">
        <v>2</v>
      </c>
      <c r="F2068" s="50">
        <v>2.7506745222185609</v>
      </c>
      <c r="G2068" s="51" t="str">
        <v>伊藤 2022/07/31 (日)
休日午後</v>
      </c>
    </row>
    <row r="2069" spans="1:7" ht="16.149999999999999" x14ac:dyDescent="0.7">
      <c r="A2069" s="49">
        <v>44730.381510763887</v>
      </c>
      <c r="B2069" s="50" t="s">
        <v>2</v>
      </c>
      <c r="C2069" s="50" t="s">
        <v>403</v>
      </c>
      <c r="D2069" s="50" t="s">
        <v>263</v>
      </c>
      <c r="E2069" s="50">
        <v>2</v>
      </c>
      <c r="F2069" s="50">
        <v>2.5172253909184148</v>
      </c>
      <c r="G2069" s="51" t="str">
        <v>伊藤 2022/07/31 (日)
休日午前</v>
      </c>
    </row>
    <row r="2070" spans="1:7" ht="16.149999999999999" x14ac:dyDescent="0.7">
      <c r="A2070" s="49">
        <v>44730.423283842596</v>
      </c>
      <c r="B2070" s="50" t="s">
        <v>11</v>
      </c>
      <c r="C2070" s="50" t="s">
        <v>364</v>
      </c>
      <c r="D2070" s="50" t="s">
        <v>259</v>
      </c>
      <c r="E2070" s="50">
        <v>-1</v>
      </c>
      <c r="F2070" s="50">
        <v>-0.1253739996098564</v>
      </c>
      <c r="G2070" s="51" t="str">
        <v>宮坂 2022/07/01 (金)
平日夜間</v>
      </c>
    </row>
    <row r="2071" spans="1:7" ht="16.149999999999999" x14ac:dyDescent="0.7">
      <c r="A2071" s="49">
        <v>44730.423283842596</v>
      </c>
      <c r="B2071" s="50" t="s">
        <v>11</v>
      </c>
      <c r="C2071" s="50" t="s">
        <v>365</v>
      </c>
      <c r="D2071" s="50" t="s">
        <v>261</v>
      </c>
      <c r="E2071" s="50">
        <v>0</v>
      </c>
      <c r="F2071" s="50">
        <v>0.48987328061820978</v>
      </c>
      <c r="G2071" s="51" t="str">
        <v>宮坂 2022/07/02 (土)
休日午後</v>
      </c>
    </row>
    <row r="2072" spans="1:7" ht="16.149999999999999" x14ac:dyDescent="0.7">
      <c r="A2072" s="49">
        <v>44730.423283842596</v>
      </c>
      <c r="B2072" s="50" t="s">
        <v>11</v>
      </c>
      <c r="C2072" s="50" t="s">
        <v>366</v>
      </c>
      <c r="D2072" s="50" t="s">
        <v>263</v>
      </c>
      <c r="E2072" s="50">
        <v>0</v>
      </c>
      <c r="F2072" s="50">
        <v>0.28600098798936968</v>
      </c>
      <c r="G2072" s="51" t="str">
        <v>宮坂 2022/07/02 (土)
休日午前</v>
      </c>
    </row>
    <row r="2073" spans="1:7" ht="16.149999999999999" x14ac:dyDescent="0.7">
      <c r="A2073" s="49">
        <v>44730.423283842596</v>
      </c>
      <c r="B2073" s="50" t="s">
        <v>11</v>
      </c>
      <c r="C2073" s="50" t="s">
        <v>367</v>
      </c>
      <c r="D2073" s="50" t="s">
        <v>261</v>
      </c>
      <c r="E2073" s="50">
        <v>0</v>
      </c>
      <c r="F2073" s="50">
        <v>0.5959152172071942</v>
      </c>
      <c r="G2073" s="51" t="str">
        <v>宮坂 2022/07/03 (日)
休日午後</v>
      </c>
    </row>
    <row r="2074" spans="1:7" ht="16.149999999999999" x14ac:dyDescent="0.7">
      <c r="A2074" s="49">
        <v>44730.423283842596</v>
      </c>
      <c r="B2074" s="50" t="s">
        <v>11</v>
      </c>
      <c r="C2074" s="50" t="s">
        <v>368</v>
      </c>
      <c r="D2074" s="50" t="s">
        <v>263</v>
      </c>
      <c r="E2074" s="50">
        <v>0</v>
      </c>
      <c r="F2074" s="50">
        <v>0.8024611441378815</v>
      </c>
      <c r="G2074" s="51" t="str">
        <v>宮坂 2022/07/03 (日)
休日午前</v>
      </c>
    </row>
    <row r="2075" spans="1:7" ht="16.149999999999999" x14ac:dyDescent="0.7">
      <c r="A2075" s="49">
        <v>44730.423283842596</v>
      </c>
      <c r="B2075" s="50" t="s">
        <v>11</v>
      </c>
      <c r="C2075" s="50" t="s">
        <v>369</v>
      </c>
      <c r="D2075" s="50" t="s">
        <v>259</v>
      </c>
      <c r="E2075" s="50">
        <v>-1</v>
      </c>
      <c r="F2075" s="50">
        <v>-0.90617736526637382</v>
      </c>
      <c r="G2075" s="51" t="str">
        <v>宮坂 2022/07/04 (月)
平日夜間</v>
      </c>
    </row>
    <row r="2076" spans="1:7" ht="16.149999999999999" x14ac:dyDescent="0.7">
      <c r="A2076" s="49">
        <v>44730.423283842596</v>
      </c>
      <c r="B2076" s="50" t="s">
        <v>11</v>
      </c>
      <c r="C2076" s="50" t="s">
        <v>370</v>
      </c>
      <c r="D2076" s="50" t="s">
        <v>259</v>
      </c>
      <c r="E2076" s="50">
        <v>0</v>
      </c>
      <c r="F2076" s="50">
        <v>0.21002551415108339</v>
      </c>
      <c r="G2076" s="51" t="str">
        <v>宮坂 2022/07/05 (火)
平日夜間</v>
      </c>
    </row>
    <row r="2077" spans="1:7" ht="16.149999999999999" x14ac:dyDescent="0.7">
      <c r="A2077" s="49">
        <v>44730.423283842596</v>
      </c>
      <c r="B2077" s="50" t="s">
        <v>11</v>
      </c>
      <c r="C2077" s="50" t="s">
        <v>371</v>
      </c>
      <c r="D2077" s="50" t="s">
        <v>259</v>
      </c>
      <c r="E2077" s="50">
        <v>0</v>
      </c>
      <c r="F2077" s="50">
        <v>0.60063799657568806</v>
      </c>
      <c r="G2077" s="51" t="str">
        <v>宮坂 2022/07/06 (水)
平日夜間</v>
      </c>
    </row>
    <row r="2078" spans="1:7" ht="16.149999999999999" x14ac:dyDescent="0.7">
      <c r="A2078" s="49">
        <v>44730.423283842596</v>
      </c>
      <c r="B2078" s="50" t="s">
        <v>11</v>
      </c>
      <c r="C2078" s="50" t="s">
        <v>372</v>
      </c>
      <c r="D2078" s="50" t="s">
        <v>259</v>
      </c>
      <c r="E2078" s="50">
        <v>0</v>
      </c>
      <c r="F2078" s="50">
        <v>6.0748653272166386E-2</v>
      </c>
      <c r="G2078" s="51" t="str">
        <v>宮坂 2022/07/07 (木)
平日夜間</v>
      </c>
    </row>
    <row r="2079" spans="1:7" ht="16.149999999999999" x14ac:dyDescent="0.7">
      <c r="A2079" s="49">
        <v>44730.423283842596</v>
      </c>
      <c r="B2079" s="50" t="s">
        <v>11</v>
      </c>
      <c r="C2079" s="50" t="s">
        <v>373</v>
      </c>
      <c r="D2079" s="50" t="s">
        <v>259</v>
      </c>
      <c r="E2079" s="50">
        <v>1</v>
      </c>
      <c r="F2079" s="50">
        <v>1.4467929472141261</v>
      </c>
      <c r="G2079" s="51" t="str">
        <v>宮坂 2022/07/08 (金)
平日夜間</v>
      </c>
    </row>
    <row r="2080" spans="1:7" ht="16.149999999999999" x14ac:dyDescent="0.7">
      <c r="A2080" s="49">
        <v>44730.423283842596</v>
      </c>
      <c r="B2080" s="50" t="s">
        <v>11</v>
      </c>
      <c r="C2080" s="50" t="s">
        <v>374</v>
      </c>
      <c r="D2080" s="50" t="s">
        <v>261</v>
      </c>
      <c r="E2080" s="50">
        <v>0</v>
      </c>
      <c r="F2080" s="50">
        <v>0.6391022996825606</v>
      </c>
      <c r="G2080" s="51" t="str">
        <v>宮坂 2022/07/09 (土)
休日午後</v>
      </c>
    </row>
    <row r="2081" spans="1:7" ht="16.149999999999999" x14ac:dyDescent="0.7">
      <c r="A2081" s="49">
        <v>44730.423283842596</v>
      </c>
      <c r="B2081" s="50" t="s">
        <v>11</v>
      </c>
      <c r="C2081" s="50" t="s">
        <v>375</v>
      </c>
      <c r="D2081" s="50" t="s">
        <v>263</v>
      </c>
      <c r="E2081" s="50">
        <v>0</v>
      </c>
      <c r="F2081" s="50">
        <v>0.46891165054440198</v>
      </c>
      <c r="G2081" s="51" t="str">
        <v>宮坂 2022/07/09 (土)
休日午前</v>
      </c>
    </row>
    <row r="2082" spans="1:7" ht="16.149999999999999" x14ac:dyDescent="0.7">
      <c r="A2082" s="49">
        <v>44730.423283842596</v>
      </c>
      <c r="B2082" s="50" t="s">
        <v>11</v>
      </c>
      <c r="C2082" s="50" t="s">
        <v>376</v>
      </c>
      <c r="D2082" s="50" t="s">
        <v>261</v>
      </c>
      <c r="E2082" s="50">
        <v>0</v>
      </c>
      <c r="F2082" s="50">
        <v>0.37049134835223363</v>
      </c>
      <c r="G2082" s="51" t="str">
        <v>宮坂 2022/07/10 (日)
休日午後</v>
      </c>
    </row>
    <row r="2083" spans="1:7" ht="16.149999999999999" x14ac:dyDescent="0.7">
      <c r="A2083" s="49">
        <v>44730.423283842596</v>
      </c>
      <c r="B2083" s="50" t="s">
        <v>11</v>
      </c>
      <c r="C2083" s="50" t="s">
        <v>377</v>
      </c>
      <c r="D2083" s="50" t="s">
        <v>263</v>
      </c>
      <c r="E2083" s="50">
        <v>0</v>
      </c>
      <c r="F2083" s="50">
        <v>0.3009509549553937</v>
      </c>
      <c r="G2083" s="51" t="str">
        <v>宮坂 2022/07/10 (日)
休日午前</v>
      </c>
    </row>
    <row r="2084" spans="1:7" ht="16.149999999999999" x14ac:dyDescent="0.7">
      <c r="A2084" s="49">
        <v>44730.423283842596</v>
      </c>
      <c r="B2084" s="50" t="s">
        <v>11</v>
      </c>
      <c r="C2084" s="50" t="s">
        <v>378</v>
      </c>
      <c r="D2084" s="50" t="s">
        <v>259</v>
      </c>
      <c r="E2084" s="50">
        <v>0</v>
      </c>
      <c r="F2084" s="50">
        <v>5.9900773933318385E-2</v>
      </c>
      <c r="G2084" s="51" t="str">
        <v>宮坂 2022/07/11 (月)
平日夜間</v>
      </c>
    </row>
    <row r="2085" spans="1:7" ht="16.149999999999999" x14ac:dyDescent="0.7">
      <c r="A2085" s="49">
        <v>44730.423283842596</v>
      </c>
      <c r="B2085" s="50" t="s">
        <v>11</v>
      </c>
      <c r="C2085" s="50" t="s">
        <v>379</v>
      </c>
      <c r="D2085" s="50" t="s">
        <v>259</v>
      </c>
      <c r="E2085" s="50">
        <v>0</v>
      </c>
      <c r="F2085" s="50">
        <v>0.3859246015907869</v>
      </c>
      <c r="G2085" s="51" t="str">
        <v>宮坂 2022/07/12 (火)
平日夜間</v>
      </c>
    </row>
    <row r="2086" spans="1:7" ht="16.149999999999999" x14ac:dyDescent="0.7">
      <c r="A2086" s="49">
        <v>44730.423283842596</v>
      </c>
      <c r="B2086" s="50" t="s">
        <v>11</v>
      </c>
      <c r="C2086" s="50" t="s">
        <v>380</v>
      </c>
      <c r="D2086" s="50" t="s">
        <v>259</v>
      </c>
      <c r="E2086" s="50">
        <v>2</v>
      </c>
      <c r="F2086" s="50">
        <v>2.3417852199078695</v>
      </c>
      <c r="G2086" s="51" t="str">
        <v>宮坂 2022/07/13 (水)
平日夜間</v>
      </c>
    </row>
    <row r="2087" spans="1:7" ht="16.149999999999999" x14ac:dyDescent="0.7">
      <c r="A2087" s="49">
        <v>44730.423283842596</v>
      </c>
      <c r="B2087" s="50" t="s">
        <v>11</v>
      </c>
      <c r="C2087" s="50" t="s">
        <v>381</v>
      </c>
      <c r="D2087" s="50" t="s">
        <v>259</v>
      </c>
      <c r="E2087" s="50">
        <v>0</v>
      </c>
      <c r="F2087" s="50">
        <v>0.5016997707347719</v>
      </c>
      <c r="G2087" s="51" t="str">
        <v>宮坂 2022/07/14 (木)
平日夜間</v>
      </c>
    </row>
    <row r="2088" spans="1:7" ht="16.149999999999999" x14ac:dyDescent="0.7">
      <c r="A2088" s="49">
        <v>44730.423283842596</v>
      </c>
      <c r="B2088" s="50" t="s">
        <v>11</v>
      </c>
      <c r="C2088" s="50" t="s">
        <v>382</v>
      </c>
      <c r="D2088" s="50" t="s">
        <v>259</v>
      </c>
      <c r="E2088" s="50">
        <v>1</v>
      </c>
      <c r="F2088" s="50">
        <v>1.6923496006891161</v>
      </c>
      <c r="G2088" s="51" t="str">
        <v>宮坂 2022/07/15 (金)
平日夜間</v>
      </c>
    </row>
    <row r="2089" spans="1:7" ht="16.149999999999999" x14ac:dyDescent="0.7">
      <c r="A2089" s="49">
        <v>44730.423283842596</v>
      </c>
      <c r="B2089" s="50" t="s">
        <v>11</v>
      </c>
      <c r="C2089" s="50" t="s">
        <v>383</v>
      </c>
      <c r="D2089" s="50" t="s">
        <v>261</v>
      </c>
      <c r="E2089" s="50">
        <v>0</v>
      </c>
      <c r="F2089" s="50">
        <v>0.32125053919596924</v>
      </c>
      <c r="G2089" s="51" t="str">
        <v>宮坂 2022/07/16 (土)
休日午後</v>
      </c>
    </row>
    <row r="2090" spans="1:7" ht="16.149999999999999" x14ac:dyDescent="0.7">
      <c r="A2090" s="49">
        <v>44730.423283842596</v>
      </c>
      <c r="B2090" s="50" t="s">
        <v>11</v>
      </c>
      <c r="C2090" s="50" t="s">
        <v>384</v>
      </c>
      <c r="D2090" s="50" t="s">
        <v>263</v>
      </c>
      <c r="E2090" s="50">
        <v>0</v>
      </c>
      <c r="F2090" s="50">
        <v>0.20637953538952414</v>
      </c>
      <c r="G2090" s="51" t="str">
        <v>宮坂 2022/07/16 (土)
休日午前</v>
      </c>
    </row>
    <row r="2091" spans="1:7" ht="16.149999999999999" x14ac:dyDescent="0.7">
      <c r="A2091" s="49">
        <v>44730.423283842596</v>
      </c>
      <c r="B2091" s="50" t="s">
        <v>11</v>
      </c>
      <c r="C2091" s="50" t="s">
        <v>385</v>
      </c>
      <c r="D2091" s="50" t="s">
        <v>261</v>
      </c>
      <c r="E2091" s="50">
        <v>0</v>
      </c>
      <c r="F2091" s="50">
        <v>0.22199442131167091</v>
      </c>
      <c r="G2091" s="51" t="str">
        <v>宮坂 2022/07/17 (日)
休日午後</v>
      </c>
    </row>
    <row r="2092" spans="1:7" ht="16.149999999999999" x14ac:dyDescent="0.7">
      <c r="A2092" s="49">
        <v>44730.423283842596</v>
      </c>
      <c r="B2092" s="50" t="s">
        <v>11</v>
      </c>
      <c r="C2092" s="50" t="s">
        <v>386</v>
      </c>
      <c r="D2092" s="50" t="s">
        <v>263</v>
      </c>
      <c r="E2092" s="50">
        <v>0</v>
      </c>
      <c r="F2092" s="50">
        <v>0.27879478117228373</v>
      </c>
      <c r="G2092" s="51" t="str">
        <v>宮坂 2022/07/17 (日)
休日午前</v>
      </c>
    </row>
    <row r="2093" spans="1:7" ht="16.149999999999999" x14ac:dyDescent="0.7">
      <c r="A2093" s="49">
        <v>44730.423283842596</v>
      </c>
      <c r="B2093" s="50" t="s">
        <v>11</v>
      </c>
      <c r="C2093" s="50" t="s">
        <v>404</v>
      </c>
      <c r="D2093" s="50" t="s">
        <v>261</v>
      </c>
      <c r="E2093" s="50">
        <v>0</v>
      </c>
      <c r="F2093" s="50">
        <v>5.1253922587193967E-2</v>
      </c>
      <c r="G2093" s="51" t="str">
        <v>宮坂 2022/07/18 (月)
休日午後</v>
      </c>
    </row>
    <row r="2094" spans="1:7" ht="16.149999999999999" x14ac:dyDescent="0.7">
      <c r="A2094" s="49">
        <v>44730.423283842596</v>
      </c>
      <c r="B2094" s="50" t="s">
        <v>11</v>
      </c>
      <c r="C2094" s="50" t="s">
        <v>405</v>
      </c>
      <c r="D2094" s="50" t="s">
        <v>263</v>
      </c>
      <c r="E2094" s="50">
        <v>0</v>
      </c>
      <c r="F2094" s="50">
        <v>0.14618997038487702</v>
      </c>
      <c r="G2094" s="51" t="str">
        <v>宮坂 2022/07/18 (月)
休日午前</v>
      </c>
    </row>
    <row r="2095" spans="1:7" ht="16.149999999999999" x14ac:dyDescent="0.7">
      <c r="A2095" s="49">
        <v>44730.423283842596</v>
      </c>
      <c r="B2095" s="50" t="s">
        <v>11</v>
      </c>
      <c r="C2095" s="50" t="s">
        <v>387</v>
      </c>
      <c r="D2095" s="50" t="s">
        <v>259</v>
      </c>
      <c r="E2095" s="50">
        <v>0</v>
      </c>
      <c r="F2095" s="50">
        <v>0.74405653310560282</v>
      </c>
      <c r="G2095" s="51" t="str">
        <v>宮坂 2022/07/19 (火)
平日夜間</v>
      </c>
    </row>
    <row r="2096" spans="1:7" ht="16.149999999999999" x14ac:dyDescent="0.7">
      <c r="A2096" s="49">
        <v>44730.423283842596</v>
      </c>
      <c r="B2096" s="50" t="s">
        <v>11</v>
      </c>
      <c r="C2096" s="50" t="s">
        <v>388</v>
      </c>
      <c r="D2096" s="50" t="s">
        <v>259</v>
      </c>
      <c r="E2096" s="50">
        <v>0</v>
      </c>
      <c r="F2096" s="50">
        <v>0.93884959967667259</v>
      </c>
      <c r="G2096" s="51" t="str">
        <v>宮坂 2022/07/20 (水)
平日夜間</v>
      </c>
    </row>
    <row r="2097" spans="1:7" ht="16.149999999999999" x14ac:dyDescent="0.7">
      <c r="A2097" s="49">
        <v>44730.423283842596</v>
      </c>
      <c r="B2097" s="50" t="s">
        <v>11</v>
      </c>
      <c r="C2097" s="50" t="s">
        <v>389</v>
      </c>
      <c r="D2097" s="50" t="s">
        <v>259</v>
      </c>
      <c r="E2097" s="50">
        <v>0</v>
      </c>
      <c r="F2097" s="50">
        <v>9.9952577968742684E-3</v>
      </c>
      <c r="G2097" s="51" t="str">
        <v>宮坂 2022/07/21 (木)
平日夜間</v>
      </c>
    </row>
    <row r="2098" spans="1:7" ht="16.149999999999999" x14ac:dyDescent="0.7">
      <c r="A2098" s="49">
        <v>44730.423283842596</v>
      </c>
      <c r="B2098" s="50" t="s">
        <v>11</v>
      </c>
      <c r="C2098" s="50" t="s">
        <v>390</v>
      </c>
      <c r="D2098" s="50" t="s">
        <v>259</v>
      </c>
      <c r="E2098" s="50">
        <v>1</v>
      </c>
      <c r="F2098" s="50">
        <v>1.02093815409754</v>
      </c>
      <c r="G2098" s="51" t="str">
        <v>宮坂 2022/07/22 (金)
平日夜間</v>
      </c>
    </row>
    <row r="2099" spans="1:7" ht="16.149999999999999" x14ac:dyDescent="0.7">
      <c r="A2099" s="49">
        <v>44730.423283842596</v>
      </c>
      <c r="B2099" s="50" t="s">
        <v>11</v>
      </c>
      <c r="C2099" s="50" t="s">
        <v>391</v>
      </c>
      <c r="D2099" s="50" t="s">
        <v>261</v>
      </c>
      <c r="E2099" s="50">
        <v>0</v>
      </c>
      <c r="F2099" s="50">
        <v>0.60821908466266716</v>
      </c>
      <c r="G2099" s="51" t="str">
        <v>宮坂 2022/07/23 (土)
休日午後</v>
      </c>
    </row>
    <row r="2100" spans="1:7" ht="16.149999999999999" x14ac:dyDescent="0.7">
      <c r="A2100" s="49">
        <v>44730.423283842596</v>
      </c>
      <c r="B2100" s="50" t="s">
        <v>11</v>
      </c>
      <c r="C2100" s="50" t="s">
        <v>392</v>
      </c>
      <c r="D2100" s="50" t="s">
        <v>263</v>
      </c>
      <c r="E2100" s="50">
        <v>0</v>
      </c>
      <c r="F2100" s="50">
        <v>0.89206777678499338</v>
      </c>
      <c r="G2100" s="51" t="str">
        <v>宮坂 2022/07/23 (土)
休日午前</v>
      </c>
    </row>
    <row r="2101" spans="1:7" ht="16.149999999999999" x14ac:dyDescent="0.7">
      <c r="A2101" s="49">
        <v>44730.423283842596</v>
      </c>
      <c r="B2101" s="50" t="s">
        <v>11</v>
      </c>
      <c r="C2101" s="50" t="s">
        <v>393</v>
      </c>
      <c r="D2101" s="50" t="s">
        <v>261</v>
      </c>
      <c r="E2101" s="50">
        <v>0</v>
      </c>
      <c r="F2101" s="50">
        <v>0.71997146602086071</v>
      </c>
      <c r="G2101" s="51" t="str">
        <v>宮坂 2022/07/24 (日)
休日午後</v>
      </c>
    </row>
    <row r="2102" spans="1:7" ht="16.149999999999999" x14ac:dyDescent="0.7">
      <c r="A2102" s="49">
        <v>44730.423283842596</v>
      </c>
      <c r="B2102" s="50" t="s">
        <v>11</v>
      </c>
      <c r="C2102" s="50" t="s">
        <v>394</v>
      </c>
      <c r="D2102" s="50" t="s">
        <v>263</v>
      </c>
      <c r="E2102" s="50">
        <v>0</v>
      </c>
      <c r="F2102" s="50">
        <v>0.27212825149898778</v>
      </c>
      <c r="G2102" s="51" t="str">
        <v>宮坂 2022/07/24 (日)
休日午前</v>
      </c>
    </row>
    <row r="2103" spans="1:7" ht="16.149999999999999" x14ac:dyDescent="0.7">
      <c r="A2103" s="49">
        <v>44730.423283842596</v>
      </c>
      <c r="B2103" s="50" t="s">
        <v>11</v>
      </c>
      <c r="C2103" s="50" t="s">
        <v>395</v>
      </c>
      <c r="D2103" s="50" t="s">
        <v>259</v>
      </c>
      <c r="E2103" s="50">
        <v>0</v>
      </c>
      <c r="F2103" s="50">
        <v>0.51046818463563115</v>
      </c>
      <c r="G2103" s="51" t="str">
        <v>宮坂 2022/07/25 (月)
平日夜間</v>
      </c>
    </row>
    <row r="2104" spans="1:7" ht="16.149999999999999" x14ac:dyDescent="0.7">
      <c r="A2104" s="49">
        <v>44730.423283842596</v>
      </c>
      <c r="B2104" s="50" t="s">
        <v>11</v>
      </c>
      <c r="C2104" s="50" t="s">
        <v>396</v>
      </c>
      <c r="D2104" s="50" t="s">
        <v>259</v>
      </c>
      <c r="E2104" s="50">
        <v>0</v>
      </c>
      <c r="F2104" s="50">
        <v>0.44835499312011939</v>
      </c>
      <c r="G2104" s="51" t="str">
        <v>宮坂 2022/07/26 (火)
平日夜間</v>
      </c>
    </row>
    <row r="2105" spans="1:7" ht="16.149999999999999" x14ac:dyDescent="0.7">
      <c r="A2105" s="49">
        <v>44730.423283842596</v>
      </c>
      <c r="B2105" s="50" t="s">
        <v>11</v>
      </c>
      <c r="C2105" s="50" t="s">
        <v>397</v>
      </c>
      <c r="D2105" s="50" t="s">
        <v>259</v>
      </c>
      <c r="E2105" s="50">
        <v>-1</v>
      </c>
      <c r="F2105" s="50">
        <v>-5.37625540354707E-2</v>
      </c>
      <c r="G2105" s="51" t="str">
        <v>宮坂 2022/07/27 (水)
平日夜間</v>
      </c>
    </row>
    <row r="2106" spans="1:7" ht="16.149999999999999" x14ac:dyDescent="0.7">
      <c r="A2106" s="49">
        <v>44730.423283842596</v>
      </c>
      <c r="B2106" s="50" t="s">
        <v>11</v>
      </c>
      <c r="C2106" s="50" t="s">
        <v>398</v>
      </c>
      <c r="D2106" s="50" t="s">
        <v>259</v>
      </c>
      <c r="E2106" s="50">
        <v>0</v>
      </c>
      <c r="F2106" s="50">
        <v>0.39387773172087104</v>
      </c>
      <c r="G2106" s="51" t="str">
        <v>宮坂 2022/07/28 (木)
平日夜間</v>
      </c>
    </row>
    <row r="2107" spans="1:7" ht="16.149999999999999" x14ac:dyDescent="0.7">
      <c r="A2107" s="49">
        <v>44730.423283842596</v>
      </c>
      <c r="B2107" s="50" t="s">
        <v>11</v>
      </c>
      <c r="C2107" s="50" t="s">
        <v>399</v>
      </c>
      <c r="D2107" s="50" t="s">
        <v>259</v>
      </c>
      <c r="E2107" s="50">
        <v>-1</v>
      </c>
      <c r="F2107" s="50">
        <v>-5.1854444521578058E-2</v>
      </c>
      <c r="G2107" s="51" t="str">
        <v>宮坂 2022/07/29 (金)
平日夜間</v>
      </c>
    </row>
    <row r="2108" spans="1:7" ht="16.149999999999999" x14ac:dyDescent="0.7">
      <c r="A2108" s="49">
        <v>44730.423283842596</v>
      </c>
      <c r="B2108" s="50" t="s">
        <v>11</v>
      </c>
      <c r="C2108" s="50" t="s">
        <v>400</v>
      </c>
      <c r="D2108" s="50" t="s">
        <v>261</v>
      </c>
      <c r="E2108" s="50">
        <v>-1</v>
      </c>
      <c r="F2108" s="50">
        <v>-0.90931270711960543</v>
      </c>
      <c r="G2108" s="51" t="str">
        <v>宮坂 2022/07/30 (土)
休日午後</v>
      </c>
    </row>
    <row r="2109" spans="1:7" ht="16.149999999999999" x14ac:dyDescent="0.7">
      <c r="A2109" s="49">
        <v>44730.423283842596</v>
      </c>
      <c r="B2109" s="50" t="s">
        <v>11</v>
      </c>
      <c r="C2109" s="50" t="s">
        <v>401</v>
      </c>
      <c r="D2109" s="50" t="s">
        <v>263</v>
      </c>
      <c r="E2109" s="50">
        <v>-1</v>
      </c>
      <c r="F2109" s="50">
        <v>-0.2382168372115343</v>
      </c>
      <c r="G2109" s="51" t="str">
        <v>宮坂 2022/07/30 (土)
休日午前</v>
      </c>
    </row>
    <row r="2110" spans="1:7" ht="16.149999999999999" x14ac:dyDescent="0.7">
      <c r="A2110" s="49">
        <v>44730.423283842596</v>
      </c>
      <c r="B2110" s="50" t="s">
        <v>11</v>
      </c>
      <c r="C2110" s="50" t="s">
        <v>402</v>
      </c>
      <c r="D2110" s="50" t="s">
        <v>261</v>
      </c>
      <c r="E2110" s="50">
        <v>-1</v>
      </c>
      <c r="F2110" s="50">
        <v>-0.71958288666040127</v>
      </c>
      <c r="G2110" s="51" t="str">
        <v>宮坂 2022/07/31 (日)
休日午後</v>
      </c>
    </row>
    <row r="2111" spans="1:7" ht="16.149999999999999" x14ac:dyDescent="0.7">
      <c r="A2111" s="49">
        <v>44730.423283842596</v>
      </c>
      <c r="B2111" s="50" t="s">
        <v>11</v>
      </c>
      <c r="C2111" s="50" t="s">
        <v>403</v>
      </c>
      <c r="D2111" s="50" t="s">
        <v>263</v>
      </c>
      <c r="E2111" s="50">
        <v>-1</v>
      </c>
      <c r="F2111" s="50">
        <v>-0.57235351517528321</v>
      </c>
      <c r="G2111" s="51" t="str">
        <v>宮坂 2022/07/31 (日)
休日午前</v>
      </c>
    </row>
    <row r="2112" spans="1:7" ht="16.149999999999999" x14ac:dyDescent="0.7">
      <c r="A2112" s="49">
        <v>44730.522186666669</v>
      </c>
      <c r="B2112" s="50" t="s">
        <v>45</v>
      </c>
      <c r="C2112" s="50" t="s">
        <v>364</v>
      </c>
      <c r="D2112" s="50" t="s">
        <v>259</v>
      </c>
      <c r="E2112" s="50">
        <v>-1</v>
      </c>
      <c r="F2112" s="50">
        <v>-0.16367392792119784</v>
      </c>
      <c r="G2112" s="51" t="str">
        <v>松井 2022/07/01 (金)
平日夜間</v>
      </c>
    </row>
    <row r="2113" spans="1:7" ht="16.149999999999999" x14ac:dyDescent="0.7">
      <c r="A2113" s="49">
        <v>44730.522186666669</v>
      </c>
      <c r="B2113" s="50" t="s">
        <v>45</v>
      </c>
      <c r="C2113" s="50" t="s">
        <v>365</v>
      </c>
      <c r="D2113" s="50" t="s">
        <v>261</v>
      </c>
      <c r="E2113" s="50">
        <v>-1</v>
      </c>
      <c r="F2113" s="50">
        <v>-0.56991065065867086</v>
      </c>
      <c r="G2113" s="51" t="str">
        <v>松井 2022/07/02 (土)
休日午後</v>
      </c>
    </row>
    <row r="2114" spans="1:7" ht="16.149999999999999" x14ac:dyDescent="0.7">
      <c r="A2114" s="49">
        <v>44730.522186666669</v>
      </c>
      <c r="B2114" s="50" t="s">
        <v>45</v>
      </c>
      <c r="C2114" s="50" t="s">
        <v>366</v>
      </c>
      <c r="D2114" s="50" t="s">
        <v>263</v>
      </c>
      <c r="E2114" s="50">
        <v>-1</v>
      </c>
      <c r="F2114" s="50">
        <v>-0.69969390291084954</v>
      </c>
      <c r="G2114" s="51" t="str">
        <v>松井 2022/07/02 (土)
休日午前</v>
      </c>
    </row>
    <row r="2115" spans="1:7" ht="16.149999999999999" x14ac:dyDescent="0.7">
      <c r="A2115" s="49">
        <v>44730.522186666669</v>
      </c>
      <c r="B2115" s="50" t="s">
        <v>45</v>
      </c>
      <c r="C2115" s="50" t="s">
        <v>367</v>
      </c>
      <c r="D2115" s="50" t="s">
        <v>261</v>
      </c>
      <c r="E2115" s="50">
        <v>-1</v>
      </c>
      <c r="F2115" s="50">
        <v>-0.43973982494562169</v>
      </c>
      <c r="G2115" s="51" t="str">
        <v>松井 2022/07/03 (日)
休日午後</v>
      </c>
    </row>
    <row r="2116" spans="1:7" ht="16.149999999999999" x14ac:dyDescent="0.7">
      <c r="A2116" s="49">
        <v>44730.522186666669</v>
      </c>
      <c r="B2116" s="50" t="s">
        <v>45</v>
      </c>
      <c r="C2116" s="50" t="s">
        <v>368</v>
      </c>
      <c r="D2116" s="50" t="s">
        <v>263</v>
      </c>
      <c r="E2116" s="50">
        <v>-1</v>
      </c>
      <c r="F2116" s="50">
        <v>-0.88291427538970391</v>
      </c>
      <c r="G2116" s="51" t="str">
        <v>松井 2022/07/03 (日)
休日午前</v>
      </c>
    </row>
    <row r="2117" spans="1:7" ht="16.149999999999999" x14ac:dyDescent="0.7">
      <c r="A2117" s="49">
        <v>44730.522186666669</v>
      </c>
      <c r="B2117" s="50" t="s">
        <v>45</v>
      </c>
      <c r="C2117" s="50" t="s">
        <v>369</v>
      </c>
      <c r="D2117" s="50" t="s">
        <v>259</v>
      </c>
      <c r="E2117" s="50">
        <v>0</v>
      </c>
      <c r="F2117" s="50">
        <v>0.95517282470629628</v>
      </c>
      <c r="G2117" s="51" t="str">
        <v>松井 2022/07/04 (月)
平日夜間</v>
      </c>
    </row>
    <row r="2118" spans="1:7" ht="16.149999999999999" x14ac:dyDescent="0.7">
      <c r="A2118" s="49">
        <v>44730.522186666669</v>
      </c>
      <c r="B2118" s="50" t="s">
        <v>45</v>
      </c>
      <c r="C2118" s="50" t="s">
        <v>370</v>
      </c>
      <c r="D2118" s="50" t="s">
        <v>259</v>
      </c>
      <c r="E2118" s="50">
        <v>0</v>
      </c>
      <c r="F2118" s="50">
        <v>0.14244966190864439</v>
      </c>
      <c r="G2118" s="51" t="str">
        <v>松井 2022/07/05 (火)
平日夜間</v>
      </c>
    </row>
    <row r="2119" spans="1:7" ht="16.149999999999999" x14ac:dyDescent="0.7">
      <c r="A2119" s="49">
        <v>44730.522186666669</v>
      </c>
      <c r="B2119" s="50" t="s">
        <v>45</v>
      </c>
      <c r="C2119" s="50" t="s">
        <v>371</v>
      </c>
      <c r="D2119" s="50" t="s">
        <v>259</v>
      </c>
      <c r="E2119" s="50">
        <v>0</v>
      </c>
      <c r="F2119" s="50">
        <v>0.96396722188960582</v>
      </c>
      <c r="G2119" s="51" t="str">
        <v>松井 2022/07/06 (水)
平日夜間</v>
      </c>
    </row>
    <row r="2120" spans="1:7" ht="16.149999999999999" x14ac:dyDescent="0.7">
      <c r="A2120" s="49">
        <v>44730.522186666669</v>
      </c>
      <c r="B2120" s="50" t="s">
        <v>45</v>
      </c>
      <c r="C2120" s="50" t="s">
        <v>372</v>
      </c>
      <c r="D2120" s="50" t="s">
        <v>259</v>
      </c>
      <c r="E2120" s="50">
        <v>0</v>
      </c>
      <c r="F2120" s="50">
        <v>0.19025670086166935</v>
      </c>
      <c r="G2120" s="51" t="str">
        <v>松井 2022/07/07 (木)
平日夜間</v>
      </c>
    </row>
    <row r="2121" spans="1:7" ht="16.149999999999999" x14ac:dyDescent="0.7">
      <c r="A2121" s="49">
        <v>44730.522186666669</v>
      </c>
      <c r="B2121" s="50" t="s">
        <v>45</v>
      </c>
      <c r="C2121" s="50" t="s">
        <v>373</v>
      </c>
      <c r="D2121" s="50" t="s">
        <v>259</v>
      </c>
      <c r="E2121" s="50">
        <v>0</v>
      </c>
      <c r="F2121" s="50">
        <v>0.65480630184747546</v>
      </c>
      <c r="G2121" s="51" t="str">
        <v>松井 2022/07/08 (金)
平日夜間</v>
      </c>
    </row>
    <row r="2122" spans="1:7" ht="16.149999999999999" x14ac:dyDescent="0.7">
      <c r="A2122" s="49">
        <v>44730.522186666669</v>
      </c>
      <c r="B2122" s="50" t="s">
        <v>45</v>
      </c>
      <c r="C2122" s="50" t="s">
        <v>374</v>
      </c>
      <c r="D2122" s="50" t="s">
        <v>261</v>
      </c>
      <c r="E2122" s="50">
        <v>-1</v>
      </c>
      <c r="F2122" s="50">
        <v>-0.41876967392819942</v>
      </c>
      <c r="G2122" s="51" t="str">
        <v>松井 2022/07/09 (土)
休日午後</v>
      </c>
    </row>
    <row r="2123" spans="1:7" ht="16.149999999999999" x14ac:dyDescent="0.7">
      <c r="A2123" s="49">
        <v>44730.522186666669</v>
      </c>
      <c r="B2123" s="50" t="s">
        <v>45</v>
      </c>
      <c r="C2123" s="50" t="s">
        <v>375</v>
      </c>
      <c r="D2123" s="50" t="s">
        <v>263</v>
      </c>
      <c r="E2123" s="50">
        <v>-1</v>
      </c>
      <c r="F2123" s="50">
        <v>-0.56397283424489819</v>
      </c>
      <c r="G2123" s="51" t="str">
        <v>松井 2022/07/09 (土)
休日午前</v>
      </c>
    </row>
    <row r="2124" spans="1:7" ht="16.149999999999999" x14ac:dyDescent="0.7">
      <c r="A2124" s="49">
        <v>44730.522186666669</v>
      </c>
      <c r="B2124" s="50" t="s">
        <v>45</v>
      </c>
      <c r="C2124" s="50" t="s">
        <v>376</v>
      </c>
      <c r="D2124" s="50" t="s">
        <v>261</v>
      </c>
      <c r="E2124" s="50">
        <v>-1</v>
      </c>
      <c r="F2124" s="50">
        <v>-0.82662074669899499</v>
      </c>
      <c r="G2124" s="51" t="str">
        <v>松井 2022/07/10 (日)
休日午後</v>
      </c>
    </row>
    <row r="2125" spans="1:7" ht="16.149999999999999" x14ac:dyDescent="0.7">
      <c r="A2125" s="49">
        <v>44730.522186666669</v>
      </c>
      <c r="B2125" s="50" t="s">
        <v>45</v>
      </c>
      <c r="C2125" s="50" t="s">
        <v>377</v>
      </c>
      <c r="D2125" s="50" t="s">
        <v>263</v>
      </c>
      <c r="E2125" s="50">
        <v>-1</v>
      </c>
      <c r="F2125" s="50">
        <v>-0.81267525785365957</v>
      </c>
      <c r="G2125" s="51" t="str">
        <v>松井 2022/07/10 (日)
休日午前</v>
      </c>
    </row>
    <row r="2126" spans="1:7" ht="16.149999999999999" x14ac:dyDescent="0.7">
      <c r="A2126" s="49">
        <v>44730.522186666669</v>
      </c>
      <c r="B2126" s="50" t="s">
        <v>45</v>
      </c>
      <c r="C2126" s="50" t="s">
        <v>378</v>
      </c>
      <c r="D2126" s="50" t="s">
        <v>259</v>
      </c>
      <c r="E2126" s="50">
        <v>0</v>
      </c>
      <c r="F2126" s="50">
        <v>0.4291434801604026</v>
      </c>
      <c r="G2126" s="51" t="str">
        <v>松井 2022/07/11 (月)
平日夜間</v>
      </c>
    </row>
    <row r="2127" spans="1:7" ht="16.149999999999999" x14ac:dyDescent="0.7">
      <c r="A2127" s="49">
        <v>44730.522186666669</v>
      </c>
      <c r="B2127" s="50" t="s">
        <v>45</v>
      </c>
      <c r="C2127" s="50" t="s">
        <v>379</v>
      </c>
      <c r="D2127" s="50" t="s">
        <v>259</v>
      </c>
      <c r="E2127" s="50">
        <v>0</v>
      </c>
      <c r="F2127" s="50">
        <v>0.53978619518148196</v>
      </c>
      <c r="G2127" s="51" t="str">
        <v>松井 2022/07/12 (火)
平日夜間</v>
      </c>
    </row>
    <row r="2128" spans="1:7" ht="16.149999999999999" x14ac:dyDescent="0.7">
      <c r="A2128" s="49">
        <v>44730.522186666669</v>
      </c>
      <c r="B2128" s="50" t="s">
        <v>45</v>
      </c>
      <c r="C2128" s="50" t="s">
        <v>380</v>
      </c>
      <c r="D2128" s="50" t="s">
        <v>259</v>
      </c>
      <c r="E2128" s="50">
        <v>0</v>
      </c>
      <c r="F2128" s="50">
        <v>0.96910859639460978</v>
      </c>
      <c r="G2128" s="51" t="str">
        <v>松井 2022/07/13 (水)
平日夜間</v>
      </c>
    </row>
    <row r="2129" spans="1:7" ht="16.149999999999999" x14ac:dyDescent="0.7">
      <c r="A2129" s="49">
        <v>44730.522186666669</v>
      </c>
      <c r="B2129" s="50" t="s">
        <v>45</v>
      </c>
      <c r="C2129" s="50" t="s">
        <v>381</v>
      </c>
      <c r="D2129" s="50" t="s">
        <v>259</v>
      </c>
      <c r="E2129" s="50">
        <v>0</v>
      </c>
      <c r="F2129" s="50">
        <v>0.3869361957596642</v>
      </c>
      <c r="G2129" s="51" t="str">
        <v>松井 2022/07/14 (木)
平日夜間</v>
      </c>
    </row>
    <row r="2130" spans="1:7" ht="16.149999999999999" x14ac:dyDescent="0.7">
      <c r="A2130" s="49">
        <v>44730.522186666669</v>
      </c>
      <c r="B2130" s="50" t="s">
        <v>45</v>
      </c>
      <c r="C2130" s="50" t="s">
        <v>382</v>
      </c>
      <c r="D2130" s="50" t="s">
        <v>259</v>
      </c>
      <c r="E2130" s="50">
        <v>0</v>
      </c>
      <c r="F2130" s="50">
        <v>0.41429077884726273</v>
      </c>
      <c r="G2130" s="51" t="str">
        <v>松井 2022/07/15 (金)
平日夜間</v>
      </c>
    </row>
    <row r="2131" spans="1:7" ht="16.149999999999999" x14ac:dyDescent="0.7">
      <c r="A2131" s="49">
        <v>44730.522186666669</v>
      </c>
      <c r="B2131" s="50" t="s">
        <v>45</v>
      </c>
      <c r="C2131" s="50" t="s">
        <v>383</v>
      </c>
      <c r="D2131" s="50" t="s">
        <v>261</v>
      </c>
      <c r="E2131" s="50">
        <v>0</v>
      </c>
      <c r="F2131" s="50">
        <v>0.91055599405083587</v>
      </c>
      <c r="G2131" s="51" t="str">
        <v>松井 2022/07/16 (土)
休日午後</v>
      </c>
    </row>
    <row r="2132" spans="1:7" ht="16.149999999999999" x14ac:dyDescent="0.7">
      <c r="A2132" s="49">
        <v>44730.522186666669</v>
      </c>
      <c r="B2132" s="50" t="s">
        <v>45</v>
      </c>
      <c r="C2132" s="50" t="s">
        <v>384</v>
      </c>
      <c r="D2132" s="50" t="s">
        <v>263</v>
      </c>
      <c r="E2132" s="50">
        <v>0</v>
      </c>
      <c r="F2132" s="50">
        <v>0.78424963437308892</v>
      </c>
      <c r="G2132" s="51" t="str">
        <v>松井 2022/07/16 (土)
休日午前</v>
      </c>
    </row>
    <row r="2133" spans="1:7" ht="16.149999999999999" x14ac:dyDescent="0.7">
      <c r="A2133" s="49">
        <v>44730.522186666669</v>
      </c>
      <c r="B2133" s="50" t="s">
        <v>45</v>
      </c>
      <c r="C2133" s="50" t="s">
        <v>385</v>
      </c>
      <c r="D2133" s="50" t="s">
        <v>261</v>
      </c>
      <c r="E2133" s="50">
        <v>0</v>
      </c>
      <c r="F2133" s="50">
        <v>0.16004606494810858</v>
      </c>
      <c r="G2133" s="51" t="str">
        <v>松井 2022/07/17 (日)
休日午後</v>
      </c>
    </row>
    <row r="2134" spans="1:7" ht="16.149999999999999" x14ac:dyDescent="0.7">
      <c r="A2134" s="49">
        <v>44730.522186666669</v>
      </c>
      <c r="B2134" s="50" t="s">
        <v>45</v>
      </c>
      <c r="C2134" s="50" t="s">
        <v>386</v>
      </c>
      <c r="D2134" s="50" t="s">
        <v>263</v>
      </c>
      <c r="E2134" s="50">
        <v>0</v>
      </c>
      <c r="F2134" s="50">
        <v>0.44735185213188355</v>
      </c>
      <c r="G2134" s="51" t="str">
        <v>松井 2022/07/17 (日)
休日午前</v>
      </c>
    </row>
    <row r="2135" spans="1:7" ht="16.149999999999999" x14ac:dyDescent="0.7">
      <c r="A2135" s="49">
        <v>44730.522186666669</v>
      </c>
      <c r="B2135" s="50" t="s">
        <v>45</v>
      </c>
      <c r="C2135" s="50" t="s">
        <v>404</v>
      </c>
      <c r="D2135" s="50" t="s">
        <v>261</v>
      </c>
      <c r="E2135" s="50">
        <v>0</v>
      </c>
      <c r="F2135" s="50">
        <v>0.86786804218026048</v>
      </c>
      <c r="G2135" s="51" t="str">
        <v>松井 2022/07/18 (月)
休日午後</v>
      </c>
    </row>
    <row r="2136" spans="1:7" ht="16.149999999999999" x14ac:dyDescent="0.7">
      <c r="A2136" s="49">
        <v>44730.522186666669</v>
      </c>
      <c r="B2136" s="50" t="s">
        <v>45</v>
      </c>
      <c r="C2136" s="50" t="s">
        <v>405</v>
      </c>
      <c r="D2136" s="50" t="s">
        <v>263</v>
      </c>
      <c r="E2136" s="50">
        <v>0</v>
      </c>
      <c r="F2136" s="50">
        <v>0.23389284387879306</v>
      </c>
      <c r="G2136" s="51" t="str">
        <v>松井 2022/07/18 (月)
休日午前</v>
      </c>
    </row>
    <row r="2137" spans="1:7" ht="16.149999999999999" x14ac:dyDescent="0.7">
      <c r="A2137" s="49">
        <v>44730.522186666669</v>
      </c>
      <c r="B2137" s="50" t="s">
        <v>45</v>
      </c>
      <c r="C2137" s="50" t="s">
        <v>387</v>
      </c>
      <c r="D2137" s="50" t="s">
        <v>259</v>
      </c>
      <c r="E2137" s="50">
        <v>0</v>
      </c>
      <c r="F2137" s="50">
        <v>0.43228763872851483</v>
      </c>
      <c r="G2137" s="51" t="str">
        <v>松井 2022/07/19 (火)
平日夜間</v>
      </c>
    </row>
    <row r="2138" spans="1:7" ht="16.149999999999999" x14ac:dyDescent="0.7">
      <c r="A2138" s="49">
        <v>44730.522186666669</v>
      </c>
      <c r="B2138" s="50" t="s">
        <v>45</v>
      </c>
      <c r="C2138" s="50" t="s">
        <v>388</v>
      </c>
      <c r="D2138" s="50" t="s">
        <v>259</v>
      </c>
      <c r="E2138" s="50">
        <v>0</v>
      </c>
      <c r="F2138" s="50">
        <v>0.69527840683328757</v>
      </c>
      <c r="G2138" s="51" t="str">
        <v>松井 2022/07/20 (水)
平日夜間</v>
      </c>
    </row>
    <row r="2139" spans="1:7" ht="16.149999999999999" x14ac:dyDescent="0.7">
      <c r="A2139" s="49">
        <v>44730.522186666669</v>
      </c>
      <c r="B2139" s="50" t="s">
        <v>45</v>
      </c>
      <c r="C2139" s="50" t="s">
        <v>389</v>
      </c>
      <c r="D2139" s="50" t="s">
        <v>259</v>
      </c>
      <c r="E2139" s="50">
        <v>0</v>
      </c>
      <c r="F2139" s="50">
        <v>0.52564768203424794</v>
      </c>
      <c r="G2139" s="51" t="str">
        <v>松井 2022/07/21 (木)
平日夜間</v>
      </c>
    </row>
    <row r="2140" spans="1:7" ht="16.149999999999999" x14ac:dyDescent="0.7">
      <c r="A2140" s="49">
        <v>44730.522186666669</v>
      </c>
      <c r="B2140" s="50" t="s">
        <v>45</v>
      </c>
      <c r="C2140" s="50" t="s">
        <v>390</v>
      </c>
      <c r="D2140" s="50" t="s">
        <v>259</v>
      </c>
      <c r="E2140" s="50">
        <v>-1</v>
      </c>
      <c r="F2140" s="50">
        <v>-0.37573031674193347</v>
      </c>
      <c r="G2140" s="51" t="str">
        <v>松井 2022/07/22 (金)
平日夜間</v>
      </c>
    </row>
    <row r="2141" spans="1:7" ht="16.149999999999999" x14ac:dyDescent="0.7">
      <c r="A2141" s="49">
        <v>44730.522186666669</v>
      </c>
      <c r="B2141" s="50" t="s">
        <v>45</v>
      </c>
      <c r="C2141" s="50" t="s">
        <v>391</v>
      </c>
      <c r="D2141" s="50" t="s">
        <v>261</v>
      </c>
      <c r="E2141" s="50">
        <v>-1</v>
      </c>
      <c r="F2141" s="50">
        <v>-0.94137256835700622</v>
      </c>
      <c r="G2141" s="51" t="str">
        <v>松井 2022/07/23 (土)
休日午後</v>
      </c>
    </row>
    <row r="2142" spans="1:7" ht="16.149999999999999" x14ac:dyDescent="0.7">
      <c r="A2142" s="49">
        <v>44730.522186666669</v>
      </c>
      <c r="B2142" s="50" t="s">
        <v>45</v>
      </c>
      <c r="C2142" s="50" t="s">
        <v>392</v>
      </c>
      <c r="D2142" s="50" t="s">
        <v>263</v>
      </c>
      <c r="E2142" s="50">
        <v>-1</v>
      </c>
      <c r="F2142" s="50">
        <v>-0.89811169945882785</v>
      </c>
      <c r="G2142" s="51" t="str">
        <v>松井 2022/07/23 (土)
休日午前</v>
      </c>
    </row>
    <row r="2143" spans="1:7" ht="16.149999999999999" x14ac:dyDescent="0.7">
      <c r="A2143" s="49">
        <v>44730.522186666669</v>
      </c>
      <c r="B2143" s="50" t="s">
        <v>45</v>
      </c>
      <c r="C2143" s="50" t="s">
        <v>393</v>
      </c>
      <c r="D2143" s="50" t="s">
        <v>261</v>
      </c>
      <c r="E2143" s="50">
        <v>-1</v>
      </c>
      <c r="F2143" s="50">
        <v>-0.40807895675704198</v>
      </c>
      <c r="G2143" s="51" t="str">
        <v>松井 2022/07/24 (日)
休日午後</v>
      </c>
    </row>
    <row r="2144" spans="1:7" ht="16.149999999999999" x14ac:dyDescent="0.7">
      <c r="A2144" s="49">
        <v>44730.522186666669</v>
      </c>
      <c r="B2144" s="50" t="s">
        <v>45</v>
      </c>
      <c r="C2144" s="50" t="s">
        <v>394</v>
      </c>
      <c r="D2144" s="50" t="s">
        <v>263</v>
      </c>
      <c r="E2144" s="50">
        <v>-1</v>
      </c>
      <c r="F2144" s="50">
        <v>-0.99292909128414175</v>
      </c>
      <c r="G2144" s="51" t="str">
        <v>松井 2022/07/24 (日)
休日午前</v>
      </c>
    </row>
    <row r="2145" spans="1:7" ht="16.149999999999999" x14ac:dyDescent="0.7">
      <c r="A2145" s="49">
        <v>44730.522186666669</v>
      </c>
      <c r="B2145" s="50" t="s">
        <v>45</v>
      </c>
      <c r="C2145" s="50" t="s">
        <v>395</v>
      </c>
      <c r="D2145" s="50" t="s">
        <v>259</v>
      </c>
      <c r="E2145" s="50">
        <v>0</v>
      </c>
      <c r="F2145" s="50">
        <v>0.42762338893902485</v>
      </c>
      <c r="G2145" s="51" t="str">
        <v>松井 2022/07/25 (月)
平日夜間</v>
      </c>
    </row>
    <row r="2146" spans="1:7" ht="16.149999999999999" x14ac:dyDescent="0.7">
      <c r="A2146" s="49">
        <v>44730.522186666669</v>
      </c>
      <c r="B2146" s="50" t="s">
        <v>45</v>
      </c>
      <c r="C2146" s="50" t="s">
        <v>396</v>
      </c>
      <c r="D2146" s="50" t="s">
        <v>259</v>
      </c>
      <c r="E2146" s="50">
        <v>0</v>
      </c>
      <c r="F2146" s="50">
        <v>5.0084705527739581E-2</v>
      </c>
      <c r="G2146" s="51" t="str">
        <v>松井 2022/07/26 (火)
平日夜間</v>
      </c>
    </row>
    <row r="2147" spans="1:7" ht="16.149999999999999" x14ac:dyDescent="0.7">
      <c r="A2147" s="49">
        <v>44730.522186666669</v>
      </c>
      <c r="B2147" s="50" t="s">
        <v>45</v>
      </c>
      <c r="C2147" s="50" t="s">
        <v>397</v>
      </c>
      <c r="D2147" s="50" t="s">
        <v>259</v>
      </c>
      <c r="E2147" s="50">
        <v>0</v>
      </c>
      <c r="F2147" s="50">
        <v>0.77293975858937003</v>
      </c>
      <c r="G2147" s="51" t="str">
        <v>松井 2022/07/27 (水)
平日夜間</v>
      </c>
    </row>
    <row r="2148" spans="1:7" ht="16.149999999999999" x14ac:dyDescent="0.7">
      <c r="A2148" s="49">
        <v>44730.522186666669</v>
      </c>
      <c r="B2148" s="50" t="s">
        <v>45</v>
      </c>
      <c r="C2148" s="50" t="s">
        <v>398</v>
      </c>
      <c r="D2148" s="50" t="s">
        <v>259</v>
      </c>
      <c r="E2148" s="50">
        <v>0</v>
      </c>
      <c r="F2148" s="50">
        <v>0.36440629710869543</v>
      </c>
      <c r="G2148" s="51" t="str">
        <v>松井 2022/07/28 (木)
平日夜間</v>
      </c>
    </row>
    <row r="2149" spans="1:7" ht="16.149999999999999" x14ac:dyDescent="0.7">
      <c r="A2149" s="49">
        <v>44730.522186666669</v>
      </c>
      <c r="B2149" s="50" t="s">
        <v>45</v>
      </c>
      <c r="C2149" s="50" t="s">
        <v>399</v>
      </c>
      <c r="D2149" s="50" t="s">
        <v>259</v>
      </c>
      <c r="E2149" s="50">
        <v>0</v>
      </c>
      <c r="F2149" s="50">
        <v>0.89406925275249272</v>
      </c>
      <c r="G2149" s="51" t="str">
        <v>松井 2022/07/29 (金)
平日夜間</v>
      </c>
    </row>
    <row r="2150" spans="1:7" ht="16.149999999999999" x14ac:dyDescent="0.7">
      <c r="A2150" s="49">
        <v>44730.522186666669</v>
      </c>
      <c r="B2150" s="50" t="s">
        <v>45</v>
      </c>
      <c r="C2150" s="50" t="s">
        <v>400</v>
      </c>
      <c r="D2150" s="50" t="s">
        <v>261</v>
      </c>
      <c r="E2150" s="50">
        <v>0</v>
      </c>
      <c r="F2150" s="50">
        <v>0.52130956607666379</v>
      </c>
      <c r="G2150" s="51" t="str">
        <v>松井 2022/07/30 (土)
休日午後</v>
      </c>
    </row>
    <row r="2151" spans="1:7" ht="16.149999999999999" x14ac:dyDescent="0.7">
      <c r="A2151" s="49">
        <v>44730.522186666669</v>
      </c>
      <c r="B2151" s="50" t="s">
        <v>45</v>
      </c>
      <c r="C2151" s="50" t="s">
        <v>401</v>
      </c>
      <c r="D2151" s="50" t="s">
        <v>263</v>
      </c>
      <c r="E2151" s="50">
        <v>0</v>
      </c>
      <c r="F2151" s="50">
        <v>0.97325411465034306</v>
      </c>
      <c r="G2151" s="51" t="str">
        <v>松井 2022/07/30 (土)
休日午前</v>
      </c>
    </row>
    <row r="2152" spans="1:7" ht="16.149999999999999" x14ac:dyDescent="0.7">
      <c r="A2152" s="49">
        <v>44730.522186666669</v>
      </c>
      <c r="B2152" s="50" t="s">
        <v>45</v>
      </c>
      <c r="C2152" s="50" t="s">
        <v>402</v>
      </c>
      <c r="D2152" s="50" t="s">
        <v>261</v>
      </c>
      <c r="E2152" s="50">
        <v>0</v>
      </c>
      <c r="F2152" s="50">
        <v>2.844269233997343E-2</v>
      </c>
      <c r="G2152" s="51" t="str">
        <v>松井 2022/07/31 (日)
休日午後</v>
      </c>
    </row>
    <row r="2153" spans="1:7" ht="16.149999999999999" x14ac:dyDescent="0.7">
      <c r="A2153" s="49">
        <v>44730.522186666669</v>
      </c>
      <c r="B2153" s="50" t="s">
        <v>45</v>
      </c>
      <c r="C2153" s="50" t="s">
        <v>403</v>
      </c>
      <c r="D2153" s="50" t="s">
        <v>263</v>
      </c>
      <c r="E2153" s="50">
        <v>0</v>
      </c>
      <c r="F2153" s="50">
        <v>0.10364191553501767</v>
      </c>
      <c r="G2153" s="51" t="str">
        <v>松井 2022/07/31 (日)
休日午前</v>
      </c>
    </row>
    <row r="2154" spans="1:7" ht="16.149999999999999" x14ac:dyDescent="0.7">
      <c r="A2154" s="49">
        <v>44730.714935532407</v>
      </c>
      <c r="B2154" s="50" t="s">
        <v>30</v>
      </c>
      <c r="C2154" s="50" t="s">
        <v>364</v>
      </c>
      <c r="D2154" s="50" t="s">
        <v>259</v>
      </c>
      <c r="E2154" s="50">
        <v>0</v>
      </c>
      <c r="F2154" s="50">
        <v>8.8924957608323751E-2</v>
      </c>
      <c r="G2154" s="51" t="str">
        <v>柴山 2022/07/01 (金)
平日夜間</v>
      </c>
    </row>
    <row r="2155" spans="1:7" ht="16.149999999999999" x14ac:dyDescent="0.7">
      <c r="A2155" s="49">
        <v>44730.714935532407</v>
      </c>
      <c r="B2155" s="50" t="s">
        <v>30</v>
      </c>
      <c r="C2155" s="50" t="s">
        <v>365</v>
      </c>
      <c r="D2155" s="50" t="s">
        <v>261</v>
      </c>
      <c r="E2155" s="50">
        <v>0</v>
      </c>
      <c r="F2155" s="50">
        <v>0.65761070244566699</v>
      </c>
      <c r="G2155" s="51" t="str">
        <v>柴山 2022/07/02 (土)
休日午後</v>
      </c>
    </row>
    <row r="2156" spans="1:7" ht="16.149999999999999" x14ac:dyDescent="0.7">
      <c r="A2156" s="49">
        <v>44730.714935532407</v>
      </c>
      <c r="B2156" s="50" t="s">
        <v>30</v>
      </c>
      <c r="C2156" s="50" t="s">
        <v>366</v>
      </c>
      <c r="D2156" s="50" t="s">
        <v>263</v>
      </c>
      <c r="E2156" s="50">
        <v>0</v>
      </c>
      <c r="F2156" s="50">
        <v>0.84709125277542019</v>
      </c>
      <c r="G2156" s="51" t="str">
        <v>柴山 2022/07/02 (土)
休日午前</v>
      </c>
    </row>
    <row r="2157" spans="1:7" ht="16.149999999999999" x14ac:dyDescent="0.7">
      <c r="A2157" s="49">
        <v>44730.714935532407</v>
      </c>
      <c r="B2157" s="50" t="s">
        <v>30</v>
      </c>
      <c r="C2157" s="50" t="s">
        <v>367</v>
      </c>
      <c r="D2157" s="50" t="s">
        <v>261</v>
      </c>
      <c r="E2157" s="50">
        <v>-1</v>
      </c>
      <c r="F2157" s="50">
        <v>-0.39275976365744425</v>
      </c>
      <c r="G2157" s="51" t="str">
        <v>柴山 2022/07/03 (日)
休日午後</v>
      </c>
    </row>
    <row r="2158" spans="1:7" ht="16.149999999999999" x14ac:dyDescent="0.7">
      <c r="A2158" s="49">
        <v>44730.714935532407</v>
      </c>
      <c r="B2158" s="50" t="s">
        <v>30</v>
      </c>
      <c r="C2158" s="50" t="s">
        <v>368</v>
      </c>
      <c r="D2158" s="50" t="s">
        <v>263</v>
      </c>
      <c r="E2158" s="50">
        <v>0</v>
      </c>
      <c r="F2158" s="50">
        <v>0.49550367070100032</v>
      </c>
      <c r="G2158" s="51" t="str">
        <v>柴山 2022/07/03 (日)
休日午前</v>
      </c>
    </row>
    <row r="2159" spans="1:7" ht="16.149999999999999" x14ac:dyDescent="0.7">
      <c r="A2159" s="49">
        <v>44730.714935532407</v>
      </c>
      <c r="B2159" s="50" t="s">
        <v>30</v>
      </c>
      <c r="C2159" s="50" t="s">
        <v>369</v>
      </c>
      <c r="D2159" s="50" t="s">
        <v>259</v>
      </c>
      <c r="E2159" s="50">
        <v>0</v>
      </c>
      <c r="F2159" s="50">
        <v>8.6400264734816989E-2</v>
      </c>
      <c r="G2159" s="51" t="str">
        <v>柴山 2022/07/04 (月)
平日夜間</v>
      </c>
    </row>
    <row r="2160" spans="1:7" ht="16.149999999999999" x14ac:dyDescent="0.7">
      <c r="A2160" s="49">
        <v>44730.714935532407</v>
      </c>
      <c r="B2160" s="50" t="s">
        <v>30</v>
      </c>
      <c r="C2160" s="50" t="s">
        <v>370</v>
      </c>
      <c r="D2160" s="50" t="s">
        <v>259</v>
      </c>
      <c r="E2160" s="50">
        <v>0</v>
      </c>
      <c r="F2160" s="50">
        <v>0.58937944264403064</v>
      </c>
      <c r="G2160" s="51" t="str">
        <v>柴山 2022/07/05 (火)
平日夜間</v>
      </c>
    </row>
    <row r="2161" spans="1:7" ht="16.149999999999999" x14ac:dyDescent="0.7">
      <c r="A2161" s="49">
        <v>44730.714935532407</v>
      </c>
      <c r="B2161" s="50" t="s">
        <v>30</v>
      </c>
      <c r="C2161" s="50" t="s">
        <v>371</v>
      </c>
      <c r="D2161" s="50" t="s">
        <v>259</v>
      </c>
      <c r="E2161" s="50">
        <v>0</v>
      </c>
      <c r="F2161" s="50">
        <v>7.0593067877571913E-2</v>
      </c>
      <c r="G2161" s="51" t="str">
        <v>柴山 2022/07/06 (水)
平日夜間</v>
      </c>
    </row>
    <row r="2162" spans="1:7" ht="16.149999999999999" x14ac:dyDescent="0.7">
      <c r="A2162" s="49">
        <v>44730.714935532407</v>
      </c>
      <c r="B2162" s="50" t="s">
        <v>30</v>
      </c>
      <c r="C2162" s="50" t="s">
        <v>372</v>
      </c>
      <c r="D2162" s="50" t="s">
        <v>259</v>
      </c>
      <c r="E2162" s="50">
        <v>2</v>
      </c>
      <c r="F2162" s="50">
        <v>2.3485313494655515</v>
      </c>
      <c r="G2162" s="51" t="str">
        <v>柴山 2022/07/07 (木)
平日夜間</v>
      </c>
    </row>
    <row r="2163" spans="1:7" ht="16.149999999999999" x14ac:dyDescent="0.7">
      <c r="A2163" s="49">
        <v>44730.714935532407</v>
      </c>
      <c r="B2163" s="50" t="s">
        <v>30</v>
      </c>
      <c r="C2163" s="50" t="s">
        <v>373</v>
      </c>
      <c r="D2163" s="50" t="s">
        <v>259</v>
      </c>
      <c r="E2163" s="50">
        <v>-1</v>
      </c>
      <c r="F2163" s="50">
        <v>-0.17858915337111969</v>
      </c>
      <c r="G2163" s="51" t="str">
        <v>柴山 2022/07/08 (金)
平日夜間</v>
      </c>
    </row>
    <row r="2164" spans="1:7" ht="16.149999999999999" x14ac:dyDescent="0.7">
      <c r="A2164" s="49">
        <v>44730.714935532407</v>
      </c>
      <c r="B2164" s="50" t="s">
        <v>30</v>
      </c>
      <c r="C2164" s="50" t="s">
        <v>374</v>
      </c>
      <c r="D2164" s="50" t="s">
        <v>261</v>
      </c>
      <c r="E2164" s="50">
        <v>-1</v>
      </c>
      <c r="F2164" s="50">
        <v>-0.18975692415031875</v>
      </c>
      <c r="G2164" s="51" t="str">
        <v>柴山 2022/07/09 (土)
休日午後</v>
      </c>
    </row>
    <row r="2165" spans="1:7" ht="16.149999999999999" x14ac:dyDescent="0.7">
      <c r="A2165" s="49">
        <v>44730.714935532407</v>
      </c>
      <c r="B2165" s="50" t="s">
        <v>30</v>
      </c>
      <c r="C2165" s="50" t="s">
        <v>375</v>
      </c>
      <c r="D2165" s="50" t="s">
        <v>263</v>
      </c>
      <c r="E2165" s="50">
        <v>-1</v>
      </c>
      <c r="F2165" s="50">
        <v>-0.43211232399345656</v>
      </c>
      <c r="G2165" s="51" t="str">
        <v>柴山 2022/07/09 (土)
休日午前</v>
      </c>
    </row>
    <row r="2166" spans="1:7" ht="16.149999999999999" x14ac:dyDescent="0.7">
      <c r="A2166" s="49">
        <v>44730.714935532407</v>
      </c>
      <c r="B2166" s="50" t="s">
        <v>30</v>
      </c>
      <c r="C2166" s="50" t="s">
        <v>376</v>
      </c>
      <c r="D2166" s="50" t="s">
        <v>261</v>
      </c>
      <c r="E2166" s="50">
        <v>-1</v>
      </c>
      <c r="F2166" s="50">
        <v>-0.12076431598132986</v>
      </c>
      <c r="G2166" s="51" t="str">
        <v>柴山 2022/07/10 (日)
休日午後</v>
      </c>
    </row>
    <row r="2167" spans="1:7" ht="16.149999999999999" x14ac:dyDescent="0.7">
      <c r="A2167" s="49">
        <v>44730.714935532407</v>
      </c>
      <c r="B2167" s="50" t="s">
        <v>30</v>
      </c>
      <c r="C2167" s="50" t="s">
        <v>377</v>
      </c>
      <c r="D2167" s="50" t="s">
        <v>263</v>
      </c>
      <c r="E2167" s="50">
        <v>-1</v>
      </c>
      <c r="F2167" s="50">
        <v>-0.68623732851132502</v>
      </c>
      <c r="G2167" s="51" t="str">
        <v>柴山 2022/07/10 (日)
休日午前</v>
      </c>
    </row>
    <row r="2168" spans="1:7" ht="16.149999999999999" x14ac:dyDescent="0.7">
      <c r="A2168" s="49">
        <v>44730.714935532407</v>
      </c>
      <c r="B2168" s="50" t="s">
        <v>30</v>
      </c>
      <c r="C2168" s="50" t="s">
        <v>378</v>
      </c>
      <c r="D2168" s="50" t="s">
        <v>259</v>
      </c>
      <c r="E2168" s="50">
        <v>-1</v>
      </c>
      <c r="F2168" s="50">
        <v>-0.26034533413431138</v>
      </c>
      <c r="G2168" s="51" t="str">
        <v>柴山 2022/07/11 (月)
平日夜間</v>
      </c>
    </row>
    <row r="2169" spans="1:7" ht="16.149999999999999" x14ac:dyDescent="0.7">
      <c r="A2169" s="49">
        <v>44730.714935532407</v>
      </c>
      <c r="B2169" s="50" t="s">
        <v>30</v>
      </c>
      <c r="C2169" s="50" t="s">
        <v>379</v>
      </c>
      <c r="D2169" s="50" t="s">
        <v>259</v>
      </c>
      <c r="E2169" s="50">
        <v>0</v>
      </c>
      <c r="F2169" s="50">
        <v>0.62248250985562525</v>
      </c>
      <c r="G2169" s="51" t="str">
        <v>柴山 2022/07/12 (火)
平日夜間</v>
      </c>
    </row>
    <row r="2170" spans="1:7" ht="16.149999999999999" x14ac:dyDescent="0.7">
      <c r="A2170" s="49">
        <v>44730.714935532407</v>
      </c>
      <c r="B2170" s="50" t="s">
        <v>30</v>
      </c>
      <c r="C2170" s="50" t="s">
        <v>380</v>
      </c>
      <c r="D2170" s="50" t="s">
        <v>259</v>
      </c>
      <c r="E2170" s="50">
        <v>-1</v>
      </c>
      <c r="F2170" s="50">
        <v>-7.9770351954300933E-2</v>
      </c>
      <c r="G2170" s="51" t="str">
        <v>柴山 2022/07/13 (水)
平日夜間</v>
      </c>
    </row>
    <row r="2171" spans="1:7" ht="16.149999999999999" x14ac:dyDescent="0.7">
      <c r="A2171" s="49">
        <v>44730.714935532407</v>
      </c>
      <c r="B2171" s="50" t="s">
        <v>30</v>
      </c>
      <c r="C2171" s="50" t="s">
        <v>381</v>
      </c>
      <c r="D2171" s="50" t="s">
        <v>259</v>
      </c>
      <c r="E2171" s="50">
        <v>-1</v>
      </c>
      <c r="F2171" s="50">
        <v>-0.23248628494032775</v>
      </c>
      <c r="G2171" s="51" t="str">
        <v>柴山 2022/07/14 (木)
平日夜間</v>
      </c>
    </row>
    <row r="2172" spans="1:7" ht="16.149999999999999" x14ac:dyDescent="0.7">
      <c r="A2172" s="49">
        <v>44730.714935532407</v>
      </c>
      <c r="B2172" s="50" t="s">
        <v>30</v>
      </c>
      <c r="C2172" s="50" t="s">
        <v>382</v>
      </c>
      <c r="D2172" s="50" t="s">
        <v>259</v>
      </c>
      <c r="E2172" s="50">
        <v>0</v>
      </c>
      <c r="F2172" s="50">
        <v>0.336172160635412</v>
      </c>
      <c r="G2172" s="51" t="str">
        <v>柴山 2022/07/15 (金)
平日夜間</v>
      </c>
    </row>
    <row r="2173" spans="1:7" ht="16.149999999999999" x14ac:dyDescent="0.7">
      <c r="A2173" s="49">
        <v>44730.714935532407</v>
      </c>
      <c r="B2173" s="50" t="s">
        <v>30</v>
      </c>
      <c r="C2173" s="50" t="s">
        <v>383</v>
      </c>
      <c r="D2173" s="50" t="s">
        <v>261</v>
      </c>
      <c r="E2173" s="50">
        <v>-1</v>
      </c>
      <c r="F2173" s="50">
        <v>-0.28953707370690496</v>
      </c>
      <c r="G2173" s="51" t="str">
        <v>柴山 2022/07/16 (土)
休日午後</v>
      </c>
    </row>
    <row r="2174" spans="1:7" ht="16.149999999999999" x14ac:dyDescent="0.7">
      <c r="A2174" s="49">
        <v>44730.714935532407</v>
      </c>
      <c r="B2174" s="50" t="s">
        <v>30</v>
      </c>
      <c r="C2174" s="50" t="s">
        <v>384</v>
      </c>
      <c r="D2174" s="50" t="s">
        <v>263</v>
      </c>
      <c r="E2174" s="50">
        <v>-1</v>
      </c>
      <c r="F2174" s="50">
        <v>-0.87759190186115443</v>
      </c>
      <c r="G2174" s="51" t="str">
        <v>柴山 2022/07/16 (土)
休日午前</v>
      </c>
    </row>
    <row r="2175" spans="1:7" ht="16.149999999999999" x14ac:dyDescent="0.7">
      <c r="A2175" s="49">
        <v>44730.714935532407</v>
      </c>
      <c r="B2175" s="50" t="s">
        <v>30</v>
      </c>
      <c r="C2175" s="50" t="s">
        <v>385</v>
      </c>
      <c r="D2175" s="50" t="s">
        <v>261</v>
      </c>
      <c r="E2175" s="50">
        <v>-1</v>
      </c>
      <c r="F2175" s="50">
        <v>-0.65300858195497113</v>
      </c>
      <c r="G2175" s="51" t="str">
        <v>柴山 2022/07/17 (日)
休日午後</v>
      </c>
    </row>
    <row r="2176" spans="1:7" ht="16.149999999999999" x14ac:dyDescent="0.7">
      <c r="A2176" s="49">
        <v>44730.714935532407</v>
      </c>
      <c r="B2176" s="50" t="s">
        <v>30</v>
      </c>
      <c r="C2176" s="50" t="s">
        <v>386</v>
      </c>
      <c r="D2176" s="50" t="s">
        <v>263</v>
      </c>
      <c r="E2176" s="50">
        <v>0</v>
      </c>
      <c r="F2176" s="50">
        <v>6.6583959264270298E-2</v>
      </c>
      <c r="G2176" s="51" t="str">
        <v>柴山 2022/07/17 (日)
休日午前</v>
      </c>
    </row>
    <row r="2177" spans="1:7" ht="16.149999999999999" x14ac:dyDescent="0.7">
      <c r="A2177" s="49">
        <v>44730.714935532407</v>
      </c>
      <c r="B2177" s="50" t="s">
        <v>30</v>
      </c>
      <c r="C2177" s="50" t="s">
        <v>404</v>
      </c>
      <c r="D2177" s="50" t="s">
        <v>261</v>
      </c>
      <c r="E2177" s="50">
        <v>0</v>
      </c>
      <c r="F2177" s="50">
        <v>0.20883332684603606</v>
      </c>
      <c r="G2177" s="51" t="str">
        <v>柴山 2022/07/18 (月)
休日午後</v>
      </c>
    </row>
    <row r="2178" spans="1:7" ht="16.149999999999999" x14ac:dyDescent="0.7">
      <c r="A2178" s="49">
        <v>44730.714935532407</v>
      </c>
      <c r="B2178" s="50" t="s">
        <v>30</v>
      </c>
      <c r="C2178" s="50" t="s">
        <v>405</v>
      </c>
      <c r="D2178" s="50" t="s">
        <v>263</v>
      </c>
      <c r="E2178" s="50">
        <v>0</v>
      </c>
      <c r="F2178" s="50">
        <v>0.52803359131730976</v>
      </c>
      <c r="G2178" s="51" t="str">
        <v>柴山 2022/07/18 (月)
休日午前</v>
      </c>
    </row>
    <row r="2179" spans="1:7" ht="16.149999999999999" x14ac:dyDescent="0.7">
      <c r="A2179" s="49">
        <v>44730.714935532407</v>
      </c>
      <c r="B2179" s="50" t="s">
        <v>30</v>
      </c>
      <c r="C2179" s="50" t="s">
        <v>387</v>
      </c>
      <c r="D2179" s="50" t="s">
        <v>259</v>
      </c>
      <c r="E2179" s="50">
        <v>0</v>
      </c>
      <c r="F2179" s="50">
        <v>0.35895704186974853</v>
      </c>
      <c r="G2179" s="51" t="str">
        <v>柴山 2022/07/19 (火)
平日夜間</v>
      </c>
    </row>
    <row r="2180" spans="1:7" ht="16.149999999999999" x14ac:dyDescent="0.7">
      <c r="A2180" s="49">
        <v>44730.714935532407</v>
      </c>
      <c r="B2180" s="50" t="s">
        <v>30</v>
      </c>
      <c r="C2180" s="50" t="s">
        <v>388</v>
      </c>
      <c r="D2180" s="50" t="s">
        <v>259</v>
      </c>
      <c r="E2180" s="50">
        <v>0</v>
      </c>
      <c r="F2180" s="50">
        <v>0.17331603299821441</v>
      </c>
      <c r="G2180" s="51" t="str">
        <v>柴山 2022/07/20 (水)
平日夜間</v>
      </c>
    </row>
    <row r="2181" spans="1:7" ht="16.149999999999999" x14ac:dyDescent="0.7">
      <c r="A2181" s="49">
        <v>44730.714935532407</v>
      </c>
      <c r="B2181" s="50" t="s">
        <v>30</v>
      </c>
      <c r="C2181" s="50" t="s">
        <v>389</v>
      </c>
      <c r="D2181" s="50" t="s">
        <v>259</v>
      </c>
      <c r="E2181" s="50">
        <v>0</v>
      </c>
      <c r="F2181" s="50">
        <v>0.62113319743415696</v>
      </c>
      <c r="G2181" s="51" t="str">
        <v>柴山 2022/07/21 (木)
平日夜間</v>
      </c>
    </row>
    <row r="2182" spans="1:7" ht="16.149999999999999" x14ac:dyDescent="0.7">
      <c r="A2182" s="49">
        <v>44730.714935532407</v>
      </c>
      <c r="B2182" s="50" t="s">
        <v>30</v>
      </c>
      <c r="C2182" s="50" t="s">
        <v>390</v>
      </c>
      <c r="D2182" s="50" t="s">
        <v>259</v>
      </c>
      <c r="E2182" s="50">
        <v>0</v>
      </c>
      <c r="F2182" s="50">
        <v>0.4094291755698507</v>
      </c>
      <c r="G2182" s="51" t="str">
        <v>柴山 2022/07/22 (金)
平日夜間</v>
      </c>
    </row>
    <row r="2183" spans="1:7" ht="16.149999999999999" x14ac:dyDescent="0.7">
      <c r="A2183" s="49">
        <v>44730.714935532407</v>
      </c>
      <c r="B2183" s="50" t="s">
        <v>30</v>
      </c>
      <c r="C2183" s="50" t="s">
        <v>391</v>
      </c>
      <c r="D2183" s="50" t="s">
        <v>261</v>
      </c>
      <c r="E2183" s="50">
        <v>-1</v>
      </c>
      <c r="F2183" s="50">
        <v>-0.3019392782225474</v>
      </c>
      <c r="G2183" s="51" t="str">
        <v>柴山 2022/07/23 (土)
休日午後</v>
      </c>
    </row>
    <row r="2184" spans="1:7" ht="16.149999999999999" x14ac:dyDescent="0.7">
      <c r="A2184" s="49">
        <v>44730.714935532407</v>
      </c>
      <c r="B2184" s="50" t="s">
        <v>30</v>
      </c>
      <c r="C2184" s="50" t="s">
        <v>392</v>
      </c>
      <c r="D2184" s="50" t="s">
        <v>263</v>
      </c>
      <c r="E2184" s="50">
        <v>-1</v>
      </c>
      <c r="F2184" s="50">
        <v>-0.89379156525900583</v>
      </c>
      <c r="G2184" s="51" t="str">
        <v>柴山 2022/07/23 (土)
休日午前</v>
      </c>
    </row>
    <row r="2185" spans="1:7" ht="16.149999999999999" x14ac:dyDescent="0.7">
      <c r="A2185" s="49">
        <v>44730.714935532407</v>
      </c>
      <c r="B2185" s="50" t="s">
        <v>30</v>
      </c>
      <c r="C2185" s="50" t="s">
        <v>393</v>
      </c>
      <c r="D2185" s="50" t="s">
        <v>261</v>
      </c>
      <c r="E2185" s="50">
        <v>-1</v>
      </c>
      <c r="F2185" s="50">
        <v>-0.34042385153998089</v>
      </c>
      <c r="G2185" s="51" t="str">
        <v>柴山 2022/07/24 (日)
休日午後</v>
      </c>
    </row>
    <row r="2186" spans="1:7" ht="16.149999999999999" x14ac:dyDescent="0.7">
      <c r="A2186" s="49">
        <v>44730.714935532407</v>
      </c>
      <c r="B2186" s="50" t="s">
        <v>30</v>
      </c>
      <c r="C2186" s="50" t="s">
        <v>394</v>
      </c>
      <c r="D2186" s="50" t="s">
        <v>263</v>
      </c>
      <c r="E2186" s="50">
        <v>-1</v>
      </c>
      <c r="F2186" s="50">
        <v>-0.14453000458136733</v>
      </c>
      <c r="G2186" s="51" t="str">
        <v>柴山 2022/07/24 (日)
休日午前</v>
      </c>
    </row>
    <row r="2187" spans="1:7" ht="16.149999999999999" x14ac:dyDescent="0.7">
      <c r="A2187" s="49">
        <v>44730.714935532407</v>
      </c>
      <c r="B2187" s="50" t="s">
        <v>30</v>
      </c>
      <c r="C2187" s="50" t="s">
        <v>395</v>
      </c>
      <c r="D2187" s="50" t="s">
        <v>259</v>
      </c>
      <c r="E2187" s="50">
        <v>-1</v>
      </c>
      <c r="F2187" s="50">
        <v>-0.41374756125613454</v>
      </c>
      <c r="G2187" s="51" t="str">
        <v>柴山 2022/07/25 (月)
平日夜間</v>
      </c>
    </row>
    <row r="2188" spans="1:7" ht="16.149999999999999" x14ac:dyDescent="0.7">
      <c r="A2188" s="49">
        <v>44730.714935532407</v>
      </c>
      <c r="B2188" s="50" t="s">
        <v>30</v>
      </c>
      <c r="C2188" s="50" t="s">
        <v>396</v>
      </c>
      <c r="D2188" s="50" t="s">
        <v>259</v>
      </c>
      <c r="E2188" s="50">
        <v>0</v>
      </c>
      <c r="F2188" s="50">
        <v>0.47715595593697557</v>
      </c>
      <c r="G2188" s="51" t="str">
        <v>柴山 2022/07/26 (火)
平日夜間</v>
      </c>
    </row>
    <row r="2189" spans="1:7" ht="16.149999999999999" x14ac:dyDescent="0.7">
      <c r="A2189" s="49">
        <v>44730.714935532407</v>
      </c>
      <c r="B2189" s="50" t="s">
        <v>30</v>
      </c>
      <c r="C2189" s="50" t="s">
        <v>397</v>
      </c>
      <c r="D2189" s="50" t="s">
        <v>259</v>
      </c>
      <c r="E2189" s="50">
        <v>0</v>
      </c>
      <c r="F2189" s="50">
        <v>0.78621925668195325</v>
      </c>
      <c r="G2189" s="51" t="str">
        <v>柴山 2022/07/27 (水)
平日夜間</v>
      </c>
    </row>
    <row r="2190" spans="1:7" ht="16.149999999999999" x14ac:dyDescent="0.7">
      <c r="A2190" s="49">
        <v>44730.714935532407</v>
      </c>
      <c r="B2190" s="50" t="s">
        <v>30</v>
      </c>
      <c r="C2190" s="50" t="s">
        <v>398</v>
      </c>
      <c r="D2190" s="50" t="s">
        <v>259</v>
      </c>
      <c r="E2190" s="50">
        <v>0</v>
      </c>
      <c r="F2190" s="50">
        <v>0.92837969902278394</v>
      </c>
      <c r="G2190" s="51" t="str">
        <v>柴山 2022/07/28 (木)
平日夜間</v>
      </c>
    </row>
    <row r="2191" spans="1:7" ht="16.149999999999999" x14ac:dyDescent="0.7">
      <c r="A2191" s="49">
        <v>44730.714935532407</v>
      </c>
      <c r="B2191" s="50" t="s">
        <v>30</v>
      </c>
      <c r="C2191" s="50" t="s">
        <v>399</v>
      </c>
      <c r="D2191" s="50" t="s">
        <v>259</v>
      </c>
      <c r="E2191" s="50">
        <v>0</v>
      </c>
      <c r="F2191" s="50">
        <v>0.83655285219652842</v>
      </c>
      <c r="G2191" s="51" t="str">
        <v>柴山 2022/07/29 (金)
平日夜間</v>
      </c>
    </row>
    <row r="2192" spans="1:7" ht="16.149999999999999" x14ac:dyDescent="0.7">
      <c r="A2192" s="49">
        <v>44730.714935532407</v>
      </c>
      <c r="B2192" s="50" t="s">
        <v>30</v>
      </c>
      <c r="C2192" s="50" t="s">
        <v>400</v>
      </c>
      <c r="D2192" s="50" t="s">
        <v>261</v>
      </c>
      <c r="E2192" s="50">
        <v>-1</v>
      </c>
      <c r="F2192" s="50">
        <v>-6.694249419625109E-2</v>
      </c>
      <c r="G2192" s="51" t="str">
        <v>柴山 2022/07/30 (土)
休日午後</v>
      </c>
    </row>
    <row r="2193" spans="1:7" ht="16.149999999999999" x14ac:dyDescent="0.7">
      <c r="A2193" s="49">
        <v>44730.714935532407</v>
      </c>
      <c r="B2193" s="50" t="s">
        <v>30</v>
      </c>
      <c r="C2193" s="50" t="s">
        <v>401</v>
      </c>
      <c r="D2193" s="50" t="s">
        <v>263</v>
      </c>
      <c r="E2193" s="50">
        <v>-1</v>
      </c>
      <c r="F2193" s="50">
        <v>-0.43481675759927918</v>
      </c>
      <c r="G2193" s="51" t="str">
        <v>柴山 2022/07/30 (土)
休日午前</v>
      </c>
    </row>
    <row r="2194" spans="1:7" ht="16.149999999999999" x14ac:dyDescent="0.7">
      <c r="A2194" s="49">
        <v>44730.714935532407</v>
      </c>
      <c r="B2194" s="50" t="s">
        <v>30</v>
      </c>
      <c r="C2194" s="50" t="s">
        <v>402</v>
      </c>
      <c r="D2194" s="50" t="s">
        <v>261</v>
      </c>
      <c r="E2194" s="50">
        <v>-1</v>
      </c>
      <c r="F2194" s="50">
        <v>-0.95804064962514524</v>
      </c>
      <c r="G2194" s="51" t="str">
        <v>柴山 2022/07/31 (日)
休日午後</v>
      </c>
    </row>
    <row r="2195" spans="1:7" ht="16.149999999999999" x14ac:dyDescent="0.7">
      <c r="A2195" s="49">
        <v>44730.714935532407</v>
      </c>
      <c r="B2195" s="50" t="s">
        <v>30</v>
      </c>
      <c r="C2195" s="50" t="s">
        <v>403</v>
      </c>
      <c r="D2195" s="50" t="s">
        <v>263</v>
      </c>
      <c r="E2195" s="50">
        <v>0</v>
      </c>
      <c r="F2195" s="50">
        <v>0.43235445808014905</v>
      </c>
      <c r="G2195" s="51" t="str">
        <v>柴山 2022/07/31 (日)
休日午前</v>
      </c>
    </row>
    <row r="2196" spans="1:7" ht="16.149999999999999" x14ac:dyDescent="0.7">
      <c r="A2196" s="49">
        <v>44731.030918495366</v>
      </c>
      <c r="B2196" s="50" t="s">
        <v>8</v>
      </c>
      <c r="C2196" s="50" t="s">
        <v>364</v>
      </c>
      <c r="D2196" s="50" t="s">
        <v>259</v>
      </c>
      <c r="E2196" s="50">
        <v>0</v>
      </c>
      <c r="F2196" s="50">
        <v>0.41193012122282613</v>
      </c>
      <c r="G2196" s="51" t="str">
        <v>宗 2022/07/01 (金)
平日夜間</v>
      </c>
    </row>
    <row r="2197" spans="1:7" ht="16.149999999999999" x14ac:dyDescent="0.7">
      <c r="A2197" s="49">
        <v>44731.030918495366</v>
      </c>
      <c r="B2197" s="50" t="s">
        <v>8</v>
      </c>
      <c r="C2197" s="50" t="s">
        <v>365</v>
      </c>
      <c r="D2197" s="50" t="s">
        <v>261</v>
      </c>
      <c r="E2197" s="50">
        <v>0</v>
      </c>
      <c r="F2197" s="50">
        <v>0.41880325420394238</v>
      </c>
      <c r="G2197" s="51" t="str">
        <v>宗 2022/07/02 (土)
休日午後</v>
      </c>
    </row>
    <row r="2198" spans="1:7" ht="16.149999999999999" x14ac:dyDescent="0.7">
      <c r="A2198" s="49">
        <v>44731.030918495366</v>
      </c>
      <c r="B2198" s="50" t="s">
        <v>8</v>
      </c>
      <c r="C2198" s="50" t="s">
        <v>366</v>
      </c>
      <c r="D2198" s="50" t="s">
        <v>263</v>
      </c>
      <c r="E2198" s="50">
        <v>0</v>
      </c>
      <c r="F2198" s="50">
        <v>0.33745166635795276</v>
      </c>
      <c r="G2198" s="51" t="str">
        <v>宗 2022/07/02 (土)
休日午前</v>
      </c>
    </row>
    <row r="2199" spans="1:7" ht="16.149999999999999" x14ac:dyDescent="0.7">
      <c r="A2199" s="49">
        <v>44731.030918495366</v>
      </c>
      <c r="B2199" s="50" t="s">
        <v>8</v>
      </c>
      <c r="C2199" s="50" t="s">
        <v>367</v>
      </c>
      <c r="D2199" s="50" t="s">
        <v>261</v>
      </c>
      <c r="E2199" s="50">
        <v>0</v>
      </c>
      <c r="F2199" s="50">
        <v>0.18265727637542373</v>
      </c>
      <c r="G2199" s="51" t="str">
        <v>宗 2022/07/03 (日)
休日午後</v>
      </c>
    </row>
    <row r="2200" spans="1:7" ht="16.149999999999999" x14ac:dyDescent="0.7">
      <c r="A2200" s="49">
        <v>44731.030918495366</v>
      </c>
      <c r="B2200" s="50" t="s">
        <v>8</v>
      </c>
      <c r="C2200" s="50" t="s">
        <v>368</v>
      </c>
      <c r="D2200" s="50" t="s">
        <v>263</v>
      </c>
      <c r="E2200" s="50">
        <v>0</v>
      </c>
      <c r="F2200" s="50">
        <v>6.1530375194486453E-2</v>
      </c>
      <c r="G2200" s="51" t="str">
        <v>宗 2022/07/03 (日)
休日午前</v>
      </c>
    </row>
    <row r="2201" spans="1:7" ht="16.149999999999999" x14ac:dyDescent="0.7">
      <c r="A2201" s="49">
        <v>44731.030918495366</v>
      </c>
      <c r="B2201" s="50" t="s">
        <v>8</v>
      </c>
      <c r="C2201" s="50" t="s">
        <v>369</v>
      </c>
      <c r="D2201" s="50" t="s">
        <v>259</v>
      </c>
      <c r="E2201" s="50">
        <v>1</v>
      </c>
      <c r="F2201" s="50">
        <v>1.9638668111242468</v>
      </c>
      <c r="G2201" s="51" t="str">
        <v>宗 2022/07/04 (月)
平日夜間</v>
      </c>
    </row>
    <row r="2202" spans="1:7" ht="16.149999999999999" x14ac:dyDescent="0.7">
      <c r="A2202" s="49">
        <v>44731.030918495366</v>
      </c>
      <c r="B2202" s="50" t="s">
        <v>8</v>
      </c>
      <c r="C2202" s="50" t="s">
        <v>370</v>
      </c>
      <c r="D2202" s="50" t="s">
        <v>259</v>
      </c>
      <c r="E2202" s="50">
        <v>0</v>
      </c>
      <c r="F2202" s="50">
        <v>0.12841701164662411</v>
      </c>
      <c r="G2202" s="51" t="str">
        <v>宗 2022/07/05 (火)
平日夜間</v>
      </c>
    </row>
    <row r="2203" spans="1:7" ht="16.149999999999999" x14ac:dyDescent="0.7">
      <c r="A2203" s="49">
        <v>44731.030918495366</v>
      </c>
      <c r="B2203" s="50" t="s">
        <v>8</v>
      </c>
      <c r="C2203" s="50" t="s">
        <v>371</v>
      </c>
      <c r="D2203" s="50" t="s">
        <v>259</v>
      </c>
      <c r="E2203" s="50">
        <v>0</v>
      </c>
      <c r="F2203" s="50">
        <v>0.82219684315171127</v>
      </c>
      <c r="G2203" s="51" t="str">
        <v>宗 2022/07/06 (水)
平日夜間</v>
      </c>
    </row>
    <row r="2204" spans="1:7" ht="16.149999999999999" x14ac:dyDescent="0.7">
      <c r="A2204" s="49">
        <v>44731.030918495366</v>
      </c>
      <c r="B2204" s="50" t="s">
        <v>8</v>
      </c>
      <c r="C2204" s="50" t="s">
        <v>372</v>
      </c>
      <c r="D2204" s="50" t="s">
        <v>259</v>
      </c>
      <c r="E2204" s="50">
        <v>0</v>
      </c>
      <c r="F2204" s="50">
        <v>0.49020726226957478</v>
      </c>
      <c r="G2204" s="51" t="str">
        <v>宗 2022/07/07 (木)
平日夜間</v>
      </c>
    </row>
    <row r="2205" spans="1:7" ht="16.149999999999999" x14ac:dyDescent="0.7">
      <c r="A2205" s="49">
        <v>44731.030918495366</v>
      </c>
      <c r="B2205" s="50" t="s">
        <v>8</v>
      </c>
      <c r="C2205" s="50" t="s">
        <v>373</v>
      </c>
      <c r="D2205" s="50" t="s">
        <v>259</v>
      </c>
      <c r="E2205" s="50">
        <v>0</v>
      </c>
      <c r="F2205" s="50">
        <v>0.27465294734195811</v>
      </c>
      <c r="G2205" s="51" t="str">
        <v>宗 2022/07/08 (金)
平日夜間</v>
      </c>
    </row>
    <row r="2206" spans="1:7" ht="16.149999999999999" x14ac:dyDescent="0.7">
      <c r="A2206" s="49">
        <v>44731.030918495366</v>
      </c>
      <c r="B2206" s="50" t="s">
        <v>8</v>
      </c>
      <c r="C2206" s="50" t="s">
        <v>374</v>
      </c>
      <c r="D2206" s="50" t="s">
        <v>261</v>
      </c>
      <c r="E2206" s="50">
        <v>0</v>
      </c>
      <c r="F2206" s="50">
        <v>0.11458401247619454</v>
      </c>
      <c r="G2206" s="51" t="str">
        <v>宗 2022/07/09 (土)
休日午後</v>
      </c>
    </row>
    <row r="2207" spans="1:7" ht="16.149999999999999" x14ac:dyDescent="0.7">
      <c r="A2207" s="49">
        <v>44731.030918495366</v>
      </c>
      <c r="B2207" s="50" t="s">
        <v>8</v>
      </c>
      <c r="C2207" s="50" t="s">
        <v>375</v>
      </c>
      <c r="D2207" s="50" t="s">
        <v>263</v>
      </c>
      <c r="E2207" s="50">
        <v>0</v>
      </c>
      <c r="F2207" s="50">
        <v>2.3551969421555574E-2</v>
      </c>
      <c r="G2207" s="51" t="str">
        <v>宗 2022/07/09 (土)
休日午前</v>
      </c>
    </row>
    <row r="2208" spans="1:7" ht="16.149999999999999" x14ac:dyDescent="0.7">
      <c r="A2208" s="49">
        <v>44731.030918495366</v>
      </c>
      <c r="B2208" s="50" t="s">
        <v>8</v>
      </c>
      <c r="C2208" s="50" t="s">
        <v>376</v>
      </c>
      <c r="D2208" s="50" t="s">
        <v>261</v>
      </c>
      <c r="E2208" s="50">
        <v>0</v>
      </c>
      <c r="F2208" s="50">
        <v>8.071164984064283E-2</v>
      </c>
      <c r="G2208" s="51" t="str">
        <v>宗 2022/07/10 (日)
休日午後</v>
      </c>
    </row>
    <row r="2209" spans="1:7" ht="16.149999999999999" x14ac:dyDescent="0.7">
      <c r="A2209" s="49">
        <v>44731.030918495366</v>
      </c>
      <c r="B2209" s="50" t="s">
        <v>8</v>
      </c>
      <c r="C2209" s="50" t="s">
        <v>377</v>
      </c>
      <c r="D2209" s="50" t="s">
        <v>263</v>
      </c>
      <c r="E2209" s="50">
        <v>2</v>
      </c>
      <c r="F2209" s="50">
        <v>2.428722317596705</v>
      </c>
      <c r="G2209" s="51" t="str">
        <v>宗 2022/07/10 (日)
休日午前</v>
      </c>
    </row>
    <row r="2210" spans="1:7" ht="16.149999999999999" x14ac:dyDescent="0.7">
      <c r="A2210" s="49">
        <v>44731.030918495366</v>
      </c>
      <c r="B2210" s="50" t="s">
        <v>8</v>
      </c>
      <c r="C2210" s="50" t="s">
        <v>378</v>
      </c>
      <c r="D2210" s="50" t="s">
        <v>259</v>
      </c>
      <c r="E2210" s="50">
        <v>0</v>
      </c>
      <c r="F2210" s="50">
        <v>0.28087058596091841</v>
      </c>
      <c r="G2210" s="51" t="str">
        <v>宗 2022/07/11 (月)
平日夜間</v>
      </c>
    </row>
    <row r="2211" spans="1:7" ht="16.149999999999999" x14ac:dyDescent="0.7">
      <c r="A2211" s="49">
        <v>44731.030918495366</v>
      </c>
      <c r="B2211" s="50" t="s">
        <v>8</v>
      </c>
      <c r="C2211" s="50" t="s">
        <v>379</v>
      </c>
      <c r="D2211" s="50" t="s">
        <v>259</v>
      </c>
      <c r="E2211" s="50">
        <v>0</v>
      </c>
      <c r="F2211" s="50">
        <v>0.61591992475293433</v>
      </c>
      <c r="G2211" s="51" t="str">
        <v>宗 2022/07/12 (火)
平日夜間</v>
      </c>
    </row>
    <row r="2212" spans="1:7" ht="16.149999999999999" x14ac:dyDescent="0.7">
      <c r="A2212" s="49">
        <v>44731.030918495366</v>
      </c>
      <c r="B2212" s="50" t="s">
        <v>8</v>
      </c>
      <c r="C2212" s="50" t="s">
        <v>380</v>
      </c>
      <c r="D2212" s="50" t="s">
        <v>259</v>
      </c>
      <c r="E2212" s="50">
        <v>0</v>
      </c>
      <c r="F2212" s="50">
        <v>1.9619092022163498E-2</v>
      </c>
      <c r="G2212" s="51" t="str">
        <v>宗 2022/07/13 (水)
平日夜間</v>
      </c>
    </row>
    <row r="2213" spans="1:7" ht="16.149999999999999" x14ac:dyDescent="0.7">
      <c r="A2213" s="49">
        <v>44731.030918495366</v>
      </c>
      <c r="B2213" s="50" t="s">
        <v>8</v>
      </c>
      <c r="C2213" s="50" t="s">
        <v>381</v>
      </c>
      <c r="D2213" s="50" t="s">
        <v>259</v>
      </c>
      <c r="E2213" s="50">
        <v>0</v>
      </c>
      <c r="F2213" s="50">
        <v>0.54805017490505992</v>
      </c>
      <c r="G2213" s="51" t="str">
        <v>宗 2022/07/14 (木)
平日夜間</v>
      </c>
    </row>
    <row r="2214" spans="1:7" ht="16.149999999999999" x14ac:dyDescent="0.7">
      <c r="A2214" s="49">
        <v>44731.030918495366</v>
      </c>
      <c r="B2214" s="50" t="s">
        <v>8</v>
      </c>
      <c r="C2214" s="50" t="s">
        <v>382</v>
      </c>
      <c r="D2214" s="50" t="s">
        <v>259</v>
      </c>
      <c r="E2214" s="50">
        <v>-1</v>
      </c>
      <c r="F2214" s="50">
        <v>-0.238756025369387</v>
      </c>
      <c r="G2214" s="51" t="str">
        <v>宗 2022/07/15 (金)
平日夜間</v>
      </c>
    </row>
    <row r="2215" spans="1:7" ht="16.149999999999999" x14ac:dyDescent="0.7">
      <c r="A2215" s="49">
        <v>44731.030918495366</v>
      </c>
      <c r="B2215" s="50" t="s">
        <v>8</v>
      </c>
      <c r="C2215" s="50" t="s">
        <v>383</v>
      </c>
      <c r="D2215" s="50" t="s">
        <v>261</v>
      </c>
      <c r="E2215" s="50">
        <v>-1</v>
      </c>
      <c r="F2215" s="50">
        <v>-0.41637263810746061</v>
      </c>
      <c r="G2215" s="51" t="str">
        <v>宗 2022/07/16 (土)
休日午後</v>
      </c>
    </row>
    <row r="2216" spans="1:7" ht="16.149999999999999" x14ac:dyDescent="0.7">
      <c r="A2216" s="49">
        <v>44731.030918495366</v>
      </c>
      <c r="B2216" s="50" t="s">
        <v>8</v>
      </c>
      <c r="C2216" s="50" t="s">
        <v>384</v>
      </c>
      <c r="D2216" s="50" t="s">
        <v>263</v>
      </c>
      <c r="E2216" s="50">
        <v>-1</v>
      </c>
      <c r="F2216" s="50">
        <v>-0.50108835795721718</v>
      </c>
      <c r="G2216" s="51" t="str">
        <v>宗 2022/07/16 (土)
休日午前</v>
      </c>
    </row>
    <row r="2217" spans="1:7" ht="16.149999999999999" x14ac:dyDescent="0.7">
      <c r="A2217" s="49">
        <v>44731.030918495366</v>
      </c>
      <c r="B2217" s="50" t="s">
        <v>8</v>
      </c>
      <c r="C2217" s="50" t="s">
        <v>385</v>
      </c>
      <c r="D2217" s="50" t="s">
        <v>261</v>
      </c>
      <c r="E2217" s="50">
        <v>-1</v>
      </c>
      <c r="F2217" s="50">
        <v>-0.19813602027456367</v>
      </c>
      <c r="G2217" s="51" t="str">
        <v>宗 2022/07/17 (日)
休日午後</v>
      </c>
    </row>
    <row r="2218" spans="1:7" ht="16.149999999999999" x14ac:dyDescent="0.7">
      <c r="A2218" s="49">
        <v>44731.030918495366</v>
      </c>
      <c r="B2218" s="50" t="s">
        <v>8</v>
      </c>
      <c r="C2218" s="50" t="s">
        <v>386</v>
      </c>
      <c r="D2218" s="50" t="s">
        <v>263</v>
      </c>
      <c r="E2218" s="50">
        <v>-1</v>
      </c>
      <c r="F2218" s="50">
        <v>-0.24879215163051671</v>
      </c>
      <c r="G2218" s="51" t="str">
        <v>宗 2022/07/17 (日)
休日午前</v>
      </c>
    </row>
    <row r="2219" spans="1:7" ht="16.149999999999999" x14ac:dyDescent="0.7">
      <c r="A2219" s="49">
        <v>44731.030918495366</v>
      </c>
      <c r="B2219" s="50" t="s">
        <v>8</v>
      </c>
      <c r="C2219" s="50" t="s">
        <v>404</v>
      </c>
      <c r="D2219" s="50" t="s">
        <v>261</v>
      </c>
      <c r="E2219" s="50">
        <v>0</v>
      </c>
      <c r="F2219" s="50">
        <v>0.34014430426309206</v>
      </c>
      <c r="G2219" s="51" t="str">
        <v>宗 2022/07/18 (月)
休日午後</v>
      </c>
    </row>
    <row r="2220" spans="1:7" ht="16.149999999999999" x14ac:dyDescent="0.7">
      <c r="A2220" s="49">
        <v>44731.030918495366</v>
      </c>
      <c r="B2220" s="50" t="s">
        <v>8</v>
      </c>
      <c r="C2220" s="50" t="s">
        <v>405</v>
      </c>
      <c r="D2220" s="50" t="s">
        <v>263</v>
      </c>
      <c r="E2220" s="50">
        <v>-1</v>
      </c>
      <c r="F2220" s="50">
        <v>-0.37095693684900843</v>
      </c>
      <c r="G2220" s="51" t="str">
        <v>宗 2022/07/18 (月)
休日午前</v>
      </c>
    </row>
    <row r="2221" spans="1:7" ht="16.149999999999999" x14ac:dyDescent="0.7">
      <c r="A2221" s="49">
        <v>44731.030918495366</v>
      </c>
      <c r="B2221" s="50" t="s">
        <v>8</v>
      </c>
      <c r="C2221" s="50" t="s">
        <v>387</v>
      </c>
      <c r="D2221" s="50" t="s">
        <v>259</v>
      </c>
      <c r="E2221" s="50">
        <v>0</v>
      </c>
      <c r="F2221" s="50">
        <v>0.35896965022824223</v>
      </c>
      <c r="G2221" s="51" t="str">
        <v>宗 2022/07/19 (火)
平日夜間</v>
      </c>
    </row>
    <row r="2222" spans="1:7" ht="16.149999999999999" x14ac:dyDescent="0.7">
      <c r="A2222" s="49">
        <v>44731.030918495366</v>
      </c>
      <c r="B2222" s="50" t="s">
        <v>8</v>
      </c>
      <c r="C2222" s="50" t="s">
        <v>388</v>
      </c>
      <c r="D2222" s="50" t="s">
        <v>259</v>
      </c>
      <c r="E2222" s="50">
        <v>0</v>
      </c>
      <c r="F2222" s="50">
        <v>0.98957740591534549</v>
      </c>
      <c r="G2222" s="51" t="str">
        <v>宗 2022/07/20 (水)
平日夜間</v>
      </c>
    </row>
    <row r="2223" spans="1:7" ht="16.149999999999999" x14ac:dyDescent="0.7">
      <c r="A2223" s="49">
        <v>44731.030918495366</v>
      </c>
      <c r="B2223" s="50" t="s">
        <v>8</v>
      </c>
      <c r="C2223" s="50" t="s">
        <v>389</v>
      </c>
      <c r="D2223" s="50" t="s">
        <v>259</v>
      </c>
      <c r="E2223" s="50">
        <v>0</v>
      </c>
      <c r="F2223" s="50">
        <v>0.31689643467292816</v>
      </c>
      <c r="G2223" s="51" t="str">
        <v>宗 2022/07/21 (木)
平日夜間</v>
      </c>
    </row>
    <row r="2224" spans="1:7" ht="16.149999999999999" x14ac:dyDescent="0.7">
      <c r="A2224" s="49">
        <v>44731.030918495366</v>
      </c>
      <c r="B2224" s="50" t="s">
        <v>8</v>
      </c>
      <c r="C2224" s="50" t="s">
        <v>390</v>
      </c>
      <c r="D2224" s="50" t="s">
        <v>259</v>
      </c>
      <c r="E2224" s="50">
        <v>0</v>
      </c>
      <c r="F2224" s="50">
        <v>0.26605676506179021</v>
      </c>
      <c r="G2224" s="51" t="str">
        <v>宗 2022/07/22 (金)
平日夜間</v>
      </c>
    </row>
    <row r="2225" spans="1:7" ht="16.149999999999999" x14ac:dyDescent="0.7">
      <c r="A2225" s="49">
        <v>44731.030918495366</v>
      </c>
      <c r="B2225" s="50" t="s">
        <v>8</v>
      </c>
      <c r="C2225" s="50" t="s">
        <v>391</v>
      </c>
      <c r="D2225" s="50" t="s">
        <v>261</v>
      </c>
      <c r="E2225" s="50">
        <v>-1</v>
      </c>
      <c r="F2225" s="50">
        <v>-0.11652461605439468</v>
      </c>
      <c r="G2225" s="51" t="str">
        <v>宗 2022/07/23 (土)
休日午後</v>
      </c>
    </row>
    <row r="2226" spans="1:7" ht="16.149999999999999" x14ac:dyDescent="0.7">
      <c r="A2226" s="49">
        <v>44731.030918495366</v>
      </c>
      <c r="B2226" s="50" t="s">
        <v>8</v>
      </c>
      <c r="C2226" s="50" t="s">
        <v>392</v>
      </c>
      <c r="D2226" s="50" t="s">
        <v>263</v>
      </c>
      <c r="E2226" s="50">
        <v>-1</v>
      </c>
      <c r="F2226" s="50">
        <v>-0.95959316222385005</v>
      </c>
      <c r="G2226" s="51" t="str">
        <v>宗 2022/07/23 (土)
休日午前</v>
      </c>
    </row>
    <row r="2227" spans="1:7" ht="16.149999999999999" x14ac:dyDescent="0.7">
      <c r="A2227" s="49">
        <v>44731.030918495366</v>
      </c>
      <c r="B2227" s="50" t="s">
        <v>8</v>
      </c>
      <c r="C2227" s="50" t="s">
        <v>393</v>
      </c>
      <c r="D2227" s="50" t="s">
        <v>261</v>
      </c>
      <c r="E2227" s="50">
        <v>-1</v>
      </c>
      <c r="F2227" s="50">
        <v>-6.2294579081838775E-2</v>
      </c>
      <c r="G2227" s="51" t="str">
        <v>宗 2022/07/24 (日)
休日午後</v>
      </c>
    </row>
    <row r="2228" spans="1:7" ht="16.149999999999999" x14ac:dyDescent="0.7">
      <c r="A2228" s="49">
        <v>44731.030918495366</v>
      </c>
      <c r="B2228" s="50" t="s">
        <v>8</v>
      </c>
      <c r="C2228" s="50" t="s">
        <v>394</v>
      </c>
      <c r="D2228" s="50" t="s">
        <v>263</v>
      </c>
      <c r="E2228" s="50">
        <v>-1</v>
      </c>
      <c r="F2228" s="50">
        <v>-0.87416961403968019</v>
      </c>
      <c r="G2228" s="51" t="str">
        <v>宗 2022/07/24 (日)
休日午前</v>
      </c>
    </row>
    <row r="2229" spans="1:7" ht="16.149999999999999" x14ac:dyDescent="0.7">
      <c r="A2229" s="49">
        <v>44731.030918495366</v>
      </c>
      <c r="B2229" s="50" t="s">
        <v>8</v>
      </c>
      <c r="C2229" s="50" t="s">
        <v>395</v>
      </c>
      <c r="D2229" s="50" t="s">
        <v>259</v>
      </c>
      <c r="E2229" s="50">
        <v>0</v>
      </c>
      <c r="F2229" s="50">
        <v>0.31333297493599455</v>
      </c>
      <c r="G2229" s="51" t="str">
        <v>宗 2022/07/25 (月)
平日夜間</v>
      </c>
    </row>
    <row r="2230" spans="1:7" ht="16.149999999999999" x14ac:dyDescent="0.7">
      <c r="A2230" s="49">
        <v>44731.030918495366</v>
      </c>
      <c r="B2230" s="50" t="s">
        <v>8</v>
      </c>
      <c r="C2230" s="50" t="s">
        <v>396</v>
      </c>
      <c r="D2230" s="50" t="s">
        <v>259</v>
      </c>
      <c r="E2230" s="50">
        <v>0</v>
      </c>
      <c r="F2230" s="50">
        <v>0.39433047398306709</v>
      </c>
      <c r="G2230" s="51" t="str">
        <v>宗 2022/07/26 (火)
平日夜間</v>
      </c>
    </row>
    <row r="2231" spans="1:7" ht="16.149999999999999" x14ac:dyDescent="0.7">
      <c r="A2231" s="49">
        <v>44731.030918495366</v>
      </c>
      <c r="B2231" s="50" t="s">
        <v>8</v>
      </c>
      <c r="C2231" s="50" t="s">
        <v>397</v>
      </c>
      <c r="D2231" s="50" t="s">
        <v>259</v>
      </c>
      <c r="E2231" s="50">
        <v>0</v>
      </c>
      <c r="F2231" s="50">
        <v>0.49493363987064054</v>
      </c>
      <c r="G2231" s="51" t="str">
        <v>宗 2022/07/27 (水)
平日夜間</v>
      </c>
    </row>
    <row r="2232" spans="1:7" ht="16.149999999999999" x14ac:dyDescent="0.7">
      <c r="A2232" s="49">
        <v>44731.030918495366</v>
      </c>
      <c r="B2232" s="50" t="s">
        <v>8</v>
      </c>
      <c r="C2232" s="50" t="s">
        <v>398</v>
      </c>
      <c r="D2232" s="50" t="s">
        <v>259</v>
      </c>
      <c r="E2232" s="50">
        <v>0</v>
      </c>
      <c r="F2232" s="50">
        <v>0.54356104946045747</v>
      </c>
      <c r="G2232" s="51" t="str">
        <v>宗 2022/07/28 (木)
平日夜間</v>
      </c>
    </row>
    <row r="2233" spans="1:7" ht="16.149999999999999" x14ac:dyDescent="0.7">
      <c r="A2233" s="49">
        <v>44731.030918495366</v>
      </c>
      <c r="B2233" s="50" t="s">
        <v>8</v>
      </c>
      <c r="C2233" s="50" t="s">
        <v>399</v>
      </c>
      <c r="D2233" s="50" t="s">
        <v>259</v>
      </c>
      <c r="E2233" s="50">
        <v>0</v>
      </c>
      <c r="F2233" s="50">
        <v>0.20292374789935375</v>
      </c>
      <c r="G2233" s="51" t="str">
        <v>宗 2022/07/29 (金)
平日夜間</v>
      </c>
    </row>
    <row r="2234" spans="1:7" ht="16.149999999999999" x14ac:dyDescent="0.7">
      <c r="A2234" s="49">
        <v>44731.030918495366</v>
      </c>
      <c r="B2234" s="50" t="s">
        <v>8</v>
      </c>
      <c r="C2234" s="50" t="s">
        <v>400</v>
      </c>
      <c r="D2234" s="50" t="s">
        <v>261</v>
      </c>
      <c r="E2234" s="50">
        <v>0</v>
      </c>
      <c r="F2234" s="50">
        <v>0.8913344149691933</v>
      </c>
      <c r="G2234" s="51" t="str">
        <v>宗 2022/07/30 (土)
休日午後</v>
      </c>
    </row>
    <row r="2235" spans="1:7" ht="16.149999999999999" x14ac:dyDescent="0.7">
      <c r="A2235" s="49">
        <v>44731.030918495366</v>
      </c>
      <c r="B2235" s="50" t="s">
        <v>8</v>
      </c>
      <c r="C2235" s="50" t="s">
        <v>401</v>
      </c>
      <c r="D2235" s="50" t="s">
        <v>263</v>
      </c>
      <c r="E2235" s="50">
        <v>0</v>
      </c>
      <c r="F2235" s="50">
        <v>0.83921854850498834</v>
      </c>
      <c r="G2235" s="51" t="str">
        <v>宗 2022/07/30 (土)
休日午前</v>
      </c>
    </row>
    <row r="2236" spans="1:7" ht="16.149999999999999" x14ac:dyDescent="0.7">
      <c r="A2236" s="49">
        <v>44731.030918495366</v>
      </c>
      <c r="B2236" s="50" t="s">
        <v>8</v>
      </c>
      <c r="C2236" s="50" t="s">
        <v>402</v>
      </c>
      <c r="D2236" s="50" t="s">
        <v>261</v>
      </c>
      <c r="E2236" s="50">
        <v>0</v>
      </c>
      <c r="F2236" s="50">
        <v>8.8681865680561467E-2</v>
      </c>
      <c r="G2236" s="51" t="str">
        <v>宗 2022/07/31 (日)
休日午後</v>
      </c>
    </row>
    <row r="2237" spans="1:7" ht="16.149999999999999" x14ac:dyDescent="0.7">
      <c r="A2237" s="49">
        <v>44731.030918495366</v>
      </c>
      <c r="B2237" s="50" t="s">
        <v>8</v>
      </c>
      <c r="C2237" s="50" t="s">
        <v>403</v>
      </c>
      <c r="D2237" s="50" t="s">
        <v>263</v>
      </c>
      <c r="E2237" s="50">
        <v>0</v>
      </c>
      <c r="F2237" s="50">
        <v>0.60525186733986502</v>
      </c>
      <c r="G2237" s="51" t="str">
        <v>宗 2022/07/31 (日)
休日午前</v>
      </c>
    </row>
    <row r="2238" spans="1:7" ht="16.149999999999999" x14ac:dyDescent="0.7">
      <c r="A2238" s="49">
        <v>44731.511971250002</v>
      </c>
      <c r="B2238" s="50" t="s">
        <v>59</v>
      </c>
      <c r="C2238" s="50" t="s">
        <v>364</v>
      </c>
      <c r="D2238" s="50" t="s">
        <v>259</v>
      </c>
      <c r="E2238" s="50">
        <v>0</v>
      </c>
      <c r="F2238" s="50">
        <v>0.68302981333432111</v>
      </c>
      <c r="G2238" s="51" t="str">
        <v>中村 2022/07/01 (金)
平日夜間</v>
      </c>
    </row>
    <row r="2239" spans="1:7" ht="16.149999999999999" x14ac:dyDescent="0.7">
      <c r="A2239" s="49">
        <v>44731.511971250002</v>
      </c>
      <c r="B2239" s="50" t="s">
        <v>59</v>
      </c>
      <c r="C2239" s="50" t="s">
        <v>365</v>
      </c>
      <c r="D2239" s="50" t="s">
        <v>261</v>
      </c>
      <c r="E2239" s="50">
        <v>0</v>
      </c>
      <c r="F2239" s="50">
        <v>0.91211805466133988</v>
      </c>
      <c r="G2239" s="51" t="str">
        <v>中村 2022/07/02 (土)
休日午後</v>
      </c>
    </row>
    <row r="2240" spans="1:7" ht="16.149999999999999" x14ac:dyDescent="0.7">
      <c r="A2240" s="49">
        <v>44731.511971250002</v>
      </c>
      <c r="B2240" s="50" t="s">
        <v>59</v>
      </c>
      <c r="C2240" s="50" t="s">
        <v>366</v>
      </c>
      <c r="D2240" s="50" t="s">
        <v>263</v>
      </c>
      <c r="E2240" s="50">
        <v>0</v>
      </c>
      <c r="F2240" s="50">
        <v>0.53207020390078541</v>
      </c>
      <c r="G2240" s="51" t="str">
        <v>中村 2022/07/02 (土)
休日午前</v>
      </c>
    </row>
    <row r="2241" spans="1:7" ht="16.149999999999999" x14ac:dyDescent="0.7">
      <c r="A2241" s="49">
        <v>44731.511971250002</v>
      </c>
      <c r="B2241" s="50" t="s">
        <v>59</v>
      </c>
      <c r="C2241" s="50" t="s">
        <v>367</v>
      </c>
      <c r="D2241" s="50" t="s">
        <v>261</v>
      </c>
      <c r="E2241" s="50">
        <v>0</v>
      </c>
      <c r="F2241" s="50">
        <v>0.28746210040904963</v>
      </c>
      <c r="G2241" s="51" t="str">
        <v>中村 2022/07/03 (日)
休日午後</v>
      </c>
    </row>
    <row r="2242" spans="1:7" ht="16.149999999999999" x14ac:dyDescent="0.7">
      <c r="A2242" s="49">
        <v>44731.511971250002</v>
      </c>
      <c r="B2242" s="50" t="s">
        <v>59</v>
      </c>
      <c r="C2242" s="50" t="s">
        <v>368</v>
      </c>
      <c r="D2242" s="50" t="s">
        <v>263</v>
      </c>
      <c r="E2242" s="50">
        <v>0</v>
      </c>
      <c r="F2242" s="50">
        <v>0.25042034763997023</v>
      </c>
      <c r="G2242" s="51" t="str">
        <v>中村 2022/07/03 (日)
休日午前</v>
      </c>
    </row>
    <row r="2243" spans="1:7" ht="16.149999999999999" x14ac:dyDescent="0.7">
      <c r="A2243" s="49">
        <v>44731.511971250002</v>
      </c>
      <c r="B2243" s="50" t="s">
        <v>59</v>
      </c>
      <c r="C2243" s="50" t="s">
        <v>369</v>
      </c>
      <c r="D2243" s="50" t="s">
        <v>259</v>
      </c>
      <c r="E2243" s="50">
        <v>0</v>
      </c>
      <c r="F2243" s="50">
        <v>0.20205464689444685</v>
      </c>
      <c r="G2243" s="51" t="str">
        <v>中村 2022/07/04 (月)
平日夜間</v>
      </c>
    </row>
    <row r="2244" spans="1:7" ht="16.149999999999999" x14ac:dyDescent="0.7">
      <c r="A2244" s="49">
        <v>44731.511971250002</v>
      </c>
      <c r="B2244" s="50" t="s">
        <v>59</v>
      </c>
      <c r="C2244" s="50" t="s">
        <v>370</v>
      </c>
      <c r="D2244" s="50" t="s">
        <v>259</v>
      </c>
      <c r="E2244" s="50">
        <v>0</v>
      </c>
      <c r="F2244" s="50">
        <v>0.52794945102012969</v>
      </c>
      <c r="G2244" s="51" t="str">
        <v>中村 2022/07/05 (火)
平日夜間</v>
      </c>
    </row>
    <row r="2245" spans="1:7" ht="16.149999999999999" x14ac:dyDescent="0.7">
      <c r="A2245" s="49">
        <v>44731.511971250002</v>
      </c>
      <c r="B2245" s="50" t="s">
        <v>59</v>
      </c>
      <c r="C2245" s="50" t="s">
        <v>371</v>
      </c>
      <c r="D2245" s="50" t="s">
        <v>259</v>
      </c>
      <c r="E2245" s="50">
        <v>2</v>
      </c>
      <c r="F2245" s="50">
        <v>2.457774848529044</v>
      </c>
      <c r="G2245" s="51" t="str">
        <v>中村 2022/07/06 (水)
平日夜間</v>
      </c>
    </row>
    <row r="2246" spans="1:7" ht="16.149999999999999" x14ac:dyDescent="0.7">
      <c r="A2246" s="49">
        <v>44731.511971250002</v>
      </c>
      <c r="B2246" s="50" t="s">
        <v>59</v>
      </c>
      <c r="C2246" s="50" t="s">
        <v>372</v>
      </c>
      <c r="D2246" s="50" t="s">
        <v>259</v>
      </c>
      <c r="E2246" s="50">
        <v>0</v>
      </c>
      <c r="F2246" s="50">
        <v>0.56932442060552302</v>
      </c>
      <c r="G2246" s="51" t="str">
        <v>中村 2022/07/07 (木)
平日夜間</v>
      </c>
    </row>
    <row r="2247" spans="1:7" ht="16.149999999999999" x14ac:dyDescent="0.7">
      <c r="A2247" s="49">
        <v>44731.511971250002</v>
      </c>
      <c r="B2247" s="50" t="s">
        <v>59</v>
      </c>
      <c r="C2247" s="50" t="s">
        <v>373</v>
      </c>
      <c r="D2247" s="50" t="s">
        <v>259</v>
      </c>
      <c r="E2247" s="50">
        <v>0</v>
      </c>
      <c r="F2247" s="50">
        <v>0.55278198842445603</v>
      </c>
      <c r="G2247" s="51" t="str">
        <v>中村 2022/07/08 (金)
平日夜間</v>
      </c>
    </row>
    <row r="2248" spans="1:7" ht="16.149999999999999" x14ac:dyDescent="0.7">
      <c r="A2248" s="49">
        <v>44731.511971250002</v>
      </c>
      <c r="B2248" s="50" t="s">
        <v>59</v>
      </c>
      <c r="C2248" s="50" t="s">
        <v>374</v>
      </c>
      <c r="D2248" s="50" t="s">
        <v>261</v>
      </c>
      <c r="E2248" s="50">
        <v>-1</v>
      </c>
      <c r="F2248" s="50">
        <v>-0.15744726809802079</v>
      </c>
      <c r="G2248" s="51" t="str">
        <v>中村 2022/07/09 (土)
休日午後</v>
      </c>
    </row>
    <row r="2249" spans="1:7" ht="16.149999999999999" x14ac:dyDescent="0.7">
      <c r="A2249" s="49">
        <v>44731.511971250002</v>
      </c>
      <c r="B2249" s="50" t="s">
        <v>59</v>
      </c>
      <c r="C2249" s="50" t="s">
        <v>375</v>
      </c>
      <c r="D2249" s="50" t="s">
        <v>263</v>
      </c>
      <c r="E2249" s="50">
        <v>-1</v>
      </c>
      <c r="F2249" s="50">
        <v>-0.20158555342495155</v>
      </c>
      <c r="G2249" s="51" t="str">
        <v>中村 2022/07/09 (土)
休日午前</v>
      </c>
    </row>
    <row r="2250" spans="1:7" ht="16.149999999999999" x14ac:dyDescent="0.7">
      <c r="A2250" s="49">
        <v>44731.511971250002</v>
      </c>
      <c r="B2250" s="50" t="s">
        <v>59</v>
      </c>
      <c r="C2250" s="50" t="s">
        <v>376</v>
      </c>
      <c r="D2250" s="50" t="s">
        <v>261</v>
      </c>
      <c r="E2250" s="50">
        <v>0</v>
      </c>
      <c r="F2250" s="50">
        <v>0.68849452034821335</v>
      </c>
      <c r="G2250" s="51" t="str">
        <v>中村 2022/07/10 (日)
休日午後</v>
      </c>
    </row>
    <row r="2251" spans="1:7" ht="16.149999999999999" x14ac:dyDescent="0.7">
      <c r="A2251" s="49">
        <v>44731.511971250002</v>
      </c>
      <c r="B2251" s="50" t="s">
        <v>59</v>
      </c>
      <c r="C2251" s="50" t="s">
        <v>377</v>
      </c>
      <c r="D2251" s="50" t="s">
        <v>263</v>
      </c>
      <c r="E2251" s="50">
        <v>0</v>
      </c>
      <c r="F2251" s="50">
        <v>0.76513455437586853</v>
      </c>
      <c r="G2251" s="51" t="str">
        <v>中村 2022/07/10 (日)
休日午前</v>
      </c>
    </row>
    <row r="2252" spans="1:7" ht="16.149999999999999" x14ac:dyDescent="0.7">
      <c r="A2252" s="49">
        <v>44731.511971250002</v>
      </c>
      <c r="B2252" s="50" t="s">
        <v>59</v>
      </c>
      <c r="C2252" s="50" t="s">
        <v>378</v>
      </c>
      <c r="D2252" s="50" t="s">
        <v>259</v>
      </c>
      <c r="E2252" s="50">
        <v>1</v>
      </c>
      <c r="F2252" s="50">
        <v>1.8329184831325898</v>
      </c>
      <c r="G2252" s="51" t="str">
        <v>中村 2022/07/11 (月)
平日夜間</v>
      </c>
    </row>
    <row r="2253" spans="1:7" ht="16.149999999999999" x14ac:dyDescent="0.7">
      <c r="A2253" s="49">
        <v>44731.511971250002</v>
      </c>
      <c r="B2253" s="50" t="s">
        <v>59</v>
      </c>
      <c r="C2253" s="50" t="s">
        <v>379</v>
      </c>
      <c r="D2253" s="50" t="s">
        <v>259</v>
      </c>
      <c r="E2253" s="50">
        <v>1</v>
      </c>
      <c r="F2253" s="50">
        <v>1.0526010282564495</v>
      </c>
      <c r="G2253" s="51" t="str">
        <v>中村 2022/07/12 (火)
平日夜間</v>
      </c>
    </row>
    <row r="2254" spans="1:7" ht="16.149999999999999" x14ac:dyDescent="0.7">
      <c r="A2254" s="49">
        <v>44731.511971250002</v>
      </c>
      <c r="B2254" s="50" t="s">
        <v>59</v>
      </c>
      <c r="C2254" s="50" t="s">
        <v>380</v>
      </c>
      <c r="D2254" s="50" t="s">
        <v>259</v>
      </c>
      <c r="E2254" s="50">
        <v>1</v>
      </c>
      <c r="F2254" s="50">
        <v>1.242094027673065</v>
      </c>
      <c r="G2254" s="51" t="str">
        <v>中村 2022/07/13 (水)
平日夜間</v>
      </c>
    </row>
    <row r="2255" spans="1:7" ht="16.149999999999999" x14ac:dyDescent="0.7">
      <c r="A2255" s="49">
        <v>44731.511971250002</v>
      </c>
      <c r="B2255" s="50" t="s">
        <v>59</v>
      </c>
      <c r="C2255" s="50" t="s">
        <v>381</v>
      </c>
      <c r="D2255" s="50" t="s">
        <v>259</v>
      </c>
      <c r="E2255" s="50">
        <v>1</v>
      </c>
      <c r="F2255" s="50">
        <v>1.1062053645705632</v>
      </c>
      <c r="G2255" s="51" t="str">
        <v>中村 2022/07/14 (木)
平日夜間</v>
      </c>
    </row>
    <row r="2256" spans="1:7" ht="16.149999999999999" x14ac:dyDescent="0.7">
      <c r="A2256" s="49">
        <v>44731.511971250002</v>
      </c>
      <c r="B2256" s="50" t="s">
        <v>59</v>
      </c>
      <c r="C2256" s="50" t="s">
        <v>382</v>
      </c>
      <c r="D2256" s="50" t="s">
        <v>259</v>
      </c>
      <c r="E2256" s="50">
        <v>1</v>
      </c>
      <c r="F2256" s="50">
        <v>1.2692972879033293</v>
      </c>
      <c r="G2256" s="51" t="str">
        <v>中村 2022/07/15 (金)
平日夜間</v>
      </c>
    </row>
    <row r="2257" spans="1:7" ht="16.149999999999999" x14ac:dyDescent="0.7">
      <c r="A2257" s="49">
        <v>44731.511971250002</v>
      </c>
      <c r="B2257" s="50" t="s">
        <v>59</v>
      </c>
      <c r="C2257" s="50" t="s">
        <v>383</v>
      </c>
      <c r="D2257" s="50" t="s">
        <v>261</v>
      </c>
      <c r="E2257" s="50">
        <v>-1</v>
      </c>
      <c r="F2257" s="50">
        <v>-0.46844442413174403</v>
      </c>
      <c r="G2257" s="51" t="str">
        <v>中村 2022/07/16 (土)
休日午後</v>
      </c>
    </row>
    <row r="2258" spans="1:7" ht="16.149999999999999" x14ac:dyDescent="0.7">
      <c r="A2258" s="49">
        <v>44731.511971250002</v>
      </c>
      <c r="B2258" s="50" t="s">
        <v>59</v>
      </c>
      <c r="C2258" s="50" t="s">
        <v>384</v>
      </c>
      <c r="D2258" s="50" t="s">
        <v>263</v>
      </c>
      <c r="E2258" s="50">
        <v>-1</v>
      </c>
      <c r="F2258" s="50">
        <v>-0.40705981476242714</v>
      </c>
      <c r="G2258" s="51" t="str">
        <v>中村 2022/07/16 (土)
休日午前</v>
      </c>
    </row>
    <row r="2259" spans="1:7" ht="16.149999999999999" x14ac:dyDescent="0.7">
      <c r="A2259" s="49">
        <v>44731.511971250002</v>
      </c>
      <c r="B2259" s="50" t="s">
        <v>59</v>
      </c>
      <c r="C2259" s="50" t="s">
        <v>385</v>
      </c>
      <c r="D2259" s="50" t="s">
        <v>261</v>
      </c>
      <c r="E2259" s="50">
        <v>0</v>
      </c>
      <c r="F2259" s="50">
        <v>0.6545881167987031</v>
      </c>
      <c r="G2259" s="51" t="str">
        <v>中村 2022/07/17 (日)
休日午後</v>
      </c>
    </row>
    <row r="2260" spans="1:7" ht="16.149999999999999" x14ac:dyDescent="0.7">
      <c r="A2260" s="49">
        <v>44731.511971250002</v>
      </c>
      <c r="B2260" s="50" t="s">
        <v>59</v>
      </c>
      <c r="C2260" s="50" t="s">
        <v>386</v>
      </c>
      <c r="D2260" s="50" t="s">
        <v>263</v>
      </c>
      <c r="E2260" s="50">
        <v>0</v>
      </c>
      <c r="F2260" s="50">
        <v>0.19737770285016643</v>
      </c>
      <c r="G2260" s="51" t="str">
        <v>中村 2022/07/17 (日)
休日午前</v>
      </c>
    </row>
    <row r="2261" spans="1:7" ht="16.149999999999999" x14ac:dyDescent="0.7">
      <c r="A2261" s="49">
        <v>44731.511971250002</v>
      </c>
      <c r="B2261" s="50" t="s">
        <v>59</v>
      </c>
      <c r="C2261" s="50" t="s">
        <v>404</v>
      </c>
      <c r="D2261" s="50" t="s">
        <v>261</v>
      </c>
      <c r="E2261" s="50">
        <v>0</v>
      </c>
      <c r="F2261" s="50">
        <v>0.14815925760023774</v>
      </c>
      <c r="G2261" s="51" t="str">
        <v>中村 2022/07/18 (月)
休日午後</v>
      </c>
    </row>
    <row r="2262" spans="1:7" ht="16.149999999999999" x14ac:dyDescent="0.7">
      <c r="A2262" s="49">
        <v>44731.511971250002</v>
      </c>
      <c r="B2262" s="50" t="s">
        <v>59</v>
      </c>
      <c r="C2262" s="50" t="s">
        <v>405</v>
      </c>
      <c r="D2262" s="50" t="s">
        <v>263</v>
      </c>
      <c r="E2262" s="50">
        <v>0</v>
      </c>
      <c r="F2262" s="50">
        <v>0.42385482489358983</v>
      </c>
      <c r="G2262" s="51" t="str">
        <v>中村 2022/07/18 (月)
休日午前</v>
      </c>
    </row>
    <row r="2263" spans="1:7" ht="16.149999999999999" x14ac:dyDescent="0.7">
      <c r="A2263" s="49">
        <v>44731.511971250002</v>
      </c>
      <c r="B2263" s="50" t="s">
        <v>59</v>
      </c>
      <c r="C2263" s="50" t="s">
        <v>387</v>
      </c>
      <c r="D2263" s="50" t="s">
        <v>259</v>
      </c>
      <c r="E2263" s="50">
        <v>1</v>
      </c>
      <c r="F2263" s="50">
        <v>1.341040625299063</v>
      </c>
      <c r="G2263" s="51" t="str">
        <v>中村 2022/07/19 (火)
平日夜間</v>
      </c>
    </row>
    <row r="2264" spans="1:7" ht="16.149999999999999" x14ac:dyDescent="0.7">
      <c r="A2264" s="49">
        <v>44731.511971250002</v>
      </c>
      <c r="B2264" s="50" t="s">
        <v>59</v>
      </c>
      <c r="C2264" s="50" t="s">
        <v>388</v>
      </c>
      <c r="D2264" s="50" t="s">
        <v>259</v>
      </c>
      <c r="E2264" s="50">
        <v>1</v>
      </c>
      <c r="F2264" s="50">
        <v>1.0138403704195316</v>
      </c>
      <c r="G2264" s="51" t="str">
        <v>中村 2022/07/20 (水)
平日夜間</v>
      </c>
    </row>
    <row r="2265" spans="1:7" ht="16.149999999999999" x14ac:dyDescent="0.7">
      <c r="A2265" s="49">
        <v>44731.511971250002</v>
      </c>
      <c r="B2265" s="50" t="s">
        <v>59</v>
      </c>
      <c r="C2265" s="50" t="s">
        <v>389</v>
      </c>
      <c r="D2265" s="50" t="s">
        <v>259</v>
      </c>
      <c r="E2265" s="50">
        <v>1</v>
      </c>
      <c r="F2265" s="50">
        <v>1.3522332976256637</v>
      </c>
      <c r="G2265" s="51" t="str">
        <v>中村 2022/07/21 (木)
平日夜間</v>
      </c>
    </row>
    <row r="2266" spans="1:7" ht="16.149999999999999" x14ac:dyDescent="0.7">
      <c r="A2266" s="49">
        <v>44731.511971250002</v>
      </c>
      <c r="B2266" s="50" t="s">
        <v>59</v>
      </c>
      <c r="C2266" s="50" t="s">
        <v>390</v>
      </c>
      <c r="D2266" s="50" t="s">
        <v>259</v>
      </c>
      <c r="E2266" s="50">
        <v>-1</v>
      </c>
      <c r="F2266" s="50">
        <v>-0.52294502989282088</v>
      </c>
      <c r="G2266" s="51" t="str">
        <v>中村 2022/07/22 (金)
平日夜間</v>
      </c>
    </row>
    <row r="2267" spans="1:7" ht="16.149999999999999" x14ac:dyDescent="0.7">
      <c r="A2267" s="49">
        <v>44731.511971250002</v>
      </c>
      <c r="B2267" s="50" t="s">
        <v>59</v>
      </c>
      <c r="C2267" s="50" t="s">
        <v>391</v>
      </c>
      <c r="D2267" s="50" t="s">
        <v>261</v>
      </c>
      <c r="E2267" s="50">
        <v>-1</v>
      </c>
      <c r="F2267" s="50">
        <v>-0.89248927199380845</v>
      </c>
      <c r="G2267" s="51" t="str">
        <v>中村 2022/07/23 (土)
休日午後</v>
      </c>
    </row>
    <row r="2268" spans="1:7" ht="16.149999999999999" x14ac:dyDescent="0.7">
      <c r="A2268" s="49">
        <v>44731.511971250002</v>
      </c>
      <c r="B2268" s="50" t="s">
        <v>59</v>
      </c>
      <c r="C2268" s="50" t="s">
        <v>392</v>
      </c>
      <c r="D2268" s="50" t="s">
        <v>263</v>
      </c>
      <c r="E2268" s="50">
        <v>-1</v>
      </c>
      <c r="F2268" s="50">
        <v>-0.7665247787687659</v>
      </c>
      <c r="G2268" s="51" t="str">
        <v>中村 2022/07/23 (土)
休日午前</v>
      </c>
    </row>
    <row r="2269" spans="1:7" ht="16.149999999999999" x14ac:dyDescent="0.7">
      <c r="A2269" s="49">
        <v>44731.511971250002</v>
      </c>
      <c r="B2269" s="50" t="s">
        <v>59</v>
      </c>
      <c r="C2269" s="50" t="s">
        <v>393</v>
      </c>
      <c r="D2269" s="50" t="s">
        <v>261</v>
      </c>
      <c r="E2269" s="50">
        <v>-1</v>
      </c>
      <c r="F2269" s="50">
        <v>-0.92343392316907202</v>
      </c>
      <c r="G2269" s="51" t="str">
        <v>中村 2022/07/24 (日)
休日午後</v>
      </c>
    </row>
    <row r="2270" spans="1:7" ht="16.149999999999999" x14ac:dyDescent="0.7">
      <c r="A2270" s="49">
        <v>44731.511971250002</v>
      </c>
      <c r="B2270" s="50" t="s">
        <v>59</v>
      </c>
      <c r="C2270" s="50" t="s">
        <v>394</v>
      </c>
      <c r="D2270" s="50" t="s">
        <v>263</v>
      </c>
      <c r="E2270" s="50">
        <v>-1</v>
      </c>
      <c r="F2270" s="50">
        <v>-0.22704995906537273</v>
      </c>
      <c r="G2270" s="51" t="str">
        <v>中村 2022/07/24 (日)
休日午前</v>
      </c>
    </row>
    <row r="2271" spans="1:7" ht="16.149999999999999" x14ac:dyDescent="0.7">
      <c r="A2271" s="49">
        <v>44731.511971250002</v>
      </c>
      <c r="B2271" s="50" t="s">
        <v>59</v>
      </c>
      <c r="C2271" s="50" t="s">
        <v>395</v>
      </c>
      <c r="D2271" s="50" t="s">
        <v>259</v>
      </c>
      <c r="E2271" s="50">
        <v>-1</v>
      </c>
      <c r="F2271" s="50">
        <v>-0.56266489925381724</v>
      </c>
      <c r="G2271" s="51" t="str">
        <v>中村 2022/07/25 (月)
平日夜間</v>
      </c>
    </row>
    <row r="2272" spans="1:7" ht="16.149999999999999" x14ac:dyDescent="0.7">
      <c r="A2272" s="49">
        <v>44731.511971250002</v>
      </c>
      <c r="B2272" s="50" t="s">
        <v>59</v>
      </c>
      <c r="C2272" s="50" t="s">
        <v>396</v>
      </c>
      <c r="D2272" s="50" t="s">
        <v>259</v>
      </c>
      <c r="E2272" s="50">
        <v>-1</v>
      </c>
      <c r="F2272" s="50">
        <v>-0.64852271713845844</v>
      </c>
      <c r="G2272" s="51" t="str">
        <v>中村 2022/07/26 (火)
平日夜間</v>
      </c>
    </row>
    <row r="2273" spans="1:7" ht="16.149999999999999" x14ac:dyDescent="0.7">
      <c r="A2273" s="49">
        <v>44731.511971250002</v>
      </c>
      <c r="B2273" s="50" t="s">
        <v>59</v>
      </c>
      <c r="C2273" s="50" t="s">
        <v>397</v>
      </c>
      <c r="D2273" s="50" t="s">
        <v>259</v>
      </c>
      <c r="E2273" s="50">
        <v>-1</v>
      </c>
      <c r="F2273" s="50">
        <v>-5.4867412903223389E-2</v>
      </c>
      <c r="G2273" s="51" t="str">
        <v>中村 2022/07/27 (水)
平日夜間</v>
      </c>
    </row>
    <row r="2274" spans="1:7" ht="16.149999999999999" x14ac:dyDescent="0.7">
      <c r="A2274" s="49">
        <v>44731.511971250002</v>
      </c>
      <c r="B2274" s="50" t="s">
        <v>59</v>
      </c>
      <c r="C2274" s="50" t="s">
        <v>398</v>
      </c>
      <c r="D2274" s="50" t="s">
        <v>259</v>
      </c>
      <c r="E2274" s="50">
        <v>0</v>
      </c>
      <c r="F2274" s="50">
        <v>0.4352984164756637</v>
      </c>
      <c r="G2274" s="51" t="str">
        <v>中村 2022/07/28 (木)
平日夜間</v>
      </c>
    </row>
    <row r="2275" spans="1:7" ht="16.149999999999999" x14ac:dyDescent="0.7">
      <c r="A2275" s="49">
        <v>44731.511971250002</v>
      </c>
      <c r="B2275" s="50" t="s">
        <v>59</v>
      </c>
      <c r="C2275" s="50" t="s">
        <v>399</v>
      </c>
      <c r="D2275" s="50" t="s">
        <v>259</v>
      </c>
      <c r="E2275" s="50">
        <v>0</v>
      </c>
      <c r="F2275" s="50">
        <v>0.27867363104618104</v>
      </c>
      <c r="G2275" s="51" t="str">
        <v>中村 2022/07/29 (金)
平日夜間</v>
      </c>
    </row>
    <row r="2276" spans="1:7" ht="16.149999999999999" x14ac:dyDescent="0.7">
      <c r="A2276" s="49">
        <v>44731.511971250002</v>
      </c>
      <c r="B2276" s="50" t="s">
        <v>59</v>
      </c>
      <c r="C2276" s="50" t="s">
        <v>400</v>
      </c>
      <c r="D2276" s="50" t="s">
        <v>261</v>
      </c>
      <c r="E2276" s="50">
        <v>-1</v>
      </c>
      <c r="F2276" s="50">
        <v>-0.64074086927602703</v>
      </c>
      <c r="G2276" s="51" t="str">
        <v>中村 2022/07/30 (土)
休日午後</v>
      </c>
    </row>
    <row r="2277" spans="1:7" ht="16.149999999999999" x14ac:dyDescent="0.7">
      <c r="A2277" s="49">
        <v>44731.511971250002</v>
      </c>
      <c r="B2277" s="50" t="s">
        <v>59</v>
      </c>
      <c r="C2277" s="50" t="s">
        <v>401</v>
      </c>
      <c r="D2277" s="50" t="s">
        <v>263</v>
      </c>
      <c r="E2277" s="50">
        <v>-1</v>
      </c>
      <c r="F2277" s="50">
        <v>-0.90550646929433531</v>
      </c>
      <c r="G2277" s="51" t="str">
        <v>中村 2022/07/30 (土)
休日午前</v>
      </c>
    </row>
    <row r="2278" spans="1:7" ht="16.149999999999999" x14ac:dyDescent="0.7">
      <c r="A2278" s="49">
        <v>44731.511971250002</v>
      </c>
      <c r="B2278" s="50" t="s">
        <v>59</v>
      </c>
      <c r="C2278" s="50" t="s">
        <v>402</v>
      </c>
      <c r="D2278" s="50" t="s">
        <v>261</v>
      </c>
      <c r="E2278" s="50">
        <v>-1</v>
      </c>
      <c r="F2278" s="50">
        <v>-0.27795391927878299</v>
      </c>
      <c r="G2278" s="51" t="str">
        <v>中村 2022/07/31 (日)
休日午後</v>
      </c>
    </row>
    <row r="2279" spans="1:7" ht="16.149999999999999" x14ac:dyDescent="0.7">
      <c r="A2279" s="49">
        <v>44731.511971250002</v>
      </c>
      <c r="B2279" s="50" t="s">
        <v>59</v>
      </c>
      <c r="C2279" s="50" t="s">
        <v>403</v>
      </c>
      <c r="D2279" s="50" t="s">
        <v>263</v>
      </c>
      <c r="E2279" s="50">
        <v>-1</v>
      </c>
      <c r="F2279" s="50">
        <v>-0.60809348169448318</v>
      </c>
      <c r="G2279" s="51" t="str">
        <v>中村 2022/07/31 (日)
休日午前</v>
      </c>
    </row>
    <row r="2280" spans="1:7" ht="16.149999999999999" x14ac:dyDescent="0.7">
      <c r="A2280" s="49">
        <v>44731.533238310185</v>
      </c>
      <c r="B2280" s="50" t="s">
        <v>10</v>
      </c>
      <c r="C2280" s="50" t="s">
        <v>364</v>
      </c>
      <c r="D2280" s="50" t="s">
        <v>259</v>
      </c>
      <c r="E2280" s="50">
        <v>0</v>
      </c>
      <c r="F2280" s="50">
        <v>0.19912101230362178</v>
      </c>
      <c r="G2280" s="51" t="str">
        <v>福井 2022/07/01 (金)
平日夜間</v>
      </c>
    </row>
    <row r="2281" spans="1:7" ht="16.149999999999999" x14ac:dyDescent="0.7">
      <c r="A2281" s="49">
        <v>44731.533238310185</v>
      </c>
      <c r="B2281" s="50" t="s">
        <v>10</v>
      </c>
      <c r="C2281" s="50" t="s">
        <v>365</v>
      </c>
      <c r="D2281" s="50" t="s">
        <v>261</v>
      </c>
      <c r="E2281" s="50">
        <v>0</v>
      </c>
      <c r="F2281" s="50">
        <v>0.27069412600051557</v>
      </c>
      <c r="G2281" s="51" t="str">
        <v>福井 2022/07/02 (土)
休日午後</v>
      </c>
    </row>
    <row r="2282" spans="1:7" ht="16.149999999999999" x14ac:dyDescent="0.7">
      <c r="A2282" s="49">
        <v>44731.533238310185</v>
      </c>
      <c r="B2282" s="50" t="s">
        <v>10</v>
      </c>
      <c r="C2282" s="50" t="s">
        <v>366</v>
      </c>
      <c r="D2282" s="50" t="s">
        <v>263</v>
      </c>
      <c r="E2282" s="50">
        <v>0</v>
      </c>
      <c r="F2282" s="50">
        <v>0.61926118694221932</v>
      </c>
      <c r="G2282" s="51" t="str">
        <v>福井 2022/07/02 (土)
休日午前</v>
      </c>
    </row>
    <row r="2283" spans="1:7" ht="16.149999999999999" x14ac:dyDescent="0.7">
      <c r="A2283" s="49">
        <v>44731.533238310185</v>
      </c>
      <c r="B2283" s="50" t="s">
        <v>10</v>
      </c>
      <c r="C2283" s="50" t="s">
        <v>367</v>
      </c>
      <c r="D2283" s="50" t="s">
        <v>261</v>
      </c>
      <c r="E2283" s="50">
        <v>0</v>
      </c>
      <c r="F2283" s="50">
        <v>0.8857341696216896</v>
      </c>
      <c r="G2283" s="51" t="str">
        <v>福井 2022/07/03 (日)
休日午後</v>
      </c>
    </row>
    <row r="2284" spans="1:7" ht="16.149999999999999" x14ac:dyDescent="0.7">
      <c r="A2284" s="49">
        <v>44731.533238310185</v>
      </c>
      <c r="B2284" s="50" t="s">
        <v>10</v>
      </c>
      <c r="C2284" s="50" t="s">
        <v>368</v>
      </c>
      <c r="D2284" s="50" t="s">
        <v>263</v>
      </c>
      <c r="E2284" s="50">
        <v>0</v>
      </c>
      <c r="F2284" s="50">
        <v>0.10277816723843403</v>
      </c>
      <c r="G2284" s="51" t="str">
        <v>福井 2022/07/03 (日)
休日午前</v>
      </c>
    </row>
    <row r="2285" spans="1:7" ht="16.149999999999999" x14ac:dyDescent="0.7">
      <c r="A2285" s="49">
        <v>44731.533238310185</v>
      </c>
      <c r="B2285" s="50" t="s">
        <v>10</v>
      </c>
      <c r="C2285" s="50" t="s">
        <v>369</v>
      </c>
      <c r="D2285" s="50" t="s">
        <v>259</v>
      </c>
      <c r="E2285" s="50">
        <v>0</v>
      </c>
      <c r="F2285" s="50">
        <v>0.99498665625262595</v>
      </c>
      <c r="G2285" s="51" t="str">
        <v>福井 2022/07/04 (月)
平日夜間</v>
      </c>
    </row>
    <row r="2286" spans="1:7" ht="16.149999999999999" x14ac:dyDescent="0.7">
      <c r="A2286" s="49">
        <v>44731.533238310185</v>
      </c>
      <c r="B2286" s="50" t="s">
        <v>10</v>
      </c>
      <c r="C2286" s="50" t="s">
        <v>370</v>
      </c>
      <c r="D2286" s="50" t="s">
        <v>259</v>
      </c>
      <c r="E2286" s="50">
        <v>-1</v>
      </c>
      <c r="F2286" s="50">
        <v>-0.88509869511078931</v>
      </c>
      <c r="G2286" s="51" t="str">
        <v>福井 2022/07/05 (火)
平日夜間</v>
      </c>
    </row>
    <row r="2287" spans="1:7" ht="16.149999999999999" x14ac:dyDescent="0.7">
      <c r="A2287" s="49">
        <v>44731.533238310185</v>
      </c>
      <c r="B2287" s="50" t="s">
        <v>10</v>
      </c>
      <c r="C2287" s="50" t="s">
        <v>371</v>
      </c>
      <c r="D2287" s="50" t="s">
        <v>259</v>
      </c>
      <c r="E2287" s="50">
        <v>0</v>
      </c>
      <c r="F2287" s="50">
        <v>0.8659309439545495</v>
      </c>
      <c r="G2287" s="51" t="str">
        <v>福井 2022/07/06 (水)
平日夜間</v>
      </c>
    </row>
    <row r="2288" spans="1:7" ht="16.149999999999999" x14ac:dyDescent="0.7">
      <c r="A2288" s="49">
        <v>44731.533238310185</v>
      </c>
      <c r="B2288" s="50" t="s">
        <v>10</v>
      </c>
      <c r="C2288" s="50" t="s">
        <v>372</v>
      </c>
      <c r="D2288" s="50" t="s">
        <v>259</v>
      </c>
      <c r="E2288" s="50">
        <v>0</v>
      </c>
      <c r="F2288" s="50">
        <v>0.56174782618721997</v>
      </c>
      <c r="G2288" s="51" t="str">
        <v>福井 2022/07/07 (木)
平日夜間</v>
      </c>
    </row>
    <row r="2289" spans="1:7" ht="16.149999999999999" x14ac:dyDescent="0.7">
      <c r="A2289" s="49">
        <v>44731.533238310185</v>
      </c>
      <c r="B2289" s="50" t="s">
        <v>10</v>
      </c>
      <c r="C2289" s="50" t="s">
        <v>373</v>
      </c>
      <c r="D2289" s="50" t="s">
        <v>259</v>
      </c>
      <c r="E2289" s="50">
        <v>-1</v>
      </c>
      <c r="F2289" s="50">
        <v>-0.59538993706566434</v>
      </c>
      <c r="G2289" s="51" t="str">
        <v>福井 2022/07/08 (金)
平日夜間</v>
      </c>
    </row>
    <row r="2290" spans="1:7" ht="16.149999999999999" x14ac:dyDescent="0.7">
      <c r="A2290" s="49">
        <v>44731.533238310185</v>
      </c>
      <c r="B2290" s="50" t="s">
        <v>10</v>
      </c>
      <c r="C2290" s="50" t="s">
        <v>374</v>
      </c>
      <c r="D2290" s="50" t="s">
        <v>261</v>
      </c>
      <c r="E2290" s="50">
        <v>0</v>
      </c>
      <c r="F2290" s="50">
        <v>0.54751654963653174</v>
      </c>
      <c r="G2290" s="51" t="str">
        <v>福井 2022/07/09 (土)
休日午後</v>
      </c>
    </row>
    <row r="2291" spans="1:7" ht="16.149999999999999" x14ac:dyDescent="0.7">
      <c r="A2291" s="49">
        <v>44731.533238310185</v>
      </c>
      <c r="B2291" s="50" t="s">
        <v>10</v>
      </c>
      <c r="C2291" s="50" t="s">
        <v>375</v>
      </c>
      <c r="D2291" s="50" t="s">
        <v>263</v>
      </c>
      <c r="E2291" s="50">
        <v>0</v>
      </c>
      <c r="F2291" s="50">
        <v>0.3706668274212721</v>
      </c>
      <c r="G2291" s="51" t="str">
        <v>福井 2022/07/09 (土)
休日午前</v>
      </c>
    </row>
    <row r="2292" spans="1:7" ht="16.149999999999999" x14ac:dyDescent="0.7">
      <c r="A2292" s="49">
        <v>44731.533238310185</v>
      </c>
      <c r="B2292" s="50" t="s">
        <v>10</v>
      </c>
      <c r="C2292" s="50" t="s">
        <v>376</v>
      </c>
      <c r="D2292" s="50" t="s">
        <v>261</v>
      </c>
      <c r="E2292" s="50">
        <v>2</v>
      </c>
      <c r="F2292" s="50">
        <v>2.6885555014742302</v>
      </c>
      <c r="G2292" s="51" t="str">
        <v>福井 2022/07/10 (日)
休日午後</v>
      </c>
    </row>
    <row r="2293" spans="1:7" ht="16.149999999999999" x14ac:dyDescent="0.7">
      <c r="A2293" s="49">
        <v>44731.533238310185</v>
      </c>
      <c r="B2293" s="50" t="s">
        <v>10</v>
      </c>
      <c r="C2293" s="50" t="s">
        <v>377</v>
      </c>
      <c r="D2293" s="50" t="s">
        <v>263</v>
      </c>
      <c r="E2293" s="50">
        <v>0</v>
      </c>
      <c r="F2293" s="50">
        <v>4.7964199695392784E-2</v>
      </c>
      <c r="G2293" s="51" t="str">
        <v>福井 2022/07/10 (日)
休日午前</v>
      </c>
    </row>
    <row r="2294" spans="1:7" ht="16.149999999999999" x14ac:dyDescent="0.7">
      <c r="A2294" s="49">
        <v>44731.533238310185</v>
      </c>
      <c r="B2294" s="50" t="s">
        <v>10</v>
      </c>
      <c r="C2294" s="50" t="s">
        <v>378</v>
      </c>
      <c r="D2294" s="50" t="s">
        <v>259</v>
      </c>
      <c r="E2294" s="50">
        <v>0</v>
      </c>
      <c r="F2294" s="50">
        <v>0.71564543769382194</v>
      </c>
      <c r="G2294" s="51" t="str">
        <v>福井 2022/07/11 (月)
平日夜間</v>
      </c>
    </row>
    <row r="2295" spans="1:7" ht="16.149999999999999" x14ac:dyDescent="0.7">
      <c r="A2295" s="49">
        <v>44731.533238310185</v>
      </c>
      <c r="B2295" s="50" t="s">
        <v>10</v>
      </c>
      <c r="C2295" s="50" t="s">
        <v>379</v>
      </c>
      <c r="D2295" s="50" t="s">
        <v>259</v>
      </c>
      <c r="E2295" s="50">
        <v>-1</v>
      </c>
      <c r="F2295" s="50">
        <v>-0.4922855465989151</v>
      </c>
      <c r="G2295" s="51" t="str">
        <v>福井 2022/07/12 (火)
平日夜間</v>
      </c>
    </row>
    <row r="2296" spans="1:7" ht="16.149999999999999" x14ac:dyDescent="0.7">
      <c r="A2296" s="49">
        <v>44731.533238310185</v>
      </c>
      <c r="B2296" s="50" t="s">
        <v>10</v>
      </c>
      <c r="C2296" s="50" t="s">
        <v>380</v>
      </c>
      <c r="D2296" s="50" t="s">
        <v>259</v>
      </c>
      <c r="E2296" s="50">
        <v>0</v>
      </c>
      <c r="F2296" s="50">
        <v>0.1117711264233352</v>
      </c>
      <c r="G2296" s="51" t="str">
        <v>福井 2022/07/13 (水)
平日夜間</v>
      </c>
    </row>
    <row r="2297" spans="1:7" ht="16.149999999999999" x14ac:dyDescent="0.7">
      <c r="A2297" s="49">
        <v>44731.533238310185</v>
      </c>
      <c r="B2297" s="50" t="s">
        <v>10</v>
      </c>
      <c r="C2297" s="50" t="s">
        <v>381</v>
      </c>
      <c r="D2297" s="50" t="s">
        <v>259</v>
      </c>
      <c r="E2297" s="50">
        <v>0</v>
      </c>
      <c r="F2297" s="50">
        <v>9.3071009126135529E-3</v>
      </c>
      <c r="G2297" s="51" t="str">
        <v>福井 2022/07/14 (木)
平日夜間</v>
      </c>
    </row>
    <row r="2298" spans="1:7" ht="16.149999999999999" x14ac:dyDescent="0.7">
      <c r="A2298" s="49">
        <v>44731.533238310185</v>
      </c>
      <c r="B2298" s="50" t="s">
        <v>10</v>
      </c>
      <c r="C2298" s="50" t="s">
        <v>382</v>
      </c>
      <c r="D2298" s="50" t="s">
        <v>259</v>
      </c>
      <c r="E2298" s="50">
        <v>-1</v>
      </c>
      <c r="F2298" s="50">
        <v>-0.23499466610593589</v>
      </c>
      <c r="G2298" s="51" t="str">
        <v>福井 2022/07/15 (金)
平日夜間</v>
      </c>
    </row>
    <row r="2299" spans="1:7" ht="16.149999999999999" x14ac:dyDescent="0.7">
      <c r="A2299" s="49">
        <v>44731.533238310185</v>
      </c>
      <c r="B2299" s="50" t="s">
        <v>10</v>
      </c>
      <c r="C2299" s="50" t="s">
        <v>383</v>
      </c>
      <c r="D2299" s="50" t="s">
        <v>261</v>
      </c>
      <c r="E2299" s="50">
        <v>-1</v>
      </c>
      <c r="F2299" s="50">
        <v>-0.97349663986531221</v>
      </c>
      <c r="G2299" s="51" t="str">
        <v>福井 2022/07/16 (土)
休日午後</v>
      </c>
    </row>
    <row r="2300" spans="1:7" ht="16.149999999999999" x14ac:dyDescent="0.7">
      <c r="A2300" s="49">
        <v>44731.533238310185</v>
      </c>
      <c r="B2300" s="50" t="s">
        <v>10</v>
      </c>
      <c r="C2300" s="50" t="s">
        <v>384</v>
      </c>
      <c r="D2300" s="50" t="s">
        <v>263</v>
      </c>
      <c r="E2300" s="50">
        <v>-1</v>
      </c>
      <c r="F2300" s="50">
        <v>-0.46242960907552111</v>
      </c>
      <c r="G2300" s="51" t="str">
        <v>福井 2022/07/16 (土)
休日午前</v>
      </c>
    </row>
    <row r="2301" spans="1:7" ht="16.149999999999999" x14ac:dyDescent="0.7">
      <c r="A2301" s="49">
        <v>44731.533238310185</v>
      </c>
      <c r="B2301" s="50" t="s">
        <v>10</v>
      </c>
      <c r="C2301" s="50" t="s">
        <v>385</v>
      </c>
      <c r="D2301" s="50" t="s">
        <v>261</v>
      </c>
      <c r="E2301" s="50">
        <v>-1</v>
      </c>
      <c r="F2301" s="50">
        <v>-0.27794486568038002</v>
      </c>
      <c r="G2301" s="51" t="str">
        <v>福井 2022/07/17 (日)
休日午後</v>
      </c>
    </row>
    <row r="2302" spans="1:7" ht="16.149999999999999" x14ac:dyDescent="0.7">
      <c r="A2302" s="49">
        <v>44731.533238310185</v>
      </c>
      <c r="B2302" s="50" t="s">
        <v>10</v>
      </c>
      <c r="C2302" s="50" t="s">
        <v>386</v>
      </c>
      <c r="D2302" s="50" t="s">
        <v>263</v>
      </c>
      <c r="E2302" s="50">
        <v>-1</v>
      </c>
      <c r="F2302" s="50">
        <v>-0.21887287095626684</v>
      </c>
      <c r="G2302" s="51" t="str">
        <v>福井 2022/07/17 (日)
休日午前</v>
      </c>
    </row>
    <row r="2303" spans="1:7" ht="16.149999999999999" x14ac:dyDescent="0.7">
      <c r="A2303" s="49">
        <v>44731.533238310185</v>
      </c>
      <c r="B2303" s="50" t="s">
        <v>10</v>
      </c>
      <c r="C2303" s="50" t="s">
        <v>404</v>
      </c>
      <c r="D2303" s="50" t="s">
        <v>261</v>
      </c>
      <c r="E2303" s="50">
        <v>0</v>
      </c>
      <c r="F2303" s="50">
        <v>5.3702276883365263E-2</v>
      </c>
      <c r="G2303" s="51" t="str">
        <v>福井 2022/07/18 (月)
休日午後</v>
      </c>
    </row>
    <row r="2304" spans="1:7" ht="16.149999999999999" x14ac:dyDescent="0.7">
      <c r="A2304" s="49">
        <v>44731.533238310185</v>
      </c>
      <c r="B2304" s="50" t="s">
        <v>10</v>
      </c>
      <c r="C2304" s="50" t="s">
        <v>405</v>
      </c>
      <c r="D2304" s="50" t="s">
        <v>263</v>
      </c>
      <c r="E2304" s="50">
        <v>-1</v>
      </c>
      <c r="F2304" s="50">
        <v>-7.7873638250487653E-2</v>
      </c>
      <c r="G2304" s="51" t="str">
        <v>福井 2022/07/18 (月)
休日午前</v>
      </c>
    </row>
    <row r="2305" spans="1:7" ht="16.149999999999999" x14ac:dyDescent="0.7">
      <c r="A2305" s="49">
        <v>44731.533238310185</v>
      </c>
      <c r="B2305" s="50" t="s">
        <v>10</v>
      </c>
      <c r="C2305" s="50" t="s">
        <v>387</v>
      </c>
      <c r="D2305" s="50" t="s">
        <v>259</v>
      </c>
      <c r="E2305" s="50">
        <v>-1</v>
      </c>
      <c r="F2305" s="50">
        <v>-0.7436168640611811</v>
      </c>
      <c r="G2305" s="51" t="str">
        <v>福井 2022/07/19 (火)
平日夜間</v>
      </c>
    </row>
    <row r="2306" spans="1:7" ht="16.149999999999999" x14ac:dyDescent="0.7">
      <c r="A2306" s="49">
        <v>44731.533238310185</v>
      </c>
      <c r="B2306" s="50" t="s">
        <v>10</v>
      </c>
      <c r="C2306" s="50" t="s">
        <v>388</v>
      </c>
      <c r="D2306" s="50" t="s">
        <v>259</v>
      </c>
      <c r="E2306" s="50">
        <v>0</v>
      </c>
      <c r="F2306" s="50">
        <v>0.56312142136018162</v>
      </c>
      <c r="G2306" s="51" t="str">
        <v>福井 2022/07/20 (水)
平日夜間</v>
      </c>
    </row>
    <row r="2307" spans="1:7" ht="16.149999999999999" x14ac:dyDescent="0.7">
      <c r="A2307" s="49">
        <v>44731.533238310185</v>
      </c>
      <c r="B2307" s="50" t="s">
        <v>10</v>
      </c>
      <c r="C2307" s="50" t="s">
        <v>389</v>
      </c>
      <c r="D2307" s="50" t="s">
        <v>259</v>
      </c>
      <c r="E2307" s="50">
        <v>0</v>
      </c>
      <c r="F2307" s="50">
        <v>0.29600174459533801</v>
      </c>
      <c r="G2307" s="51" t="str">
        <v>福井 2022/07/21 (木)
平日夜間</v>
      </c>
    </row>
    <row r="2308" spans="1:7" ht="16.149999999999999" x14ac:dyDescent="0.7">
      <c r="A2308" s="49">
        <v>44731.533238310185</v>
      </c>
      <c r="B2308" s="50" t="s">
        <v>10</v>
      </c>
      <c r="C2308" s="50" t="s">
        <v>390</v>
      </c>
      <c r="D2308" s="50" t="s">
        <v>259</v>
      </c>
      <c r="E2308" s="50">
        <v>0</v>
      </c>
      <c r="F2308" s="50">
        <v>0.63122504692347259</v>
      </c>
      <c r="G2308" s="51" t="str">
        <v>福井 2022/07/22 (金)
平日夜間</v>
      </c>
    </row>
    <row r="2309" spans="1:7" ht="16.149999999999999" x14ac:dyDescent="0.7">
      <c r="A2309" s="49">
        <v>44731.533238310185</v>
      </c>
      <c r="B2309" s="50" t="s">
        <v>10</v>
      </c>
      <c r="C2309" s="50" t="s">
        <v>391</v>
      </c>
      <c r="D2309" s="50" t="s">
        <v>261</v>
      </c>
      <c r="E2309" s="50">
        <v>0</v>
      </c>
      <c r="F2309" s="50">
        <v>0.97016822597273555</v>
      </c>
      <c r="G2309" s="51" t="str">
        <v>福井 2022/07/23 (土)
休日午後</v>
      </c>
    </row>
    <row r="2310" spans="1:7" ht="16.149999999999999" x14ac:dyDescent="0.7">
      <c r="A2310" s="49">
        <v>44731.533238310185</v>
      </c>
      <c r="B2310" s="50" t="s">
        <v>10</v>
      </c>
      <c r="C2310" s="50" t="s">
        <v>392</v>
      </c>
      <c r="D2310" s="50" t="s">
        <v>263</v>
      </c>
      <c r="E2310" s="50">
        <v>0</v>
      </c>
      <c r="F2310" s="50">
        <v>0.65965131044446146</v>
      </c>
      <c r="G2310" s="51" t="str">
        <v>福井 2022/07/23 (土)
休日午前</v>
      </c>
    </row>
    <row r="2311" spans="1:7" ht="16.149999999999999" x14ac:dyDescent="0.7">
      <c r="A2311" s="49">
        <v>44731.533238310185</v>
      </c>
      <c r="B2311" s="50" t="s">
        <v>10</v>
      </c>
      <c r="C2311" s="50" t="s">
        <v>393</v>
      </c>
      <c r="D2311" s="50" t="s">
        <v>261</v>
      </c>
      <c r="E2311" s="50">
        <v>0</v>
      </c>
      <c r="F2311" s="50">
        <v>0.50841523137720901</v>
      </c>
      <c r="G2311" s="51" t="str">
        <v>福井 2022/07/24 (日)
休日午後</v>
      </c>
    </row>
    <row r="2312" spans="1:7" ht="16.149999999999999" x14ac:dyDescent="0.7">
      <c r="A2312" s="49">
        <v>44731.533238310185</v>
      </c>
      <c r="B2312" s="50" t="s">
        <v>10</v>
      </c>
      <c r="C2312" s="50" t="s">
        <v>394</v>
      </c>
      <c r="D2312" s="50" t="s">
        <v>263</v>
      </c>
      <c r="E2312" s="50">
        <v>0</v>
      </c>
      <c r="F2312" s="50">
        <v>0.41305425448784239</v>
      </c>
      <c r="G2312" s="51" t="str">
        <v>福井 2022/07/24 (日)
休日午前</v>
      </c>
    </row>
    <row r="2313" spans="1:7" ht="16.149999999999999" x14ac:dyDescent="0.7">
      <c r="A2313" s="49">
        <v>44731.533238310185</v>
      </c>
      <c r="B2313" s="50" t="s">
        <v>10</v>
      </c>
      <c r="C2313" s="50" t="s">
        <v>395</v>
      </c>
      <c r="D2313" s="50" t="s">
        <v>259</v>
      </c>
      <c r="E2313" s="50">
        <v>0</v>
      </c>
      <c r="F2313" s="50">
        <v>0.12720582403305625</v>
      </c>
      <c r="G2313" s="51" t="str">
        <v>福井 2022/07/25 (月)
平日夜間</v>
      </c>
    </row>
    <row r="2314" spans="1:7" ht="16.149999999999999" x14ac:dyDescent="0.7">
      <c r="A2314" s="49">
        <v>44731.533238310185</v>
      </c>
      <c r="B2314" s="50" t="s">
        <v>10</v>
      </c>
      <c r="C2314" s="50" t="s">
        <v>396</v>
      </c>
      <c r="D2314" s="50" t="s">
        <v>259</v>
      </c>
      <c r="E2314" s="50">
        <v>-1</v>
      </c>
      <c r="F2314" s="50">
        <v>-0.18319005347954942</v>
      </c>
      <c r="G2314" s="51" t="str">
        <v>福井 2022/07/26 (火)
平日夜間</v>
      </c>
    </row>
    <row r="2315" spans="1:7" ht="16.149999999999999" x14ac:dyDescent="0.7">
      <c r="A2315" s="49">
        <v>44731.533238310185</v>
      </c>
      <c r="B2315" s="50" t="s">
        <v>10</v>
      </c>
      <c r="C2315" s="50" t="s">
        <v>397</v>
      </c>
      <c r="D2315" s="50" t="s">
        <v>259</v>
      </c>
      <c r="E2315" s="50">
        <v>0</v>
      </c>
      <c r="F2315" s="50">
        <v>0.38785273709949752</v>
      </c>
      <c r="G2315" s="51" t="str">
        <v>福井 2022/07/27 (水)
平日夜間</v>
      </c>
    </row>
    <row r="2316" spans="1:7" ht="16.149999999999999" x14ac:dyDescent="0.7">
      <c r="A2316" s="49">
        <v>44731.533238310185</v>
      </c>
      <c r="B2316" s="50" t="s">
        <v>10</v>
      </c>
      <c r="C2316" s="50" t="s">
        <v>398</v>
      </c>
      <c r="D2316" s="50" t="s">
        <v>259</v>
      </c>
      <c r="E2316" s="50">
        <v>0</v>
      </c>
      <c r="F2316" s="50">
        <v>0.81128615041971863</v>
      </c>
      <c r="G2316" s="51" t="str">
        <v>福井 2022/07/28 (木)
平日夜間</v>
      </c>
    </row>
    <row r="2317" spans="1:7" ht="16.149999999999999" x14ac:dyDescent="0.7">
      <c r="A2317" s="49">
        <v>44731.533238310185</v>
      </c>
      <c r="B2317" s="50" t="s">
        <v>10</v>
      </c>
      <c r="C2317" s="50" t="s">
        <v>399</v>
      </c>
      <c r="D2317" s="50" t="s">
        <v>259</v>
      </c>
      <c r="E2317" s="50">
        <v>0</v>
      </c>
      <c r="F2317" s="50">
        <v>6.2484936332956043E-2</v>
      </c>
      <c r="G2317" s="51" t="str">
        <v>福井 2022/07/29 (金)
平日夜間</v>
      </c>
    </row>
    <row r="2318" spans="1:7" ht="16.149999999999999" x14ac:dyDescent="0.7">
      <c r="A2318" s="49">
        <v>44731.533238310185</v>
      </c>
      <c r="B2318" s="50" t="s">
        <v>10</v>
      </c>
      <c r="C2318" s="50" t="s">
        <v>400</v>
      </c>
      <c r="D2318" s="50" t="s">
        <v>261</v>
      </c>
      <c r="E2318" s="50">
        <v>0</v>
      </c>
      <c r="F2318" s="50">
        <v>0.94006736561432991</v>
      </c>
      <c r="G2318" s="51" t="str">
        <v>福井 2022/07/30 (土)
休日午後</v>
      </c>
    </row>
    <row r="2319" spans="1:7" ht="16.149999999999999" x14ac:dyDescent="0.7">
      <c r="A2319" s="49">
        <v>44731.533238310185</v>
      </c>
      <c r="B2319" s="50" t="s">
        <v>10</v>
      </c>
      <c r="C2319" s="50" t="s">
        <v>401</v>
      </c>
      <c r="D2319" s="50" t="s">
        <v>263</v>
      </c>
      <c r="E2319" s="50">
        <v>0</v>
      </c>
      <c r="F2319" s="50">
        <v>0.37884040209745851</v>
      </c>
      <c r="G2319" s="51" t="str">
        <v>福井 2022/07/30 (土)
休日午前</v>
      </c>
    </row>
    <row r="2320" spans="1:7" ht="16.149999999999999" x14ac:dyDescent="0.7">
      <c r="A2320" s="49">
        <v>44731.533238310185</v>
      </c>
      <c r="B2320" s="50" t="s">
        <v>10</v>
      </c>
      <c r="C2320" s="50" t="s">
        <v>402</v>
      </c>
      <c r="D2320" s="50" t="s">
        <v>261</v>
      </c>
      <c r="E2320" s="50">
        <v>0</v>
      </c>
      <c r="F2320" s="50">
        <v>0.19806172707101344</v>
      </c>
      <c r="G2320" s="51" t="str">
        <v>福井 2022/07/31 (日)
休日午後</v>
      </c>
    </row>
    <row r="2321" spans="1:7" ht="16.149999999999999" x14ac:dyDescent="0.7">
      <c r="A2321" s="49">
        <v>44731.533238310185</v>
      </c>
      <c r="B2321" s="50" t="s">
        <v>10</v>
      </c>
      <c r="C2321" s="50" t="s">
        <v>403</v>
      </c>
      <c r="D2321" s="50" t="s">
        <v>263</v>
      </c>
      <c r="E2321" s="50">
        <v>0</v>
      </c>
      <c r="F2321" s="50">
        <v>0.94606880954636563</v>
      </c>
      <c r="G2321" s="51" t="str">
        <v>福井 2022/07/31 (日)
休日午前</v>
      </c>
    </row>
    <row r="2322" spans="1:7" ht="16.149999999999999" x14ac:dyDescent="0.7">
      <c r="A2322" s="49">
        <v>44731.726287581019</v>
      </c>
      <c r="B2322" s="50" t="s">
        <v>19</v>
      </c>
      <c r="C2322" s="50" t="s">
        <v>364</v>
      </c>
      <c r="D2322" s="50" t="s">
        <v>259</v>
      </c>
      <c r="E2322" s="50">
        <v>-1</v>
      </c>
      <c r="F2322" s="50">
        <v>-0.37029438513478463</v>
      </c>
      <c r="G2322" s="51" t="str">
        <v>佐藤 2022/07/01 (金)
平日夜間</v>
      </c>
    </row>
    <row r="2323" spans="1:7" ht="16.149999999999999" x14ac:dyDescent="0.7">
      <c r="A2323" s="49">
        <v>44731.726287581019</v>
      </c>
      <c r="B2323" s="50" t="s">
        <v>19</v>
      </c>
      <c r="C2323" s="50" t="s">
        <v>365</v>
      </c>
      <c r="D2323" s="50" t="s">
        <v>261</v>
      </c>
      <c r="E2323" s="50">
        <v>-1</v>
      </c>
      <c r="F2323" s="50">
        <v>-0.87201730296392843</v>
      </c>
      <c r="G2323" s="51" t="str">
        <v>佐藤 2022/07/02 (土)
休日午後</v>
      </c>
    </row>
    <row r="2324" spans="1:7" ht="16.149999999999999" x14ac:dyDescent="0.7">
      <c r="A2324" s="49">
        <v>44731.726287581019</v>
      </c>
      <c r="B2324" s="50" t="s">
        <v>19</v>
      </c>
      <c r="C2324" s="50" t="s">
        <v>366</v>
      </c>
      <c r="D2324" s="50" t="s">
        <v>263</v>
      </c>
      <c r="E2324" s="50">
        <v>-1</v>
      </c>
      <c r="F2324" s="50">
        <v>-0.82452432944231524</v>
      </c>
      <c r="G2324" s="51" t="str">
        <v>佐藤 2022/07/02 (土)
休日午前</v>
      </c>
    </row>
    <row r="2325" spans="1:7" ht="16.149999999999999" x14ac:dyDescent="0.7">
      <c r="A2325" s="49">
        <v>44731.726287581019</v>
      </c>
      <c r="B2325" s="50" t="s">
        <v>19</v>
      </c>
      <c r="C2325" s="50" t="s">
        <v>367</v>
      </c>
      <c r="D2325" s="50" t="s">
        <v>261</v>
      </c>
      <c r="E2325" s="50">
        <v>-1</v>
      </c>
      <c r="F2325" s="50">
        <v>-0.28101519252057816</v>
      </c>
      <c r="G2325" s="51" t="str">
        <v>佐藤 2022/07/03 (日)
休日午後</v>
      </c>
    </row>
    <row r="2326" spans="1:7" ht="16.149999999999999" x14ac:dyDescent="0.7">
      <c r="A2326" s="49">
        <v>44731.726287581019</v>
      </c>
      <c r="B2326" s="50" t="s">
        <v>19</v>
      </c>
      <c r="C2326" s="50" t="s">
        <v>368</v>
      </c>
      <c r="D2326" s="50" t="s">
        <v>263</v>
      </c>
      <c r="E2326" s="50">
        <v>-1</v>
      </c>
      <c r="F2326" s="50">
        <v>-0.82048176142337881</v>
      </c>
      <c r="G2326" s="51" t="str">
        <v>佐藤 2022/07/03 (日)
休日午前</v>
      </c>
    </row>
    <row r="2327" spans="1:7" ht="16.149999999999999" x14ac:dyDescent="0.7">
      <c r="A2327" s="49">
        <v>44731.726287581019</v>
      </c>
      <c r="B2327" s="50" t="s">
        <v>19</v>
      </c>
      <c r="C2327" s="50" t="s">
        <v>369</v>
      </c>
      <c r="D2327" s="50" t="s">
        <v>259</v>
      </c>
      <c r="E2327" s="50">
        <v>0</v>
      </c>
      <c r="F2327" s="50">
        <v>0.45882092442212907</v>
      </c>
      <c r="G2327" s="51" t="str">
        <v>佐藤 2022/07/04 (月)
平日夜間</v>
      </c>
    </row>
    <row r="2328" spans="1:7" ht="16.149999999999999" x14ac:dyDescent="0.7">
      <c r="A2328" s="49">
        <v>44731.726287581019</v>
      </c>
      <c r="B2328" s="50" t="s">
        <v>19</v>
      </c>
      <c r="C2328" s="50" t="s">
        <v>370</v>
      </c>
      <c r="D2328" s="50" t="s">
        <v>259</v>
      </c>
      <c r="E2328" s="50">
        <v>0</v>
      </c>
      <c r="F2328" s="50">
        <v>0.35225458039911306</v>
      </c>
      <c r="G2328" s="51" t="str">
        <v>佐藤 2022/07/05 (火)
平日夜間</v>
      </c>
    </row>
    <row r="2329" spans="1:7" ht="16.149999999999999" x14ac:dyDescent="0.7">
      <c r="A2329" s="49">
        <v>44731.726287581019</v>
      </c>
      <c r="B2329" s="50" t="s">
        <v>19</v>
      </c>
      <c r="C2329" s="50" t="s">
        <v>371</v>
      </c>
      <c r="D2329" s="50" t="s">
        <v>259</v>
      </c>
      <c r="E2329" s="50">
        <v>0</v>
      </c>
      <c r="F2329" s="50">
        <v>0.12183596957880516</v>
      </c>
      <c r="G2329" s="51" t="str">
        <v>佐藤 2022/07/06 (水)
平日夜間</v>
      </c>
    </row>
    <row r="2330" spans="1:7" ht="16.149999999999999" x14ac:dyDescent="0.7">
      <c r="A2330" s="49">
        <v>44731.726287581019</v>
      </c>
      <c r="B2330" s="50" t="s">
        <v>19</v>
      </c>
      <c r="C2330" s="50" t="s">
        <v>372</v>
      </c>
      <c r="D2330" s="50" t="s">
        <v>259</v>
      </c>
      <c r="E2330" s="50">
        <v>0</v>
      </c>
      <c r="F2330" s="50">
        <v>1.2265118883215687E-2</v>
      </c>
      <c r="G2330" s="51" t="str">
        <v>佐藤 2022/07/07 (木)
平日夜間</v>
      </c>
    </row>
    <row r="2331" spans="1:7" ht="16.149999999999999" x14ac:dyDescent="0.7">
      <c r="A2331" s="49">
        <v>44731.726287581019</v>
      </c>
      <c r="B2331" s="50" t="s">
        <v>19</v>
      </c>
      <c r="C2331" s="50" t="s">
        <v>373</v>
      </c>
      <c r="D2331" s="50" t="s">
        <v>259</v>
      </c>
      <c r="E2331" s="50">
        <v>-1</v>
      </c>
      <c r="F2331" s="50">
        <v>-0.98573552085563532</v>
      </c>
      <c r="G2331" s="51" t="str">
        <v>佐藤 2022/07/08 (金)
平日夜間</v>
      </c>
    </row>
    <row r="2332" spans="1:7" ht="16.149999999999999" x14ac:dyDescent="0.7">
      <c r="A2332" s="49">
        <v>44731.726287581019</v>
      </c>
      <c r="B2332" s="50" t="s">
        <v>19</v>
      </c>
      <c r="C2332" s="50" t="s">
        <v>374</v>
      </c>
      <c r="D2332" s="50" t="s">
        <v>261</v>
      </c>
      <c r="E2332" s="50">
        <v>0</v>
      </c>
      <c r="F2332" s="50">
        <v>0.90998936725036583</v>
      </c>
      <c r="G2332" s="51" t="str">
        <v>佐藤 2022/07/09 (土)
休日午後</v>
      </c>
    </row>
    <row r="2333" spans="1:7" ht="16.149999999999999" x14ac:dyDescent="0.7">
      <c r="A2333" s="49">
        <v>44731.726287581019</v>
      </c>
      <c r="B2333" s="50" t="s">
        <v>19</v>
      </c>
      <c r="C2333" s="50" t="s">
        <v>375</v>
      </c>
      <c r="D2333" s="50" t="s">
        <v>263</v>
      </c>
      <c r="E2333" s="50">
        <v>1</v>
      </c>
      <c r="F2333" s="50">
        <v>1.989587782795802</v>
      </c>
      <c r="G2333" s="51" t="str">
        <v>佐藤 2022/07/09 (土)
休日午前</v>
      </c>
    </row>
    <row r="2334" spans="1:7" ht="16.149999999999999" x14ac:dyDescent="0.7">
      <c r="A2334" s="49">
        <v>44731.726287581019</v>
      </c>
      <c r="B2334" s="50" t="s">
        <v>19</v>
      </c>
      <c r="C2334" s="50" t="s">
        <v>376</v>
      </c>
      <c r="D2334" s="50" t="s">
        <v>261</v>
      </c>
      <c r="E2334" s="50">
        <v>-1</v>
      </c>
      <c r="F2334" s="50">
        <v>-0.37262193400053412</v>
      </c>
      <c r="G2334" s="51" t="str">
        <v>佐藤 2022/07/10 (日)
休日午後</v>
      </c>
    </row>
    <row r="2335" spans="1:7" ht="16.149999999999999" x14ac:dyDescent="0.7">
      <c r="A2335" s="49">
        <v>44731.726287581019</v>
      </c>
      <c r="B2335" s="50" t="s">
        <v>19</v>
      </c>
      <c r="C2335" s="50" t="s">
        <v>377</v>
      </c>
      <c r="D2335" s="50" t="s">
        <v>263</v>
      </c>
      <c r="E2335" s="50">
        <v>-1</v>
      </c>
      <c r="F2335" s="50">
        <v>-0.11828935700887078</v>
      </c>
      <c r="G2335" s="51" t="str">
        <v>佐藤 2022/07/10 (日)
休日午前</v>
      </c>
    </row>
    <row r="2336" spans="1:7" ht="16.149999999999999" x14ac:dyDescent="0.7">
      <c r="A2336" s="49">
        <v>44731.726287581019</v>
      </c>
      <c r="B2336" s="50" t="s">
        <v>19</v>
      </c>
      <c r="C2336" s="50" t="s">
        <v>378</v>
      </c>
      <c r="D2336" s="50" t="s">
        <v>259</v>
      </c>
      <c r="E2336" s="50">
        <v>0</v>
      </c>
      <c r="F2336" s="50">
        <v>5.9528506392685143E-2</v>
      </c>
      <c r="G2336" s="51" t="str">
        <v>佐藤 2022/07/11 (月)
平日夜間</v>
      </c>
    </row>
    <row r="2337" spans="1:7" ht="16.149999999999999" x14ac:dyDescent="0.7">
      <c r="A2337" s="49">
        <v>44731.726287581019</v>
      </c>
      <c r="B2337" s="50" t="s">
        <v>19</v>
      </c>
      <c r="C2337" s="50" t="s">
        <v>379</v>
      </c>
      <c r="D2337" s="50" t="s">
        <v>259</v>
      </c>
      <c r="E2337" s="50">
        <v>0</v>
      </c>
      <c r="F2337" s="50">
        <v>0.145627324878838</v>
      </c>
      <c r="G2337" s="51" t="str">
        <v>佐藤 2022/07/12 (火)
平日夜間</v>
      </c>
    </row>
    <row r="2338" spans="1:7" ht="16.149999999999999" x14ac:dyDescent="0.7">
      <c r="A2338" s="49">
        <v>44731.726287581019</v>
      </c>
      <c r="B2338" s="50" t="s">
        <v>19</v>
      </c>
      <c r="C2338" s="50" t="s">
        <v>380</v>
      </c>
      <c r="D2338" s="50" t="s">
        <v>259</v>
      </c>
      <c r="E2338" s="50">
        <v>0</v>
      </c>
      <c r="F2338" s="50">
        <v>0.32197171081178255</v>
      </c>
      <c r="G2338" s="51" t="str">
        <v>佐藤 2022/07/13 (水)
平日夜間</v>
      </c>
    </row>
    <row r="2339" spans="1:7" ht="16.149999999999999" x14ac:dyDescent="0.7">
      <c r="A2339" s="49">
        <v>44731.726287581019</v>
      </c>
      <c r="B2339" s="50" t="s">
        <v>19</v>
      </c>
      <c r="C2339" s="50" t="s">
        <v>381</v>
      </c>
      <c r="D2339" s="50" t="s">
        <v>259</v>
      </c>
      <c r="E2339" s="50">
        <v>2</v>
      </c>
      <c r="F2339" s="50">
        <v>2.6967503751901196</v>
      </c>
      <c r="G2339" s="51" t="str">
        <v>佐藤 2022/07/14 (木)
平日夜間</v>
      </c>
    </row>
    <row r="2340" spans="1:7" ht="16.149999999999999" x14ac:dyDescent="0.7">
      <c r="A2340" s="49">
        <v>44731.726287581019</v>
      </c>
      <c r="B2340" s="50" t="s">
        <v>19</v>
      </c>
      <c r="C2340" s="50" t="s">
        <v>382</v>
      </c>
      <c r="D2340" s="50" t="s">
        <v>259</v>
      </c>
      <c r="E2340" s="50">
        <v>-1</v>
      </c>
      <c r="F2340" s="50">
        <v>-0.20439598913387802</v>
      </c>
      <c r="G2340" s="51" t="str">
        <v>佐藤 2022/07/15 (金)
平日夜間</v>
      </c>
    </row>
    <row r="2341" spans="1:7" ht="16.149999999999999" x14ac:dyDescent="0.7">
      <c r="A2341" s="49">
        <v>44731.726287581019</v>
      </c>
      <c r="B2341" s="50" t="s">
        <v>19</v>
      </c>
      <c r="C2341" s="50" t="s">
        <v>383</v>
      </c>
      <c r="D2341" s="50" t="s">
        <v>261</v>
      </c>
      <c r="E2341" s="50">
        <v>-1</v>
      </c>
      <c r="F2341" s="50">
        <v>-0.85793519773960236</v>
      </c>
      <c r="G2341" s="51" t="str">
        <v>佐藤 2022/07/16 (土)
休日午後</v>
      </c>
    </row>
    <row r="2342" spans="1:7" ht="16.149999999999999" x14ac:dyDescent="0.7">
      <c r="A2342" s="49">
        <v>44731.726287581019</v>
      </c>
      <c r="B2342" s="50" t="s">
        <v>19</v>
      </c>
      <c r="C2342" s="50" t="s">
        <v>384</v>
      </c>
      <c r="D2342" s="50" t="s">
        <v>263</v>
      </c>
      <c r="E2342" s="50">
        <v>0</v>
      </c>
      <c r="F2342" s="50">
        <v>9.3143890212754599E-4</v>
      </c>
      <c r="G2342" s="51" t="str">
        <v>佐藤 2022/07/16 (土)
休日午前</v>
      </c>
    </row>
    <row r="2343" spans="1:7" ht="16.149999999999999" x14ac:dyDescent="0.7">
      <c r="A2343" s="49">
        <v>44731.726287581019</v>
      </c>
      <c r="B2343" s="50" t="s">
        <v>19</v>
      </c>
      <c r="C2343" s="50" t="s">
        <v>385</v>
      </c>
      <c r="D2343" s="50" t="s">
        <v>261</v>
      </c>
      <c r="E2343" s="50">
        <v>-1</v>
      </c>
      <c r="F2343" s="50">
        <v>-6.1341050060768065E-2</v>
      </c>
      <c r="G2343" s="51" t="str">
        <v>佐藤 2022/07/17 (日)
休日午後</v>
      </c>
    </row>
    <row r="2344" spans="1:7" ht="16.149999999999999" x14ac:dyDescent="0.7">
      <c r="A2344" s="49">
        <v>44731.726287581019</v>
      </c>
      <c r="B2344" s="50" t="s">
        <v>19</v>
      </c>
      <c r="C2344" s="50" t="s">
        <v>386</v>
      </c>
      <c r="D2344" s="50" t="s">
        <v>263</v>
      </c>
      <c r="E2344" s="50">
        <v>-1</v>
      </c>
      <c r="F2344" s="50">
        <v>-0.81984400260632384</v>
      </c>
      <c r="G2344" s="51" t="str">
        <v>佐藤 2022/07/17 (日)
休日午前</v>
      </c>
    </row>
    <row r="2345" spans="1:7" ht="16.149999999999999" x14ac:dyDescent="0.7">
      <c r="A2345" s="49">
        <v>44731.726287581019</v>
      </c>
      <c r="B2345" s="50" t="s">
        <v>19</v>
      </c>
      <c r="C2345" s="50" t="s">
        <v>404</v>
      </c>
      <c r="D2345" s="50" t="s">
        <v>261</v>
      </c>
      <c r="E2345" s="50">
        <v>-1</v>
      </c>
      <c r="F2345" s="50">
        <v>-0.56320896618415039</v>
      </c>
      <c r="G2345" s="51" t="str">
        <v>佐藤 2022/07/18 (月)
休日午後</v>
      </c>
    </row>
    <row r="2346" spans="1:7" ht="16.149999999999999" x14ac:dyDescent="0.7">
      <c r="A2346" s="49">
        <v>44731.726287581019</v>
      </c>
      <c r="B2346" s="50" t="s">
        <v>19</v>
      </c>
      <c r="C2346" s="50" t="s">
        <v>405</v>
      </c>
      <c r="D2346" s="50" t="s">
        <v>263</v>
      </c>
      <c r="E2346" s="50">
        <v>-1</v>
      </c>
      <c r="F2346" s="50">
        <v>-0.63604324894289777</v>
      </c>
      <c r="G2346" s="51" t="str">
        <v>佐藤 2022/07/18 (月)
休日午前</v>
      </c>
    </row>
    <row r="2347" spans="1:7" ht="16.149999999999999" x14ac:dyDescent="0.7">
      <c r="A2347" s="49">
        <v>44731.726287581019</v>
      </c>
      <c r="B2347" s="50" t="s">
        <v>19</v>
      </c>
      <c r="C2347" s="50" t="s">
        <v>387</v>
      </c>
      <c r="D2347" s="50" t="s">
        <v>259</v>
      </c>
      <c r="E2347" s="50">
        <v>-1</v>
      </c>
      <c r="F2347" s="50">
        <v>-0.40556184443848986</v>
      </c>
      <c r="G2347" s="51" t="str">
        <v>佐藤 2022/07/19 (火)
平日夜間</v>
      </c>
    </row>
    <row r="2348" spans="1:7" ht="16.149999999999999" x14ac:dyDescent="0.7">
      <c r="A2348" s="49">
        <v>44731.726287581019</v>
      </c>
      <c r="B2348" s="50" t="s">
        <v>19</v>
      </c>
      <c r="C2348" s="50" t="s">
        <v>388</v>
      </c>
      <c r="D2348" s="50" t="s">
        <v>259</v>
      </c>
      <c r="E2348" s="50">
        <v>0</v>
      </c>
      <c r="F2348" s="50">
        <v>0.25206276377824377</v>
      </c>
      <c r="G2348" s="51" t="str">
        <v>佐藤 2022/07/20 (水)
平日夜間</v>
      </c>
    </row>
    <row r="2349" spans="1:7" ht="16.149999999999999" x14ac:dyDescent="0.7">
      <c r="A2349" s="49">
        <v>44731.726287581019</v>
      </c>
      <c r="B2349" s="50" t="s">
        <v>19</v>
      </c>
      <c r="C2349" s="50" t="s">
        <v>389</v>
      </c>
      <c r="D2349" s="50" t="s">
        <v>259</v>
      </c>
      <c r="E2349" s="50">
        <v>0</v>
      </c>
      <c r="F2349" s="50">
        <v>0.68955092512660099</v>
      </c>
      <c r="G2349" s="51" t="str">
        <v>佐藤 2022/07/21 (木)
平日夜間</v>
      </c>
    </row>
    <row r="2350" spans="1:7" ht="16.149999999999999" x14ac:dyDescent="0.7">
      <c r="A2350" s="49">
        <v>44731.726287581019</v>
      </c>
      <c r="B2350" s="50" t="s">
        <v>19</v>
      </c>
      <c r="C2350" s="50" t="s">
        <v>390</v>
      </c>
      <c r="D2350" s="50" t="s">
        <v>259</v>
      </c>
      <c r="E2350" s="50">
        <v>-1</v>
      </c>
      <c r="F2350" s="50">
        <v>-0.42930789194020269</v>
      </c>
      <c r="G2350" s="51" t="str">
        <v>佐藤 2022/07/22 (金)
平日夜間</v>
      </c>
    </row>
    <row r="2351" spans="1:7" ht="16.149999999999999" x14ac:dyDescent="0.7">
      <c r="A2351" s="49">
        <v>44731.726287581019</v>
      </c>
      <c r="B2351" s="50" t="s">
        <v>19</v>
      </c>
      <c r="C2351" s="50" t="s">
        <v>391</v>
      </c>
      <c r="D2351" s="50" t="s">
        <v>261</v>
      </c>
      <c r="E2351" s="50">
        <v>-1</v>
      </c>
      <c r="F2351" s="50">
        <v>-0.41072099005953633</v>
      </c>
      <c r="G2351" s="51" t="str">
        <v>佐藤 2022/07/23 (土)
休日午後</v>
      </c>
    </row>
    <row r="2352" spans="1:7" ht="16.149999999999999" x14ac:dyDescent="0.7">
      <c r="A2352" s="49">
        <v>44731.726287581019</v>
      </c>
      <c r="B2352" s="50" t="s">
        <v>19</v>
      </c>
      <c r="C2352" s="50" t="s">
        <v>392</v>
      </c>
      <c r="D2352" s="50" t="s">
        <v>263</v>
      </c>
      <c r="E2352" s="50">
        <v>-1</v>
      </c>
      <c r="F2352" s="50">
        <v>-0.40150502526297749</v>
      </c>
      <c r="G2352" s="51" t="str">
        <v>佐藤 2022/07/23 (土)
休日午前</v>
      </c>
    </row>
    <row r="2353" spans="1:7" ht="16.149999999999999" x14ac:dyDescent="0.7">
      <c r="A2353" s="49">
        <v>44731.726287581019</v>
      </c>
      <c r="B2353" s="50" t="s">
        <v>19</v>
      </c>
      <c r="C2353" s="50" t="s">
        <v>393</v>
      </c>
      <c r="D2353" s="50" t="s">
        <v>261</v>
      </c>
      <c r="E2353" s="50">
        <v>-1</v>
      </c>
      <c r="F2353" s="50">
        <v>-0.23813661946714304</v>
      </c>
      <c r="G2353" s="51" t="str">
        <v>佐藤 2022/07/24 (日)
休日午後</v>
      </c>
    </row>
    <row r="2354" spans="1:7" ht="16.149999999999999" x14ac:dyDescent="0.7">
      <c r="A2354" s="49">
        <v>44731.726287581019</v>
      </c>
      <c r="B2354" s="50" t="s">
        <v>19</v>
      </c>
      <c r="C2354" s="50" t="s">
        <v>394</v>
      </c>
      <c r="D2354" s="50" t="s">
        <v>263</v>
      </c>
      <c r="E2354" s="50">
        <v>-1</v>
      </c>
      <c r="F2354" s="50">
        <v>-0.58435506860455666</v>
      </c>
      <c r="G2354" s="51" t="str">
        <v>佐藤 2022/07/24 (日)
休日午前</v>
      </c>
    </row>
    <row r="2355" spans="1:7" ht="16.149999999999999" x14ac:dyDescent="0.7">
      <c r="A2355" s="49">
        <v>44731.726287581019</v>
      </c>
      <c r="B2355" s="50" t="s">
        <v>19</v>
      </c>
      <c r="C2355" s="50" t="s">
        <v>395</v>
      </c>
      <c r="D2355" s="50" t="s">
        <v>259</v>
      </c>
      <c r="E2355" s="50">
        <v>-1</v>
      </c>
      <c r="F2355" s="50">
        <v>-0.84886854148118718</v>
      </c>
      <c r="G2355" s="51" t="str">
        <v>佐藤 2022/07/25 (月)
平日夜間</v>
      </c>
    </row>
    <row r="2356" spans="1:7" ht="16.149999999999999" x14ac:dyDescent="0.7">
      <c r="A2356" s="49">
        <v>44731.726287581019</v>
      </c>
      <c r="B2356" s="50" t="s">
        <v>19</v>
      </c>
      <c r="C2356" s="50" t="s">
        <v>396</v>
      </c>
      <c r="D2356" s="50" t="s">
        <v>259</v>
      </c>
      <c r="E2356" s="50">
        <v>0</v>
      </c>
      <c r="F2356" s="50">
        <v>0.16495726234852381</v>
      </c>
      <c r="G2356" s="51" t="str">
        <v>佐藤 2022/07/26 (火)
平日夜間</v>
      </c>
    </row>
    <row r="2357" spans="1:7" ht="16.149999999999999" x14ac:dyDescent="0.7">
      <c r="A2357" s="49">
        <v>44731.726287581019</v>
      </c>
      <c r="B2357" s="50" t="s">
        <v>19</v>
      </c>
      <c r="C2357" s="50" t="s">
        <v>397</v>
      </c>
      <c r="D2357" s="50" t="s">
        <v>259</v>
      </c>
      <c r="E2357" s="50">
        <v>0</v>
      </c>
      <c r="F2357" s="50">
        <v>0.20910635267107636</v>
      </c>
      <c r="G2357" s="51" t="str">
        <v>佐藤 2022/07/27 (水)
平日夜間</v>
      </c>
    </row>
    <row r="2358" spans="1:7" ht="16.149999999999999" x14ac:dyDescent="0.7">
      <c r="A2358" s="49">
        <v>44731.726287581019</v>
      </c>
      <c r="B2358" s="50" t="s">
        <v>19</v>
      </c>
      <c r="C2358" s="50" t="s">
        <v>398</v>
      </c>
      <c r="D2358" s="50" t="s">
        <v>259</v>
      </c>
      <c r="E2358" s="50">
        <v>0</v>
      </c>
      <c r="F2358" s="50">
        <v>0.46322362551382601</v>
      </c>
      <c r="G2358" s="51" t="str">
        <v>佐藤 2022/07/28 (木)
平日夜間</v>
      </c>
    </row>
    <row r="2359" spans="1:7" ht="16.149999999999999" x14ac:dyDescent="0.7">
      <c r="A2359" s="49">
        <v>44731.726287581019</v>
      </c>
      <c r="B2359" s="50" t="s">
        <v>19</v>
      </c>
      <c r="C2359" s="50" t="s">
        <v>399</v>
      </c>
      <c r="D2359" s="50" t="s">
        <v>259</v>
      </c>
      <c r="E2359" s="50">
        <v>-1</v>
      </c>
      <c r="F2359" s="50">
        <v>-0.74334072943314888</v>
      </c>
      <c r="G2359" s="51" t="str">
        <v>佐藤 2022/07/29 (金)
平日夜間</v>
      </c>
    </row>
    <row r="2360" spans="1:7" ht="16.149999999999999" x14ac:dyDescent="0.7">
      <c r="A2360" s="49">
        <v>44731.726287581019</v>
      </c>
      <c r="B2360" s="50" t="s">
        <v>19</v>
      </c>
      <c r="C2360" s="50" t="s">
        <v>400</v>
      </c>
      <c r="D2360" s="50" t="s">
        <v>261</v>
      </c>
      <c r="E2360" s="50">
        <v>0</v>
      </c>
      <c r="F2360" s="50">
        <v>0.14261175845700302</v>
      </c>
      <c r="G2360" s="51" t="str">
        <v>佐藤 2022/07/30 (土)
休日午後</v>
      </c>
    </row>
    <row r="2361" spans="1:7" ht="16.149999999999999" x14ac:dyDescent="0.7">
      <c r="A2361" s="49">
        <v>44731.726287581019</v>
      </c>
      <c r="B2361" s="50" t="s">
        <v>19</v>
      </c>
      <c r="C2361" s="50" t="s">
        <v>401</v>
      </c>
      <c r="D2361" s="50" t="s">
        <v>263</v>
      </c>
      <c r="E2361" s="50">
        <v>1</v>
      </c>
      <c r="F2361" s="50">
        <v>1.2753122380735937</v>
      </c>
      <c r="G2361" s="51" t="str">
        <v>佐藤 2022/07/30 (土)
休日午前</v>
      </c>
    </row>
    <row r="2362" spans="1:7" ht="16.149999999999999" x14ac:dyDescent="0.7">
      <c r="A2362" s="49">
        <v>44731.726287581019</v>
      </c>
      <c r="B2362" s="50" t="s">
        <v>19</v>
      </c>
      <c r="C2362" s="50" t="s">
        <v>402</v>
      </c>
      <c r="D2362" s="50" t="s">
        <v>261</v>
      </c>
      <c r="E2362" s="50">
        <v>-1</v>
      </c>
      <c r="F2362" s="50">
        <v>-0.16578133309871745</v>
      </c>
      <c r="G2362" s="51" t="str">
        <v>佐藤 2022/07/31 (日)
休日午後</v>
      </c>
    </row>
    <row r="2363" spans="1:7" ht="16.149999999999999" x14ac:dyDescent="0.7">
      <c r="A2363" s="49">
        <v>44731.726287581019</v>
      </c>
      <c r="B2363" s="50" t="s">
        <v>19</v>
      </c>
      <c r="C2363" s="50" t="s">
        <v>403</v>
      </c>
      <c r="D2363" s="50" t="s">
        <v>263</v>
      </c>
      <c r="E2363" s="50">
        <v>-1</v>
      </c>
      <c r="F2363" s="50">
        <v>-0.42560065446914885</v>
      </c>
      <c r="G2363" s="51" t="str">
        <v>佐藤 2022/07/31 (日)
休日午前</v>
      </c>
    </row>
    <row r="2364" spans="1:7" ht="16.149999999999999" x14ac:dyDescent="0.7">
      <c r="A2364" s="49">
        <v>44732.85986626157</v>
      </c>
      <c r="B2364" s="50" t="s">
        <v>55</v>
      </c>
      <c r="C2364" s="50" t="s">
        <v>364</v>
      </c>
      <c r="D2364" s="50" t="s">
        <v>259</v>
      </c>
      <c r="E2364" s="50">
        <v>0</v>
      </c>
      <c r="F2364" s="50">
        <v>0.20193555687453846</v>
      </c>
      <c r="G2364" s="51" t="str">
        <v>河瀬 2022/07/01 (金)
平日夜間</v>
      </c>
    </row>
    <row r="2365" spans="1:7" ht="16.149999999999999" x14ac:dyDescent="0.7">
      <c r="A2365" s="49">
        <v>44732.85986626157</v>
      </c>
      <c r="B2365" s="50" t="s">
        <v>55</v>
      </c>
      <c r="C2365" s="50" t="s">
        <v>365</v>
      </c>
      <c r="D2365" s="50" t="s">
        <v>261</v>
      </c>
      <c r="E2365" s="50">
        <v>-1</v>
      </c>
      <c r="F2365" s="50">
        <v>-0.51051991145000031</v>
      </c>
      <c r="G2365" s="51" t="str">
        <v>河瀬 2022/07/02 (土)
休日午後</v>
      </c>
    </row>
    <row r="2366" spans="1:7" ht="16.149999999999999" x14ac:dyDescent="0.7">
      <c r="A2366" s="49">
        <v>44732.85986626157</v>
      </c>
      <c r="B2366" s="50" t="s">
        <v>55</v>
      </c>
      <c r="C2366" s="50" t="s">
        <v>366</v>
      </c>
      <c r="D2366" s="50" t="s">
        <v>263</v>
      </c>
      <c r="E2366" s="50">
        <v>0</v>
      </c>
      <c r="F2366" s="50">
        <v>0.8469571085171621</v>
      </c>
      <c r="G2366" s="51" t="str">
        <v>河瀬 2022/07/02 (土)
休日午前</v>
      </c>
    </row>
    <row r="2367" spans="1:7" ht="16.149999999999999" x14ac:dyDescent="0.7">
      <c r="A2367" s="49">
        <v>44732.85986626157</v>
      </c>
      <c r="B2367" s="50" t="s">
        <v>55</v>
      </c>
      <c r="C2367" s="50" t="s">
        <v>367</v>
      </c>
      <c r="D2367" s="50" t="s">
        <v>261</v>
      </c>
      <c r="E2367" s="50">
        <v>0</v>
      </c>
      <c r="F2367" s="50">
        <v>0.26504942784927588</v>
      </c>
      <c r="G2367" s="51" t="str">
        <v>河瀬 2022/07/03 (日)
休日午後</v>
      </c>
    </row>
    <row r="2368" spans="1:7" ht="16.149999999999999" x14ac:dyDescent="0.7">
      <c r="A2368" s="49">
        <v>44732.85986626157</v>
      </c>
      <c r="B2368" s="50" t="s">
        <v>55</v>
      </c>
      <c r="C2368" s="50" t="s">
        <v>368</v>
      </c>
      <c r="D2368" s="50" t="s">
        <v>263</v>
      </c>
      <c r="E2368" s="50">
        <v>0</v>
      </c>
      <c r="F2368" s="50">
        <v>0.99467877822400697</v>
      </c>
      <c r="G2368" s="51" t="str">
        <v>河瀬 2022/07/03 (日)
休日午前</v>
      </c>
    </row>
    <row r="2369" spans="1:7" ht="16.149999999999999" x14ac:dyDescent="0.7">
      <c r="A2369" s="49">
        <v>44732.85986626157</v>
      </c>
      <c r="B2369" s="50" t="s">
        <v>55</v>
      </c>
      <c r="C2369" s="50" t="s">
        <v>369</v>
      </c>
      <c r="D2369" s="50" t="s">
        <v>259</v>
      </c>
      <c r="E2369" s="50">
        <v>0</v>
      </c>
      <c r="F2369" s="50">
        <v>0.12603433301152211</v>
      </c>
      <c r="G2369" s="51" t="str">
        <v>河瀬 2022/07/04 (月)
平日夜間</v>
      </c>
    </row>
    <row r="2370" spans="1:7" ht="16.149999999999999" x14ac:dyDescent="0.7">
      <c r="A2370" s="49">
        <v>44732.85986626157</v>
      </c>
      <c r="B2370" s="50" t="s">
        <v>55</v>
      </c>
      <c r="C2370" s="50" t="s">
        <v>370</v>
      </c>
      <c r="D2370" s="50" t="s">
        <v>259</v>
      </c>
      <c r="E2370" s="50">
        <v>0</v>
      </c>
      <c r="F2370" s="50">
        <v>0.17342177777915335</v>
      </c>
      <c r="G2370" s="51" t="str">
        <v>河瀬 2022/07/05 (火)
平日夜間</v>
      </c>
    </row>
    <row r="2371" spans="1:7" ht="16.149999999999999" x14ac:dyDescent="0.7">
      <c r="A2371" s="49">
        <v>44732.85986626157</v>
      </c>
      <c r="B2371" s="50" t="s">
        <v>55</v>
      </c>
      <c r="C2371" s="50" t="s">
        <v>371</v>
      </c>
      <c r="D2371" s="50" t="s">
        <v>259</v>
      </c>
      <c r="E2371" s="50">
        <v>0</v>
      </c>
      <c r="F2371" s="50">
        <v>0.12529184492758727</v>
      </c>
      <c r="G2371" s="51" t="str">
        <v>河瀬 2022/07/06 (水)
平日夜間</v>
      </c>
    </row>
    <row r="2372" spans="1:7" ht="16.149999999999999" x14ac:dyDescent="0.7">
      <c r="A2372" s="49">
        <v>44732.85986626157</v>
      </c>
      <c r="B2372" s="50" t="s">
        <v>55</v>
      </c>
      <c r="C2372" s="50" t="s">
        <v>372</v>
      </c>
      <c r="D2372" s="50" t="s">
        <v>259</v>
      </c>
      <c r="E2372" s="50">
        <v>0</v>
      </c>
      <c r="F2372" s="50">
        <v>0.89322959299313087</v>
      </c>
      <c r="G2372" s="51" t="str">
        <v>河瀬 2022/07/07 (木)
平日夜間</v>
      </c>
    </row>
    <row r="2373" spans="1:7" ht="16.149999999999999" x14ac:dyDescent="0.7">
      <c r="A2373" s="49">
        <v>44732.85986626157</v>
      </c>
      <c r="B2373" s="50" t="s">
        <v>55</v>
      </c>
      <c r="C2373" s="50" t="s">
        <v>373</v>
      </c>
      <c r="D2373" s="50" t="s">
        <v>259</v>
      </c>
      <c r="E2373" s="50">
        <v>0</v>
      </c>
      <c r="F2373" s="50">
        <v>0.81160200177116315</v>
      </c>
      <c r="G2373" s="51" t="str">
        <v>河瀬 2022/07/08 (金)
平日夜間</v>
      </c>
    </row>
    <row r="2374" spans="1:7" ht="16.149999999999999" x14ac:dyDescent="0.7">
      <c r="A2374" s="49">
        <v>44732.85986626157</v>
      </c>
      <c r="B2374" s="50" t="s">
        <v>55</v>
      </c>
      <c r="C2374" s="50" t="s">
        <v>374</v>
      </c>
      <c r="D2374" s="50" t="s">
        <v>261</v>
      </c>
      <c r="E2374" s="50">
        <v>0</v>
      </c>
      <c r="F2374" s="50">
        <v>0.3477295620947678</v>
      </c>
      <c r="G2374" s="51" t="str">
        <v>河瀬 2022/07/09 (土)
休日午後</v>
      </c>
    </row>
    <row r="2375" spans="1:7" ht="16.149999999999999" x14ac:dyDescent="0.7">
      <c r="A2375" s="49">
        <v>44732.85986626157</v>
      </c>
      <c r="B2375" s="50" t="s">
        <v>55</v>
      </c>
      <c r="C2375" s="50" t="s">
        <v>375</v>
      </c>
      <c r="D2375" s="50" t="s">
        <v>263</v>
      </c>
      <c r="E2375" s="50">
        <v>0</v>
      </c>
      <c r="F2375" s="50">
        <v>0.41515985185180249</v>
      </c>
      <c r="G2375" s="51" t="str">
        <v>河瀬 2022/07/09 (土)
休日午前</v>
      </c>
    </row>
    <row r="2376" spans="1:7" ht="16.149999999999999" x14ac:dyDescent="0.7">
      <c r="A2376" s="49">
        <v>44732.85986626157</v>
      </c>
      <c r="B2376" s="50" t="s">
        <v>55</v>
      </c>
      <c r="C2376" s="50" t="s">
        <v>376</v>
      </c>
      <c r="D2376" s="50" t="s">
        <v>261</v>
      </c>
      <c r="E2376" s="50">
        <v>0</v>
      </c>
      <c r="F2376" s="50">
        <v>0.10030387426807175</v>
      </c>
      <c r="G2376" s="51" t="str">
        <v>河瀬 2022/07/10 (日)
休日午後</v>
      </c>
    </row>
    <row r="2377" spans="1:7" ht="16.149999999999999" x14ac:dyDescent="0.7">
      <c r="A2377" s="49">
        <v>44732.85986626157</v>
      </c>
      <c r="B2377" s="50" t="s">
        <v>55</v>
      </c>
      <c r="C2377" s="50" t="s">
        <v>377</v>
      </c>
      <c r="D2377" s="50" t="s">
        <v>263</v>
      </c>
      <c r="E2377" s="50">
        <v>0</v>
      </c>
      <c r="F2377" s="50">
        <v>0.63078970565460613</v>
      </c>
      <c r="G2377" s="51" t="str">
        <v>河瀬 2022/07/10 (日)
休日午前</v>
      </c>
    </row>
    <row r="2378" spans="1:7" ht="16.149999999999999" x14ac:dyDescent="0.7">
      <c r="A2378" s="49">
        <v>44732.85986626157</v>
      </c>
      <c r="B2378" s="50" t="s">
        <v>55</v>
      </c>
      <c r="C2378" s="50" t="s">
        <v>378</v>
      </c>
      <c r="D2378" s="50" t="s">
        <v>259</v>
      </c>
      <c r="E2378" s="50">
        <v>0</v>
      </c>
      <c r="F2378" s="50">
        <v>0.92854587239638509</v>
      </c>
      <c r="G2378" s="51" t="str">
        <v>河瀬 2022/07/11 (月)
平日夜間</v>
      </c>
    </row>
    <row r="2379" spans="1:7" ht="16.149999999999999" x14ac:dyDescent="0.7">
      <c r="A2379" s="49">
        <v>44732.85986626157</v>
      </c>
      <c r="B2379" s="50" t="s">
        <v>55</v>
      </c>
      <c r="C2379" s="50" t="s">
        <v>379</v>
      </c>
      <c r="D2379" s="50" t="s">
        <v>259</v>
      </c>
      <c r="E2379" s="50">
        <v>0</v>
      </c>
      <c r="F2379" s="50">
        <v>0.91233672089254991</v>
      </c>
      <c r="G2379" s="51" t="str">
        <v>河瀬 2022/07/12 (火)
平日夜間</v>
      </c>
    </row>
    <row r="2380" spans="1:7" ht="16.149999999999999" x14ac:dyDescent="0.7">
      <c r="A2380" s="49">
        <v>44732.85986626157</v>
      </c>
      <c r="B2380" s="50" t="s">
        <v>55</v>
      </c>
      <c r="C2380" s="50" t="s">
        <v>380</v>
      </c>
      <c r="D2380" s="50" t="s">
        <v>259</v>
      </c>
      <c r="E2380" s="50">
        <v>0</v>
      </c>
      <c r="F2380" s="50">
        <v>0.32710007928675178</v>
      </c>
      <c r="G2380" s="51" t="str">
        <v>河瀬 2022/07/13 (水)
平日夜間</v>
      </c>
    </row>
    <row r="2381" spans="1:7" ht="16.149999999999999" x14ac:dyDescent="0.7">
      <c r="A2381" s="49">
        <v>44732.85986626157</v>
      </c>
      <c r="B2381" s="50" t="s">
        <v>55</v>
      </c>
      <c r="C2381" s="50" t="s">
        <v>381</v>
      </c>
      <c r="D2381" s="50" t="s">
        <v>259</v>
      </c>
      <c r="E2381" s="50">
        <v>0</v>
      </c>
      <c r="F2381" s="50">
        <v>0.74021125179583835</v>
      </c>
      <c r="G2381" s="51" t="str">
        <v>河瀬 2022/07/14 (木)
平日夜間</v>
      </c>
    </row>
    <row r="2382" spans="1:7" ht="16.149999999999999" x14ac:dyDescent="0.7">
      <c r="A2382" s="49">
        <v>44732.85986626157</v>
      </c>
      <c r="B2382" s="50" t="s">
        <v>55</v>
      </c>
      <c r="C2382" s="50" t="s">
        <v>382</v>
      </c>
      <c r="D2382" s="50" t="s">
        <v>259</v>
      </c>
      <c r="E2382" s="50">
        <v>0</v>
      </c>
      <c r="F2382" s="50">
        <v>0.91489637128775225</v>
      </c>
      <c r="G2382" s="51" t="str">
        <v>河瀬 2022/07/15 (金)
平日夜間</v>
      </c>
    </row>
    <row r="2383" spans="1:7" ht="16.149999999999999" x14ac:dyDescent="0.7">
      <c r="A2383" s="49">
        <v>44732.85986626157</v>
      </c>
      <c r="B2383" s="50" t="s">
        <v>55</v>
      </c>
      <c r="C2383" s="50" t="s">
        <v>383</v>
      </c>
      <c r="D2383" s="50" t="s">
        <v>261</v>
      </c>
      <c r="E2383" s="50">
        <v>0</v>
      </c>
      <c r="F2383" s="50">
        <v>0.45277075977863857</v>
      </c>
      <c r="G2383" s="51" t="str">
        <v>河瀬 2022/07/16 (土)
休日午後</v>
      </c>
    </row>
    <row r="2384" spans="1:7" ht="16.149999999999999" x14ac:dyDescent="0.7">
      <c r="A2384" s="49">
        <v>44732.85986626157</v>
      </c>
      <c r="B2384" s="50" t="s">
        <v>55</v>
      </c>
      <c r="C2384" s="50" t="s">
        <v>384</v>
      </c>
      <c r="D2384" s="50" t="s">
        <v>263</v>
      </c>
      <c r="E2384" s="50">
        <v>0</v>
      </c>
      <c r="F2384" s="50">
        <v>0.95002229720620912</v>
      </c>
      <c r="G2384" s="51" t="str">
        <v>河瀬 2022/07/16 (土)
休日午前</v>
      </c>
    </row>
    <row r="2385" spans="1:7" ht="16.149999999999999" x14ac:dyDescent="0.7">
      <c r="A2385" s="49">
        <v>44732.85986626157</v>
      </c>
      <c r="B2385" s="50" t="s">
        <v>55</v>
      </c>
      <c r="C2385" s="50" t="s">
        <v>385</v>
      </c>
      <c r="D2385" s="50" t="s">
        <v>261</v>
      </c>
      <c r="E2385" s="50">
        <v>-1</v>
      </c>
      <c r="F2385" s="50">
        <v>-0.17360194085168223</v>
      </c>
      <c r="G2385" s="51" t="str">
        <v>河瀬 2022/07/17 (日)
休日午後</v>
      </c>
    </row>
    <row r="2386" spans="1:7" ht="16.149999999999999" x14ac:dyDescent="0.7">
      <c r="A2386" s="49">
        <v>44732.85986626157</v>
      </c>
      <c r="B2386" s="50" t="s">
        <v>55</v>
      </c>
      <c r="C2386" s="50" t="s">
        <v>386</v>
      </c>
      <c r="D2386" s="50" t="s">
        <v>263</v>
      </c>
      <c r="E2386" s="50">
        <v>-1</v>
      </c>
      <c r="F2386" s="50">
        <v>-5.2976019343229375E-3</v>
      </c>
      <c r="G2386" s="51" t="str">
        <v>河瀬 2022/07/17 (日)
休日午前</v>
      </c>
    </row>
    <row r="2387" spans="1:7" ht="16.149999999999999" x14ac:dyDescent="0.7">
      <c r="A2387" s="49">
        <v>44732.85986626157</v>
      </c>
      <c r="B2387" s="50" t="s">
        <v>55</v>
      </c>
      <c r="C2387" s="50" t="s">
        <v>404</v>
      </c>
      <c r="D2387" s="50" t="s">
        <v>261</v>
      </c>
      <c r="E2387" s="50">
        <v>0</v>
      </c>
      <c r="F2387" s="50">
        <v>0.16189707114122509</v>
      </c>
      <c r="G2387" s="51" t="str">
        <v>河瀬 2022/07/18 (月)
休日午後</v>
      </c>
    </row>
    <row r="2388" spans="1:7" ht="16.149999999999999" x14ac:dyDescent="0.7">
      <c r="A2388" s="49">
        <v>44732.85986626157</v>
      </c>
      <c r="B2388" s="50" t="s">
        <v>55</v>
      </c>
      <c r="C2388" s="50" t="s">
        <v>405</v>
      </c>
      <c r="D2388" s="50" t="s">
        <v>263</v>
      </c>
      <c r="E2388" s="50">
        <v>0</v>
      </c>
      <c r="F2388" s="50">
        <v>0.91436073520457772</v>
      </c>
      <c r="G2388" s="51" t="str">
        <v>河瀬 2022/07/18 (月)
休日午前</v>
      </c>
    </row>
    <row r="2389" spans="1:7" ht="16.149999999999999" x14ac:dyDescent="0.7">
      <c r="A2389" s="49">
        <v>44732.85986626157</v>
      </c>
      <c r="B2389" s="50" t="s">
        <v>55</v>
      </c>
      <c r="C2389" s="50" t="s">
        <v>387</v>
      </c>
      <c r="D2389" s="50" t="s">
        <v>259</v>
      </c>
      <c r="E2389" s="50">
        <v>0</v>
      </c>
      <c r="F2389" s="50">
        <v>0.30629295717661642</v>
      </c>
      <c r="G2389" s="51" t="str">
        <v>河瀬 2022/07/19 (火)
平日夜間</v>
      </c>
    </row>
    <row r="2390" spans="1:7" ht="16.149999999999999" x14ac:dyDescent="0.7">
      <c r="A2390" s="49">
        <v>44732.85986626157</v>
      </c>
      <c r="B2390" s="50" t="s">
        <v>55</v>
      </c>
      <c r="C2390" s="50" t="s">
        <v>388</v>
      </c>
      <c r="D2390" s="50" t="s">
        <v>259</v>
      </c>
      <c r="E2390" s="50">
        <v>0</v>
      </c>
      <c r="F2390" s="50">
        <v>0.54433857475458658</v>
      </c>
      <c r="G2390" s="51" t="str">
        <v>河瀬 2022/07/20 (水)
平日夜間</v>
      </c>
    </row>
    <row r="2391" spans="1:7" ht="16.149999999999999" x14ac:dyDescent="0.7">
      <c r="A2391" s="49">
        <v>44732.85986626157</v>
      </c>
      <c r="B2391" s="50" t="s">
        <v>55</v>
      </c>
      <c r="C2391" s="50" t="s">
        <v>389</v>
      </c>
      <c r="D2391" s="50" t="s">
        <v>259</v>
      </c>
      <c r="E2391" s="50">
        <v>0</v>
      </c>
      <c r="F2391" s="50">
        <v>0.61256281746405805</v>
      </c>
      <c r="G2391" s="51" t="str">
        <v>河瀬 2022/07/21 (木)
平日夜間</v>
      </c>
    </row>
    <row r="2392" spans="1:7" ht="16.149999999999999" x14ac:dyDescent="0.7">
      <c r="A2392" s="49">
        <v>44732.85986626157</v>
      </c>
      <c r="B2392" s="50" t="s">
        <v>55</v>
      </c>
      <c r="C2392" s="50" t="s">
        <v>390</v>
      </c>
      <c r="D2392" s="50" t="s">
        <v>259</v>
      </c>
      <c r="E2392" s="50">
        <v>0</v>
      </c>
      <c r="F2392" s="50">
        <v>0.24965991469902948</v>
      </c>
      <c r="G2392" s="51" t="str">
        <v>河瀬 2022/07/22 (金)
平日夜間</v>
      </c>
    </row>
    <row r="2393" spans="1:7" ht="16.149999999999999" x14ac:dyDescent="0.7">
      <c r="A2393" s="49">
        <v>44732.85986626157</v>
      </c>
      <c r="B2393" s="50" t="s">
        <v>55</v>
      </c>
      <c r="C2393" s="50" t="s">
        <v>391</v>
      </c>
      <c r="D2393" s="50" t="s">
        <v>261</v>
      </c>
      <c r="E2393" s="50">
        <v>-1</v>
      </c>
      <c r="F2393" s="50">
        <v>-0.20013170901267197</v>
      </c>
      <c r="G2393" s="51" t="str">
        <v>河瀬 2022/07/23 (土)
休日午後</v>
      </c>
    </row>
    <row r="2394" spans="1:7" ht="16.149999999999999" x14ac:dyDescent="0.7">
      <c r="A2394" s="49">
        <v>44732.85986626157</v>
      </c>
      <c r="B2394" s="50" t="s">
        <v>55</v>
      </c>
      <c r="C2394" s="50" t="s">
        <v>392</v>
      </c>
      <c r="D2394" s="50" t="s">
        <v>263</v>
      </c>
      <c r="E2394" s="50">
        <v>-1</v>
      </c>
      <c r="F2394" s="50">
        <v>-0.52979566371093689</v>
      </c>
      <c r="G2394" s="51" t="str">
        <v>河瀬 2022/07/23 (土)
休日午前</v>
      </c>
    </row>
    <row r="2395" spans="1:7" ht="16.149999999999999" x14ac:dyDescent="0.7">
      <c r="A2395" s="49">
        <v>44732.85986626157</v>
      </c>
      <c r="B2395" s="50" t="s">
        <v>55</v>
      </c>
      <c r="C2395" s="50" t="s">
        <v>393</v>
      </c>
      <c r="D2395" s="50" t="s">
        <v>261</v>
      </c>
      <c r="E2395" s="50">
        <v>-1</v>
      </c>
      <c r="F2395" s="50">
        <v>-9.7417902178124516E-2</v>
      </c>
      <c r="G2395" s="51" t="str">
        <v>河瀬 2022/07/24 (日)
休日午後</v>
      </c>
    </row>
    <row r="2396" spans="1:7" ht="16.149999999999999" x14ac:dyDescent="0.7">
      <c r="A2396" s="49">
        <v>44732.85986626157</v>
      </c>
      <c r="B2396" s="50" t="s">
        <v>55</v>
      </c>
      <c r="C2396" s="50" t="s">
        <v>394</v>
      </c>
      <c r="D2396" s="50" t="s">
        <v>263</v>
      </c>
      <c r="E2396" s="50">
        <v>-1</v>
      </c>
      <c r="F2396" s="50">
        <v>-0.735240940302893</v>
      </c>
      <c r="G2396" s="51" t="str">
        <v>河瀬 2022/07/24 (日)
休日午前</v>
      </c>
    </row>
    <row r="2397" spans="1:7" ht="16.149999999999999" x14ac:dyDescent="0.7">
      <c r="A2397" s="49">
        <v>44732.85986626157</v>
      </c>
      <c r="B2397" s="50" t="s">
        <v>55</v>
      </c>
      <c r="C2397" s="50" t="s">
        <v>395</v>
      </c>
      <c r="D2397" s="50" t="s">
        <v>259</v>
      </c>
      <c r="E2397" s="50">
        <v>0</v>
      </c>
      <c r="F2397" s="50">
        <v>0.87373095536196077</v>
      </c>
      <c r="G2397" s="51" t="str">
        <v>河瀬 2022/07/25 (月)
平日夜間</v>
      </c>
    </row>
    <row r="2398" spans="1:7" ht="16.149999999999999" x14ac:dyDescent="0.7">
      <c r="A2398" s="49">
        <v>44732.85986626157</v>
      </c>
      <c r="B2398" s="50" t="s">
        <v>55</v>
      </c>
      <c r="C2398" s="50" t="s">
        <v>396</v>
      </c>
      <c r="D2398" s="50" t="s">
        <v>259</v>
      </c>
      <c r="E2398" s="50">
        <v>0</v>
      </c>
      <c r="F2398" s="50">
        <v>0.32752936123074905</v>
      </c>
      <c r="G2398" s="51" t="str">
        <v>河瀬 2022/07/26 (火)
平日夜間</v>
      </c>
    </row>
    <row r="2399" spans="1:7" ht="16.149999999999999" x14ac:dyDescent="0.7">
      <c r="A2399" s="49">
        <v>44732.85986626157</v>
      </c>
      <c r="B2399" s="50" t="s">
        <v>55</v>
      </c>
      <c r="C2399" s="50" t="s">
        <v>397</v>
      </c>
      <c r="D2399" s="50" t="s">
        <v>259</v>
      </c>
      <c r="E2399" s="50">
        <v>0</v>
      </c>
      <c r="F2399" s="50">
        <v>0.72208776543057507</v>
      </c>
      <c r="G2399" s="51" t="str">
        <v>河瀬 2022/07/27 (水)
平日夜間</v>
      </c>
    </row>
    <row r="2400" spans="1:7" ht="16.149999999999999" x14ac:dyDescent="0.7">
      <c r="A2400" s="49">
        <v>44732.85986626157</v>
      </c>
      <c r="B2400" s="50" t="s">
        <v>55</v>
      </c>
      <c r="C2400" s="50" t="s">
        <v>398</v>
      </c>
      <c r="D2400" s="50" t="s">
        <v>259</v>
      </c>
      <c r="E2400" s="50">
        <v>0</v>
      </c>
      <c r="F2400" s="50">
        <v>0.92744183839915517</v>
      </c>
      <c r="G2400" s="51" t="str">
        <v>河瀬 2022/07/28 (木)
平日夜間</v>
      </c>
    </row>
    <row r="2401" spans="1:7" ht="16.149999999999999" x14ac:dyDescent="0.7">
      <c r="A2401" s="49">
        <v>44732.85986626157</v>
      </c>
      <c r="B2401" s="50" t="s">
        <v>55</v>
      </c>
      <c r="C2401" s="50" t="s">
        <v>399</v>
      </c>
      <c r="D2401" s="50" t="s">
        <v>259</v>
      </c>
      <c r="E2401" s="50">
        <v>0</v>
      </c>
      <c r="F2401" s="50">
        <v>0.33240938218392913</v>
      </c>
      <c r="G2401" s="51" t="str">
        <v>河瀬 2022/07/29 (金)
平日夜間</v>
      </c>
    </row>
    <row r="2402" spans="1:7" ht="16.149999999999999" x14ac:dyDescent="0.7">
      <c r="A2402" s="49">
        <v>44732.85986626157</v>
      </c>
      <c r="B2402" s="50" t="s">
        <v>55</v>
      </c>
      <c r="C2402" s="50" t="s">
        <v>400</v>
      </c>
      <c r="D2402" s="50" t="s">
        <v>261</v>
      </c>
      <c r="E2402" s="50">
        <v>0</v>
      </c>
      <c r="F2402" s="50">
        <v>0.72563401861754651</v>
      </c>
      <c r="G2402" s="51" t="str">
        <v>河瀬 2022/07/30 (土)
休日午後</v>
      </c>
    </row>
    <row r="2403" spans="1:7" ht="16.149999999999999" x14ac:dyDescent="0.7">
      <c r="A2403" s="49">
        <v>44732.85986626157</v>
      </c>
      <c r="B2403" s="50" t="s">
        <v>55</v>
      </c>
      <c r="C2403" s="50" t="s">
        <v>401</v>
      </c>
      <c r="D2403" s="50" t="s">
        <v>263</v>
      </c>
      <c r="E2403" s="50">
        <v>0</v>
      </c>
      <c r="F2403" s="50">
        <v>0.72537899099950298</v>
      </c>
      <c r="G2403" s="51" t="str">
        <v>河瀬 2022/07/30 (土)
休日午前</v>
      </c>
    </row>
    <row r="2404" spans="1:7" ht="16.149999999999999" x14ac:dyDescent="0.7">
      <c r="A2404" s="49">
        <v>44732.85986626157</v>
      </c>
      <c r="B2404" s="50" t="s">
        <v>55</v>
      </c>
      <c r="C2404" s="50" t="s">
        <v>402</v>
      </c>
      <c r="D2404" s="50" t="s">
        <v>261</v>
      </c>
      <c r="E2404" s="50">
        <v>0</v>
      </c>
      <c r="F2404" s="50">
        <v>0.45265394008539506</v>
      </c>
      <c r="G2404" s="51" t="str">
        <v>河瀬 2022/07/31 (日)
休日午後</v>
      </c>
    </row>
    <row r="2405" spans="1:7" ht="16.149999999999999" x14ac:dyDescent="0.7">
      <c r="A2405" s="49">
        <v>44732.85986626157</v>
      </c>
      <c r="B2405" s="50" t="s">
        <v>55</v>
      </c>
      <c r="C2405" s="50" t="s">
        <v>403</v>
      </c>
      <c r="D2405" s="50" t="s">
        <v>263</v>
      </c>
      <c r="E2405" s="50">
        <v>0</v>
      </c>
      <c r="F2405" s="50">
        <v>0.73698839398653426</v>
      </c>
      <c r="G2405" s="51" t="str">
        <v>河瀬 2022/07/31 (日)
休日午前</v>
      </c>
    </row>
    <row r="2406" spans="1:7" ht="16.149999999999999" x14ac:dyDescent="0.7">
      <c r="A2406" s="49">
        <v>44733.826572430553</v>
      </c>
      <c r="B2406" s="50" t="s">
        <v>1</v>
      </c>
      <c r="C2406" s="50" t="s">
        <v>364</v>
      </c>
      <c r="D2406" s="50" t="s">
        <v>259</v>
      </c>
      <c r="E2406" s="50">
        <v>0</v>
      </c>
      <c r="F2406" s="50">
        <v>0.66307267323238062</v>
      </c>
      <c r="G2406" s="51" t="str">
        <v>菊野 2022/07/01 (金)
平日夜間</v>
      </c>
    </row>
    <row r="2407" spans="1:7" ht="16.149999999999999" x14ac:dyDescent="0.7">
      <c r="A2407" s="49">
        <v>44733.826572430553</v>
      </c>
      <c r="B2407" s="50" t="s">
        <v>1</v>
      </c>
      <c r="C2407" s="50" t="s">
        <v>365</v>
      </c>
      <c r="D2407" s="50" t="s">
        <v>261</v>
      </c>
      <c r="E2407" s="50">
        <v>0</v>
      </c>
      <c r="F2407" s="50">
        <v>0.19087246974439354</v>
      </c>
      <c r="G2407" s="51" t="str">
        <v>菊野 2022/07/02 (土)
休日午後</v>
      </c>
    </row>
    <row r="2408" spans="1:7" ht="16.149999999999999" x14ac:dyDescent="0.7">
      <c r="A2408" s="49">
        <v>44733.826572430553</v>
      </c>
      <c r="B2408" s="50" t="s">
        <v>1</v>
      </c>
      <c r="C2408" s="50" t="s">
        <v>366</v>
      </c>
      <c r="D2408" s="50" t="s">
        <v>263</v>
      </c>
      <c r="E2408" s="50">
        <v>0</v>
      </c>
      <c r="F2408" s="50">
        <v>0.79204082929568731</v>
      </c>
      <c r="G2408" s="51" t="str">
        <v>菊野 2022/07/02 (土)
休日午前</v>
      </c>
    </row>
    <row r="2409" spans="1:7" ht="16.149999999999999" x14ac:dyDescent="0.7">
      <c r="A2409" s="49">
        <v>44733.826572430553</v>
      </c>
      <c r="B2409" s="50" t="s">
        <v>1</v>
      </c>
      <c r="C2409" s="50" t="s">
        <v>367</v>
      </c>
      <c r="D2409" s="50" t="s">
        <v>261</v>
      </c>
      <c r="E2409" s="50">
        <v>0</v>
      </c>
      <c r="F2409" s="50">
        <v>0.89956013831408854</v>
      </c>
      <c r="G2409" s="51" t="str">
        <v>菊野 2022/07/03 (日)
休日午後</v>
      </c>
    </row>
    <row r="2410" spans="1:7" ht="16.149999999999999" x14ac:dyDescent="0.7">
      <c r="A2410" s="49">
        <v>44733.826572430553</v>
      </c>
      <c r="B2410" s="50" t="s">
        <v>1</v>
      </c>
      <c r="C2410" s="50" t="s">
        <v>368</v>
      </c>
      <c r="D2410" s="50" t="s">
        <v>263</v>
      </c>
      <c r="E2410" s="50">
        <v>0</v>
      </c>
      <c r="F2410" s="50">
        <v>0.53895347747052336</v>
      </c>
      <c r="G2410" s="51" t="str">
        <v>菊野 2022/07/03 (日)
休日午前</v>
      </c>
    </row>
    <row r="2411" spans="1:7" ht="16.149999999999999" x14ac:dyDescent="0.7">
      <c r="A2411" s="49">
        <v>44733.826572430553</v>
      </c>
      <c r="B2411" s="50" t="s">
        <v>1</v>
      </c>
      <c r="C2411" s="50" t="s">
        <v>369</v>
      </c>
      <c r="D2411" s="50" t="s">
        <v>259</v>
      </c>
      <c r="E2411" s="50">
        <v>0</v>
      </c>
      <c r="F2411" s="50">
        <v>6.483274659262328E-2</v>
      </c>
      <c r="G2411" s="51" t="str">
        <v>菊野 2022/07/04 (月)
平日夜間</v>
      </c>
    </row>
    <row r="2412" spans="1:7" ht="16.149999999999999" x14ac:dyDescent="0.7">
      <c r="A2412" s="49">
        <v>44733.826572430553</v>
      </c>
      <c r="B2412" s="50" t="s">
        <v>1</v>
      </c>
      <c r="C2412" s="50" t="s">
        <v>370</v>
      </c>
      <c r="D2412" s="50" t="s">
        <v>259</v>
      </c>
      <c r="E2412" s="50">
        <v>0</v>
      </c>
      <c r="F2412" s="50">
        <v>0.43101603934718535</v>
      </c>
      <c r="G2412" s="51" t="str">
        <v>菊野 2022/07/05 (火)
平日夜間</v>
      </c>
    </row>
    <row r="2413" spans="1:7" ht="16.149999999999999" x14ac:dyDescent="0.7">
      <c r="A2413" s="49">
        <v>44733.826572430553</v>
      </c>
      <c r="B2413" s="50" t="s">
        <v>1</v>
      </c>
      <c r="C2413" s="50" t="s">
        <v>371</v>
      </c>
      <c r="D2413" s="50" t="s">
        <v>259</v>
      </c>
      <c r="E2413" s="50">
        <v>0</v>
      </c>
      <c r="F2413" s="50">
        <v>0.98578685642003228</v>
      </c>
      <c r="G2413" s="51" t="str">
        <v>菊野 2022/07/06 (水)
平日夜間</v>
      </c>
    </row>
    <row r="2414" spans="1:7" ht="16.149999999999999" x14ac:dyDescent="0.7">
      <c r="A2414" s="49">
        <v>44733.826572430553</v>
      </c>
      <c r="B2414" s="50" t="s">
        <v>1</v>
      </c>
      <c r="C2414" s="50" t="s">
        <v>372</v>
      </c>
      <c r="D2414" s="50" t="s">
        <v>259</v>
      </c>
      <c r="E2414" s="50">
        <v>0</v>
      </c>
      <c r="F2414" s="50">
        <v>0.41759287981496818</v>
      </c>
      <c r="G2414" s="51" t="str">
        <v>菊野 2022/07/07 (木)
平日夜間</v>
      </c>
    </row>
    <row r="2415" spans="1:7" ht="16.149999999999999" x14ac:dyDescent="0.7">
      <c r="A2415" s="49">
        <v>44733.826572430553</v>
      </c>
      <c r="B2415" s="50" t="s">
        <v>1</v>
      </c>
      <c r="C2415" s="50" t="s">
        <v>373</v>
      </c>
      <c r="D2415" s="50" t="s">
        <v>259</v>
      </c>
      <c r="E2415" s="50">
        <v>0</v>
      </c>
      <c r="F2415" s="50">
        <v>0.27029977158562746</v>
      </c>
      <c r="G2415" s="51" t="str">
        <v>菊野 2022/07/08 (金)
平日夜間</v>
      </c>
    </row>
    <row r="2416" spans="1:7" ht="16.149999999999999" x14ac:dyDescent="0.7">
      <c r="A2416" s="49">
        <v>44733.826572430553</v>
      </c>
      <c r="B2416" s="50" t="s">
        <v>1</v>
      </c>
      <c r="C2416" s="50" t="s">
        <v>374</v>
      </c>
      <c r="D2416" s="50" t="s">
        <v>261</v>
      </c>
      <c r="E2416" s="50">
        <v>0</v>
      </c>
      <c r="F2416" s="50">
        <v>0.86790221012537749</v>
      </c>
      <c r="G2416" s="51" t="str">
        <v>菊野 2022/07/09 (土)
休日午後</v>
      </c>
    </row>
    <row r="2417" spans="1:7" ht="16.149999999999999" x14ac:dyDescent="0.7">
      <c r="A2417" s="49">
        <v>44733.826572430553</v>
      </c>
      <c r="B2417" s="50" t="s">
        <v>1</v>
      </c>
      <c r="C2417" s="50" t="s">
        <v>375</v>
      </c>
      <c r="D2417" s="50" t="s">
        <v>263</v>
      </c>
      <c r="E2417" s="50">
        <v>0</v>
      </c>
      <c r="F2417" s="50">
        <v>0.96610222408968194</v>
      </c>
      <c r="G2417" s="51" t="str">
        <v>菊野 2022/07/09 (土)
休日午前</v>
      </c>
    </row>
    <row r="2418" spans="1:7" ht="16.149999999999999" x14ac:dyDescent="0.7">
      <c r="A2418" s="49">
        <v>44733.826572430553</v>
      </c>
      <c r="B2418" s="50" t="s">
        <v>1</v>
      </c>
      <c r="C2418" s="50" t="s">
        <v>376</v>
      </c>
      <c r="D2418" s="50" t="s">
        <v>261</v>
      </c>
      <c r="E2418" s="50">
        <v>0</v>
      </c>
      <c r="F2418" s="50">
        <v>0.15711088748531332</v>
      </c>
      <c r="G2418" s="51" t="str">
        <v>菊野 2022/07/10 (日)
休日午後</v>
      </c>
    </row>
    <row r="2419" spans="1:7" ht="16.149999999999999" x14ac:dyDescent="0.7">
      <c r="A2419" s="49">
        <v>44733.826572430553</v>
      </c>
      <c r="B2419" s="50" t="s">
        <v>1</v>
      </c>
      <c r="C2419" s="50" t="s">
        <v>377</v>
      </c>
      <c r="D2419" s="50" t="s">
        <v>263</v>
      </c>
      <c r="E2419" s="50">
        <v>0</v>
      </c>
      <c r="F2419" s="50">
        <v>0.32755833615083718</v>
      </c>
      <c r="G2419" s="51" t="str">
        <v>菊野 2022/07/10 (日)
休日午前</v>
      </c>
    </row>
    <row r="2420" spans="1:7" ht="16.149999999999999" x14ac:dyDescent="0.7">
      <c r="A2420" s="49">
        <v>44733.826572430553</v>
      </c>
      <c r="B2420" s="50" t="s">
        <v>1</v>
      </c>
      <c r="C2420" s="50" t="s">
        <v>378</v>
      </c>
      <c r="D2420" s="50" t="s">
        <v>259</v>
      </c>
      <c r="E2420" s="50">
        <v>0</v>
      </c>
      <c r="F2420" s="50">
        <v>6.5122058282871098E-2</v>
      </c>
      <c r="G2420" s="51" t="str">
        <v>菊野 2022/07/11 (月)
平日夜間</v>
      </c>
    </row>
    <row r="2421" spans="1:7" ht="16.149999999999999" x14ac:dyDescent="0.7">
      <c r="A2421" s="49">
        <v>44733.826572430553</v>
      </c>
      <c r="B2421" s="50" t="s">
        <v>1</v>
      </c>
      <c r="C2421" s="50" t="s">
        <v>379</v>
      </c>
      <c r="D2421" s="50" t="s">
        <v>259</v>
      </c>
      <c r="E2421" s="50">
        <v>2</v>
      </c>
      <c r="F2421" s="50">
        <v>2.1809933291628312</v>
      </c>
      <c r="G2421" s="51" t="str">
        <v>菊野 2022/07/12 (火)
平日夜間</v>
      </c>
    </row>
    <row r="2422" spans="1:7" ht="16.149999999999999" x14ac:dyDescent="0.7">
      <c r="A2422" s="49">
        <v>44733.826572430553</v>
      </c>
      <c r="B2422" s="50" t="s">
        <v>1</v>
      </c>
      <c r="C2422" s="50" t="s">
        <v>380</v>
      </c>
      <c r="D2422" s="50" t="s">
        <v>259</v>
      </c>
      <c r="E2422" s="50">
        <v>0</v>
      </c>
      <c r="F2422" s="50">
        <v>0.97025904367313842</v>
      </c>
      <c r="G2422" s="51" t="str">
        <v>菊野 2022/07/13 (水)
平日夜間</v>
      </c>
    </row>
    <row r="2423" spans="1:7" ht="16.149999999999999" x14ac:dyDescent="0.7">
      <c r="A2423" s="49">
        <v>44733.826572430553</v>
      </c>
      <c r="B2423" s="50" t="s">
        <v>1</v>
      </c>
      <c r="C2423" s="50" t="s">
        <v>381</v>
      </c>
      <c r="D2423" s="50" t="s">
        <v>259</v>
      </c>
      <c r="E2423" s="50">
        <v>0</v>
      </c>
      <c r="F2423" s="50">
        <v>0.59217324931466919</v>
      </c>
      <c r="G2423" s="51" t="str">
        <v>菊野 2022/07/14 (木)
平日夜間</v>
      </c>
    </row>
    <row r="2424" spans="1:7" ht="16.149999999999999" x14ac:dyDescent="0.7">
      <c r="A2424" s="49">
        <v>44733.826572430553</v>
      </c>
      <c r="B2424" s="50" t="s">
        <v>1</v>
      </c>
      <c r="C2424" s="50" t="s">
        <v>382</v>
      </c>
      <c r="D2424" s="50" t="s">
        <v>259</v>
      </c>
      <c r="E2424" s="50">
        <v>0</v>
      </c>
      <c r="F2424" s="50">
        <v>0.47427846051898093</v>
      </c>
      <c r="G2424" s="51" t="str">
        <v>菊野 2022/07/15 (金)
平日夜間</v>
      </c>
    </row>
    <row r="2425" spans="1:7" ht="16.149999999999999" x14ac:dyDescent="0.7">
      <c r="A2425" s="49">
        <v>44733.826572430553</v>
      </c>
      <c r="B2425" s="50" t="s">
        <v>1</v>
      </c>
      <c r="C2425" s="50" t="s">
        <v>383</v>
      </c>
      <c r="D2425" s="50" t="s">
        <v>261</v>
      </c>
      <c r="E2425" s="50">
        <v>0</v>
      </c>
      <c r="F2425" s="50">
        <v>0.78862010431780893</v>
      </c>
      <c r="G2425" s="51" t="str">
        <v>菊野 2022/07/16 (土)
休日午後</v>
      </c>
    </row>
    <row r="2426" spans="1:7" ht="16.149999999999999" x14ac:dyDescent="0.7">
      <c r="A2426" s="49">
        <v>44733.826572430553</v>
      </c>
      <c r="B2426" s="50" t="s">
        <v>1</v>
      </c>
      <c r="C2426" s="50" t="s">
        <v>384</v>
      </c>
      <c r="D2426" s="50" t="s">
        <v>263</v>
      </c>
      <c r="E2426" s="50">
        <v>0</v>
      </c>
      <c r="F2426" s="50">
        <v>0.35169872128313262</v>
      </c>
      <c r="G2426" s="51" t="str">
        <v>菊野 2022/07/16 (土)
休日午前</v>
      </c>
    </row>
    <row r="2427" spans="1:7" ht="16.149999999999999" x14ac:dyDescent="0.7">
      <c r="A2427" s="49">
        <v>44733.826572430553</v>
      </c>
      <c r="B2427" s="50" t="s">
        <v>1</v>
      </c>
      <c r="C2427" s="50" t="s">
        <v>385</v>
      </c>
      <c r="D2427" s="50" t="s">
        <v>261</v>
      </c>
      <c r="E2427" s="50">
        <v>0</v>
      </c>
      <c r="F2427" s="50">
        <v>0.3229051868717141</v>
      </c>
      <c r="G2427" s="51" t="str">
        <v>菊野 2022/07/17 (日)
休日午後</v>
      </c>
    </row>
    <row r="2428" spans="1:7" ht="16.149999999999999" x14ac:dyDescent="0.7">
      <c r="A2428" s="49">
        <v>44733.826572430553</v>
      </c>
      <c r="B2428" s="50" t="s">
        <v>1</v>
      </c>
      <c r="C2428" s="50" t="s">
        <v>386</v>
      </c>
      <c r="D2428" s="50" t="s">
        <v>263</v>
      </c>
      <c r="E2428" s="50">
        <v>0</v>
      </c>
      <c r="F2428" s="50">
        <v>0.57769143582882143</v>
      </c>
      <c r="G2428" s="51" t="str">
        <v>菊野 2022/07/17 (日)
休日午前</v>
      </c>
    </row>
    <row r="2429" spans="1:7" ht="16.149999999999999" x14ac:dyDescent="0.7">
      <c r="A2429" s="49">
        <v>44733.826572430553</v>
      </c>
      <c r="B2429" s="50" t="s">
        <v>1</v>
      </c>
      <c r="C2429" s="50" t="s">
        <v>404</v>
      </c>
      <c r="D2429" s="50" t="s">
        <v>261</v>
      </c>
      <c r="E2429" s="50">
        <v>0</v>
      </c>
      <c r="F2429" s="50">
        <v>0.1914320599992767</v>
      </c>
      <c r="G2429" s="51" t="str">
        <v>菊野 2022/07/18 (月)
休日午後</v>
      </c>
    </row>
    <row r="2430" spans="1:7" ht="16.149999999999999" x14ac:dyDescent="0.7">
      <c r="A2430" s="49">
        <v>44733.826572430553</v>
      </c>
      <c r="B2430" s="50" t="s">
        <v>1</v>
      </c>
      <c r="C2430" s="50" t="s">
        <v>405</v>
      </c>
      <c r="D2430" s="50" t="s">
        <v>263</v>
      </c>
      <c r="E2430" s="50">
        <v>0</v>
      </c>
      <c r="F2430" s="50">
        <v>0.87947334369385199</v>
      </c>
      <c r="G2430" s="51" t="str">
        <v>菊野 2022/07/18 (月)
休日午前</v>
      </c>
    </row>
    <row r="2431" spans="1:7" ht="16.149999999999999" x14ac:dyDescent="0.7">
      <c r="A2431" s="49">
        <v>44733.826572430553</v>
      </c>
      <c r="B2431" s="50" t="s">
        <v>1</v>
      </c>
      <c r="C2431" s="50" t="s">
        <v>387</v>
      </c>
      <c r="D2431" s="50" t="s">
        <v>259</v>
      </c>
      <c r="E2431" s="50">
        <v>0</v>
      </c>
      <c r="F2431" s="50">
        <v>0.21633611958030885</v>
      </c>
      <c r="G2431" s="51" t="str">
        <v>菊野 2022/07/19 (火)
平日夜間</v>
      </c>
    </row>
    <row r="2432" spans="1:7" ht="16.149999999999999" x14ac:dyDescent="0.7">
      <c r="A2432" s="49">
        <v>44733.826572430553</v>
      </c>
      <c r="B2432" s="50" t="s">
        <v>1</v>
      </c>
      <c r="C2432" s="50" t="s">
        <v>388</v>
      </c>
      <c r="D2432" s="50" t="s">
        <v>259</v>
      </c>
      <c r="E2432" s="50">
        <v>0</v>
      </c>
      <c r="F2432" s="50">
        <v>0.94027602245763897</v>
      </c>
      <c r="G2432" s="51" t="str">
        <v>菊野 2022/07/20 (水)
平日夜間</v>
      </c>
    </row>
    <row r="2433" spans="1:7" ht="16.149999999999999" x14ac:dyDescent="0.7">
      <c r="A2433" s="49">
        <v>44733.826572430553</v>
      </c>
      <c r="B2433" s="50" t="s">
        <v>1</v>
      </c>
      <c r="C2433" s="50" t="s">
        <v>389</v>
      </c>
      <c r="D2433" s="50" t="s">
        <v>259</v>
      </c>
      <c r="E2433" s="50">
        <v>0</v>
      </c>
      <c r="F2433" s="50">
        <v>5.7172508148572998E-3</v>
      </c>
      <c r="G2433" s="51" t="str">
        <v>菊野 2022/07/21 (木)
平日夜間</v>
      </c>
    </row>
    <row r="2434" spans="1:7" ht="16.149999999999999" x14ac:dyDescent="0.7">
      <c r="A2434" s="49">
        <v>44733.826572430553</v>
      </c>
      <c r="B2434" s="50" t="s">
        <v>1</v>
      </c>
      <c r="C2434" s="50" t="s">
        <v>390</v>
      </c>
      <c r="D2434" s="50" t="s">
        <v>259</v>
      </c>
      <c r="E2434" s="50">
        <v>0</v>
      </c>
      <c r="F2434" s="50">
        <v>0.36561497131296394</v>
      </c>
      <c r="G2434" s="51" t="str">
        <v>菊野 2022/07/22 (金)
平日夜間</v>
      </c>
    </row>
    <row r="2435" spans="1:7" ht="16.149999999999999" x14ac:dyDescent="0.7">
      <c r="A2435" s="49">
        <v>44733.826572430553</v>
      </c>
      <c r="B2435" s="50" t="s">
        <v>1</v>
      </c>
      <c r="C2435" s="50" t="s">
        <v>391</v>
      </c>
      <c r="D2435" s="50" t="s">
        <v>261</v>
      </c>
      <c r="E2435" s="50">
        <v>0</v>
      </c>
      <c r="F2435" s="50">
        <v>0.90481076248338699</v>
      </c>
      <c r="G2435" s="51" t="str">
        <v>菊野 2022/07/23 (土)
休日午後</v>
      </c>
    </row>
    <row r="2436" spans="1:7" ht="16.149999999999999" x14ac:dyDescent="0.7">
      <c r="A2436" s="49">
        <v>44733.826572430553</v>
      </c>
      <c r="B2436" s="50" t="s">
        <v>1</v>
      </c>
      <c r="C2436" s="50" t="s">
        <v>392</v>
      </c>
      <c r="D2436" s="50" t="s">
        <v>263</v>
      </c>
      <c r="E2436" s="50">
        <v>0</v>
      </c>
      <c r="F2436" s="50">
        <v>0.46409442002292334</v>
      </c>
      <c r="G2436" s="51" t="str">
        <v>菊野 2022/07/23 (土)
休日午前</v>
      </c>
    </row>
    <row r="2437" spans="1:7" ht="16.149999999999999" x14ac:dyDescent="0.7">
      <c r="A2437" s="49">
        <v>44733.826572430553</v>
      </c>
      <c r="B2437" s="50" t="s">
        <v>1</v>
      </c>
      <c r="C2437" s="50" t="s">
        <v>393</v>
      </c>
      <c r="D2437" s="50" t="s">
        <v>261</v>
      </c>
      <c r="E2437" s="50">
        <v>0</v>
      </c>
      <c r="F2437" s="50">
        <v>0.81042389207876875</v>
      </c>
      <c r="G2437" s="51" t="str">
        <v>菊野 2022/07/24 (日)
休日午後</v>
      </c>
    </row>
    <row r="2438" spans="1:7" ht="16.149999999999999" x14ac:dyDescent="0.7">
      <c r="A2438" s="49">
        <v>44733.826572430553</v>
      </c>
      <c r="B2438" s="50" t="s">
        <v>1</v>
      </c>
      <c r="C2438" s="50" t="s">
        <v>394</v>
      </c>
      <c r="D2438" s="50" t="s">
        <v>263</v>
      </c>
      <c r="E2438" s="50">
        <v>0</v>
      </c>
      <c r="F2438" s="50">
        <v>0.44101129543762241</v>
      </c>
      <c r="G2438" s="51" t="str">
        <v>菊野 2022/07/24 (日)
休日午前</v>
      </c>
    </row>
    <row r="2439" spans="1:7" ht="16.149999999999999" x14ac:dyDescent="0.7">
      <c r="A2439" s="49">
        <v>44733.826572430553</v>
      </c>
      <c r="B2439" s="50" t="s">
        <v>1</v>
      </c>
      <c r="C2439" s="50" t="s">
        <v>395</v>
      </c>
      <c r="D2439" s="50" t="s">
        <v>259</v>
      </c>
      <c r="E2439" s="50">
        <v>0</v>
      </c>
      <c r="F2439" s="50">
        <v>8.0947478842601894E-2</v>
      </c>
      <c r="G2439" s="51" t="str">
        <v>菊野 2022/07/25 (月)
平日夜間</v>
      </c>
    </row>
    <row r="2440" spans="1:7" ht="16.149999999999999" x14ac:dyDescent="0.7">
      <c r="A2440" s="49">
        <v>44733.826572430553</v>
      </c>
      <c r="B2440" s="50" t="s">
        <v>1</v>
      </c>
      <c r="C2440" s="50" t="s">
        <v>396</v>
      </c>
      <c r="D2440" s="50" t="s">
        <v>259</v>
      </c>
      <c r="E2440" s="50">
        <v>0</v>
      </c>
      <c r="F2440" s="50">
        <v>0.61163679107879809</v>
      </c>
      <c r="G2440" s="51" t="str">
        <v>菊野 2022/07/26 (火)
平日夜間</v>
      </c>
    </row>
    <row r="2441" spans="1:7" ht="16.149999999999999" x14ac:dyDescent="0.7">
      <c r="A2441" s="49">
        <v>44733.826572430553</v>
      </c>
      <c r="B2441" s="50" t="s">
        <v>1</v>
      </c>
      <c r="C2441" s="50" t="s">
        <v>397</v>
      </c>
      <c r="D2441" s="50" t="s">
        <v>259</v>
      </c>
      <c r="E2441" s="50">
        <v>0</v>
      </c>
      <c r="F2441" s="50">
        <v>0.30570504368762652</v>
      </c>
      <c r="G2441" s="51" t="str">
        <v>菊野 2022/07/27 (水)
平日夜間</v>
      </c>
    </row>
    <row r="2442" spans="1:7" ht="16.149999999999999" x14ac:dyDescent="0.7">
      <c r="A2442" s="49">
        <v>44733.826572430553</v>
      </c>
      <c r="B2442" s="50" t="s">
        <v>1</v>
      </c>
      <c r="C2442" s="50" t="s">
        <v>398</v>
      </c>
      <c r="D2442" s="50" t="s">
        <v>259</v>
      </c>
      <c r="E2442" s="50">
        <v>0</v>
      </c>
      <c r="F2442" s="50">
        <v>0.18928538385806148</v>
      </c>
      <c r="G2442" s="51" t="str">
        <v>菊野 2022/07/28 (木)
平日夜間</v>
      </c>
    </row>
    <row r="2443" spans="1:7" ht="16.149999999999999" x14ac:dyDescent="0.7">
      <c r="A2443" s="49">
        <v>44733.826572430553</v>
      </c>
      <c r="B2443" s="50" t="s">
        <v>1</v>
      </c>
      <c r="C2443" s="50" t="s">
        <v>399</v>
      </c>
      <c r="D2443" s="50" t="s">
        <v>259</v>
      </c>
      <c r="E2443" s="50">
        <v>0</v>
      </c>
      <c r="F2443" s="50">
        <v>0.91313095016336687</v>
      </c>
      <c r="G2443" s="51" t="str">
        <v>菊野 2022/07/29 (金)
平日夜間</v>
      </c>
    </row>
    <row r="2444" spans="1:7" ht="16.149999999999999" x14ac:dyDescent="0.7">
      <c r="A2444" s="49">
        <v>44733.826572430553</v>
      </c>
      <c r="B2444" s="50" t="s">
        <v>1</v>
      </c>
      <c r="C2444" s="50" t="s">
        <v>400</v>
      </c>
      <c r="D2444" s="50" t="s">
        <v>261</v>
      </c>
      <c r="E2444" s="50">
        <v>0</v>
      </c>
      <c r="F2444" s="50">
        <v>0.32819304913183189</v>
      </c>
      <c r="G2444" s="51" t="str">
        <v>菊野 2022/07/30 (土)
休日午後</v>
      </c>
    </row>
    <row r="2445" spans="1:7" ht="16.149999999999999" x14ac:dyDescent="0.7">
      <c r="A2445" s="49">
        <v>44733.826572430553</v>
      </c>
      <c r="B2445" s="50" t="s">
        <v>1</v>
      </c>
      <c r="C2445" s="50" t="s">
        <v>401</v>
      </c>
      <c r="D2445" s="50" t="s">
        <v>263</v>
      </c>
      <c r="E2445" s="50">
        <v>0</v>
      </c>
      <c r="F2445" s="50">
        <v>0.42045768447226384</v>
      </c>
      <c r="G2445" s="51" t="str">
        <v>菊野 2022/07/30 (土)
休日午前</v>
      </c>
    </row>
    <row r="2446" spans="1:7" ht="16.149999999999999" x14ac:dyDescent="0.7">
      <c r="A2446" s="49">
        <v>44733.826572430553</v>
      </c>
      <c r="B2446" s="50" t="s">
        <v>1</v>
      </c>
      <c r="C2446" s="50" t="s">
        <v>402</v>
      </c>
      <c r="D2446" s="50" t="s">
        <v>261</v>
      </c>
      <c r="E2446" s="50">
        <v>0</v>
      </c>
      <c r="F2446" s="50">
        <v>3.0812581833440378E-2</v>
      </c>
      <c r="G2446" s="51" t="str">
        <v>菊野 2022/07/31 (日)
休日午後</v>
      </c>
    </row>
    <row r="2447" spans="1:7" ht="16.149999999999999" x14ac:dyDescent="0.7">
      <c r="A2447" s="49">
        <v>44733.826572430553</v>
      </c>
      <c r="B2447" s="50" t="s">
        <v>1</v>
      </c>
      <c r="C2447" s="50" t="s">
        <v>403</v>
      </c>
      <c r="D2447" s="50" t="s">
        <v>263</v>
      </c>
      <c r="E2447" s="50">
        <v>0</v>
      </c>
      <c r="F2447" s="50">
        <v>0.96979734668972029</v>
      </c>
      <c r="G2447" s="51" t="str">
        <v>菊野 2022/07/31 (日)
休日午前</v>
      </c>
    </row>
    <row r="2448" spans="1:7" ht="16.149999999999999" x14ac:dyDescent="0.7">
      <c r="A2448" s="49">
        <v>44734.951186874998</v>
      </c>
      <c r="B2448" s="50" t="s">
        <v>38</v>
      </c>
      <c r="C2448" s="50" t="s">
        <v>364</v>
      </c>
      <c r="D2448" s="50" t="s">
        <v>259</v>
      </c>
      <c r="E2448" s="50">
        <v>-1</v>
      </c>
      <c r="F2448" s="50">
        <v>-7.4579932626912981E-2</v>
      </c>
      <c r="G2448" s="51" t="str">
        <v>森岳 2022/07/01 (金)
平日夜間</v>
      </c>
    </row>
    <row r="2449" spans="1:7" ht="16.149999999999999" x14ac:dyDescent="0.7">
      <c r="A2449" s="49">
        <v>44734.951186874998</v>
      </c>
      <c r="B2449" s="50" t="s">
        <v>38</v>
      </c>
      <c r="C2449" s="50" t="s">
        <v>365</v>
      </c>
      <c r="D2449" s="50" t="s">
        <v>261</v>
      </c>
      <c r="E2449" s="50">
        <v>2</v>
      </c>
      <c r="F2449" s="50">
        <v>2.174240995929706</v>
      </c>
      <c r="G2449" s="51" t="str">
        <v>森岳 2022/07/02 (土)
休日午後</v>
      </c>
    </row>
    <row r="2450" spans="1:7" ht="16.149999999999999" x14ac:dyDescent="0.7">
      <c r="A2450" s="49">
        <v>44734.951186874998</v>
      </c>
      <c r="B2450" s="50" t="s">
        <v>38</v>
      </c>
      <c r="C2450" s="50" t="s">
        <v>366</v>
      </c>
      <c r="D2450" s="50" t="s">
        <v>263</v>
      </c>
      <c r="E2450" s="50">
        <v>1</v>
      </c>
      <c r="F2450" s="50">
        <v>1.6636126995868856</v>
      </c>
      <c r="G2450" s="51" t="str">
        <v>森岳 2022/07/02 (土)
休日午前</v>
      </c>
    </row>
    <row r="2451" spans="1:7" ht="16.149999999999999" x14ac:dyDescent="0.7">
      <c r="A2451" s="49">
        <v>44734.951186874998</v>
      </c>
      <c r="B2451" s="50" t="s">
        <v>38</v>
      </c>
      <c r="C2451" s="50" t="s">
        <v>367</v>
      </c>
      <c r="D2451" s="50" t="s">
        <v>261</v>
      </c>
      <c r="E2451" s="50">
        <v>-1</v>
      </c>
      <c r="F2451" s="50">
        <v>-0.91701431637465891</v>
      </c>
      <c r="G2451" s="51" t="str">
        <v>森岳 2022/07/03 (日)
休日午後</v>
      </c>
    </row>
    <row r="2452" spans="1:7" ht="16.149999999999999" x14ac:dyDescent="0.7">
      <c r="A2452" s="49">
        <v>44734.951186874998</v>
      </c>
      <c r="B2452" s="50" t="s">
        <v>38</v>
      </c>
      <c r="C2452" s="50" t="s">
        <v>368</v>
      </c>
      <c r="D2452" s="50" t="s">
        <v>263</v>
      </c>
      <c r="E2452" s="50">
        <v>-1</v>
      </c>
      <c r="F2452" s="50">
        <v>-0.5966925759440882</v>
      </c>
      <c r="G2452" s="51" t="str">
        <v>森岳 2022/07/03 (日)
休日午前</v>
      </c>
    </row>
    <row r="2453" spans="1:7" ht="16.149999999999999" x14ac:dyDescent="0.7">
      <c r="A2453" s="49">
        <v>44734.951186874998</v>
      </c>
      <c r="B2453" s="50" t="s">
        <v>38</v>
      </c>
      <c r="C2453" s="50" t="s">
        <v>369</v>
      </c>
      <c r="D2453" s="50" t="s">
        <v>259</v>
      </c>
      <c r="E2453" s="50">
        <v>0</v>
      </c>
      <c r="F2453" s="50">
        <v>0.1735450469075257</v>
      </c>
      <c r="G2453" s="51" t="str">
        <v>森岳 2022/07/04 (月)
平日夜間</v>
      </c>
    </row>
    <row r="2454" spans="1:7" ht="16.149999999999999" x14ac:dyDescent="0.7">
      <c r="A2454" s="49">
        <v>44734.951186874998</v>
      </c>
      <c r="B2454" s="50" t="s">
        <v>38</v>
      </c>
      <c r="C2454" s="50" t="s">
        <v>370</v>
      </c>
      <c r="D2454" s="50" t="s">
        <v>259</v>
      </c>
      <c r="E2454" s="50">
        <v>0</v>
      </c>
      <c r="F2454" s="50">
        <v>0.44967678669108713</v>
      </c>
      <c r="G2454" s="51" t="str">
        <v>森岳 2022/07/05 (火)
平日夜間</v>
      </c>
    </row>
    <row r="2455" spans="1:7" ht="16.149999999999999" x14ac:dyDescent="0.7">
      <c r="A2455" s="49">
        <v>44734.951186874998</v>
      </c>
      <c r="B2455" s="50" t="s">
        <v>38</v>
      </c>
      <c r="C2455" s="50" t="s">
        <v>371</v>
      </c>
      <c r="D2455" s="50" t="s">
        <v>259</v>
      </c>
      <c r="E2455" s="50">
        <v>-1</v>
      </c>
      <c r="F2455" s="50">
        <v>-0.94442006140680834</v>
      </c>
      <c r="G2455" s="51" t="str">
        <v>森岳 2022/07/06 (水)
平日夜間</v>
      </c>
    </row>
    <row r="2456" spans="1:7" ht="16.149999999999999" x14ac:dyDescent="0.7">
      <c r="A2456" s="49">
        <v>44734.951186874998</v>
      </c>
      <c r="B2456" s="50" t="s">
        <v>38</v>
      </c>
      <c r="C2456" s="50" t="s">
        <v>372</v>
      </c>
      <c r="D2456" s="50" t="s">
        <v>259</v>
      </c>
      <c r="E2456" s="50">
        <v>0</v>
      </c>
      <c r="F2456" s="50">
        <v>0.61042998795418679</v>
      </c>
      <c r="G2456" s="51" t="str">
        <v>森岳 2022/07/07 (木)
平日夜間</v>
      </c>
    </row>
    <row r="2457" spans="1:7" ht="16.149999999999999" x14ac:dyDescent="0.7">
      <c r="A2457" s="49">
        <v>44734.951186874998</v>
      </c>
      <c r="B2457" s="50" t="s">
        <v>38</v>
      </c>
      <c r="C2457" s="50" t="s">
        <v>373</v>
      </c>
      <c r="D2457" s="50" t="s">
        <v>259</v>
      </c>
      <c r="E2457" s="50">
        <v>0</v>
      </c>
      <c r="F2457" s="50">
        <v>0.67978170349893219</v>
      </c>
      <c r="G2457" s="51" t="str">
        <v>森岳 2022/07/08 (金)
平日夜間</v>
      </c>
    </row>
    <row r="2458" spans="1:7" ht="16.149999999999999" x14ac:dyDescent="0.7">
      <c r="A2458" s="49">
        <v>44734.951186874998</v>
      </c>
      <c r="B2458" s="50" t="s">
        <v>38</v>
      </c>
      <c r="C2458" s="50" t="s">
        <v>374</v>
      </c>
      <c r="D2458" s="50" t="s">
        <v>261</v>
      </c>
      <c r="E2458" s="50">
        <v>0</v>
      </c>
      <c r="F2458" s="50">
        <v>0.28120636278064248</v>
      </c>
      <c r="G2458" s="51" t="str">
        <v>森岳 2022/07/09 (土)
休日午後</v>
      </c>
    </row>
    <row r="2459" spans="1:7" ht="16.149999999999999" x14ac:dyDescent="0.7">
      <c r="A2459" s="49">
        <v>44734.951186874998</v>
      </c>
      <c r="B2459" s="50" t="s">
        <v>38</v>
      </c>
      <c r="C2459" s="50" t="s">
        <v>375</v>
      </c>
      <c r="D2459" s="50" t="s">
        <v>263</v>
      </c>
      <c r="E2459" s="50">
        <v>-1</v>
      </c>
      <c r="F2459" s="50">
        <v>-0.90546224525184815</v>
      </c>
      <c r="G2459" s="51" t="str">
        <v>森岳 2022/07/09 (土)
休日午前</v>
      </c>
    </row>
    <row r="2460" spans="1:7" ht="16.149999999999999" x14ac:dyDescent="0.7">
      <c r="A2460" s="49">
        <v>44734.951186874998</v>
      </c>
      <c r="B2460" s="50" t="s">
        <v>38</v>
      </c>
      <c r="C2460" s="50" t="s">
        <v>376</v>
      </c>
      <c r="D2460" s="50" t="s">
        <v>261</v>
      </c>
      <c r="E2460" s="50">
        <v>0</v>
      </c>
      <c r="F2460" s="50">
        <v>5.7941098147358705E-2</v>
      </c>
      <c r="G2460" s="51" t="str">
        <v>森岳 2022/07/10 (日)
休日午後</v>
      </c>
    </row>
    <row r="2461" spans="1:7" ht="16.149999999999999" x14ac:dyDescent="0.7">
      <c r="A2461" s="49">
        <v>44734.951186874998</v>
      </c>
      <c r="B2461" s="50" t="s">
        <v>38</v>
      </c>
      <c r="C2461" s="50" t="s">
        <v>377</v>
      </c>
      <c r="D2461" s="50" t="s">
        <v>263</v>
      </c>
      <c r="E2461" s="50">
        <v>0</v>
      </c>
      <c r="F2461" s="50">
        <v>0.38271489656328739</v>
      </c>
      <c r="G2461" s="51" t="str">
        <v>森岳 2022/07/10 (日)
休日午前</v>
      </c>
    </row>
    <row r="2462" spans="1:7" ht="16.149999999999999" x14ac:dyDescent="0.7">
      <c r="A2462" s="49">
        <v>44734.951186874998</v>
      </c>
      <c r="B2462" s="50" t="s">
        <v>38</v>
      </c>
      <c r="C2462" s="50" t="s">
        <v>378</v>
      </c>
      <c r="D2462" s="50" t="s">
        <v>259</v>
      </c>
      <c r="E2462" s="50">
        <v>-1</v>
      </c>
      <c r="F2462" s="50">
        <v>-0.60661744531501216</v>
      </c>
      <c r="G2462" s="51" t="str">
        <v>森岳 2022/07/11 (月)
平日夜間</v>
      </c>
    </row>
    <row r="2463" spans="1:7" ht="16.149999999999999" x14ac:dyDescent="0.7">
      <c r="A2463" s="49">
        <v>44734.951186874998</v>
      </c>
      <c r="B2463" s="50" t="s">
        <v>38</v>
      </c>
      <c r="C2463" s="50" t="s">
        <v>379</v>
      </c>
      <c r="D2463" s="50" t="s">
        <v>259</v>
      </c>
      <c r="E2463" s="50">
        <v>-1</v>
      </c>
      <c r="F2463" s="50">
        <v>-0.94667787487705635</v>
      </c>
      <c r="G2463" s="51" t="str">
        <v>森岳 2022/07/12 (火)
平日夜間</v>
      </c>
    </row>
    <row r="2464" spans="1:7" ht="16.149999999999999" x14ac:dyDescent="0.7">
      <c r="A2464" s="49">
        <v>44734.951186874998</v>
      </c>
      <c r="B2464" s="50" t="s">
        <v>38</v>
      </c>
      <c r="C2464" s="50" t="s">
        <v>380</v>
      </c>
      <c r="D2464" s="50" t="s">
        <v>259</v>
      </c>
      <c r="E2464" s="50">
        <v>-1</v>
      </c>
      <c r="F2464" s="50">
        <v>-0.68357751142485679</v>
      </c>
      <c r="G2464" s="51" t="str">
        <v>森岳 2022/07/13 (水)
平日夜間</v>
      </c>
    </row>
    <row r="2465" spans="1:7" ht="16.149999999999999" x14ac:dyDescent="0.7">
      <c r="A2465" s="49">
        <v>44734.951186874998</v>
      </c>
      <c r="B2465" s="50" t="s">
        <v>38</v>
      </c>
      <c r="C2465" s="50" t="s">
        <v>381</v>
      </c>
      <c r="D2465" s="50" t="s">
        <v>259</v>
      </c>
      <c r="E2465" s="50">
        <v>0</v>
      </c>
      <c r="F2465" s="50">
        <v>0.87545093741612945</v>
      </c>
      <c r="G2465" s="51" t="str">
        <v>森岳 2022/07/14 (木)
平日夜間</v>
      </c>
    </row>
    <row r="2466" spans="1:7" ht="16.149999999999999" x14ac:dyDescent="0.7">
      <c r="A2466" s="49">
        <v>44734.951186874998</v>
      </c>
      <c r="B2466" s="50" t="s">
        <v>38</v>
      </c>
      <c r="C2466" s="50" t="s">
        <v>382</v>
      </c>
      <c r="D2466" s="50" t="s">
        <v>259</v>
      </c>
      <c r="E2466" s="50">
        <v>0</v>
      </c>
      <c r="F2466" s="50">
        <v>0.55551841816249059</v>
      </c>
      <c r="G2466" s="51" t="str">
        <v>森岳 2022/07/15 (金)
平日夜間</v>
      </c>
    </row>
    <row r="2467" spans="1:7" ht="16.149999999999999" x14ac:dyDescent="0.7">
      <c r="A2467" s="49">
        <v>44734.951186874998</v>
      </c>
      <c r="B2467" s="50" t="s">
        <v>38</v>
      </c>
      <c r="C2467" s="50" t="s">
        <v>383</v>
      </c>
      <c r="D2467" s="50" t="s">
        <v>261</v>
      </c>
      <c r="E2467" s="50">
        <v>0</v>
      </c>
      <c r="F2467" s="50">
        <v>4.3252079367823049E-2</v>
      </c>
      <c r="G2467" s="51" t="str">
        <v>森岳 2022/07/16 (土)
休日午後</v>
      </c>
    </row>
    <row r="2468" spans="1:7" ht="16.149999999999999" x14ac:dyDescent="0.7">
      <c r="A2468" s="49">
        <v>44734.951186874998</v>
      </c>
      <c r="B2468" s="50" t="s">
        <v>38</v>
      </c>
      <c r="C2468" s="50" t="s">
        <v>384</v>
      </c>
      <c r="D2468" s="50" t="s">
        <v>263</v>
      </c>
      <c r="E2468" s="50">
        <v>-1</v>
      </c>
      <c r="F2468" s="50">
        <v>-0.78107388777376774</v>
      </c>
      <c r="G2468" s="51" t="str">
        <v>森岳 2022/07/16 (土)
休日午前</v>
      </c>
    </row>
    <row r="2469" spans="1:7" ht="16.149999999999999" x14ac:dyDescent="0.7">
      <c r="A2469" s="49">
        <v>44734.951186874998</v>
      </c>
      <c r="B2469" s="50" t="s">
        <v>38</v>
      </c>
      <c r="C2469" s="50" t="s">
        <v>385</v>
      </c>
      <c r="D2469" s="50" t="s">
        <v>261</v>
      </c>
      <c r="E2469" s="50">
        <v>0</v>
      </c>
      <c r="F2469" s="50">
        <v>0.10600888776716144</v>
      </c>
      <c r="G2469" s="51" t="str">
        <v>森岳 2022/07/17 (日)
休日午後</v>
      </c>
    </row>
    <row r="2470" spans="1:7" ht="16.149999999999999" x14ac:dyDescent="0.7">
      <c r="A2470" s="49">
        <v>44734.951186874998</v>
      </c>
      <c r="B2470" s="50" t="s">
        <v>38</v>
      </c>
      <c r="C2470" s="50" t="s">
        <v>386</v>
      </c>
      <c r="D2470" s="50" t="s">
        <v>263</v>
      </c>
      <c r="E2470" s="50">
        <v>0</v>
      </c>
      <c r="F2470" s="50">
        <v>6.7202941596776311E-2</v>
      </c>
      <c r="G2470" s="51" t="str">
        <v>森岳 2022/07/17 (日)
休日午前</v>
      </c>
    </row>
    <row r="2471" spans="1:7" ht="16.149999999999999" x14ac:dyDescent="0.7">
      <c r="A2471" s="49">
        <v>44734.951186874998</v>
      </c>
      <c r="B2471" s="50" t="s">
        <v>38</v>
      </c>
      <c r="C2471" s="50" t="s">
        <v>404</v>
      </c>
      <c r="D2471" s="50" t="s">
        <v>261</v>
      </c>
      <c r="E2471" s="50">
        <v>0</v>
      </c>
      <c r="F2471" s="50">
        <v>0.85133033270387415</v>
      </c>
      <c r="G2471" s="51" t="str">
        <v>森岳 2022/07/18 (月)
休日午後</v>
      </c>
    </row>
    <row r="2472" spans="1:7" ht="16.149999999999999" x14ac:dyDescent="0.7">
      <c r="A2472" s="49">
        <v>44734.951186874998</v>
      </c>
      <c r="B2472" s="50" t="s">
        <v>38</v>
      </c>
      <c r="C2472" s="50" t="s">
        <v>405</v>
      </c>
      <c r="D2472" s="50" t="s">
        <v>263</v>
      </c>
      <c r="E2472" s="50">
        <v>0</v>
      </c>
      <c r="F2472" s="50">
        <v>0.69660684106115567</v>
      </c>
      <c r="G2472" s="51" t="str">
        <v>森岳 2022/07/18 (月)
休日午前</v>
      </c>
    </row>
    <row r="2473" spans="1:7" ht="16.149999999999999" x14ac:dyDescent="0.7">
      <c r="A2473" s="49">
        <v>44734.951186874998</v>
      </c>
      <c r="B2473" s="50" t="s">
        <v>38</v>
      </c>
      <c r="C2473" s="50" t="s">
        <v>387</v>
      </c>
      <c r="D2473" s="50" t="s">
        <v>259</v>
      </c>
      <c r="E2473" s="50">
        <v>0</v>
      </c>
      <c r="F2473" s="50">
        <v>0.98691971181491556</v>
      </c>
      <c r="G2473" s="51" t="str">
        <v>森岳 2022/07/19 (火)
平日夜間</v>
      </c>
    </row>
    <row r="2474" spans="1:7" ht="16.149999999999999" x14ac:dyDescent="0.7">
      <c r="A2474" s="49">
        <v>44734.951186874998</v>
      </c>
      <c r="B2474" s="50" t="s">
        <v>38</v>
      </c>
      <c r="C2474" s="50" t="s">
        <v>388</v>
      </c>
      <c r="D2474" s="50" t="s">
        <v>259</v>
      </c>
      <c r="E2474" s="50">
        <v>-1</v>
      </c>
      <c r="F2474" s="50">
        <v>-0.43719748162075556</v>
      </c>
      <c r="G2474" s="51" t="str">
        <v>森岳 2022/07/20 (水)
平日夜間</v>
      </c>
    </row>
    <row r="2475" spans="1:7" ht="16.149999999999999" x14ac:dyDescent="0.7">
      <c r="A2475" s="49">
        <v>44734.951186874998</v>
      </c>
      <c r="B2475" s="50" t="s">
        <v>38</v>
      </c>
      <c r="C2475" s="50" t="s">
        <v>389</v>
      </c>
      <c r="D2475" s="50" t="s">
        <v>259</v>
      </c>
      <c r="E2475" s="50">
        <v>0</v>
      </c>
      <c r="F2475" s="50">
        <v>0.69294665652310172</v>
      </c>
      <c r="G2475" s="51" t="str">
        <v>森岳 2022/07/21 (木)
平日夜間</v>
      </c>
    </row>
    <row r="2476" spans="1:7" ht="16.149999999999999" x14ac:dyDescent="0.7">
      <c r="A2476" s="49">
        <v>44734.951186874998</v>
      </c>
      <c r="B2476" s="50" t="s">
        <v>38</v>
      </c>
      <c r="C2476" s="50" t="s">
        <v>390</v>
      </c>
      <c r="D2476" s="50" t="s">
        <v>259</v>
      </c>
      <c r="E2476" s="50">
        <v>-1</v>
      </c>
      <c r="F2476" s="50">
        <v>-0.76339529552739926</v>
      </c>
      <c r="G2476" s="51" t="str">
        <v>森岳 2022/07/22 (金)
平日夜間</v>
      </c>
    </row>
    <row r="2477" spans="1:7" ht="16.149999999999999" x14ac:dyDescent="0.7">
      <c r="A2477" s="49">
        <v>44734.951186874998</v>
      </c>
      <c r="B2477" s="50" t="s">
        <v>38</v>
      </c>
      <c r="C2477" s="50" t="s">
        <v>391</v>
      </c>
      <c r="D2477" s="50" t="s">
        <v>261</v>
      </c>
      <c r="E2477" s="50">
        <v>-1</v>
      </c>
      <c r="F2477" s="50">
        <v>-0.57779775817989343</v>
      </c>
      <c r="G2477" s="51" t="str">
        <v>森岳 2022/07/23 (土)
休日午後</v>
      </c>
    </row>
    <row r="2478" spans="1:7" ht="16.149999999999999" x14ac:dyDescent="0.7">
      <c r="A2478" s="49">
        <v>44734.951186874998</v>
      </c>
      <c r="B2478" s="50" t="s">
        <v>38</v>
      </c>
      <c r="C2478" s="50" t="s">
        <v>392</v>
      </c>
      <c r="D2478" s="50" t="s">
        <v>263</v>
      </c>
      <c r="E2478" s="50">
        <v>-1</v>
      </c>
      <c r="F2478" s="50">
        <v>-0.70724013120915452</v>
      </c>
      <c r="G2478" s="51" t="str">
        <v>森岳 2022/07/23 (土)
休日午前</v>
      </c>
    </row>
    <row r="2479" spans="1:7" ht="16.149999999999999" x14ac:dyDescent="0.7">
      <c r="A2479" s="49">
        <v>44734.951186874998</v>
      </c>
      <c r="B2479" s="50" t="s">
        <v>38</v>
      </c>
      <c r="C2479" s="50" t="s">
        <v>393</v>
      </c>
      <c r="D2479" s="50" t="s">
        <v>261</v>
      </c>
      <c r="E2479" s="50">
        <v>-1</v>
      </c>
      <c r="F2479" s="50">
        <v>-0.22341398677352164</v>
      </c>
      <c r="G2479" s="51" t="str">
        <v>森岳 2022/07/24 (日)
休日午後</v>
      </c>
    </row>
    <row r="2480" spans="1:7" ht="16.149999999999999" x14ac:dyDescent="0.7">
      <c r="A2480" s="49">
        <v>44734.951186874998</v>
      </c>
      <c r="B2480" s="50" t="s">
        <v>38</v>
      </c>
      <c r="C2480" s="50" t="s">
        <v>394</v>
      </c>
      <c r="D2480" s="50" t="s">
        <v>263</v>
      </c>
      <c r="E2480" s="50">
        <v>-1</v>
      </c>
      <c r="F2480" s="50">
        <v>-0.94359920518872897</v>
      </c>
      <c r="G2480" s="51" t="str">
        <v>森岳 2022/07/24 (日)
休日午前</v>
      </c>
    </row>
    <row r="2481" spans="1:7" ht="16.149999999999999" x14ac:dyDescent="0.7">
      <c r="A2481" s="49">
        <v>44734.951186874998</v>
      </c>
      <c r="B2481" s="50" t="s">
        <v>38</v>
      </c>
      <c r="C2481" s="50" t="s">
        <v>395</v>
      </c>
      <c r="D2481" s="50" t="s">
        <v>259</v>
      </c>
      <c r="E2481" s="50">
        <v>-1</v>
      </c>
      <c r="F2481" s="50">
        <v>-0.41038377661711123</v>
      </c>
      <c r="G2481" s="51" t="str">
        <v>森岳 2022/07/25 (月)
平日夜間</v>
      </c>
    </row>
    <row r="2482" spans="1:7" ht="16.149999999999999" x14ac:dyDescent="0.7">
      <c r="A2482" s="49">
        <v>44734.951186874998</v>
      </c>
      <c r="B2482" s="50" t="s">
        <v>38</v>
      </c>
      <c r="C2482" s="50" t="s">
        <v>396</v>
      </c>
      <c r="D2482" s="50" t="s">
        <v>259</v>
      </c>
      <c r="E2482" s="50">
        <v>-1</v>
      </c>
      <c r="F2482" s="50">
        <v>-0.18751089286501399</v>
      </c>
      <c r="G2482" s="51" t="str">
        <v>森岳 2022/07/26 (火)
平日夜間</v>
      </c>
    </row>
    <row r="2483" spans="1:7" ht="16.149999999999999" x14ac:dyDescent="0.7">
      <c r="A2483" s="49">
        <v>44734.951186874998</v>
      </c>
      <c r="B2483" s="50" t="s">
        <v>38</v>
      </c>
      <c r="C2483" s="50" t="s">
        <v>397</v>
      </c>
      <c r="D2483" s="50" t="s">
        <v>259</v>
      </c>
      <c r="E2483" s="50">
        <v>-1</v>
      </c>
      <c r="F2483" s="50">
        <v>-0.78484565853038712</v>
      </c>
      <c r="G2483" s="51" t="str">
        <v>森岳 2022/07/27 (水)
平日夜間</v>
      </c>
    </row>
    <row r="2484" spans="1:7" ht="16.149999999999999" x14ac:dyDescent="0.7">
      <c r="A2484" s="49">
        <v>44734.951186874998</v>
      </c>
      <c r="B2484" s="50" t="s">
        <v>38</v>
      </c>
      <c r="C2484" s="50" t="s">
        <v>398</v>
      </c>
      <c r="D2484" s="50" t="s">
        <v>259</v>
      </c>
      <c r="E2484" s="50">
        <v>0</v>
      </c>
      <c r="F2484" s="50">
        <v>0.42877645286924837</v>
      </c>
      <c r="G2484" s="51" t="str">
        <v>森岳 2022/07/28 (木)
平日夜間</v>
      </c>
    </row>
    <row r="2485" spans="1:7" ht="16.149999999999999" x14ac:dyDescent="0.7">
      <c r="A2485" s="49">
        <v>44734.951186874998</v>
      </c>
      <c r="B2485" s="50" t="s">
        <v>38</v>
      </c>
      <c r="C2485" s="50" t="s">
        <v>399</v>
      </c>
      <c r="D2485" s="50" t="s">
        <v>259</v>
      </c>
      <c r="E2485" s="50">
        <v>0</v>
      </c>
      <c r="F2485" s="50">
        <v>0.65387117755771462</v>
      </c>
      <c r="G2485" s="51" t="str">
        <v>森岳 2022/07/29 (金)
平日夜間</v>
      </c>
    </row>
    <row r="2486" spans="1:7" ht="16.149999999999999" x14ac:dyDescent="0.7">
      <c r="A2486" s="49">
        <v>44734.951186874998</v>
      </c>
      <c r="B2486" s="50" t="s">
        <v>38</v>
      </c>
      <c r="C2486" s="50" t="s">
        <v>400</v>
      </c>
      <c r="D2486" s="50" t="s">
        <v>261</v>
      </c>
      <c r="E2486" s="50">
        <v>-1</v>
      </c>
      <c r="F2486" s="50">
        <v>-8.5233067500188442E-2</v>
      </c>
      <c r="G2486" s="51" t="str">
        <v>森岳 2022/07/30 (土)
休日午後</v>
      </c>
    </row>
    <row r="2487" spans="1:7" ht="16.149999999999999" x14ac:dyDescent="0.7">
      <c r="A2487" s="49">
        <v>44734.951186874998</v>
      </c>
      <c r="B2487" s="50" t="s">
        <v>38</v>
      </c>
      <c r="C2487" s="50" t="s">
        <v>401</v>
      </c>
      <c r="D2487" s="50" t="s">
        <v>263</v>
      </c>
      <c r="E2487" s="50">
        <v>-1</v>
      </c>
      <c r="F2487" s="50">
        <v>-0.53106502319104165</v>
      </c>
      <c r="G2487" s="51" t="str">
        <v>森岳 2022/07/30 (土)
休日午前</v>
      </c>
    </row>
    <row r="2488" spans="1:7" ht="16.149999999999999" x14ac:dyDescent="0.7">
      <c r="A2488" s="49">
        <v>44734.951186874998</v>
      </c>
      <c r="B2488" s="50" t="s">
        <v>38</v>
      </c>
      <c r="C2488" s="50" t="s">
        <v>402</v>
      </c>
      <c r="D2488" s="50" t="s">
        <v>261</v>
      </c>
      <c r="E2488" s="50">
        <v>-1</v>
      </c>
      <c r="F2488" s="50">
        <v>-0.88040809719696145</v>
      </c>
      <c r="G2488" s="51" t="str">
        <v>森岳 2022/07/31 (日)
休日午後</v>
      </c>
    </row>
    <row r="2489" spans="1:7" ht="16.149999999999999" x14ac:dyDescent="0.7">
      <c r="A2489" s="49">
        <v>44734.951186874998</v>
      </c>
      <c r="B2489" s="50" t="s">
        <v>38</v>
      </c>
      <c r="C2489" s="50" t="s">
        <v>403</v>
      </c>
      <c r="D2489" s="50" t="s">
        <v>263</v>
      </c>
      <c r="E2489" s="50">
        <v>0</v>
      </c>
      <c r="F2489" s="50">
        <v>0.38672041200771723</v>
      </c>
      <c r="G2489" s="51" t="str">
        <v>森岳 2022/07/31 (日)
休日午前</v>
      </c>
    </row>
    <row r="2490" spans="1:7" ht="16.149999999999999" x14ac:dyDescent="0.7">
      <c r="A2490" s="49">
        <v>44735.895999363427</v>
      </c>
      <c r="B2490" s="50" t="s">
        <v>16</v>
      </c>
      <c r="C2490" s="50" t="s">
        <v>364</v>
      </c>
      <c r="D2490" s="50" t="s">
        <v>259</v>
      </c>
      <c r="E2490" s="50">
        <v>0</v>
      </c>
      <c r="F2490" s="50">
        <v>0.44049056616311688</v>
      </c>
      <c r="G2490" s="51" t="str">
        <v>吉田 2022/07/01 (金)
平日夜間</v>
      </c>
    </row>
    <row r="2491" spans="1:7" ht="16.149999999999999" x14ac:dyDescent="0.7">
      <c r="A2491" s="49">
        <v>44735.895999363427</v>
      </c>
      <c r="B2491" s="50" t="s">
        <v>16</v>
      </c>
      <c r="C2491" s="50" t="s">
        <v>365</v>
      </c>
      <c r="D2491" s="50" t="s">
        <v>261</v>
      </c>
      <c r="E2491" s="50">
        <v>0</v>
      </c>
      <c r="F2491" s="50">
        <v>0.10857007057865165</v>
      </c>
      <c r="G2491" s="51" t="str">
        <v>吉田 2022/07/02 (土)
休日午後</v>
      </c>
    </row>
    <row r="2492" spans="1:7" ht="16.149999999999999" x14ac:dyDescent="0.7">
      <c r="A2492" s="49">
        <v>44735.895999363427</v>
      </c>
      <c r="B2492" s="50" t="s">
        <v>16</v>
      </c>
      <c r="C2492" s="50" t="s">
        <v>366</v>
      </c>
      <c r="D2492" s="50" t="s">
        <v>263</v>
      </c>
      <c r="E2492" s="50">
        <v>0</v>
      </c>
      <c r="F2492" s="50">
        <v>0.65702001242791175</v>
      </c>
      <c r="G2492" s="51" t="str">
        <v>吉田 2022/07/02 (土)
休日午前</v>
      </c>
    </row>
    <row r="2493" spans="1:7" ht="16.149999999999999" x14ac:dyDescent="0.7">
      <c r="A2493" s="49">
        <v>44735.895999363427</v>
      </c>
      <c r="B2493" s="50" t="s">
        <v>16</v>
      </c>
      <c r="C2493" s="50" t="s">
        <v>367</v>
      </c>
      <c r="D2493" s="50" t="s">
        <v>261</v>
      </c>
      <c r="E2493" s="50">
        <v>0</v>
      </c>
      <c r="F2493" s="50">
        <v>0.25681697945717952</v>
      </c>
      <c r="G2493" s="51" t="str">
        <v>吉田 2022/07/03 (日)
休日午後</v>
      </c>
    </row>
    <row r="2494" spans="1:7" ht="16.149999999999999" x14ac:dyDescent="0.7">
      <c r="A2494" s="49">
        <v>44735.895999363427</v>
      </c>
      <c r="B2494" s="50" t="s">
        <v>16</v>
      </c>
      <c r="C2494" s="50" t="s">
        <v>368</v>
      </c>
      <c r="D2494" s="50" t="s">
        <v>263</v>
      </c>
      <c r="E2494" s="50">
        <v>0</v>
      </c>
      <c r="F2494" s="50">
        <v>0.67816306575884444</v>
      </c>
      <c r="G2494" s="51" t="str">
        <v>吉田 2022/07/03 (日)
休日午前</v>
      </c>
    </row>
    <row r="2495" spans="1:7" ht="16.149999999999999" x14ac:dyDescent="0.7">
      <c r="A2495" s="49">
        <v>44735.895999363427</v>
      </c>
      <c r="B2495" s="50" t="s">
        <v>16</v>
      </c>
      <c r="C2495" s="50" t="s">
        <v>369</v>
      </c>
      <c r="D2495" s="50" t="s">
        <v>259</v>
      </c>
      <c r="E2495" s="50">
        <v>-1</v>
      </c>
      <c r="F2495" s="50">
        <v>-0.49889809805136287</v>
      </c>
      <c r="G2495" s="51" t="str">
        <v>吉田 2022/07/04 (月)
平日夜間</v>
      </c>
    </row>
    <row r="2496" spans="1:7" ht="16.149999999999999" x14ac:dyDescent="0.7">
      <c r="A2496" s="49">
        <v>44735.895999363427</v>
      </c>
      <c r="B2496" s="50" t="s">
        <v>16</v>
      </c>
      <c r="C2496" s="50" t="s">
        <v>370</v>
      </c>
      <c r="D2496" s="50" t="s">
        <v>259</v>
      </c>
      <c r="E2496" s="50">
        <v>-1</v>
      </c>
      <c r="F2496" s="50">
        <v>-7.7734887816407472E-3</v>
      </c>
      <c r="G2496" s="51" t="str">
        <v>吉田 2022/07/05 (火)
平日夜間</v>
      </c>
    </row>
    <row r="2497" spans="1:7" ht="16.149999999999999" x14ac:dyDescent="0.7">
      <c r="A2497" s="49">
        <v>44735.895999363427</v>
      </c>
      <c r="B2497" s="50" t="s">
        <v>16</v>
      </c>
      <c r="C2497" s="50" t="s">
        <v>371</v>
      </c>
      <c r="D2497" s="50" t="s">
        <v>259</v>
      </c>
      <c r="E2497" s="50">
        <v>0</v>
      </c>
      <c r="F2497" s="50">
        <v>0.7036968220199793</v>
      </c>
      <c r="G2497" s="51" t="str">
        <v>吉田 2022/07/06 (水)
平日夜間</v>
      </c>
    </row>
    <row r="2498" spans="1:7" ht="16.149999999999999" x14ac:dyDescent="0.7">
      <c r="A2498" s="49">
        <v>44735.895999363427</v>
      </c>
      <c r="B2498" s="50" t="s">
        <v>16</v>
      </c>
      <c r="C2498" s="50" t="s">
        <v>372</v>
      </c>
      <c r="D2498" s="50" t="s">
        <v>259</v>
      </c>
      <c r="E2498" s="50">
        <v>0</v>
      </c>
      <c r="F2498" s="50">
        <v>0.86800665598001081</v>
      </c>
      <c r="G2498" s="51" t="str">
        <v>吉田 2022/07/07 (木)
平日夜間</v>
      </c>
    </row>
    <row r="2499" spans="1:7" ht="16.149999999999999" x14ac:dyDescent="0.7">
      <c r="A2499" s="49">
        <v>44735.895999363427</v>
      </c>
      <c r="B2499" s="50" t="s">
        <v>16</v>
      </c>
      <c r="C2499" s="50" t="s">
        <v>373</v>
      </c>
      <c r="D2499" s="50" t="s">
        <v>259</v>
      </c>
      <c r="E2499" s="50">
        <v>0</v>
      </c>
      <c r="F2499" s="50">
        <v>0.82638105452740929</v>
      </c>
      <c r="G2499" s="51" t="str">
        <v>吉田 2022/07/08 (金)
平日夜間</v>
      </c>
    </row>
    <row r="2500" spans="1:7" ht="16.149999999999999" x14ac:dyDescent="0.7">
      <c r="A2500" s="49">
        <v>44735.895999363427</v>
      </c>
      <c r="B2500" s="50" t="s">
        <v>16</v>
      </c>
      <c r="C2500" s="50" t="s">
        <v>374</v>
      </c>
      <c r="D2500" s="50" t="s">
        <v>261</v>
      </c>
      <c r="E2500" s="50">
        <v>0</v>
      </c>
      <c r="F2500" s="50">
        <v>3.3227935879813542E-2</v>
      </c>
      <c r="G2500" s="51" t="str">
        <v>吉田 2022/07/09 (土)
休日午後</v>
      </c>
    </row>
    <row r="2501" spans="1:7" ht="16.149999999999999" x14ac:dyDescent="0.7">
      <c r="A2501" s="49">
        <v>44735.895999363427</v>
      </c>
      <c r="B2501" s="50" t="s">
        <v>16</v>
      </c>
      <c r="C2501" s="50" t="s">
        <v>375</v>
      </c>
      <c r="D2501" s="50" t="s">
        <v>263</v>
      </c>
      <c r="E2501" s="50">
        <v>-1</v>
      </c>
      <c r="F2501" s="50">
        <v>-1.5725259550085413E-2</v>
      </c>
      <c r="G2501" s="51" t="str">
        <v>吉田 2022/07/09 (土)
休日午前</v>
      </c>
    </row>
    <row r="2502" spans="1:7" ht="16.149999999999999" x14ac:dyDescent="0.7">
      <c r="A2502" s="49">
        <v>44735.895999363427</v>
      </c>
      <c r="B2502" s="50" t="s">
        <v>16</v>
      </c>
      <c r="C2502" s="50" t="s">
        <v>376</v>
      </c>
      <c r="D2502" s="50" t="s">
        <v>261</v>
      </c>
      <c r="E2502" s="50">
        <v>0</v>
      </c>
      <c r="F2502" s="50">
        <v>0.22441797682249853</v>
      </c>
      <c r="G2502" s="51" t="str">
        <v>吉田 2022/07/10 (日)
休日午後</v>
      </c>
    </row>
    <row r="2503" spans="1:7" ht="16.149999999999999" x14ac:dyDescent="0.7">
      <c r="A2503" s="49">
        <v>44735.895999363427</v>
      </c>
      <c r="B2503" s="50" t="s">
        <v>16</v>
      </c>
      <c r="C2503" s="50" t="s">
        <v>377</v>
      </c>
      <c r="D2503" s="50" t="s">
        <v>263</v>
      </c>
      <c r="E2503" s="50">
        <v>0</v>
      </c>
      <c r="F2503" s="50">
        <v>0.36904676864183217</v>
      </c>
      <c r="G2503" s="51" t="str">
        <v>吉田 2022/07/10 (日)
休日午前</v>
      </c>
    </row>
    <row r="2504" spans="1:7" ht="16.149999999999999" x14ac:dyDescent="0.7">
      <c r="A2504" s="49">
        <v>44735.895999363427</v>
      </c>
      <c r="B2504" s="50" t="s">
        <v>16</v>
      </c>
      <c r="C2504" s="50" t="s">
        <v>378</v>
      </c>
      <c r="D2504" s="50" t="s">
        <v>259</v>
      </c>
      <c r="E2504" s="50">
        <v>0</v>
      </c>
      <c r="F2504" s="50">
        <v>0.11812168043916649</v>
      </c>
      <c r="G2504" s="51" t="str">
        <v>吉田 2022/07/11 (月)
平日夜間</v>
      </c>
    </row>
    <row r="2505" spans="1:7" ht="16.149999999999999" x14ac:dyDescent="0.7">
      <c r="A2505" s="49">
        <v>44735.895999363427</v>
      </c>
      <c r="B2505" s="50" t="s">
        <v>16</v>
      </c>
      <c r="C2505" s="50" t="s">
        <v>379</v>
      </c>
      <c r="D2505" s="50" t="s">
        <v>259</v>
      </c>
      <c r="E2505" s="50">
        <v>-1</v>
      </c>
      <c r="F2505" s="50">
        <v>-1.5047328816733208E-2</v>
      </c>
      <c r="G2505" s="51" t="str">
        <v>吉田 2022/07/12 (火)
平日夜間</v>
      </c>
    </row>
    <row r="2506" spans="1:7" ht="16.149999999999999" x14ac:dyDescent="0.7">
      <c r="A2506" s="49">
        <v>44735.895999363427</v>
      </c>
      <c r="B2506" s="50" t="s">
        <v>16</v>
      </c>
      <c r="C2506" s="50" t="s">
        <v>380</v>
      </c>
      <c r="D2506" s="50" t="s">
        <v>259</v>
      </c>
      <c r="E2506" s="50">
        <v>0</v>
      </c>
      <c r="F2506" s="50">
        <v>0.9930967223536149</v>
      </c>
      <c r="G2506" s="51" t="str">
        <v>吉田 2022/07/13 (水)
平日夜間</v>
      </c>
    </row>
    <row r="2507" spans="1:7" ht="16.149999999999999" x14ac:dyDescent="0.7">
      <c r="A2507" s="49">
        <v>44735.895999363427</v>
      </c>
      <c r="B2507" s="50" t="s">
        <v>16</v>
      </c>
      <c r="C2507" s="50" t="s">
        <v>381</v>
      </c>
      <c r="D2507" s="50" t="s">
        <v>259</v>
      </c>
      <c r="E2507" s="50">
        <v>0</v>
      </c>
      <c r="F2507" s="50">
        <v>0.76528653594071172</v>
      </c>
      <c r="G2507" s="51" t="str">
        <v>吉田 2022/07/14 (木)
平日夜間</v>
      </c>
    </row>
    <row r="2508" spans="1:7" ht="16.149999999999999" x14ac:dyDescent="0.7">
      <c r="A2508" s="49">
        <v>44735.895999363427</v>
      </c>
      <c r="B2508" s="50" t="s">
        <v>16</v>
      </c>
      <c r="C2508" s="50" t="s">
        <v>382</v>
      </c>
      <c r="D2508" s="50" t="s">
        <v>259</v>
      </c>
      <c r="E2508" s="50">
        <v>0</v>
      </c>
      <c r="F2508" s="50">
        <v>0.38320748498469359</v>
      </c>
      <c r="G2508" s="51" t="str">
        <v>吉田 2022/07/15 (金)
平日夜間</v>
      </c>
    </row>
    <row r="2509" spans="1:7" ht="16.149999999999999" x14ac:dyDescent="0.7">
      <c r="A2509" s="49">
        <v>44735.895999363427</v>
      </c>
      <c r="B2509" s="50" t="s">
        <v>16</v>
      </c>
      <c r="C2509" s="50" t="s">
        <v>383</v>
      </c>
      <c r="D2509" s="50" t="s">
        <v>261</v>
      </c>
      <c r="E2509" s="50">
        <v>0</v>
      </c>
      <c r="F2509" s="50">
        <v>6.8403243119554258E-2</v>
      </c>
      <c r="G2509" s="51" t="str">
        <v>吉田 2022/07/16 (土)
休日午後</v>
      </c>
    </row>
    <row r="2510" spans="1:7" ht="16.149999999999999" x14ac:dyDescent="0.7">
      <c r="A2510" s="49">
        <v>44735.895999363427</v>
      </c>
      <c r="B2510" s="50" t="s">
        <v>16</v>
      </c>
      <c r="C2510" s="50" t="s">
        <v>384</v>
      </c>
      <c r="D2510" s="50" t="s">
        <v>263</v>
      </c>
      <c r="E2510" s="50">
        <v>0</v>
      </c>
      <c r="F2510" s="50">
        <v>0.55289544746288399</v>
      </c>
      <c r="G2510" s="51" t="str">
        <v>吉田 2022/07/16 (土)
休日午前</v>
      </c>
    </row>
    <row r="2511" spans="1:7" ht="16.149999999999999" x14ac:dyDescent="0.7">
      <c r="A2511" s="49">
        <v>44735.895999363427</v>
      </c>
      <c r="B2511" s="50" t="s">
        <v>16</v>
      </c>
      <c r="C2511" s="50" t="s">
        <v>385</v>
      </c>
      <c r="D2511" s="50" t="s">
        <v>261</v>
      </c>
      <c r="E2511" s="50">
        <v>0</v>
      </c>
      <c r="F2511" s="50">
        <v>8.5946991086858215E-3</v>
      </c>
      <c r="G2511" s="51" t="str">
        <v>吉田 2022/07/17 (日)
休日午後</v>
      </c>
    </row>
    <row r="2512" spans="1:7" ht="16.149999999999999" x14ac:dyDescent="0.7">
      <c r="A2512" s="49">
        <v>44735.895999363427</v>
      </c>
      <c r="B2512" s="50" t="s">
        <v>16</v>
      </c>
      <c r="C2512" s="50" t="s">
        <v>386</v>
      </c>
      <c r="D2512" s="50" t="s">
        <v>263</v>
      </c>
      <c r="E2512" s="50">
        <v>0</v>
      </c>
      <c r="F2512" s="50">
        <v>0.61124062558948555</v>
      </c>
      <c r="G2512" s="51" t="str">
        <v>吉田 2022/07/17 (日)
休日午前</v>
      </c>
    </row>
    <row r="2513" spans="1:7" ht="16.149999999999999" x14ac:dyDescent="0.7">
      <c r="A2513" s="49">
        <v>44735.895999363427</v>
      </c>
      <c r="B2513" s="50" t="s">
        <v>16</v>
      </c>
      <c r="C2513" s="50" t="s">
        <v>404</v>
      </c>
      <c r="D2513" s="50" t="s">
        <v>261</v>
      </c>
      <c r="E2513" s="50">
        <v>-1</v>
      </c>
      <c r="F2513" s="50">
        <v>-5.9234154558186924E-2</v>
      </c>
      <c r="G2513" s="51" t="str">
        <v>吉田 2022/07/18 (月)
休日午後</v>
      </c>
    </row>
    <row r="2514" spans="1:7" ht="16.149999999999999" x14ac:dyDescent="0.7">
      <c r="A2514" s="49">
        <v>44735.895999363427</v>
      </c>
      <c r="B2514" s="50" t="s">
        <v>16</v>
      </c>
      <c r="C2514" s="50" t="s">
        <v>405</v>
      </c>
      <c r="D2514" s="50" t="s">
        <v>263</v>
      </c>
      <c r="E2514" s="50">
        <v>-1</v>
      </c>
      <c r="F2514" s="50">
        <v>-0.9090016442298523</v>
      </c>
      <c r="G2514" s="51" t="str">
        <v>吉田 2022/07/18 (月)
休日午前</v>
      </c>
    </row>
    <row r="2515" spans="1:7" ht="16.149999999999999" x14ac:dyDescent="0.7">
      <c r="A2515" s="49">
        <v>44735.895999363427</v>
      </c>
      <c r="B2515" s="50" t="s">
        <v>16</v>
      </c>
      <c r="C2515" s="50" t="s">
        <v>387</v>
      </c>
      <c r="D2515" s="50" t="s">
        <v>259</v>
      </c>
      <c r="E2515" s="50">
        <v>-1</v>
      </c>
      <c r="F2515" s="50">
        <v>-0.66523627090137238</v>
      </c>
      <c r="G2515" s="51" t="str">
        <v>吉田 2022/07/19 (火)
平日夜間</v>
      </c>
    </row>
    <row r="2516" spans="1:7" ht="16.149999999999999" x14ac:dyDescent="0.7">
      <c r="A2516" s="49">
        <v>44735.895999363427</v>
      </c>
      <c r="B2516" s="50" t="s">
        <v>16</v>
      </c>
      <c r="C2516" s="50" t="s">
        <v>388</v>
      </c>
      <c r="D2516" s="50" t="s">
        <v>259</v>
      </c>
      <c r="E2516" s="50">
        <v>-1</v>
      </c>
      <c r="F2516" s="50">
        <v>-0.91045287831768884</v>
      </c>
      <c r="G2516" s="51" t="str">
        <v>吉田 2022/07/20 (水)
平日夜間</v>
      </c>
    </row>
    <row r="2517" spans="1:7" ht="16.149999999999999" x14ac:dyDescent="0.7">
      <c r="A2517" s="49">
        <v>44735.895999363427</v>
      </c>
      <c r="B2517" s="50" t="s">
        <v>16</v>
      </c>
      <c r="C2517" s="50" t="s">
        <v>389</v>
      </c>
      <c r="D2517" s="50" t="s">
        <v>259</v>
      </c>
      <c r="E2517" s="50">
        <v>0</v>
      </c>
      <c r="F2517" s="50">
        <v>0.83113117125093439</v>
      </c>
      <c r="G2517" s="51" t="str">
        <v>吉田 2022/07/21 (木)
平日夜間</v>
      </c>
    </row>
    <row r="2518" spans="1:7" ht="16.149999999999999" x14ac:dyDescent="0.7">
      <c r="A2518" s="49">
        <v>44735.895999363427</v>
      </c>
      <c r="B2518" s="50" t="s">
        <v>16</v>
      </c>
      <c r="C2518" s="50" t="s">
        <v>390</v>
      </c>
      <c r="D2518" s="50" t="s">
        <v>259</v>
      </c>
      <c r="E2518" s="50">
        <v>0</v>
      </c>
      <c r="F2518" s="50">
        <v>0.55041698308524145</v>
      </c>
      <c r="G2518" s="51" t="str">
        <v>吉田 2022/07/22 (金)
平日夜間</v>
      </c>
    </row>
    <row r="2519" spans="1:7" ht="16.149999999999999" x14ac:dyDescent="0.7">
      <c r="A2519" s="49">
        <v>44735.895999363427</v>
      </c>
      <c r="B2519" s="50" t="s">
        <v>16</v>
      </c>
      <c r="C2519" s="50" t="s">
        <v>391</v>
      </c>
      <c r="D2519" s="50" t="s">
        <v>261</v>
      </c>
      <c r="E2519" s="50">
        <v>2</v>
      </c>
      <c r="F2519" s="50">
        <v>2.3572631020624812</v>
      </c>
      <c r="G2519" s="51" t="str">
        <v>吉田 2022/07/23 (土)
休日午後</v>
      </c>
    </row>
    <row r="2520" spans="1:7" ht="16.149999999999999" x14ac:dyDescent="0.7">
      <c r="A2520" s="49">
        <v>44735.895999363427</v>
      </c>
      <c r="B2520" s="50" t="s">
        <v>16</v>
      </c>
      <c r="C2520" s="50" t="s">
        <v>392</v>
      </c>
      <c r="D2520" s="50" t="s">
        <v>263</v>
      </c>
      <c r="E2520" s="50">
        <v>0</v>
      </c>
      <c r="F2520" s="50">
        <v>0.78972012643878475</v>
      </c>
      <c r="G2520" s="51" t="str">
        <v>吉田 2022/07/23 (土)
休日午前</v>
      </c>
    </row>
    <row r="2521" spans="1:7" ht="16.149999999999999" x14ac:dyDescent="0.7">
      <c r="A2521" s="49">
        <v>44735.895999363427</v>
      </c>
      <c r="B2521" s="50" t="s">
        <v>16</v>
      </c>
      <c r="C2521" s="50" t="s">
        <v>393</v>
      </c>
      <c r="D2521" s="50" t="s">
        <v>261</v>
      </c>
      <c r="E2521" s="50">
        <v>-1</v>
      </c>
      <c r="F2521" s="50">
        <v>-0.61357210832725317</v>
      </c>
      <c r="G2521" s="51" t="str">
        <v>吉田 2022/07/24 (日)
休日午後</v>
      </c>
    </row>
    <row r="2522" spans="1:7" ht="16.149999999999999" x14ac:dyDescent="0.7">
      <c r="A2522" s="49">
        <v>44735.895999363427</v>
      </c>
      <c r="B2522" s="50" t="s">
        <v>16</v>
      </c>
      <c r="C2522" s="50" t="s">
        <v>394</v>
      </c>
      <c r="D2522" s="50" t="s">
        <v>263</v>
      </c>
      <c r="E2522" s="50">
        <v>-1</v>
      </c>
      <c r="F2522" s="50">
        <v>-0.85975984357345148</v>
      </c>
      <c r="G2522" s="51" t="str">
        <v>吉田 2022/07/24 (日)
休日午前</v>
      </c>
    </row>
    <row r="2523" spans="1:7" ht="16.149999999999999" x14ac:dyDescent="0.7">
      <c r="A2523" s="49">
        <v>44735.895999363427</v>
      </c>
      <c r="B2523" s="50" t="s">
        <v>16</v>
      </c>
      <c r="C2523" s="50" t="s">
        <v>395</v>
      </c>
      <c r="D2523" s="50" t="s">
        <v>259</v>
      </c>
      <c r="E2523" s="50">
        <v>0</v>
      </c>
      <c r="F2523" s="50">
        <v>0.84239811761188488</v>
      </c>
      <c r="G2523" s="51" t="str">
        <v>吉田 2022/07/25 (月)
平日夜間</v>
      </c>
    </row>
    <row r="2524" spans="1:7" ht="16.149999999999999" x14ac:dyDescent="0.7">
      <c r="A2524" s="49">
        <v>44735.895999363427</v>
      </c>
      <c r="B2524" s="50" t="s">
        <v>16</v>
      </c>
      <c r="C2524" s="50" t="s">
        <v>396</v>
      </c>
      <c r="D2524" s="50" t="s">
        <v>259</v>
      </c>
      <c r="E2524" s="50">
        <v>0</v>
      </c>
      <c r="F2524" s="50">
        <v>0.82604794494577938</v>
      </c>
      <c r="G2524" s="51" t="str">
        <v>吉田 2022/07/26 (火)
平日夜間</v>
      </c>
    </row>
    <row r="2525" spans="1:7" ht="16.149999999999999" x14ac:dyDescent="0.7">
      <c r="A2525" s="49">
        <v>44735.895999363427</v>
      </c>
      <c r="B2525" s="50" t="s">
        <v>16</v>
      </c>
      <c r="C2525" s="50" t="s">
        <v>397</v>
      </c>
      <c r="D2525" s="50" t="s">
        <v>259</v>
      </c>
      <c r="E2525" s="50">
        <v>-1</v>
      </c>
      <c r="F2525" s="50">
        <v>-0.30026939886546122</v>
      </c>
      <c r="G2525" s="51" t="str">
        <v>吉田 2022/07/27 (水)
平日夜間</v>
      </c>
    </row>
    <row r="2526" spans="1:7" ht="16.149999999999999" x14ac:dyDescent="0.7">
      <c r="A2526" s="49">
        <v>44735.895999363427</v>
      </c>
      <c r="B2526" s="50" t="s">
        <v>16</v>
      </c>
      <c r="C2526" s="50" t="s">
        <v>398</v>
      </c>
      <c r="D2526" s="50" t="s">
        <v>259</v>
      </c>
      <c r="E2526" s="50">
        <v>0</v>
      </c>
      <c r="F2526" s="50">
        <v>0.25268365488179167</v>
      </c>
      <c r="G2526" s="51" t="str">
        <v>吉田 2022/07/28 (木)
平日夜間</v>
      </c>
    </row>
    <row r="2527" spans="1:7" ht="16.149999999999999" x14ac:dyDescent="0.7">
      <c r="A2527" s="49">
        <v>44735.895999363427</v>
      </c>
      <c r="B2527" s="50" t="s">
        <v>16</v>
      </c>
      <c r="C2527" s="50" t="s">
        <v>399</v>
      </c>
      <c r="D2527" s="50" t="s">
        <v>259</v>
      </c>
      <c r="E2527" s="50">
        <v>0</v>
      </c>
      <c r="F2527" s="50">
        <v>0.21332773802481197</v>
      </c>
      <c r="G2527" s="51" t="str">
        <v>吉田 2022/07/29 (金)
平日夜間</v>
      </c>
    </row>
    <row r="2528" spans="1:7" ht="16.149999999999999" x14ac:dyDescent="0.7">
      <c r="A2528" s="49">
        <v>44735.895999363427</v>
      </c>
      <c r="B2528" s="50" t="s">
        <v>16</v>
      </c>
      <c r="C2528" s="50" t="s">
        <v>400</v>
      </c>
      <c r="D2528" s="50" t="s">
        <v>261</v>
      </c>
      <c r="E2528" s="50">
        <v>0</v>
      </c>
      <c r="F2528" s="50">
        <v>0.91188182500809711</v>
      </c>
      <c r="G2528" s="51" t="str">
        <v>吉田 2022/07/30 (土)
休日午後</v>
      </c>
    </row>
    <row r="2529" spans="1:7" ht="16.149999999999999" x14ac:dyDescent="0.7">
      <c r="A2529" s="49">
        <v>44735.895999363427</v>
      </c>
      <c r="B2529" s="50" t="s">
        <v>16</v>
      </c>
      <c r="C2529" s="50" t="s">
        <v>401</v>
      </c>
      <c r="D2529" s="50" t="s">
        <v>263</v>
      </c>
      <c r="E2529" s="50">
        <v>-1</v>
      </c>
      <c r="F2529" s="50">
        <v>-4.710668056998335E-2</v>
      </c>
      <c r="G2529" s="51" t="str">
        <v>吉田 2022/07/30 (土)
休日午前</v>
      </c>
    </row>
    <row r="2530" spans="1:7" ht="16.149999999999999" x14ac:dyDescent="0.7">
      <c r="A2530" s="49">
        <v>44735.895999363427</v>
      </c>
      <c r="B2530" s="50" t="s">
        <v>16</v>
      </c>
      <c r="C2530" s="50" t="s">
        <v>402</v>
      </c>
      <c r="D2530" s="50" t="s">
        <v>261</v>
      </c>
      <c r="E2530" s="50">
        <v>0</v>
      </c>
      <c r="F2530" s="50">
        <v>0.21408979183841126</v>
      </c>
      <c r="G2530" s="51" t="str">
        <v>吉田 2022/07/31 (日)
休日午後</v>
      </c>
    </row>
    <row r="2531" spans="1:7" ht="16.149999999999999" x14ac:dyDescent="0.7">
      <c r="A2531" s="49">
        <v>44735.895999363427</v>
      </c>
      <c r="B2531" s="50" t="s">
        <v>16</v>
      </c>
      <c r="C2531" s="50" t="s">
        <v>403</v>
      </c>
      <c r="D2531" s="50" t="s">
        <v>263</v>
      </c>
      <c r="E2531" s="50">
        <v>0</v>
      </c>
      <c r="F2531" s="50">
        <v>0.53348619587500701</v>
      </c>
      <c r="G2531" s="51" t="str">
        <v>吉田 2022/07/31 (日)
休日午前</v>
      </c>
    </row>
    <row r="2532" spans="1:7" ht="16.149999999999999" x14ac:dyDescent="0.7">
      <c r="A2532" s="49">
        <v>44736.793967812497</v>
      </c>
      <c r="B2532" s="50" t="s">
        <v>18</v>
      </c>
      <c r="C2532" s="50" t="s">
        <v>364</v>
      </c>
      <c r="D2532" s="50" t="s">
        <v>259</v>
      </c>
      <c r="E2532" s="50">
        <v>-1</v>
      </c>
      <c r="F2532" s="50">
        <v>-0.60485244528466686</v>
      </c>
      <c r="G2532" s="51" t="str">
        <v>中瀬 2022/07/01 (金)
平日夜間</v>
      </c>
    </row>
    <row r="2533" spans="1:7" ht="16.149999999999999" x14ac:dyDescent="0.7">
      <c r="A2533" s="49">
        <v>44736.793967812497</v>
      </c>
      <c r="B2533" s="50" t="s">
        <v>18</v>
      </c>
      <c r="C2533" s="50" t="s">
        <v>365</v>
      </c>
      <c r="D2533" s="50" t="s">
        <v>261</v>
      </c>
      <c r="E2533" s="50">
        <v>-1</v>
      </c>
      <c r="F2533" s="50">
        <v>-0.86993033489718208</v>
      </c>
      <c r="G2533" s="51" t="str">
        <v>中瀬 2022/07/02 (土)
休日午後</v>
      </c>
    </row>
    <row r="2534" spans="1:7" ht="16.149999999999999" x14ac:dyDescent="0.7">
      <c r="A2534" s="49">
        <v>44736.793967812497</v>
      </c>
      <c r="B2534" s="50" t="s">
        <v>18</v>
      </c>
      <c r="C2534" s="50" t="s">
        <v>366</v>
      </c>
      <c r="D2534" s="50" t="s">
        <v>263</v>
      </c>
      <c r="E2534" s="50">
        <v>-1</v>
      </c>
      <c r="F2534" s="50">
        <v>-0.83378937046675627</v>
      </c>
      <c r="G2534" s="51" t="str">
        <v>中瀬 2022/07/02 (土)
休日午前</v>
      </c>
    </row>
    <row r="2535" spans="1:7" ht="16.149999999999999" x14ac:dyDescent="0.7">
      <c r="A2535" s="49">
        <v>44736.793967812497</v>
      </c>
      <c r="B2535" s="50" t="s">
        <v>18</v>
      </c>
      <c r="C2535" s="50" t="s">
        <v>367</v>
      </c>
      <c r="D2535" s="50" t="s">
        <v>261</v>
      </c>
      <c r="E2535" s="50">
        <v>-1</v>
      </c>
      <c r="F2535" s="50">
        <v>-0.69797148671157805</v>
      </c>
      <c r="G2535" s="51" t="str">
        <v>中瀬 2022/07/03 (日)
休日午後</v>
      </c>
    </row>
    <row r="2536" spans="1:7" ht="16.149999999999999" x14ac:dyDescent="0.7">
      <c r="A2536" s="49">
        <v>44736.793967812497</v>
      </c>
      <c r="B2536" s="50" t="s">
        <v>18</v>
      </c>
      <c r="C2536" s="50" t="s">
        <v>368</v>
      </c>
      <c r="D2536" s="50" t="s">
        <v>263</v>
      </c>
      <c r="E2536" s="50">
        <v>-1</v>
      </c>
      <c r="F2536" s="50">
        <v>-0.36875144655370384</v>
      </c>
      <c r="G2536" s="51" t="str">
        <v>中瀬 2022/07/03 (日)
休日午前</v>
      </c>
    </row>
    <row r="2537" spans="1:7" ht="16.149999999999999" x14ac:dyDescent="0.7">
      <c r="A2537" s="49">
        <v>44736.793967812497</v>
      </c>
      <c r="B2537" s="50" t="s">
        <v>18</v>
      </c>
      <c r="C2537" s="50" t="s">
        <v>369</v>
      </c>
      <c r="D2537" s="50" t="s">
        <v>259</v>
      </c>
      <c r="E2537" s="50">
        <v>2</v>
      </c>
      <c r="F2537" s="50">
        <v>2.7251155774163611</v>
      </c>
      <c r="G2537" s="51" t="str">
        <v>中瀬 2022/07/04 (月)
平日夜間</v>
      </c>
    </row>
    <row r="2538" spans="1:7" ht="16.149999999999999" x14ac:dyDescent="0.7">
      <c r="A2538" s="49">
        <v>44736.793967812497</v>
      </c>
      <c r="B2538" s="50" t="s">
        <v>18</v>
      </c>
      <c r="C2538" s="50" t="s">
        <v>370</v>
      </c>
      <c r="D2538" s="50" t="s">
        <v>259</v>
      </c>
      <c r="E2538" s="50">
        <v>0</v>
      </c>
      <c r="F2538" s="50">
        <v>0.32906647063890748</v>
      </c>
      <c r="G2538" s="51" t="str">
        <v>中瀬 2022/07/05 (火)
平日夜間</v>
      </c>
    </row>
    <row r="2539" spans="1:7" ht="16.149999999999999" x14ac:dyDescent="0.7">
      <c r="A2539" s="49">
        <v>44736.793967812497</v>
      </c>
      <c r="B2539" s="50" t="s">
        <v>18</v>
      </c>
      <c r="C2539" s="50" t="s">
        <v>371</v>
      </c>
      <c r="D2539" s="50" t="s">
        <v>259</v>
      </c>
      <c r="E2539" s="50">
        <v>0</v>
      </c>
      <c r="F2539" s="50">
        <v>0.36645396813949782</v>
      </c>
      <c r="G2539" s="51" t="str">
        <v>中瀬 2022/07/06 (水)
平日夜間</v>
      </c>
    </row>
    <row r="2540" spans="1:7" ht="16.149999999999999" x14ac:dyDescent="0.7">
      <c r="A2540" s="49">
        <v>44736.793967812497</v>
      </c>
      <c r="B2540" s="50" t="s">
        <v>18</v>
      </c>
      <c r="C2540" s="50" t="s">
        <v>372</v>
      </c>
      <c r="D2540" s="50" t="s">
        <v>259</v>
      </c>
      <c r="E2540" s="50">
        <v>0</v>
      </c>
      <c r="F2540" s="50">
        <v>0.43520789156094963</v>
      </c>
      <c r="G2540" s="51" t="str">
        <v>中瀬 2022/07/07 (木)
平日夜間</v>
      </c>
    </row>
    <row r="2541" spans="1:7" ht="16.149999999999999" x14ac:dyDescent="0.7">
      <c r="A2541" s="49">
        <v>44736.793967812497</v>
      </c>
      <c r="B2541" s="50" t="s">
        <v>18</v>
      </c>
      <c r="C2541" s="50" t="s">
        <v>373</v>
      </c>
      <c r="D2541" s="50" t="s">
        <v>259</v>
      </c>
      <c r="E2541" s="50">
        <v>-1</v>
      </c>
      <c r="F2541" s="50">
        <v>-0.69100695953950653</v>
      </c>
      <c r="G2541" s="51" t="str">
        <v>中瀬 2022/07/08 (金)
平日夜間</v>
      </c>
    </row>
    <row r="2542" spans="1:7" ht="16.149999999999999" x14ac:dyDescent="0.7">
      <c r="A2542" s="49">
        <v>44736.793967812497</v>
      </c>
      <c r="B2542" s="50" t="s">
        <v>18</v>
      </c>
      <c r="C2542" s="50" t="s">
        <v>374</v>
      </c>
      <c r="D2542" s="50" t="s">
        <v>261</v>
      </c>
      <c r="E2542" s="50">
        <v>-1</v>
      </c>
      <c r="F2542" s="50">
        <v>-0.53812930315585805</v>
      </c>
      <c r="G2542" s="51" t="str">
        <v>中瀬 2022/07/09 (土)
休日午後</v>
      </c>
    </row>
    <row r="2543" spans="1:7" ht="16.149999999999999" x14ac:dyDescent="0.7">
      <c r="A2543" s="49">
        <v>44736.793967812497</v>
      </c>
      <c r="B2543" s="50" t="s">
        <v>18</v>
      </c>
      <c r="C2543" s="50" t="s">
        <v>375</v>
      </c>
      <c r="D2543" s="50" t="s">
        <v>263</v>
      </c>
      <c r="E2543" s="50">
        <v>-1</v>
      </c>
      <c r="F2543" s="50">
        <v>-0.99289391858787934</v>
      </c>
      <c r="G2543" s="51" t="str">
        <v>中瀬 2022/07/09 (土)
休日午前</v>
      </c>
    </row>
    <row r="2544" spans="1:7" ht="16.149999999999999" x14ac:dyDescent="0.7">
      <c r="A2544" s="49">
        <v>44736.793967812497</v>
      </c>
      <c r="B2544" s="50" t="s">
        <v>18</v>
      </c>
      <c r="C2544" s="50" t="s">
        <v>376</v>
      </c>
      <c r="D2544" s="50" t="s">
        <v>261</v>
      </c>
      <c r="E2544" s="50">
        <v>-1</v>
      </c>
      <c r="F2544" s="50">
        <v>-0.36309741507629867</v>
      </c>
      <c r="G2544" s="51" t="str">
        <v>中瀬 2022/07/10 (日)
休日午後</v>
      </c>
    </row>
    <row r="2545" spans="1:7" ht="16.149999999999999" x14ac:dyDescent="0.7">
      <c r="A2545" s="49">
        <v>44736.793967812497</v>
      </c>
      <c r="B2545" s="50" t="s">
        <v>18</v>
      </c>
      <c r="C2545" s="50" t="s">
        <v>377</v>
      </c>
      <c r="D2545" s="50" t="s">
        <v>263</v>
      </c>
      <c r="E2545" s="50">
        <v>-1</v>
      </c>
      <c r="F2545" s="50">
        <v>-0.20581987656666012</v>
      </c>
      <c r="G2545" s="51" t="str">
        <v>中瀬 2022/07/10 (日)
休日午前</v>
      </c>
    </row>
    <row r="2546" spans="1:7" ht="16.149999999999999" x14ac:dyDescent="0.7">
      <c r="A2546" s="49">
        <v>44736.793967812497</v>
      </c>
      <c r="B2546" s="50" t="s">
        <v>18</v>
      </c>
      <c r="C2546" s="50" t="s">
        <v>378</v>
      </c>
      <c r="D2546" s="50" t="s">
        <v>259</v>
      </c>
      <c r="E2546" s="50">
        <v>0</v>
      </c>
      <c r="F2546" s="50">
        <v>9.6120171641925767E-2</v>
      </c>
      <c r="G2546" s="51" t="str">
        <v>中瀬 2022/07/11 (月)
平日夜間</v>
      </c>
    </row>
    <row r="2547" spans="1:7" ht="16.149999999999999" x14ac:dyDescent="0.7">
      <c r="A2547" s="49">
        <v>44736.793967812497</v>
      </c>
      <c r="B2547" s="50" t="s">
        <v>18</v>
      </c>
      <c r="C2547" s="50" t="s">
        <v>379</v>
      </c>
      <c r="D2547" s="50" t="s">
        <v>259</v>
      </c>
      <c r="E2547" s="50">
        <v>0</v>
      </c>
      <c r="F2547" s="50">
        <v>0.41216264016924731</v>
      </c>
      <c r="G2547" s="51" t="str">
        <v>中瀬 2022/07/12 (火)
平日夜間</v>
      </c>
    </row>
    <row r="2548" spans="1:7" ht="16.149999999999999" x14ac:dyDescent="0.7">
      <c r="A2548" s="49">
        <v>44736.793967812497</v>
      </c>
      <c r="B2548" s="50" t="s">
        <v>18</v>
      </c>
      <c r="C2548" s="50" t="s">
        <v>380</v>
      </c>
      <c r="D2548" s="50" t="s">
        <v>259</v>
      </c>
      <c r="E2548" s="50">
        <v>-1</v>
      </c>
      <c r="F2548" s="50">
        <v>-0.31086364320949889</v>
      </c>
      <c r="G2548" s="51" t="str">
        <v>中瀬 2022/07/13 (水)
平日夜間</v>
      </c>
    </row>
    <row r="2549" spans="1:7" ht="16.149999999999999" x14ac:dyDescent="0.7">
      <c r="A2549" s="49">
        <v>44736.793967812497</v>
      </c>
      <c r="B2549" s="50" t="s">
        <v>18</v>
      </c>
      <c r="C2549" s="50" t="s">
        <v>381</v>
      </c>
      <c r="D2549" s="50" t="s">
        <v>259</v>
      </c>
      <c r="E2549" s="50">
        <v>-1</v>
      </c>
      <c r="F2549" s="50">
        <v>-0.17164038964383455</v>
      </c>
      <c r="G2549" s="51" t="str">
        <v>中瀬 2022/07/14 (木)
平日夜間</v>
      </c>
    </row>
    <row r="2550" spans="1:7" ht="16.149999999999999" x14ac:dyDescent="0.7">
      <c r="A2550" s="49">
        <v>44736.793967812497</v>
      </c>
      <c r="B2550" s="50" t="s">
        <v>18</v>
      </c>
      <c r="C2550" s="50" t="s">
        <v>382</v>
      </c>
      <c r="D2550" s="50" t="s">
        <v>259</v>
      </c>
      <c r="E2550" s="50">
        <v>-1</v>
      </c>
      <c r="F2550" s="50">
        <v>-0.79978914971176218</v>
      </c>
      <c r="G2550" s="51" t="str">
        <v>中瀬 2022/07/15 (金)
平日夜間</v>
      </c>
    </row>
    <row r="2551" spans="1:7" ht="16.149999999999999" x14ac:dyDescent="0.7">
      <c r="A2551" s="49">
        <v>44736.793967812497</v>
      </c>
      <c r="B2551" s="50" t="s">
        <v>18</v>
      </c>
      <c r="C2551" s="50" t="s">
        <v>383</v>
      </c>
      <c r="D2551" s="50" t="s">
        <v>261</v>
      </c>
      <c r="E2551" s="50">
        <v>-1</v>
      </c>
      <c r="F2551" s="50">
        <v>-0.71589035162034631</v>
      </c>
      <c r="G2551" s="51" t="str">
        <v>中瀬 2022/07/16 (土)
休日午後</v>
      </c>
    </row>
    <row r="2552" spans="1:7" ht="16.149999999999999" x14ac:dyDescent="0.7">
      <c r="A2552" s="49">
        <v>44736.793967812497</v>
      </c>
      <c r="B2552" s="50" t="s">
        <v>18</v>
      </c>
      <c r="C2552" s="50" t="s">
        <v>384</v>
      </c>
      <c r="D2552" s="50" t="s">
        <v>263</v>
      </c>
      <c r="E2552" s="50">
        <v>-1</v>
      </c>
      <c r="F2552" s="50">
        <v>-0.98498393381668725</v>
      </c>
      <c r="G2552" s="51" t="str">
        <v>中瀬 2022/07/16 (土)
休日午前</v>
      </c>
    </row>
    <row r="2553" spans="1:7" ht="16.149999999999999" x14ac:dyDescent="0.7">
      <c r="A2553" s="49">
        <v>44736.793967812497</v>
      </c>
      <c r="B2553" s="50" t="s">
        <v>18</v>
      </c>
      <c r="C2553" s="50" t="s">
        <v>385</v>
      </c>
      <c r="D2553" s="50" t="s">
        <v>261</v>
      </c>
      <c r="E2553" s="50">
        <v>-1</v>
      </c>
      <c r="F2553" s="50">
        <v>-0.32860151622649281</v>
      </c>
      <c r="G2553" s="51" t="str">
        <v>中瀬 2022/07/17 (日)
休日午後</v>
      </c>
    </row>
    <row r="2554" spans="1:7" ht="16.149999999999999" x14ac:dyDescent="0.7">
      <c r="A2554" s="49">
        <v>44736.793967812497</v>
      </c>
      <c r="B2554" s="50" t="s">
        <v>18</v>
      </c>
      <c r="C2554" s="50" t="s">
        <v>386</v>
      </c>
      <c r="D2554" s="50" t="s">
        <v>263</v>
      </c>
      <c r="E2554" s="50">
        <v>-1</v>
      </c>
      <c r="F2554" s="50">
        <v>-0.67807470586029228</v>
      </c>
      <c r="G2554" s="51" t="str">
        <v>中瀬 2022/07/17 (日)
休日午前</v>
      </c>
    </row>
    <row r="2555" spans="1:7" ht="16.149999999999999" x14ac:dyDescent="0.7">
      <c r="A2555" s="49">
        <v>44736.793967812497</v>
      </c>
      <c r="B2555" s="50" t="s">
        <v>18</v>
      </c>
      <c r="C2555" s="50" t="s">
        <v>404</v>
      </c>
      <c r="D2555" s="50" t="s">
        <v>261</v>
      </c>
      <c r="E2555" s="50">
        <v>-1</v>
      </c>
      <c r="F2555" s="50">
        <v>-0.33686357290460056</v>
      </c>
      <c r="G2555" s="51" t="str">
        <v>中瀬 2022/07/18 (月)
休日午後</v>
      </c>
    </row>
    <row r="2556" spans="1:7" ht="16.149999999999999" x14ac:dyDescent="0.7">
      <c r="A2556" s="49">
        <v>44736.793967812497</v>
      </c>
      <c r="B2556" s="50" t="s">
        <v>18</v>
      </c>
      <c r="C2556" s="50" t="s">
        <v>405</v>
      </c>
      <c r="D2556" s="50" t="s">
        <v>263</v>
      </c>
      <c r="E2556" s="50">
        <v>-1</v>
      </c>
      <c r="F2556" s="50">
        <v>-0.45423848077543494</v>
      </c>
      <c r="G2556" s="51" t="str">
        <v>中瀬 2022/07/18 (月)
休日午前</v>
      </c>
    </row>
    <row r="2557" spans="1:7" ht="16.149999999999999" x14ac:dyDescent="0.7">
      <c r="A2557" s="49">
        <v>44736.793967812497</v>
      </c>
      <c r="B2557" s="50" t="s">
        <v>18</v>
      </c>
      <c r="C2557" s="50" t="s">
        <v>387</v>
      </c>
      <c r="D2557" s="50" t="s">
        <v>259</v>
      </c>
      <c r="E2557" s="50">
        <v>-1</v>
      </c>
      <c r="F2557" s="50">
        <v>-0.36400073736784666</v>
      </c>
      <c r="G2557" s="51" t="str">
        <v>中瀬 2022/07/19 (火)
平日夜間</v>
      </c>
    </row>
    <row r="2558" spans="1:7" ht="16.149999999999999" x14ac:dyDescent="0.7">
      <c r="A2558" s="49">
        <v>44736.793967812497</v>
      </c>
      <c r="B2558" s="50" t="s">
        <v>18</v>
      </c>
      <c r="C2558" s="50" t="s">
        <v>388</v>
      </c>
      <c r="D2558" s="50" t="s">
        <v>259</v>
      </c>
      <c r="E2558" s="50">
        <v>0</v>
      </c>
      <c r="F2558" s="50">
        <v>0.60952336671865193</v>
      </c>
      <c r="G2558" s="51" t="str">
        <v>中瀬 2022/07/20 (水)
平日夜間</v>
      </c>
    </row>
    <row r="2559" spans="1:7" ht="16.149999999999999" x14ac:dyDescent="0.7">
      <c r="A2559" s="49">
        <v>44736.793967812497</v>
      </c>
      <c r="B2559" s="50" t="s">
        <v>18</v>
      </c>
      <c r="C2559" s="50" t="s">
        <v>389</v>
      </c>
      <c r="D2559" s="50" t="s">
        <v>259</v>
      </c>
      <c r="E2559" s="50">
        <v>0</v>
      </c>
      <c r="F2559" s="50">
        <v>0.23437083007369641</v>
      </c>
      <c r="G2559" s="51" t="str">
        <v>中瀬 2022/07/21 (木)
平日夜間</v>
      </c>
    </row>
    <row r="2560" spans="1:7" ht="16.149999999999999" x14ac:dyDescent="0.7">
      <c r="A2560" s="49">
        <v>44736.793967812497</v>
      </c>
      <c r="B2560" s="50" t="s">
        <v>18</v>
      </c>
      <c r="C2560" s="50" t="s">
        <v>390</v>
      </c>
      <c r="D2560" s="50" t="s">
        <v>259</v>
      </c>
      <c r="E2560" s="50">
        <v>0</v>
      </c>
      <c r="F2560" s="50">
        <v>0.63911414352091955</v>
      </c>
      <c r="G2560" s="51" t="str">
        <v>中瀬 2022/07/22 (金)
平日夜間</v>
      </c>
    </row>
    <row r="2561" spans="1:7" ht="16.149999999999999" x14ac:dyDescent="0.7">
      <c r="A2561" s="49">
        <v>44736.793967812497</v>
      </c>
      <c r="B2561" s="50" t="s">
        <v>18</v>
      </c>
      <c r="C2561" s="50" t="s">
        <v>391</v>
      </c>
      <c r="D2561" s="50" t="s">
        <v>261</v>
      </c>
      <c r="E2561" s="50">
        <v>0</v>
      </c>
      <c r="F2561" s="50">
        <v>0.3830075488152116</v>
      </c>
      <c r="G2561" s="51" t="str">
        <v>中瀬 2022/07/23 (土)
休日午後</v>
      </c>
    </row>
    <row r="2562" spans="1:7" ht="16.149999999999999" x14ac:dyDescent="0.7">
      <c r="A2562" s="49">
        <v>44736.793967812497</v>
      </c>
      <c r="B2562" s="50" t="s">
        <v>18</v>
      </c>
      <c r="C2562" s="50" t="s">
        <v>392</v>
      </c>
      <c r="D2562" s="50" t="s">
        <v>263</v>
      </c>
      <c r="E2562" s="50">
        <v>0</v>
      </c>
      <c r="F2562" s="50">
        <v>0.94415633838651147</v>
      </c>
      <c r="G2562" s="51" t="str">
        <v>中瀬 2022/07/23 (土)
休日午前</v>
      </c>
    </row>
    <row r="2563" spans="1:7" ht="16.149999999999999" x14ac:dyDescent="0.7">
      <c r="A2563" s="49">
        <v>44736.793967812497</v>
      </c>
      <c r="B2563" s="50" t="s">
        <v>18</v>
      </c>
      <c r="C2563" s="50" t="s">
        <v>393</v>
      </c>
      <c r="D2563" s="50" t="s">
        <v>261</v>
      </c>
      <c r="E2563" s="50">
        <v>0</v>
      </c>
      <c r="F2563" s="50">
        <v>0.48716640201800487</v>
      </c>
      <c r="G2563" s="51" t="str">
        <v>中瀬 2022/07/24 (日)
休日午後</v>
      </c>
    </row>
    <row r="2564" spans="1:7" ht="16.149999999999999" x14ac:dyDescent="0.7">
      <c r="A2564" s="49">
        <v>44736.793967812497</v>
      </c>
      <c r="B2564" s="50" t="s">
        <v>18</v>
      </c>
      <c r="C2564" s="50" t="s">
        <v>394</v>
      </c>
      <c r="D2564" s="50" t="s">
        <v>263</v>
      </c>
      <c r="E2564" s="50">
        <v>0</v>
      </c>
      <c r="F2564" s="50">
        <v>0.89273315258210739</v>
      </c>
      <c r="G2564" s="51" t="str">
        <v>中瀬 2022/07/24 (日)
休日午前</v>
      </c>
    </row>
    <row r="2565" spans="1:7" ht="16.149999999999999" x14ac:dyDescent="0.7">
      <c r="A2565" s="49">
        <v>44736.793967812497</v>
      </c>
      <c r="B2565" s="50" t="s">
        <v>18</v>
      </c>
      <c r="C2565" s="50" t="s">
        <v>395</v>
      </c>
      <c r="D2565" s="50" t="s">
        <v>259</v>
      </c>
      <c r="E2565" s="50">
        <v>0</v>
      </c>
      <c r="F2565" s="50">
        <v>0.29609392021715109</v>
      </c>
      <c r="G2565" s="51" t="str">
        <v>中瀬 2022/07/25 (月)
平日夜間</v>
      </c>
    </row>
    <row r="2566" spans="1:7" ht="16.149999999999999" x14ac:dyDescent="0.7">
      <c r="A2566" s="49">
        <v>44736.793967812497</v>
      </c>
      <c r="B2566" s="50" t="s">
        <v>18</v>
      </c>
      <c r="C2566" s="50" t="s">
        <v>396</v>
      </c>
      <c r="D2566" s="50" t="s">
        <v>259</v>
      </c>
      <c r="E2566" s="50">
        <v>0</v>
      </c>
      <c r="F2566" s="50">
        <v>0.8777020982437187</v>
      </c>
      <c r="G2566" s="51" t="str">
        <v>中瀬 2022/07/26 (火)
平日夜間</v>
      </c>
    </row>
    <row r="2567" spans="1:7" ht="16.149999999999999" x14ac:dyDescent="0.7">
      <c r="A2567" s="49">
        <v>44736.793967812497</v>
      </c>
      <c r="B2567" s="50" t="s">
        <v>18</v>
      </c>
      <c r="C2567" s="50" t="s">
        <v>397</v>
      </c>
      <c r="D2567" s="50" t="s">
        <v>259</v>
      </c>
      <c r="E2567" s="50">
        <v>0</v>
      </c>
      <c r="F2567" s="50">
        <v>0.5736449033282438</v>
      </c>
      <c r="G2567" s="51" t="str">
        <v>中瀬 2022/07/27 (水)
平日夜間</v>
      </c>
    </row>
    <row r="2568" spans="1:7" ht="16.149999999999999" x14ac:dyDescent="0.7">
      <c r="A2568" s="49">
        <v>44736.793967812497</v>
      </c>
      <c r="B2568" s="50" t="s">
        <v>18</v>
      </c>
      <c r="C2568" s="50" t="s">
        <v>398</v>
      </c>
      <c r="D2568" s="50" t="s">
        <v>259</v>
      </c>
      <c r="E2568" s="50">
        <v>0</v>
      </c>
      <c r="F2568" s="50">
        <v>0.24123684301408099</v>
      </c>
      <c r="G2568" s="51" t="str">
        <v>中瀬 2022/07/28 (木)
平日夜間</v>
      </c>
    </row>
    <row r="2569" spans="1:7" ht="16.149999999999999" x14ac:dyDescent="0.7">
      <c r="A2569" s="49">
        <v>44736.793967812497</v>
      </c>
      <c r="B2569" s="50" t="s">
        <v>18</v>
      </c>
      <c r="C2569" s="50" t="s">
        <v>399</v>
      </c>
      <c r="D2569" s="50" t="s">
        <v>259</v>
      </c>
      <c r="E2569" s="50">
        <v>0</v>
      </c>
      <c r="F2569" s="50">
        <v>0.2002371085568222</v>
      </c>
      <c r="G2569" s="51" t="str">
        <v>中瀬 2022/07/29 (金)
平日夜間</v>
      </c>
    </row>
    <row r="2570" spans="1:7" ht="16.149999999999999" x14ac:dyDescent="0.7">
      <c r="A2570" s="49">
        <v>44736.793967812497</v>
      </c>
      <c r="B2570" s="50" t="s">
        <v>18</v>
      </c>
      <c r="C2570" s="50" t="s">
        <v>400</v>
      </c>
      <c r="D2570" s="50" t="s">
        <v>261</v>
      </c>
      <c r="E2570" s="50">
        <v>-1</v>
      </c>
      <c r="F2570" s="50">
        <v>-0.99008955913492347</v>
      </c>
      <c r="G2570" s="51" t="str">
        <v>中瀬 2022/07/30 (土)
休日午後</v>
      </c>
    </row>
    <row r="2571" spans="1:7" ht="16.149999999999999" x14ac:dyDescent="0.7">
      <c r="A2571" s="49">
        <v>44736.793967812497</v>
      </c>
      <c r="B2571" s="50" t="s">
        <v>18</v>
      </c>
      <c r="C2571" s="50" t="s">
        <v>401</v>
      </c>
      <c r="D2571" s="50" t="s">
        <v>263</v>
      </c>
      <c r="E2571" s="50">
        <v>-1</v>
      </c>
      <c r="F2571" s="50">
        <v>-1.378799090995364E-2</v>
      </c>
      <c r="G2571" s="51" t="str">
        <v>中瀬 2022/07/30 (土)
休日午前</v>
      </c>
    </row>
    <row r="2572" spans="1:7" ht="16.149999999999999" x14ac:dyDescent="0.7">
      <c r="A2572" s="49">
        <v>44736.793967812497</v>
      </c>
      <c r="B2572" s="50" t="s">
        <v>18</v>
      </c>
      <c r="C2572" s="50" t="s">
        <v>402</v>
      </c>
      <c r="D2572" s="50" t="s">
        <v>261</v>
      </c>
      <c r="E2572" s="50">
        <v>0</v>
      </c>
      <c r="F2572" s="50">
        <v>1.7535272550375458E-2</v>
      </c>
      <c r="G2572" s="51" t="str">
        <v>中瀬 2022/07/31 (日)
休日午後</v>
      </c>
    </row>
    <row r="2573" spans="1:7" ht="16.149999999999999" x14ac:dyDescent="0.7">
      <c r="A2573" s="49">
        <v>44736.793967812497</v>
      </c>
      <c r="B2573" s="50" t="s">
        <v>18</v>
      </c>
      <c r="C2573" s="50" t="s">
        <v>403</v>
      </c>
      <c r="D2573" s="50" t="s">
        <v>263</v>
      </c>
      <c r="E2573" s="50">
        <v>0</v>
      </c>
      <c r="F2573" s="50">
        <v>0.50739484982797456</v>
      </c>
      <c r="G2573" s="51" t="str">
        <v>中瀬 2022/07/31 (日)
休日午前</v>
      </c>
    </row>
    <row r="2574" spans="1:7" ht="16.149999999999999" x14ac:dyDescent="0.7">
      <c r="A2574" s="49">
        <v>44736.845561817128</v>
      </c>
      <c r="B2574" s="50" t="s">
        <v>29</v>
      </c>
      <c r="C2574" s="50" t="s">
        <v>364</v>
      </c>
      <c r="D2574" s="50" t="s">
        <v>259</v>
      </c>
      <c r="E2574" s="50">
        <v>0</v>
      </c>
      <c r="F2574" s="50">
        <v>0.75382674832285423</v>
      </c>
      <c r="G2574" s="51" t="str">
        <v>福里 2022/07/01 (金)
平日夜間</v>
      </c>
    </row>
    <row r="2575" spans="1:7" ht="16.149999999999999" x14ac:dyDescent="0.7">
      <c r="A2575" s="49">
        <v>44736.845561817128</v>
      </c>
      <c r="B2575" s="50" t="s">
        <v>29</v>
      </c>
      <c r="C2575" s="50" t="s">
        <v>365</v>
      </c>
      <c r="D2575" s="50" t="s">
        <v>261</v>
      </c>
      <c r="E2575" s="50">
        <v>0</v>
      </c>
      <c r="F2575" s="50">
        <v>0.69626871349393182</v>
      </c>
      <c r="G2575" s="51" t="str">
        <v>福里 2022/07/02 (土)
休日午後</v>
      </c>
    </row>
    <row r="2576" spans="1:7" ht="16.149999999999999" x14ac:dyDescent="0.7">
      <c r="A2576" s="49">
        <v>44736.845561817128</v>
      </c>
      <c r="B2576" s="50" t="s">
        <v>29</v>
      </c>
      <c r="C2576" s="50" t="s">
        <v>366</v>
      </c>
      <c r="D2576" s="50" t="s">
        <v>263</v>
      </c>
      <c r="E2576" s="50">
        <v>0</v>
      </c>
      <c r="F2576" s="50">
        <v>0.24248532798781297</v>
      </c>
      <c r="G2576" s="51" t="str">
        <v>福里 2022/07/02 (土)
休日午前</v>
      </c>
    </row>
    <row r="2577" spans="1:7" ht="16.149999999999999" x14ac:dyDescent="0.7">
      <c r="A2577" s="49">
        <v>44736.845561817128</v>
      </c>
      <c r="B2577" s="50" t="s">
        <v>29</v>
      </c>
      <c r="C2577" s="50" t="s">
        <v>367</v>
      </c>
      <c r="D2577" s="50" t="s">
        <v>261</v>
      </c>
      <c r="E2577" s="50">
        <v>-1</v>
      </c>
      <c r="F2577" s="50">
        <v>-0.42786685329454355</v>
      </c>
      <c r="G2577" s="51" t="str">
        <v>福里 2022/07/03 (日)
休日午後</v>
      </c>
    </row>
    <row r="2578" spans="1:7" ht="16.149999999999999" x14ac:dyDescent="0.7">
      <c r="A2578" s="49">
        <v>44736.845561817128</v>
      </c>
      <c r="B2578" s="50" t="s">
        <v>29</v>
      </c>
      <c r="C2578" s="50" t="s">
        <v>368</v>
      </c>
      <c r="D2578" s="50" t="s">
        <v>263</v>
      </c>
      <c r="E2578" s="50">
        <v>-1</v>
      </c>
      <c r="F2578" s="50">
        <v>-0.4323927027219403</v>
      </c>
      <c r="G2578" s="51" t="str">
        <v>福里 2022/07/03 (日)
休日午前</v>
      </c>
    </row>
    <row r="2579" spans="1:7" ht="16.149999999999999" x14ac:dyDescent="0.7">
      <c r="A2579" s="49">
        <v>44736.845561817128</v>
      </c>
      <c r="B2579" s="50" t="s">
        <v>29</v>
      </c>
      <c r="C2579" s="50" t="s">
        <v>369</v>
      </c>
      <c r="D2579" s="50" t="s">
        <v>259</v>
      </c>
      <c r="E2579" s="50">
        <v>0</v>
      </c>
      <c r="F2579" s="50">
        <v>0.30940571988469734</v>
      </c>
      <c r="G2579" s="51" t="str">
        <v>福里 2022/07/04 (月)
平日夜間</v>
      </c>
    </row>
    <row r="2580" spans="1:7" ht="16.149999999999999" x14ac:dyDescent="0.7">
      <c r="A2580" s="49">
        <v>44736.845561817128</v>
      </c>
      <c r="B2580" s="50" t="s">
        <v>29</v>
      </c>
      <c r="C2580" s="50" t="s">
        <v>370</v>
      </c>
      <c r="D2580" s="50" t="s">
        <v>259</v>
      </c>
      <c r="E2580" s="50">
        <v>-1</v>
      </c>
      <c r="F2580" s="50">
        <v>-0.89959040053059347</v>
      </c>
      <c r="G2580" s="51" t="str">
        <v>福里 2022/07/05 (火)
平日夜間</v>
      </c>
    </row>
    <row r="2581" spans="1:7" ht="16.149999999999999" x14ac:dyDescent="0.7">
      <c r="A2581" s="49">
        <v>44736.845561817128</v>
      </c>
      <c r="B2581" s="50" t="s">
        <v>29</v>
      </c>
      <c r="C2581" s="50" t="s">
        <v>371</v>
      </c>
      <c r="D2581" s="50" t="s">
        <v>259</v>
      </c>
      <c r="E2581" s="50">
        <v>0</v>
      </c>
      <c r="F2581" s="50">
        <v>0.86136430968181266</v>
      </c>
      <c r="G2581" s="51" t="str">
        <v>福里 2022/07/06 (水)
平日夜間</v>
      </c>
    </row>
    <row r="2582" spans="1:7" ht="16.149999999999999" x14ac:dyDescent="0.7">
      <c r="A2582" s="49">
        <v>44736.845561817128</v>
      </c>
      <c r="B2582" s="50" t="s">
        <v>29</v>
      </c>
      <c r="C2582" s="50" t="s">
        <v>372</v>
      </c>
      <c r="D2582" s="50" t="s">
        <v>259</v>
      </c>
      <c r="E2582" s="50">
        <v>-1</v>
      </c>
      <c r="F2582" s="50">
        <v>-0.18728636707183388</v>
      </c>
      <c r="G2582" s="51" t="str">
        <v>福里 2022/07/07 (木)
平日夜間</v>
      </c>
    </row>
    <row r="2583" spans="1:7" ht="16.149999999999999" x14ac:dyDescent="0.7">
      <c r="A2583" s="49">
        <v>44736.845561817128</v>
      </c>
      <c r="B2583" s="50" t="s">
        <v>29</v>
      </c>
      <c r="C2583" s="50" t="s">
        <v>373</v>
      </c>
      <c r="D2583" s="50" t="s">
        <v>259</v>
      </c>
      <c r="E2583" s="50">
        <v>-1</v>
      </c>
      <c r="F2583" s="50">
        <v>-0.43983524855380352</v>
      </c>
      <c r="G2583" s="51" t="str">
        <v>福里 2022/07/08 (金)
平日夜間</v>
      </c>
    </row>
    <row r="2584" spans="1:7" ht="16.149999999999999" x14ac:dyDescent="0.7">
      <c r="A2584" s="49">
        <v>44736.845561817128</v>
      </c>
      <c r="B2584" s="50" t="s">
        <v>29</v>
      </c>
      <c r="C2584" s="50" t="s">
        <v>374</v>
      </c>
      <c r="D2584" s="50" t="s">
        <v>261</v>
      </c>
      <c r="E2584" s="50">
        <v>0</v>
      </c>
      <c r="F2584" s="50">
        <v>0.64609349621200551</v>
      </c>
      <c r="G2584" s="51" t="str">
        <v>福里 2022/07/09 (土)
休日午後</v>
      </c>
    </row>
    <row r="2585" spans="1:7" ht="16.149999999999999" x14ac:dyDescent="0.7">
      <c r="A2585" s="49">
        <v>44736.845561817128</v>
      </c>
      <c r="B2585" s="50" t="s">
        <v>29</v>
      </c>
      <c r="C2585" s="50" t="s">
        <v>375</v>
      </c>
      <c r="D2585" s="50" t="s">
        <v>263</v>
      </c>
      <c r="E2585" s="50">
        <v>0</v>
      </c>
      <c r="F2585" s="50">
        <v>0.21949832483699394</v>
      </c>
      <c r="G2585" s="51" t="str">
        <v>福里 2022/07/09 (土)
休日午前</v>
      </c>
    </row>
    <row r="2586" spans="1:7" ht="16.149999999999999" x14ac:dyDescent="0.7">
      <c r="A2586" s="49">
        <v>44736.845561817128</v>
      </c>
      <c r="B2586" s="50" t="s">
        <v>29</v>
      </c>
      <c r="C2586" s="50" t="s">
        <v>376</v>
      </c>
      <c r="D2586" s="50" t="s">
        <v>261</v>
      </c>
      <c r="E2586" s="50">
        <v>-1</v>
      </c>
      <c r="F2586" s="50">
        <v>-0.88831851654329519</v>
      </c>
      <c r="G2586" s="51" t="str">
        <v>福里 2022/07/10 (日)
休日午後</v>
      </c>
    </row>
    <row r="2587" spans="1:7" ht="16.149999999999999" x14ac:dyDescent="0.7">
      <c r="A2587" s="49">
        <v>44736.845561817128</v>
      </c>
      <c r="B2587" s="50" t="s">
        <v>29</v>
      </c>
      <c r="C2587" s="50" t="s">
        <v>377</v>
      </c>
      <c r="D2587" s="50" t="s">
        <v>263</v>
      </c>
      <c r="E2587" s="50">
        <v>-1</v>
      </c>
      <c r="F2587" s="50">
        <v>-0.41234361605983971</v>
      </c>
      <c r="G2587" s="51" t="str">
        <v>福里 2022/07/10 (日)
休日午前</v>
      </c>
    </row>
    <row r="2588" spans="1:7" ht="16.149999999999999" x14ac:dyDescent="0.7">
      <c r="A2588" s="49">
        <v>44736.845561817128</v>
      </c>
      <c r="B2588" s="50" t="s">
        <v>29</v>
      </c>
      <c r="C2588" s="50" t="s">
        <v>378</v>
      </c>
      <c r="D2588" s="50" t="s">
        <v>259</v>
      </c>
      <c r="E2588" s="50">
        <v>0</v>
      </c>
      <c r="F2588" s="50">
        <v>0.99417620356984893</v>
      </c>
      <c r="G2588" s="51" t="str">
        <v>福里 2022/07/11 (月)
平日夜間</v>
      </c>
    </row>
    <row r="2589" spans="1:7" ht="16.149999999999999" x14ac:dyDescent="0.7">
      <c r="A2589" s="49">
        <v>44736.845561817128</v>
      </c>
      <c r="B2589" s="50" t="s">
        <v>29</v>
      </c>
      <c r="C2589" s="50" t="s">
        <v>379</v>
      </c>
      <c r="D2589" s="50" t="s">
        <v>259</v>
      </c>
      <c r="E2589" s="50">
        <v>0</v>
      </c>
      <c r="F2589" s="50">
        <v>0.23223577132512352</v>
      </c>
      <c r="G2589" s="51" t="str">
        <v>福里 2022/07/12 (火)
平日夜間</v>
      </c>
    </row>
    <row r="2590" spans="1:7" ht="16.149999999999999" x14ac:dyDescent="0.7">
      <c r="A2590" s="49">
        <v>44736.845561817128</v>
      </c>
      <c r="B2590" s="50" t="s">
        <v>29</v>
      </c>
      <c r="C2590" s="50" t="s">
        <v>380</v>
      </c>
      <c r="D2590" s="50" t="s">
        <v>259</v>
      </c>
      <c r="E2590" s="50">
        <v>0</v>
      </c>
      <c r="F2590" s="50">
        <v>0.74438422708417806</v>
      </c>
      <c r="G2590" s="51" t="str">
        <v>福里 2022/07/13 (水)
平日夜間</v>
      </c>
    </row>
    <row r="2591" spans="1:7" ht="16.149999999999999" x14ac:dyDescent="0.7">
      <c r="A2591" s="49">
        <v>44736.845561817128</v>
      </c>
      <c r="B2591" s="50" t="s">
        <v>29</v>
      </c>
      <c r="C2591" s="50" t="s">
        <v>381</v>
      </c>
      <c r="D2591" s="50" t="s">
        <v>259</v>
      </c>
      <c r="E2591" s="50">
        <v>0</v>
      </c>
      <c r="F2591" s="50">
        <v>0.12861915168712446</v>
      </c>
      <c r="G2591" s="51" t="str">
        <v>福里 2022/07/14 (木)
平日夜間</v>
      </c>
    </row>
    <row r="2592" spans="1:7" ht="16.149999999999999" x14ac:dyDescent="0.7">
      <c r="A2592" s="49">
        <v>44736.845561817128</v>
      </c>
      <c r="B2592" s="50" t="s">
        <v>29</v>
      </c>
      <c r="C2592" s="50" t="s">
        <v>382</v>
      </c>
      <c r="D2592" s="50" t="s">
        <v>259</v>
      </c>
      <c r="E2592" s="50">
        <v>0</v>
      </c>
      <c r="F2592" s="50">
        <v>0.37273845124831695</v>
      </c>
      <c r="G2592" s="51" t="str">
        <v>福里 2022/07/15 (金)
平日夜間</v>
      </c>
    </row>
    <row r="2593" spans="1:7" ht="16.149999999999999" x14ac:dyDescent="0.7">
      <c r="A2593" s="49">
        <v>44736.845561817128</v>
      </c>
      <c r="B2593" s="50" t="s">
        <v>29</v>
      </c>
      <c r="C2593" s="50" t="s">
        <v>383</v>
      </c>
      <c r="D2593" s="50" t="s">
        <v>261</v>
      </c>
      <c r="E2593" s="50">
        <v>0</v>
      </c>
      <c r="F2593" s="50">
        <v>8.4141775879421843E-2</v>
      </c>
      <c r="G2593" s="51" t="str">
        <v>福里 2022/07/16 (土)
休日午後</v>
      </c>
    </row>
    <row r="2594" spans="1:7" ht="16.149999999999999" x14ac:dyDescent="0.7">
      <c r="A2594" s="49">
        <v>44736.845561817128</v>
      </c>
      <c r="B2594" s="50" t="s">
        <v>29</v>
      </c>
      <c r="C2594" s="50" t="s">
        <v>384</v>
      </c>
      <c r="D2594" s="50" t="s">
        <v>263</v>
      </c>
      <c r="E2594" s="50">
        <v>0</v>
      </c>
      <c r="F2594" s="50">
        <v>8.2781722172454275E-2</v>
      </c>
      <c r="G2594" s="51" t="str">
        <v>福里 2022/07/16 (土)
休日午前</v>
      </c>
    </row>
    <row r="2595" spans="1:7" ht="16.149999999999999" x14ac:dyDescent="0.7">
      <c r="A2595" s="49">
        <v>44736.845561817128</v>
      </c>
      <c r="B2595" s="50" t="s">
        <v>29</v>
      </c>
      <c r="C2595" s="50" t="s">
        <v>385</v>
      </c>
      <c r="D2595" s="50" t="s">
        <v>261</v>
      </c>
      <c r="E2595" s="50">
        <v>0</v>
      </c>
      <c r="F2595" s="50">
        <v>0.36081667126579853</v>
      </c>
      <c r="G2595" s="51" t="str">
        <v>福里 2022/07/17 (日)
休日午後</v>
      </c>
    </row>
    <row r="2596" spans="1:7" ht="16.149999999999999" x14ac:dyDescent="0.7">
      <c r="A2596" s="49">
        <v>44736.845561817128</v>
      </c>
      <c r="B2596" s="50" t="s">
        <v>29</v>
      </c>
      <c r="C2596" s="50" t="s">
        <v>386</v>
      </c>
      <c r="D2596" s="50" t="s">
        <v>263</v>
      </c>
      <c r="E2596" s="50">
        <v>0</v>
      </c>
      <c r="F2596" s="50">
        <v>0.83075509410835191</v>
      </c>
      <c r="G2596" s="51" t="str">
        <v>福里 2022/07/17 (日)
休日午前</v>
      </c>
    </row>
    <row r="2597" spans="1:7" ht="16.149999999999999" x14ac:dyDescent="0.7">
      <c r="A2597" s="49">
        <v>44736.845561817128</v>
      </c>
      <c r="B2597" s="50" t="s">
        <v>29</v>
      </c>
      <c r="C2597" s="50" t="s">
        <v>404</v>
      </c>
      <c r="D2597" s="50" t="s">
        <v>261</v>
      </c>
      <c r="E2597" s="50">
        <v>2</v>
      </c>
      <c r="F2597" s="50">
        <v>2.1451722588023587</v>
      </c>
      <c r="G2597" s="51" t="str">
        <v>福里 2022/07/18 (月)
休日午後</v>
      </c>
    </row>
    <row r="2598" spans="1:7" ht="16.149999999999999" x14ac:dyDescent="0.7">
      <c r="A2598" s="49">
        <v>44736.845561817128</v>
      </c>
      <c r="B2598" s="50" t="s">
        <v>29</v>
      </c>
      <c r="C2598" s="50" t="s">
        <v>405</v>
      </c>
      <c r="D2598" s="50" t="s">
        <v>263</v>
      </c>
      <c r="E2598" s="50">
        <v>-1</v>
      </c>
      <c r="F2598" s="50">
        <v>-0.67725135645419754</v>
      </c>
      <c r="G2598" s="51" t="str">
        <v>福里 2022/07/18 (月)
休日午前</v>
      </c>
    </row>
    <row r="2599" spans="1:7" ht="16.149999999999999" x14ac:dyDescent="0.7">
      <c r="A2599" s="49">
        <v>44736.845561817128</v>
      </c>
      <c r="B2599" s="50" t="s">
        <v>29</v>
      </c>
      <c r="C2599" s="50" t="s">
        <v>387</v>
      </c>
      <c r="D2599" s="50" t="s">
        <v>259</v>
      </c>
      <c r="E2599" s="50">
        <v>-1</v>
      </c>
      <c r="F2599" s="50">
        <v>-0.83809574005305953</v>
      </c>
      <c r="G2599" s="51" t="str">
        <v>福里 2022/07/19 (火)
平日夜間</v>
      </c>
    </row>
    <row r="2600" spans="1:7" ht="16.149999999999999" x14ac:dyDescent="0.7">
      <c r="A2600" s="49">
        <v>44736.845561817128</v>
      </c>
      <c r="B2600" s="50" t="s">
        <v>29</v>
      </c>
      <c r="C2600" s="50" t="s">
        <v>388</v>
      </c>
      <c r="D2600" s="50" t="s">
        <v>259</v>
      </c>
      <c r="E2600" s="50">
        <v>-1</v>
      </c>
      <c r="F2600" s="50">
        <v>-0.39864533130654056</v>
      </c>
      <c r="G2600" s="51" t="str">
        <v>福里 2022/07/20 (水)
平日夜間</v>
      </c>
    </row>
    <row r="2601" spans="1:7" ht="16.149999999999999" x14ac:dyDescent="0.7">
      <c r="A2601" s="49">
        <v>44736.845561817128</v>
      </c>
      <c r="B2601" s="50" t="s">
        <v>29</v>
      </c>
      <c r="C2601" s="50" t="s">
        <v>389</v>
      </c>
      <c r="D2601" s="50" t="s">
        <v>259</v>
      </c>
      <c r="E2601" s="50">
        <v>0</v>
      </c>
      <c r="F2601" s="50">
        <v>0.9406812490502392</v>
      </c>
      <c r="G2601" s="51" t="str">
        <v>福里 2022/07/21 (木)
平日夜間</v>
      </c>
    </row>
    <row r="2602" spans="1:7" ht="16.149999999999999" x14ac:dyDescent="0.7">
      <c r="A2602" s="49">
        <v>44736.845561817128</v>
      </c>
      <c r="B2602" s="50" t="s">
        <v>29</v>
      </c>
      <c r="C2602" s="50" t="s">
        <v>390</v>
      </c>
      <c r="D2602" s="50" t="s">
        <v>259</v>
      </c>
      <c r="E2602" s="50">
        <v>0</v>
      </c>
      <c r="F2602" s="50">
        <v>0.70113418734341826</v>
      </c>
      <c r="G2602" s="51" t="str">
        <v>福里 2022/07/22 (金)
平日夜間</v>
      </c>
    </row>
    <row r="2603" spans="1:7" ht="16.149999999999999" x14ac:dyDescent="0.7">
      <c r="A2603" s="49">
        <v>44736.845561817128</v>
      </c>
      <c r="B2603" s="50" t="s">
        <v>29</v>
      </c>
      <c r="C2603" s="50" t="s">
        <v>391</v>
      </c>
      <c r="D2603" s="50" t="s">
        <v>261</v>
      </c>
      <c r="E2603" s="50">
        <v>-1</v>
      </c>
      <c r="F2603" s="50">
        <v>-0.58771948445717759</v>
      </c>
      <c r="G2603" s="51" t="str">
        <v>福里 2022/07/23 (土)
休日午後</v>
      </c>
    </row>
    <row r="2604" spans="1:7" ht="16.149999999999999" x14ac:dyDescent="0.7">
      <c r="A2604" s="49">
        <v>44736.845561817128</v>
      </c>
      <c r="B2604" s="50" t="s">
        <v>29</v>
      </c>
      <c r="C2604" s="50" t="s">
        <v>392</v>
      </c>
      <c r="D2604" s="50" t="s">
        <v>263</v>
      </c>
      <c r="E2604" s="50">
        <v>-1</v>
      </c>
      <c r="F2604" s="50">
        <v>-0.51778051589026064</v>
      </c>
      <c r="G2604" s="51" t="str">
        <v>福里 2022/07/23 (土)
休日午前</v>
      </c>
    </row>
    <row r="2605" spans="1:7" ht="16.149999999999999" x14ac:dyDescent="0.7">
      <c r="A2605" s="49">
        <v>44736.845561817128</v>
      </c>
      <c r="B2605" s="50" t="s">
        <v>29</v>
      </c>
      <c r="C2605" s="50" t="s">
        <v>393</v>
      </c>
      <c r="D2605" s="50" t="s">
        <v>261</v>
      </c>
      <c r="E2605" s="50">
        <v>-1</v>
      </c>
      <c r="F2605" s="50">
        <v>-0.12021096482560623</v>
      </c>
      <c r="G2605" s="51" t="str">
        <v>福里 2022/07/24 (日)
休日午後</v>
      </c>
    </row>
    <row r="2606" spans="1:7" ht="16.149999999999999" x14ac:dyDescent="0.7">
      <c r="A2606" s="49">
        <v>44736.845561817128</v>
      </c>
      <c r="B2606" s="50" t="s">
        <v>29</v>
      </c>
      <c r="C2606" s="50" t="s">
        <v>394</v>
      </c>
      <c r="D2606" s="50" t="s">
        <v>263</v>
      </c>
      <c r="E2606" s="50">
        <v>-1</v>
      </c>
      <c r="F2606" s="50">
        <v>-0.13267900937127464</v>
      </c>
      <c r="G2606" s="51" t="str">
        <v>福里 2022/07/24 (日)
休日午前</v>
      </c>
    </row>
    <row r="2607" spans="1:7" ht="16.149999999999999" x14ac:dyDescent="0.7">
      <c r="A2607" s="49">
        <v>44736.845561817128</v>
      </c>
      <c r="B2607" s="50" t="s">
        <v>29</v>
      </c>
      <c r="C2607" s="50" t="s">
        <v>395</v>
      </c>
      <c r="D2607" s="50" t="s">
        <v>259</v>
      </c>
      <c r="E2607" s="50">
        <v>0</v>
      </c>
      <c r="F2607" s="50">
        <v>0.45897391918363439</v>
      </c>
      <c r="G2607" s="51" t="str">
        <v>福里 2022/07/25 (月)
平日夜間</v>
      </c>
    </row>
    <row r="2608" spans="1:7" ht="16.149999999999999" x14ac:dyDescent="0.7">
      <c r="A2608" s="49">
        <v>44736.845561817128</v>
      </c>
      <c r="B2608" s="50" t="s">
        <v>29</v>
      </c>
      <c r="C2608" s="50" t="s">
        <v>396</v>
      </c>
      <c r="D2608" s="50" t="s">
        <v>259</v>
      </c>
      <c r="E2608" s="50">
        <v>-1</v>
      </c>
      <c r="F2608" s="50">
        <v>-0.35716579070497989</v>
      </c>
      <c r="G2608" s="51" t="str">
        <v>福里 2022/07/26 (火)
平日夜間</v>
      </c>
    </row>
    <row r="2609" spans="1:7" ht="16.149999999999999" x14ac:dyDescent="0.7">
      <c r="A2609" s="49">
        <v>44736.845561817128</v>
      </c>
      <c r="B2609" s="50" t="s">
        <v>29</v>
      </c>
      <c r="C2609" s="50" t="s">
        <v>397</v>
      </c>
      <c r="D2609" s="50" t="s">
        <v>259</v>
      </c>
      <c r="E2609" s="50">
        <v>0</v>
      </c>
      <c r="F2609" s="50">
        <v>5.001841351976255E-2</v>
      </c>
      <c r="G2609" s="51" t="str">
        <v>福里 2022/07/27 (水)
平日夜間</v>
      </c>
    </row>
    <row r="2610" spans="1:7" ht="16.149999999999999" x14ac:dyDescent="0.7">
      <c r="A2610" s="49">
        <v>44736.845561817128</v>
      </c>
      <c r="B2610" s="50" t="s">
        <v>29</v>
      </c>
      <c r="C2610" s="50" t="s">
        <v>398</v>
      </c>
      <c r="D2610" s="50" t="s">
        <v>259</v>
      </c>
      <c r="E2610" s="50">
        <v>0</v>
      </c>
      <c r="F2610" s="50">
        <v>0.25599442880459922</v>
      </c>
      <c r="G2610" s="51" t="str">
        <v>福里 2022/07/28 (木)
平日夜間</v>
      </c>
    </row>
    <row r="2611" spans="1:7" ht="16.149999999999999" x14ac:dyDescent="0.7">
      <c r="A2611" s="49">
        <v>44736.845561817128</v>
      </c>
      <c r="B2611" s="50" t="s">
        <v>29</v>
      </c>
      <c r="C2611" s="50" t="s">
        <v>399</v>
      </c>
      <c r="D2611" s="50" t="s">
        <v>259</v>
      </c>
      <c r="E2611" s="50">
        <v>0</v>
      </c>
      <c r="F2611" s="50">
        <v>0.22479098513775986</v>
      </c>
      <c r="G2611" s="51" t="str">
        <v>福里 2022/07/29 (金)
平日夜間</v>
      </c>
    </row>
    <row r="2612" spans="1:7" ht="16.149999999999999" x14ac:dyDescent="0.7">
      <c r="A2612" s="49">
        <v>44736.845561817128</v>
      </c>
      <c r="B2612" s="50" t="s">
        <v>29</v>
      </c>
      <c r="C2612" s="50" t="s">
        <v>400</v>
      </c>
      <c r="D2612" s="50" t="s">
        <v>261</v>
      </c>
      <c r="E2612" s="50">
        <v>-1</v>
      </c>
      <c r="F2612" s="50">
        <v>-0.89588187714123446</v>
      </c>
      <c r="G2612" s="51" t="str">
        <v>福里 2022/07/30 (土)
休日午後</v>
      </c>
    </row>
    <row r="2613" spans="1:7" ht="16.149999999999999" x14ac:dyDescent="0.7">
      <c r="A2613" s="49">
        <v>44736.845561817128</v>
      </c>
      <c r="B2613" s="50" t="s">
        <v>29</v>
      </c>
      <c r="C2613" s="50" t="s">
        <v>401</v>
      </c>
      <c r="D2613" s="50" t="s">
        <v>263</v>
      </c>
      <c r="E2613" s="50">
        <v>0</v>
      </c>
      <c r="F2613" s="50">
        <v>0.23974886787469329</v>
      </c>
      <c r="G2613" s="51" t="str">
        <v>福里 2022/07/30 (土)
休日午前</v>
      </c>
    </row>
    <row r="2614" spans="1:7" ht="16.149999999999999" x14ac:dyDescent="0.7">
      <c r="A2614" s="49">
        <v>44736.845561817128</v>
      </c>
      <c r="B2614" s="50" t="s">
        <v>29</v>
      </c>
      <c r="C2614" s="50" t="s">
        <v>402</v>
      </c>
      <c r="D2614" s="50" t="s">
        <v>261</v>
      </c>
      <c r="E2614" s="50">
        <v>0</v>
      </c>
      <c r="F2614" s="50">
        <v>0.23046204913528667</v>
      </c>
      <c r="G2614" s="51" t="str">
        <v>福里 2022/07/31 (日)
休日午後</v>
      </c>
    </row>
    <row r="2615" spans="1:7" ht="16.149999999999999" x14ac:dyDescent="0.7">
      <c r="A2615" s="49">
        <v>44736.845561817128</v>
      </c>
      <c r="B2615" s="50" t="s">
        <v>29</v>
      </c>
      <c r="C2615" s="50" t="s">
        <v>403</v>
      </c>
      <c r="D2615" s="50" t="s">
        <v>263</v>
      </c>
      <c r="E2615" s="50">
        <v>0</v>
      </c>
      <c r="F2615" s="50">
        <v>0.9154072765366037</v>
      </c>
      <c r="G2615" s="51" t="str">
        <v>福里 2022/07/31 (日)
休日午前</v>
      </c>
    </row>
    <row r="2616" spans="1:7" ht="16.149999999999999" x14ac:dyDescent="0.7">
      <c r="A2616" s="49">
        <v>44768.591610682866</v>
      </c>
      <c r="B2616" s="50" t="s">
        <v>16</v>
      </c>
      <c r="C2616" s="50" t="s">
        <v>406</v>
      </c>
      <c r="D2616" s="50" t="s">
        <v>259</v>
      </c>
      <c r="E2616" s="50">
        <v>2</v>
      </c>
      <c r="F2616" s="51">
        <v>2.0173740655644274</v>
      </c>
      <c r="G2616" s="51" t="str">
        <v>吉田 2022/08/01 (月)
平日夜間</v>
      </c>
    </row>
    <row r="2617" spans="1:7" ht="16.149999999999999" x14ac:dyDescent="0.7">
      <c r="A2617" s="49">
        <v>44768.591610682866</v>
      </c>
      <c r="B2617" s="50" t="s">
        <v>16</v>
      </c>
      <c r="C2617" s="50" t="s">
        <v>407</v>
      </c>
      <c r="D2617" s="50" t="s">
        <v>259</v>
      </c>
      <c r="E2617" s="50">
        <v>-1</v>
      </c>
      <c r="F2617" s="51">
        <v>-0.14201319725646955</v>
      </c>
      <c r="G2617" s="51" t="str">
        <v>吉田 2022/08/02 (火)
平日夜間</v>
      </c>
    </row>
    <row r="2618" spans="1:7" ht="16.149999999999999" x14ac:dyDescent="0.7">
      <c r="A2618" s="49">
        <v>44768.591610682866</v>
      </c>
      <c r="B2618" s="50" t="s">
        <v>16</v>
      </c>
      <c r="C2618" s="50" t="s">
        <v>408</v>
      </c>
      <c r="D2618" s="50" t="s">
        <v>259</v>
      </c>
      <c r="E2618" s="50">
        <v>0</v>
      </c>
      <c r="F2618" s="51">
        <v>0.36354059110309755</v>
      </c>
      <c r="G2618" s="51" t="str">
        <v>吉田 2022/08/03 (水)
平日夜間</v>
      </c>
    </row>
    <row r="2619" spans="1:7" ht="16.149999999999999" x14ac:dyDescent="0.7">
      <c r="A2619" s="49">
        <v>44768.591610682866</v>
      </c>
      <c r="B2619" s="50" t="s">
        <v>16</v>
      </c>
      <c r="C2619" s="50" t="s">
        <v>409</v>
      </c>
      <c r="D2619" s="50" t="s">
        <v>259</v>
      </c>
      <c r="E2619" s="50">
        <v>0</v>
      </c>
      <c r="F2619" s="51">
        <v>0.11691410623402421</v>
      </c>
      <c r="G2619" s="51" t="str">
        <v>吉田 2022/08/04 (木)
平日夜間</v>
      </c>
    </row>
    <row r="2620" spans="1:7" ht="16.149999999999999" x14ac:dyDescent="0.7">
      <c r="A2620" s="49">
        <v>44768.591610682866</v>
      </c>
      <c r="B2620" s="50" t="s">
        <v>16</v>
      </c>
      <c r="C2620" s="50" t="s">
        <v>410</v>
      </c>
      <c r="D2620" s="50" t="s">
        <v>259</v>
      </c>
      <c r="E2620" s="50">
        <v>0</v>
      </c>
      <c r="F2620" s="51">
        <v>0.72007774965056881</v>
      </c>
      <c r="G2620" s="51" t="str">
        <v>吉田 2022/08/05 (金)
平日夜間</v>
      </c>
    </row>
    <row r="2621" spans="1:7" ht="16.149999999999999" x14ac:dyDescent="0.7">
      <c r="A2621" s="49">
        <v>44768.591610682866</v>
      </c>
      <c r="B2621" s="50" t="s">
        <v>16</v>
      </c>
      <c r="C2621" s="50" t="s">
        <v>411</v>
      </c>
      <c r="D2621" s="50" t="s">
        <v>263</v>
      </c>
      <c r="E2621" s="50">
        <v>-1</v>
      </c>
      <c r="F2621" s="51">
        <v>-0.26131748005894906</v>
      </c>
      <c r="G2621" s="51" t="str">
        <v>吉田 2022/08/06 (土)
休日午前</v>
      </c>
    </row>
    <row r="2622" spans="1:7" ht="16.149999999999999" x14ac:dyDescent="0.7">
      <c r="A2622" s="49">
        <v>44768.591610682866</v>
      </c>
      <c r="B2622" s="50" t="s">
        <v>16</v>
      </c>
      <c r="C2622" s="50" t="s">
        <v>412</v>
      </c>
      <c r="D2622" s="50" t="s">
        <v>261</v>
      </c>
      <c r="E2622" s="50">
        <v>0</v>
      </c>
      <c r="F2622" s="51">
        <v>0.51229614317817784</v>
      </c>
      <c r="G2622" s="51" t="str">
        <v>吉田 2022/08/06 (土)
休日午後</v>
      </c>
    </row>
    <row r="2623" spans="1:7" ht="16.149999999999999" x14ac:dyDescent="0.7">
      <c r="A2623" s="49">
        <v>44768.591610682866</v>
      </c>
      <c r="B2623" s="50" t="s">
        <v>16</v>
      </c>
      <c r="C2623" s="50" t="s">
        <v>413</v>
      </c>
      <c r="D2623" s="50" t="s">
        <v>263</v>
      </c>
      <c r="E2623" s="50">
        <v>0</v>
      </c>
      <c r="F2623" s="51">
        <v>0.23703646779523524</v>
      </c>
      <c r="G2623" s="51" t="str">
        <v>吉田 2022/08/07 (日)
休日午前</v>
      </c>
    </row>
    <row r="2624" spans="1:7" ht="16.149999999999999" x14ac:dyDescent="0.7">
      <c r="A2624" s="49">
        <v>44768.591610682866</v>
      </c>
      <c r="B2624" s="50" t="s">
        <v>16</v>
      </c>
      <c r="C2624" s="50" t="s">
        <v>414</v>
      </c>
      <c r="D2624" s="50" t="s">
        <v>261</v>
      </c>
      <c r="E2624" s="50">
        <v>0</v>
      </c>
      <c r="F2624" s="51">
        <v>0.35306047178493594</v>
      </c>
      <c r="G2624" s="51" t="str">
        <v>吉田 2022/08/07 (日)
休日午後</v>
      </c>
    </row>
    <row r="2625" spans="1:7" ht="16.149999999999999" x14ac:dyDescent="0.7">
      <c r="A2625" s="49">
        <v>44768.591610682866</v>
      </c>
      <c r="B2625" s="50" t="s">
        <v>16</v>
      </c>
      <c r="C2625" s="50" t="s">
        <v>415</v>
      </c>
      <c r="D2625" s="50" t="s">
        <v>259</v>
      </c>
      <c r="E2625" s="50">
        <v>0</v>
      </c>
      <c r="F2625" s="51">
        <v>0.78382833972237531</v>
      </c>
      <c r="G2625" s="51" t="str">
        <v>吉田 2022/08/08 (月)
平日夜間</v>
      </c>
    </row>
    <row r="2626" spans="1:7" ht="16.149999999999999" x14ac:dyDescent="0.7">
      <c r="A2626" s="49">
        <v>44768.591610682866</v>
      </c>
      <c r="B2626" s="50" t="s">
        <v>16</v>
      </c>
      <c r="C2626" s="50" t="s">
        <v>416</v>
      </c>
      <c r="D2626" s="50" t="s">
        <v>259</v>
      </c>
      <c r="E2626" s="50">
        <v>-1</v>
      </c>
      <c r="F2626" s="51">
        <v>-0.38423978564800731</v>
      </c>
      <c r="G2626" s="51" t="str">
        <v>吉田 2022/08/09 (火)
平日夜間</v>
      </c>
    </row>
    <row r="2627" spans="1:7" ht="16.149999999999999" x14ac:dyDescent="0.7">
      <c r="A2627" s="49">
        <v>44768.591610682866</v>
      </c>
      <c r="B2627" s="50" t="s">
        <v>16</v>
      </c>
      <c r="C2627" s="50" t="s">
        <v>417</v>
      </c>
      <c r="D2627" s="50" t="s">
        <v>259</v>
      </c>
      <c r="E2627" s="50">
        <v>-1</v>
      </c>
      <c r="F2627" s="51">
        <v>-0.12999039343714758</v>
      </c>
      <c r="G2627" s="51" t="str">
        <v>吉田 2022/08/10 (水)
平日夜間</v>
      </c>
    </row>
    <row r="2628" spans="1:7" ht="16.149999999999999" x14ac:dyDescent="0.7">
      <c r="A2628" s="49">
        <v>44768.591610682866</v>
      </c>
      <c r="B2628" s="50" t="s">
        <v>16</v>
      </c>
      <c r="C2628" s="50" t="s">
        <v>418</v>
      </c>
      <c r="D2628" s="50" t="s">
        <v>263</v>
      </c>
      <c r="E2628" s="50">
        <v>-1</v>
      </c>
      <c r="F2628" s="51">
        <v>-0.16358297084336759</v>
      </c>
      <c r="G2628" s="51" t="str">
        <v>吉田 2022/08/11 (木)
休日午前</v>
      </c>
    </row>
    <row r="2629" spans="1:7" ht="16.149999999999999" x14ac:dyDescent="0.7">
      <c r="A2629" s="49">
        <v>44768.591610682866</v>
      </c>
      <c r="B2629" s="50" t="s">
        <v>16</v>
      </c>
      <c r="C2629" s="50" t="s">
        <v>419</v>
      </c>
      <c r="D2629" s="50" t="s">
        <v>261</v>
      </c>
      <c r="E2629" s="50">
        <v>-1</v>
      </c>
      <c r="F2629" s="51">
        <v>-0.85866175008206369</v>
      </c>
      <c r="G2629" s="51" t="str">
        <v>吉田 2022/08/11 (木)
休日午後</v>
      </c>
    </row>
    <row r="2630" spans="1:7" ht="16.149999999999999" x14ac:dyDescent="0.7">
      <c r="A2630" s="49">
        <v>44768.591610682866</v>
      </c>
      <c r="B2630" s="50" t="s">
        <v>16</v>
      </c>
      <c r="C2630" s="50" t="s">
        <v>420</v>
      </c>
      <c r="D2630" s="50" t="s">
        <v>259</v>
      </c>
      <c r="E2630" s="50">
        <v>0</v>
      </c>
      <c r="F2630" s="51">
        <v>0.70143178181139998</v>
      </c>
      <c r="G2630" s="51" t="str">
        <v>吉田 2022/08/12 (金)
平日夜間</v>
      </c>
    </row>
    <row r="2631" spans="1:7" ht="16.149999999999999" x14ac:dyDescent="0.7">
      <c r="A2631" s="49">
        <v>44768.591610682866</v>
      </c>
      <c r="B2631" s="50" t="s">
        <v>16</v>
      </c>
      <c r="C2631" s="50" t="s">
        <v>421</v>
      </c>
      <c r="D2631" s="50" t="s">
        <v>263</v>
      </c>
      <c r="E2631" s="50">
        <v>0</v>
      </c>
      <c r="F2631" s="51">
        <v>0.82734015791252791</v>
      </c>
      <c r="G2631" s="51" t="str">
        <v>吉田 2022/08/13 (土)
休日午前</v>
      </c>
    </row>
    <row r="2632" spans="1:7" ht="16.149999999999999" x14ac:dyDescent="0.7">
      <c r="A2632" s="49">
        <v>44768.591610682866</v>
      </c>
      <c r="B2632" s="50" t="s">
        <v>16</v>
      </c>
      <c r="C2632" s="50" t="s">
        <v>422</v>
      </c>
      <c r="D2632" s="50" t="s">
        <v>261</v>
      </c>
      <c r="E2632" s="50">
        <v>0</v>
      </c>
      <c r="F2632" s="51">
        <v>0.93776614232928912</v>
      </c>
      <c r="G2632" s="51" t="str">
        <v>吉田 2022/08/13 (土)
休日午後</v>
      </c>
    </row>
    <row r="2633" spans="1:7" ht="16.149999999999999" x14ac:dyDescent="0.7">
      <c r="A2633" s="49">
        <v>44768.591610682866</v>
      </c>
      <c r="B2633" s="50" t="s">
        <v>16</v>
      </c>
      <c r="C2633" s="50" t="s">
        <v>423</v>
      </c>
      <c r="D2633" s="50" t="s">
        <v>263</v>
      </c>
      <c r="E2633" s="50">
        <v>0</v>
      </c>
      <c r="F2633" s="51">
        <v>8.0809857438027155E-2</v>
      </c>
      <c r="G2633" s="51" t="str">
        <v>吉田 2022/08/14 (日)
休日午前</v>
      </c>
    </row>
    <row r="2634" spans="1:7" ht="16.149999999999999" x14ac:dyDescent="0.7">
      <c r="A2634" s="49">
        <v>44768.591610682866</v>
      </c>
      <c r="B2634" s="50" t="s">
        <v>16</v>
      </c>
      <c r="C2634" s="50" t="s">
        <v>424</v>
      </c>
      <c r="D2634" s="50" t="s">
        <v>261</v>
      </c>
      <c r="E2634" s="50">
        <v>0</v>
      </c>
      <c r="F2634" s="51">
        <v>0.24708281270823296</v>
      </c>
      <c r="G2634" s="51" t="str">
        <v>吉田 2022/08/14 (日)
休日午後</v>
      </c>
    </row>
    <row r="2635" spans="1:7" ht="16.149999999999999" x14ac:dyDescent="0.7">
      <c r="A2635" s="49">
        <v>44768.591610682866</v>
      </c>
      <c r="B2635" s="50" t="s">
        <v>16</v>
      </c>
      <c r="C2635" s="50" t="s">
        <v>425</v>
      </c>
      <c r="D2635" s="50" t="s">
        <v>259</v>
      </c>
      <c r="E2635" s="50">
        <v>0</v>
      </c>
      <c r="F2635" s="51">
        <v>0.32006078679240213</v>
      </c>
      <c r="G2635" s="51" t="str">
        <v>吉田 2022/08/15 (月)
平日夜間</v>
      </c>
    </row>
    <row r="2636" spans="1:7" ht="16.149999999999999" x14ac:dyDescent="0.7">
      <c r="A2636" s="49">
        <v>44768.591610682866</v>
      </c>
      <c r="B2636" s="50" t="s">
        <v>16</v>
      </c>
      <c r="C2636" s="50" t="s">
        <v>426</v>
      </c>
      <c r="D2636" s="50" t="s">
        <v>259</v>
      </c>
      <c r="E2636" s="50">
        <v>0</v>
      </c>
      <c r="F2636" s="51">
        <v>0.35956194374584793</v>
      </c>
      <c r="G2636" s="51" t="str">
        <v>吉田 2022/08/16 (火)
平日夜間</v>
      </c>
    </row>
    <row r="2637" spans="1:7" ht="16.149999999999999" x14ac:dyDescent="0.7">
      <c r="A2637" s="49">
        <v>44768.591610682866</v>
      </c>
      <c r="B2637" s="50" t="s">
        <v>16</v>
      </c>
      <c r="C2637" s="50" t="s">
        <v>427</v>
      </c>
      <c r="D2637" s="50" t="s">
        <v>259</v>
      </c>
      <c r="E2637" s="50">
        <v>0</v>
      </c>
      <c r="F2637" s="51">
        <v>0.61165649511942854</v>
      </c>
      <c r="G2637" s="51" t="str">
        <v>吉田 2022/08/17 (水)
平日夜間</v>
      </c>
    </row>
    <row r="2638" spans="1:7" ht="16.149999999999999" x14ac:dyDescent="0.7">
      <c r="A2638" s="49">
        <v>44768.591610682866</v>
      </c>
      <c r="B2638" s="50" t="s">
        <v>16</v>
      </c>
      <c r="C2638" s="50" t="s">
        <v>428</v>
      </c>
      <c r="D2638" s="50" t="s">
        <v>259</v>
      </c>
      <c r="E2638" s="50">
        <v>0</v>
      </c>
      <c r="F2638" s="51">
        <v>9.0369921053696345E-2</v>
      </c>
      <c r="G2638" s="51" t="str">
        <v>吉田 2022/08/18 (木)
平日夜間</v>
      </c>
    </row>
    <row r="2639" spans="1:7" ht="16.149999999999999" x14ac:dyDescent="0.7">
      <c r="A2639" s="49">
        <v>44768.591610682866</v>
      </c>
      <c r="B2639" s="50" t="s">
        <v>16</v>
      </c>
      <c r="C2639" s="50" t="s">
        <v>429</v>
      </c>
      <c r="D2639" s="50" t="s">
        <v>259</v>
      </c>
      <c r="E2639" s="50">
        <v>2</v>
      </c>
      <c r="F2639" s="51">
        <v>2.0096281216270189</v>
      </c>
      <c r="G2639" s="51" t="str">
        <v>吉田 2022/08/19 (金)
平日夜間</v>
      </c>
    </row>
    <row r="2640" spans="1:7" ht="16.149999999999999" x14ac:dyDescent="0.7">
      <c r="A2640" s="49">
        <v>44768.591610682866</v>
      </c>
      <c r="B2640" s="50" t="s">
        <v>16</v>
      </c>
      <c r="C2640" s="50" t="s">
        <v>430</v>
      </c>
      <c r="D2640" s="50" t="s">
        <v>263</v>
      </c>
      <c r="E2640" s="50">
        <v>-1</v>
      </c>
      <c r="F2640" s="51">
        <v>-0.58117204977904957</v>
      </c>
      <c r="G2640" s="51" t="str">
        <v>吉田 2022/08/20 (土)
休日午前</v>
      </c>
    </row>
    <row r="2641" spans="1:7" ht="16.149999999999999" x14ac:dyDescent="0.7">
      <c r="A2641" s="49">
        <v>44768.591610682866</v>
      </c>
      <c r="B2641" s="50" t="s">
        <v>16</v>
      </c>
      <c r="C2641" s="50" t="s">
        <v>431</v>
      </c>
      <c r="D2641" s="50" t="s">
        <v>261</v>
      </c>
      <c r="E2641" s="50">
        <v>-1</v>
      </c>
      <c r="F2641" s="51">
        <v>-0.87396439488411382</v>
      </c>
      <c r="G2641" s="51" t="str">
        <v>吉田 2022/08/20 (土)
休日午後</v>
      </c>
    </row>
    <row r="2642" spans="1:7" ht="16.149999999999999" x14ac:dyDescent="0.7">
      <c r="A2642" s="49">
        <v>44768.591610682866</v>
      </c>
      <c r="B2642" s="50" t="s">
        <v>16</v>
      </c>
      <c r="C2642" s="50" t="s">
        <v>432</v>
      </c>
      <c r="D2642" s="50" t="s">
        <v>263</v>
      </c>
      <c r="E2642" s="50">
        <v>0</v>
      </c>
      <c r="F2642" s="51">
        <v>0.73398803948127678</v>
      </c>
      <c r="G2642" s="51" t="str">
        <v>吉田 2022/08/21 (日)
休日午前</v>
      </c>
    </row>
    <row r="2643" spans="1:7" ht="16.149999999999999" x14ac:dyDescent="0.7">
      <c r="A2643" s="49">
        <v>44768.591610682866</v>
      </c>
      <c r="B2643" s="50" t="s">
        <v>16</v>
      </c>
      <c r="C2643" s="50" t="s">
        <v>433</v>
      </c>
      <c r="D2643" s="50" t="s">
        <v>261</v>
      </c>
      <c r="E2643" s="50">
        <v>0</v>
      </c>
      <c r="F2643" s="51">
        <v>0.96593528095894721</v>
      </c>
      <c r="G2643" s="51" t="str">
        <v>吉田 2022/08/21 (日)
休日午後</v>
      </c>
    </row>
    <row r="2644" spans="1:7" ht="16.149999999999999" x14ac:dyDescent="0.7">
      <c r="A2644" s="49">
        <v>44768.591610682866</v>
      </c>
      <c r="B2644" s="50" t="s">
        <v>16</v>
      </c>
      <c r="C2644" s="50" t="s">
        <v>434</v>
      </c>
      <c r="D2644" s="50" t="s">
        <v>259</v>
      </c>
      <c r="E2644" s="50">
        <v>0</v>
      </c>
      <c r="F2644" s="51">
        <v>0.90893979560003468</v>
      </c>
      <c r="G2644" s="51" t="str">
        <v>吉田 2022/08/22 (月)
平日夜間</v>
      </c>
    </row>
    <row r="2645" spans="1:7" ht="16.149999999999999" x14ac:dyDescent="0.7">
      <c r="A2645" s="49">
        <v>44768.591610682866</v>
      </c>
      <c r="B2645" s="50" t="s">
        <v>16</v>
      </c>
      <c r="C2645" s="50" t="s">
        <v>435</v>
      </c>
      <c r="D2645" s="50" t="s">
        <v>259</v>
      </c>
      <c r="E2645" s="50">
        <v>0</v>
      </c>
      <c r="F2645" s="51">
        <v>0.38911336493616955</v>
      </c>
      <c r="G2645" s="51" t="str">
        <v>吉田 2022/08/23 (火)
平日夜間</v>
      </c>
    </row>
    <row r="2646" spans="1:7" ht="16.149999999999999" x14ac:dyDescent="0.7">
      <c r="A2646" s="49">
        <v>44768.591610682866</v>
      </c>
      <c r="B2646" s="50" t="s">
        <v>16</v>
      </c>
      <c r="C2646" s="50" t="s">
        <v>436</v>
      </c>
      <c r="D2646" s="50" t="s">
        <v>259</v>
      </c>
      <c r="E2646" s="50">
        <v>0</v>
      </c>
      <c r="F2646" s="51">
        <v>0.92806022182360648</v>
      </c>
      <c r="G2646" s="51" t="str">
        <v>吉田 2022/08/24 (水)
平日夜間</v>
      </c>
    </row>
    <row r="2647" spans="1:7" ht="16.149999999999999" x14ac:dyDescent="0.7">
      <c r="A2647" s="49">
        <v>44768.591610682866</v>
      </c>
      <c r="B2647" s="50" t="s">
        <v>16</v>
      </c>
      <c r="C2647" s="50" t="s">
        <v>437</v>
      </c>
      <c r="D2647" s="50" t="s">
        <v>259</v>
      </c>
      <c r="E2647" s="50">
        <v>-1</v>
      </c>
      <c r="F2647" s="51">
        <v>-0.19903930881592991</v>
      </c>
      <c r="G2647" s="51" t="str">
        <v>吉田 2022/08/25 (木)
平日夜間</v>
      </c>
    </row>
    <row r="2648" spans="1:7" ht="16.149999999999999" x14ac:dyDescent="0.7">
      <c r="A2648" s="49">
        <v>44768.591610682866</v>
      </c>
      <c r="B2648" s="50" t="s">
        <v>16</v>
      </c>
      <c r="C2648" s="50" t="s">
        <v>438</v>
      </c>
      <c r="D2648" s="50" t="s">
        <v>259</v>
      </c>
      <c r="E2648" s="50">
        <v>-1</v>
      </c>
      <c r="F2648" s="51">
        <v>-0.73853714650304214</v>
      </c>
      <c r="G2648" s="51" t="str">
        <v>吉田 2022/08/26 (金)
平日夜間</v>
      </c>
    </row>
    <row r="2649" spans="1:7" ht="16.149999999999999" x14ac:dyDescent="0.7">
      <c r="A2649" s="49">
        <v>44768.591610682866</v>
      </c>
      <c r="B2649" s="50" t="s">
        <v>16</v>
      </c>
      <c r="C2649" s="50" t="s">
        <v>439</v>
      </c>
      <c r="D2649" s="50" t="s">
        <v>263</v>
      </c>
      <c r="E2649" s="50">
        <v>-1</v>
      </c>
      <c r="F2649" s="51">
        <v>-0.70264127665168896</v>
      </c>
      <c r="G2649" s="51" t="str">
        <v>吉田 2022/08/27 (土)
休日午前</v>
      </c>
    </row>
    <row r="2650" spans="1:7" ht="16.149999999999999" x14ac:dyDescent="0.7">
      <c r="A2650" s="49">
        <v>44768.591610682866</v>
      </c>
      <c r="B2650" s="50" t="s">
        <v>16</v>
      </c>
      <c r="C2650" s="50" t="s">
        <v>440</v>
      </c>
      <c r="D2650" s="50" t="s">
        <v>261</v>
      </c>
      <c r="E2650" s="50">
        <v>-1</v>
      </c>
      <c r="F2650" s="51">
        <v>-0.74160310028171716</v>
      </c>
      <c r="G2650" s="51" t="str">
        <v>吉田 2022/08/27 (土)
休日午後</v>
      </c>
    </row>
    <row r="2651" spans="1:7" ht="16.149999999999999" x14ac:dyDescent="0.7">
      <c r="A2651" s="49">
        <v>44768.591610682866</v>
      </c>
      <c r="B2651" s="50" t="s">
        <v>16</v>
      </c>
      <c r="C2651" s="50" t="s">
        <v>441</v>
      </c>
      <c r="D2651" s="50" t="s">
        <v>263</v>
      </c>
      <c r="E2651" s="50">
        <v>-1</v>
      </c>
      <c r="F2651" s="51">
        <v>-0.24825313021662843</v>
      </c>
      <c r="G2651" s="51" t="str">
        <v>吉田 2022/08/28 (日)
休日午前</v>
      </c>
    </row>
    <row r="2652" spans="1:7" ht="16.149999999999999" x14ac:dyDescent="0.7">
      <c r="A2652" s="49">
        <v>44768.591610682866</v>
      </c>
      <c r="B2652" s="50" t="s">
        <v>16</v>
      </c>
      <c r="C2652" s="50" t="s">
        <v>442</v>
      </c>
      <c r="D2652" s="50" t="s">
        <v>261</v>
      </c>
      <c r="E2652" s="50">
        <v>-1</v>
      </c>
      <c r="F2652" s="51">
        <v>-0.71848299621153777</v>
      </c>
      <c r="G2652" s="51" t="str">
        <v>吉田 2022/08/28 (日)
休日午後</v>
      </c>
    </row>
    <row r="2653" spans="1:7" ht="16.149999999999999" x14ac:dyDescent="0.7">
      <c r="A2653" s="49">
        <v>44768.591610682866</v>
      </c>
      <c r="B2653" s="50" t="s">
        <v>16</v>
      </c>
      <c r="C2653" s="50" t="s">
        <v>443</v>
      </c>
      <c r="D2653" s="50" t="s">
        <v>259</v>
      </c>
      <c r="E2653" s="50">
        <v>0</v>
      </c>
      <c r="F2653" s="51">
        <v>6.7561101708513815E-2</v>
      </c>
      <c r="G2653" s="51" t="str">
        <v>吉田 2022/08/29 (月)
平日夜間</v>
      </c>
    </row>
    <row r="2654" spans="1:7" ht="16.149999999999999" x14ac:dyDescent="0.7">
      <c r="A2654" s="49">
        <v>44768.591610682866</v>
      </c>
      <c r="B2654" s="50" t="s">
        <v>16</v>
      </c>
      <c r="C2654" s="50" t="s">
        <v>444</v>
      </c>
      <c r="D2654" s="50" t="s">
        <v>259</v>
      </c>
      <c r="E2654" s="50">
        <v>-1</v>
      </c>
      <c r="F2654" s="51">
        <v>-0.89697763183118773</v>
      </c>
      <c r="G2654" s="51" t="str">
        <v>吉田 2022/08/30 (火)
平日夜間</v>
      </c>
    </row>
    <row r="2655" spans="1:7" ht="16.149999999999999" x14ac:dyDescent="0.7">
      <c r="A2655" s="49">
        <v>44768.591610682866</v>
      </c>
      <c r="B2655" s="50" t="s">
        <v>16</v>
      </c>
      <c r="C2655" s="50" t="s">
        <v>445</v>
      </c>
      <c r="D2655" s="50" t="s">
        <v>259</v>
      </c>
      <c r="E2655" s="50">
        <v>0</v>
      </c>
      <c r="F2655" s="51">
        <v>5.8239105151672188E-2</v>
      </c>
      <c r="G2655" s="51" t="str">
        <v>吉田 2022/08/31 (水)
平日夜間</v>
      </c>
    </row>
    <row r="2656" spans="1:7" ht="16.149999999999999" x14ac:dyDescent="0.7">
      <c r="A2656" s="49">
        <v>44768.637325497686</v>
      </c>
      <c r="B2656" s="50" t="s">
        <v>13</v>
      </c>
      <c r="C2656" s="50" t="s">
        <v>406</v>
      </c>
      <c r="D2656" s="50" t="s">
        <v>259</v>
      </c>
      <c r="E2656" s="50">
        <v>0</v>
      </c>
      <c r="F2656" s="51">
        <v>0.82525702127324574</v>
      </c>
      <c r="G2656" s="51" t="str">
        <v>新美 2022/08/01 (月)
平日夜間</v>
      </c>
    </row>
    <row r="2657" spans="1:7" ht="16.149999999999999" x14ac:dyDescent="0.7">
      <c r="A2657" s="49">
        <v>44768.637325497686</v>
      </c>
      <c r="B2657" s="50" t="s">
        <v>13</v>
      </c>
      <c r="C2657" s="50" t="s">
        <v>407</v>
      </c>
      <c r="D2657" s="50" t="s">
        <v>259</v>
      </c>
      <c r="E2657" s="50">
        <v>-1</v>
      </c>
      <c r="F2657" s="51">
        <v>-0.37871352157621252</v>
      </c>
      <c r="G2657" s="51" t="str">
        <v>新美 2022/08/02 (火)
平日夜間</v>
      </c>
    </row>
    <row r="2658" spans="1:7" ht="16.149999999999999" x14ac:dyDescent="0.7">
      <c r="A2658" s="49">
        <v>44768.637325497686</v>
      </c>
      <c r="B2658" s="50" t="s">
        <v>13</v>
      </c>
      <c r="C2658" s="50" t="s">
        <v>408</v>
      </c>
      <c r="D2658" s="50" t="s">
        <v>259</v>
      </c>
      <c r="E2658" s="50">
        <v>-1</v>
      </c>
      <c r="F2658" s="51">
        <v>-0.42279519161958845</v>
      </c>
      <c r="G2658" s="51" t="str">
        <v>新美 2022/08/03 (水)
平日夜間</v>
      </c>
    </row>
    <row r="2659" spans="1:7" ht="16.149999999999999" x14ac:dyDescent="0.7">
      <c r="A2659" s="49">
        <v>44768.637325497686</v>
      </c>
      <c r="B2659" s="50" t="s">
        <v>13</v>
      </c>
      <c r="C2659" s="50" t="s">
        <v>409</v>
      </c>
      <c r="D2659" s="50" t="s">
        <v>259</v>
      </c>
      <c r="E2659" s="50">
        <v>0</v>
      </c>
      <c r="F2659" s="51">
        <v>7.6736703242337168E-2</v>
      </c>
      <c r="G2659" s="51" t="str">
        <v>新美 2022/08/04 (木)
平日夜間</v>
      </c>
    </row>
    <row r="2660" spans="1:7" ht="16.149999999999999" x14ac:dyDescent="0.7">
      <c r="A2660" s="49">
        <v>44768.637325497686</v>
      </c>
      <c r="B2660" s="50" t="s">
        <v>13</v>
      </c>
      <c r="C2660" s="50" t="s">
        <v>410</v>
      </c>
      <c r="D2660" s="50" t="s">
        <v>259</v>
      </c>
      <c r="E2660" s="50">
        <v>0</v>
      </c>
      <c r="F2660" s="51">
        <v>0.29337069927102366</v>
      </c>
      <c r="G2660" s="51" t="str">
        <v>新美 2022/08/05 (金)
平日夜間</v>
      </c>
    </row>
    <row r="2661" spans="1:7" ht="16.149999999999999" x14ac:dyDescent="0.7">
      <c r="A2661" s="49">
        <v>44768.637325497686</v>
      </c>
      <c r="B2661" s="50" t="s">
        <v>13</v>
      </c>
      <c r="C2661" s="50" t="s">
        <v>411</v>
      </c>
      <c r="D2661" s="50" t="s">
        <v>263</v>
      </c>
      <c r="E2661" s="50">
        <v>0</v>
      </c>
      <c r="F2661" s="51">
        <v>0.19461040638000204</v>
      </c>
      <c r="G2661" s="51" t="str">
        <v>新美 2022/08/06 (土)
休日午前</v>
      </c>
    </row>
    <row r="2662" spans="1:7" ht="16.149999999999999" x14ac:dyDescent="0.7">
      <c r="A2662" s="49">
        <v>44768.637325497686</v>
      </c>
      <c r="B2662" s="50" t="s">
        <v>13</v>
      </c>
      <c r="C2662" s="50" t="s">
        <v>412</v>
      </c>
      <c r="D2662" s="50" t="s">
        <v>261</v>
      </c>
      <c r="E2662" s="50">
        <v>0</v>
      </c>
      <c r="F2662" s="51">
        <v>0.60104774082326107</v>
      </c>
      <c r="G2662" s="51" t="str">
        <v>新美 2022/08/06 (土)
休日午後</v>
      </c>
    </row>
    <row r="2663" spans="1:7" ht="16.149999999999999" x14ac:dyDescent="0.7">
      <c r="A2663" s="49">
        <v>44768.637325497686</v>
      </c>
      <c r="B2663" s="50" t="s">
        <v>13</v>
      </c>
      <c r="C2663" s="50" t="s">
        <v>413</v>
      </c>
      <c r="D2663" s="50" t="s">
        <v>263</v>
      </c>
      <c r="E2663" s="50">
        <v>0</v>
      </c>
      <c r="F2663" s="51">
        <v>0.80614047046552151</v>
      </c>
      <c r="G2663" s="51" t="str">
        <v>新美 2022/08/07 (日)
休日午前</v>
      </c>
    </row>
    <row r="2664" spans="1:7" ht="16.149999999999999" x14ac:dyDescent="0.7">
      <c r="A2664" s="49">
        <v>44768.637325497686</v>
      </c>
      <c r="B2664" s="50" t="s">
        <v>13</v>
      </c>
      <c r="C2664" s="50" t="s">
        <v>414</v>
      </c>
      <c r="D2664" s="50" t="s">
        <v>261</v>
      </c>
      <c r="E2664" s="50">
        <v>0</v>
      </c>
      <c r="F2664" s="51">
        <v>0.59406373630531117</v>
      </c>
      <c r="G2664" s="51" t="str">
        <v>新美 2022/08/07 (日)
休日午後</v>
      </c>
    </row>
    <row r="2665" spans="1:7" ht="16.149999999999999" x14ac:dyDescent="0.7">
      <c r="A2665" s="49">
        <v>44768.637325497686</v>
      </c>
      <c r="B2665" s="50" t="s">
        <v>13</v>
      </c>
      <c r="C2665" s="50" t="s">
        <v>415</v>
      </c>
      <c r="D2665" s="50" t="s">
        <v>259</v>
      </c>
      <c r="E2665" s="50">
        <v>0</v>
      </c>
      <c r="F2665" s="51">
        <v>0.75046284046727485</v>
      </c>
      <c r="G2665" s="51" t="str">
        <v>新美 2022/08/08 (月)
平日夜間</v>
      </c>
    </row>
    <row r="2666" spans="1:7" ht="16.149999999999999" x14ac:dyDescent="0.7">
      <c r="A2666" s="49">
        <v>44768.637325497686</v>
      </c>
      <c r="B2666" s="50" t="s">
        <v>13</v>
      </c>
      <c r="C2666" s="50" t="s">
        <v>416</v>
      </c>
      <c r="D2666" s="50" t="s">
        <v>259</v>
      </c>
      <c r="E2666" s="50">
        <v>0</v>
      </c>
      <c r="F2666" s="51">
        <v>0.60588142418780677</v>
      </c>
      <c r="G2666" s="51" t="str">
        <v>新美 2022/08/09 (火)
平日夜間</v>
      </c>
    </row>
    <row r="2667" spans="1:7" ht="16.149999999999999" x14ac:dyDescent="0.7">
      <c r="A2667" s="49">
        <v>44768.637325497686</v>
      </c>
      <c r="B2667" s="50" t="s">
        <v>13</v>
      </c>
      <c r="C2667" s="50" t="s">
        <v>417</v>
      </c>
      <c r="D2667" s="50" t="s">
        <v>259</v>
      </c>
      <c r="E2667" s="50">
        <v>-1</v>
      </c>
      <c r="F2667" s="51">
        <v>-0.48090137545870926</v>
      </c>
      <c r="G2667" s="51" t="str">
        <v>新美 2022/08/10 (水)
平日夜間</v>
      </c>
    </row>
    <row r="2668" spans="1:7" ht="16.149999999999999" x14ac:dyDescent="0.7">
      <c r="A2668" s="49">
        <v>44768.637325497686</v>
      </c>
      <c r="B2668" s="50" t="s">
        <v>13</v>
      </c>
      <c r="C2668" s="50" t="s">
        <v>418</v>
      </c>
      <c r="D2668" s="50" t="s">
        <v>263</v>
      </c>
      <c r="E2668" s="50">
        <v>-1</v>
      </c>
      <c r="F2668" s="51">
        <v>-5.919947513304713E-3</v>
      </c>
      <c r="G2668" s="51" t="str">
        <v>新美 2022/08/11 (木)
休日午前</v>
      </c>
    </row>
    <row r="2669" spans="1:7" ht="16.149999999999999" x14ac:dyDescent="0.7">
      <c r="A2669" s="49">
        <v>44768.637325497686</v>
      </c>
      <c r="B2669" s="50" t="s">
        <v>13</v>
      </c>
      <c r="C2669" s="50" t="s">
        <v>419</v>
      </c>
      <c r="D2669" s="50" t="s">
        <v>261</v>
      </c>
      <c r="E2669" s="50">
        <v>-1</v>
      </c>
      <c r="F2669" s="51">
        <v>-0.65156291254115728</v>
      </c>
      <c r="G2669" s="51" t="str">
        <v>新美 2022/08/11 (木)
休日午後</v>
      </c>
    </row>
    <row r="2670" spans="1:7" ht="16.149999999999999" x14ac:dyDescent="0.7">
      <c r="A2670" s="49">
        <v>44768.637325497686</v>
      </c>
      <c r="B2670" s="50" t="s">
        <v>13</v>
      </c>
      <c r="C2670" s="50" t="s">
        <v>420</v>
      </c>
      <c r="D2670" s="50" t="s">
        <v>259</v>
      </c>
      <c r="E2670" s="50">
        <v>-1</v>
      </c>
      <c r="F2670" s="51">
        <v>-0.51628460147960076</v>
      </c>
      <c r="G2670" s="51" t="str">
        <v>新美 2022/08/12 (金)
平日夜間</v>
      </c>
    </row>
    <row r="2671" spans="1:7" ht="16.149999999999999" x14ac:dyDescent="0.7">
      <c r="A2671" s="49">
        <v>44768.637325497686</v>
      </c>
      <c r="B2671" s="50" t="s">
        <v>13</v>
      </c>
      <c r="C2671" s="50" t="s">
        <v>421</v>
      </c>
      <c r="D2671" s="50" t="s">
        <v>263</v>
      </c>
      <c r="E2671" s="50">
        <v>-1</v>
      </c>
      <c r="F2671" s="51">
        <v>-0.75184951844640113</v>
      </c>
      <c r="G2671" s="51" t="str">
        <v>新美 2022/08/13 (土)
休日午前</v>
      </c>
    </row>
    <row r="2672" spans="1:7" ht="16.149999999999999" x14ac:dyDescent="0.7">
      <c r="A2672" s="49">
        <v>44768.637325497686</v>
      </c>
      <c r="B2672" s="50" t="s">
        <v>13</v>
      </c>
      <c r="C2672" s="50" t="s">
        <v>422</v>
      </c>
      <c r="D2672" s="50" t="s">
        <v>261</v>
      </c>
      <c r="E2672" s="50">
        <v>-1</v>
      </c>
      <c r="F2672" s="51">
        <v>-0.97006878071306968</v>
      </c>
      <c r="G2672" s="51" t="str">
        <v>新美 2022/08/13 (土)
休日午後</v>
      </c>
    </row>
    <row r="2673" spans="1:7" ht="16.149999999999999" x14ac:dyDescent="0.7">
      <c r="A2673" s="49">
        <v>44768.637325497686</v>
      </c>
      <c r="B2673" s="50" t="s">
        <v>13</v>
      </c>
      <c r="C2673" s="50" t="s">
        <v>423</v>
      </c>
      <c r="D2673" s="50" t="s">
        <v>263</v>
      </c>
      <c r="E2673" s="50">
        <v>-1</v>
      </c>
      <c r="F2673" s="51">
        <v>-6.2930006627389901E-2</v>
      </c>
      <c r="G2673" s="51" t="str">
        <v>新美 2022/08/14 (日)
休日午前</v>
      </c>
    </row>
    <row r="2674" spans="1:7" ht="16.149999999999999" x14ac:dyDescent="0.7">
      <c r="A2674" s="49">
        <v>44768.637325497686</v>
      </c>
      <c r="B2674" s="50" t="s">
        <v>13</v>
      </c>
      <c r="C2674" s="50" t="s">
        <v>424</v>
      </c>
      <c r="D2674" s="50" t="s">
        <v>261</v>
      </c>
      <c r="E2674" s="50">
        <v>-1</v>
      </c>
      <c r="F2674" s="51">
        <v>-0.33064398026751229</v>
      </c>
      <c r="G2674" s="51" t="str">
        <v>新美 2022/08/14 (日)
休日午後</v>
      </c>
    </row>
    <row r="2675" spans="1:7" ht="16.149999999999999" x14ac:dyDescent="0.7">
      <c r="A2675" s="49">
        <v>44768.637325497686</v>
      </c>
      <c r="B2675" s="50" t="s">
        <v>13</v>
      </c>
      <c r="C2675" s="50" t="s">
        <v>425</v>
      </c>
      <c r="D2675" s="50" t="s">
        <v>259</v>
      </c>
      <c r="E2675" s="50">
        <v>-1</v>
      </c>
      <c r="F2675" s="51">
        <v>-0.10402516932025141</v>
      </c>
      <c r="G2675" s="51" t="str">
        <v>新美 2022/08/15 (月)
平日夜間</v>
      </c>
    </row>
    <row r="2676" spans="1:7" ht="16.149999999999999" x14ac:dyDescent="0.7">
      <c r="A2676" s="49">
        <v>44768.637325497686</v>
      </c>
      <c r="B2676" s="50" t="s">
        <v>13</v>
      </c>
      <c r="C2676" s="50" t="s">
        <v>426</v>
      </c>
      <c r="D2676" s="50" t="s">
        <v>259</v>
      </c>
      <c r="E2676" s="50">
        <v>-1</v>
      </c>
      <c r="F2676" s="51">
        <v>-0.49417271489491998</v>
      </c>
      <c r="G2676" s="51" t="str">
        <v>新美 2022/08/16 (火)
平日夜間</v>
      </c>
    </row>
    <row r="2677" spans="1:7" ht="16.149999999999999" x14ac:dyDescent="0.7">
      <c r="A2677" s="49">
        <v>44768.637325497686</v>
      </c>
      <c r="B2677" s="50" t="s">
        <v>13</v>
      </c>
      <c r="C2677" s="50" t="s">
        <v>427</v>
      </c>
      <c r="D2677" s="50" t="s">
        <v>259</v>
      </c>
      <c r="E2677" s="50">
        <v>-1</v>
      </c>
      <c r="F2677" s="51">
        <v>-0.57365071353257968</v>
      </c>
      <c r="G2677" s="51" t="str">
        <v>新美 2022/08/17 (水)
平日夜間</v>
      </c>
    </row>
    <row r="2678" spans="1:7" ht="16.149999999999999" x14ac:dyDescent="0.7">
      <c r="A2678" s="49">
        <v>44768.637325497686</v>
      </c>
      <c r="B2678" s="50" t="s">
        <v>13</v>
      </c>
      <c r="C2678" s="50" t="s">
        <v>428</v>
      </c>
      <c r="D2678" s="50" t="s">
        <v>259</v>
      </c>
      <c r="E2678" s="50">
        <v>0</v>
      </c>
      <c r="F2678" s="51">
        <v>0.13913188119212894</v>
      </c>
      <c r="G2678" s="51" t="str">
        <v>新美 2022/08/18 (木)
平日夜間</v>
      </c>
    </row>
    <row r="2679" spans="1:7" ht="16.149999999999999" x14ac:dyDescent="0.7">
      <c r="A2679" s="49">
        <v>44768.637325497686</v>
      </c>
      <c r="B2679" s="50" t="s">
        <v>13</v>
      </c>
      <c r="C2679" s="50" t="s">
        <v>429</v>
      </c>
      <c r="D2679" s="50" t="s">
        <v>259</v>
      </c>
      <c r="E2679" s="50">
        <v>0</v>
      </c>
      <c r="F2679" s="51">
        <v>3.5883936835548358E-2</v>
      </c>
      <c r="G2679" s="51" t="str">
        <v>新美 2022/08/19 (金)
平日夜間</v>
      </c>
    </row>
    <row r="2680" spans="1:7" ht="16.149999999999999" x14ac:dyDescent="0.7">
      <c r="A2680" s="49">
        <v>44768.637325497686</v>
      </c>
      <c r="B2680" s="50" t="s">
        <v>13</v>
      </c>
      <c r="C2680" s="50" t="s">
        <v>430</v>
      </c>
      <c r="D2680" s="50" t="s">
        <v>263</v>
      </c>
      <c r="E2680" s="50">
        <v>0</v>
      </c>
      <c r="F2680" s="51">
        <v>0.48222164146751045</v>
      </c>
      <c r="G2680" s="51" t="str">
        <v>新美 2022/08/20 (土)
休日午前</v>
      </c>
    </row>
    <row r="2681" spans="1:7" ht="16.149999999999999" x14ac:dyDescent="0.7">
      <c r="A2681" s="49">
        <v>44768.637325497686</v>
      </c>
      <c r="B2681" s="50" t="s">
        <v>13</v>
      </c>
      <c r="C2681" s="50" t="s">
        <v>431</v>
      </c>
      <c r="D2681" s="50" t="s">
        <v>261</v>
      </c>
      <c r="E2681" s="50">
        <v>0</v>
      </c>
      <c r="F2681" s="51">
        <v>0.19444433022445362</v>
      </c>
      <c r="G2681" s="51" t="str">
        <v>新美 2022/08/20 (土)
休日午後</v>
      </c>
    </row>
    <row r="2682" spans="1:7" ht="16.149999999999999" x14ac:dyDescent="0.7">
      <c r="A2682" s="49">
        <v>44768.637325497686</v>
      </c>
      <c r="B2682" s="50" t="s">
        <v>13</v>
      </c>
      <c r="C2682" s="50" t="s">
        <v>432</v>
      </c>
      <c r="D2682" s="50" t="s">
        <v>263</v>
      </c>
      <c r="E2682" s="50">
        <v>-1</v>
      </c>
      <c r="F2682" s="51">
        <v>-0.34584499254665491</v>
      </c>
      <c r="G2682" s="51" t="str">
        <v>新美 2022/08/21 (日)
休日午前</v>
      </c>
    </row>
    <row r="2683" spans="1:7" ht="16.149999999999999" x14ac:dyDescent="0.7">
      <c r="A2683" s="49">
        <v>44768.637325497686</v>
      </c>
      <c r="B2683" s="50" t="s">
        <v>13</v>
      </c>
      <c r="C2683" s="50" t="s">
        <v>433</v>
      </c>
      <c r="D2683" s="50" t="s">
        <v>261</v>
      </c>
      <c r="E2683" s="50">
        <v>-1</v>
      </c>
      <c r="F2683" s="51">
        <v>-0.40926170277224005</v>
      </c>
      <c r="G2683" s="51" t="str">
        <v>新美 2022/08/21 (日)
休日午後</v>
      </c>
    </row>
    <row r="2684" spans="1:7" ht="16.149999999999999" x14ac:dyDescent="0.7">
      <c r="A2684" s="49">
        <v>44768.637325497686</v>
      </c>
      <c r="B2684" s="50" t="s">
        <v>13</v>
      </c>
      <c r="C2684" s="50" t="s">
        <v>434</v>
      </c>
      <c r="D2684" s="50" t="s">
        <v>259</v>
      </c>
      <c r="E2684" s="50">
        <v>0</v>
      </c>
      <c r="F2684" s="51">
        <v>0.95755812778688432</v>
      </c>
      <c r="G2684" s="51" t="str">
        <v>新美 2022/08/22 (月)
平日夜間</v>
      </c>
    </row>
    <row r="2685" spans="1:7" ht="16.149999999999999" x14ac:dyDescent="0.7">
      <c r="A2685" s="49">
        <v>44768.637325497686</v>
      </c>
      <c r="B2685" s="50" t="s">
        <v>13</v>
      </c>
      <c r="C2685" s="50" t="s">
        <v>435</v>
      </c>
      <c r="D2685" s="50" t="s">
        <v>259</v>
      </c>
      <c r="E2685" s="50">
        <v>-1</v>
      </c>
      <c r="F2685" s="51">
        <v>-0.59187471382949286</v>
      </c>
      <c r="G2685" s="51" t="str">
        <v>新美 2022/08/23 (火)
平日夜間</v>
      </c>
    </row>
    <row r="2686" spans="1:7" ht="16.149999999999999" x14ac:dyDescent="0.7">
      <c r="A2686" s="49">
        <v>44768.637325497686</v>
      </c>
      <c r="B2686" s="50" t="s">
        <v>13</v>
      </c>
      <c r="C2686" s="50" t="s">
        <v>436</v>
      </c>
      <c r="D2686" s="50" t="s">
        <v>259</v>
      </c>
      <c r="E2686" s="50">
        <v>-1</v>
      </c>
      <c r="F2686" s="51">
        <v>-0.91888778954323258</v>
      </c>
      <c r="G2686" s="51" t="str">
        <v>新美 2022/08/24 (水)
平日夜間</v>
      </c>
    </row>
    <row r="2687" spans="1:7" ht="16.149999999999999" x14ac:dyDescent="0.7">
      <c r="A2687" s="49">
        <v>44768.637325497686</v>
      </c>
      <c r="B2687" s="50" t="s">
        <v>13</v>
      </c>
      <c r="C2687" s="50" t="s">
        <v>437</v>
      </c>
      <c r="D2687" s="50" t="s">
        <v>259</v>
      </c>
      <c r="E2687" s="50">
        <v>0</v>
      </c>
      <c r="F2687" s="51">
        <v>2.2721868844373105E-3</v>
      </c>
      <c r="G2687" s="51" t="str">
        <v>新美 2022/08/25 (木)
平日夜間</v>
      </c>
    </row>
    <row r="2688" spans="1:7" ht="16.149999999999999" x14ac:dyDescent="0.7">
      <c r="A2688" s="49">
        <v>44768.637325497686</v>
      </c>
      <c r="B2688" s="50" t="s">
        <v>13</v>
      </c>
      <c r="C2688" s="50" t="s">
        <v>438</v>
      </c>
      <c r="D2688" s="50" t="s">
        <v>259</v>
      </c>
      <c r="E2688" s="50">
        <v>0</v>
      </c>
      <c r="F2688" s="51">
        <v>0.68157323923641888</v>
      </c>
      <c r="G2688" s="51" t="str">
        <v>新美 2022/08/26 (金)
平日夜間</v>
      </c>
    </row>
    <row r="2689" spans="1:7" ht="16.149999999999999" x14ac:dyDescent="0.7">
      <c r="A2689" s="49">
        <v>44768.637325497686</v>
      </c>
      <c r="B2689" s="50" t="s">
        <v>13</v>
      </c>
      <c r="C2689" s="50" t="s">
        <v>439</v>
      </c>
      <c r="D2689" s="50" t="s">
        <v>263</v>
      </c>
      <c r="E2689" s="50">
        <v>0</v>
      </c>
      <c r="F2689" s="51">
        <v>0.10065337604329527</v>
      </c>
      <c r="G2689" s="51" t="str">
        <v>新美 2022/08/27 (土)
休日午前</v>
      </c>
    </row>
    <row r="2690" spans="1:7" ht="16.149999999999999" x14ac:dyDescent="0.7">
      <c r="A2690" s="49">
        <v>44768.637325497686</v>
      </c>
      <c r="B2690" s="50" t="s">
        <v>13</v>
      </c>
      <c r="C2690" s="50" t="s">
        <v>440</v>
      </c>
      <c r="D2690" s="50" t="s">
        <v>261</v>
      </c>
      <c r="E2690" s="50">
        <v>0</v>
      </c>
      <c r="F2690" s="51">
        <v>6.3986498802126812E-2</v>
      </c>
      <c r="G2690" s="51" t="str">
        <v>新美 2022/08/27 (土)
休日午後</v>
      </c>
    </row>
    <row r="2691" spans="1:7" ht="16.149999999999999" x14ac:dyDescent="0.7">
      <c r="A2691" s="49">
        <v>44768.637325497686</v>
      </c>
      <c r="B2691" s="50" t="s">
        <v>13</v>
      </c>
      <c r="C2691" s="50" t="s">
        <v>441</v>
      </c>
      <c r="D2691" s="50" t="s">
        <v>263</v>
      </c>
      <c r="E2691" s="50">
        <v>0</v>
      </c>
      <c r="F2691" s="51">
        <v>0.69492503640435288</v>
      </c>
      <c r="G2691" s="51" t="str">
        <v>新美 2022/08/28 (日)
休日午前</v>
      </c>
    </row>
    <row r="2692" spans="1:7" ht="16.149999999999999" x14ac:dyDescent="0.7">
      <c r="A2692" s="49">
        <v>44768.637325497686</v>
      </c>
      <c r="B2692" s="50" t="s">
        <v>13</v>
      </c>
      <c r="C2692" s="50" t="s">
        <v>442</v>
      </c>
      <c r="D2692" s="50" t="s">
        <v>261</v>
      </c>
      <c r="E2692" s="50">
        <v>0</v>
      </c>
      <c r="F2692" s="51">
        <v>0.91150036867422735</v>
      </c>
      <c r="G2692" s="51" t="str">
        <v>新美 2022/08/28 (日)
休日午後</v>
      </c>
    </row>
    <row r="2693" spans="1:7" ht="16.149999999999999" x14ac:dyDescent="0.7">
      <c r="A2693" s="49">
        <v>44768.637325497686</v>
      </c>
      <c r="B2693" s="50" t="s">
        <v>13</v>
      </c>
      <c r="C2693" s="50" t="s">
        <v>443</v>
      </c>
      <c r="D2693" s="50" t="s">
        <v>259</v>
      </c>
      <c r="E2693" s="50">
        <v>0</v>
      </c>
      <c r="F2693" s="51">
        <v>0.58993027346703353</v>
      </c>
      <c r="G2693" s="51" t="str">
        <v>新美 2022/08/29 (月)
平日夜間</v>
      </c>
    </row>
    <row r="2694" spans="1:7" ht="16.149999999999999" x14ac:dyDescent="0.7">
      <c r="A2694" s="49">
        <v>44768.637325497686</v>
      </c>
      <c r="B2694" s="50" t="s">
        <v>13</v>
      </c>
      <c r="C2694" s="50" t="s">
        <v>444</v>
      </c>
      <c r="D2694" s="50" t="s">
        <v>259</v>
      </c>
      <c r="E2694" s="50">
        <v>0</v>
      </c>
      <c r="F2694" s="51">
        <v>0.31784119411082901</v>
      </c>
      <c r="G2694" s="51" t="str">
        <v>新美 2022/08/30 (火)
平日夜間</v>
      </c>
    </row>
    <row r="2695" spans="1:7" ht="16.149999999999999" x14ac:dyDescent="0.7">
      <c r="A2695" s="49">
        <v>44768.637325497686</v>
      </c>
      <c r="B2695" s="50" t="s">
        <v>13</v>
      </c>
      <c r="C2695" s="50" t="s">
        <v>445</v>
      </c>
      <c r="D2695" s="50" t="s">
        <v>259</v>
      </c>
      <c r="E2695" s="50">
        <v>-1</v>
      </c>
      <c r="F2695" s="51">
        <v>-0.84612275601877784</v>
      </c>
      <c r="G2695" s="51" t="str">
        <v>新美 2022/08/31 (水)
平日夜間</v>
      </c>
    </row>
    <row r="2696" spans="1:7" ht="16.149999999999999" x14ac:dyDescent="0.7">
      <c r="A2696" s="49">
        <v>44768.653625069448</v>
      </c>
      <c r="B2696" s="50" t="s">
        <v>30</v>
      </c>
      <c r="C2696" s="50" t="s">
        <v>406</v>
      </c>
      <c r="D2696" s="50" t="s">
        <v>259</v>
      </c>
      <c r="E2696" s="50">
        <v>-1</v>
      </c>
      <c r="F2696" s="51">
        <v>-0.25011102845937927</v>
      </c>
      <c r="G2696" s="51" t="str">
        <v>柴山 2022/08/01 (月)
平日夜間</v>
      </c>
    </row>
    <row r="2697" spans="1:7" ht="16.149999999999999" x14ac:dyDescent="0.7">
      <c r="A2697" s="49">
        <v>44768.653625069448</v>
      </c>
      <c r="B2697" s="50" t="s">
        <v>30</v>
      </c>
      <c r="C2697" s="50" t="s">
        <v>407</v>
      </c>
      <c r="D2697" s="50" t="s">
        <v>259</v>
      </c>
      <c r="E2697" s="50">
        <v>0</v>
      </c>
      <c r="F2697" s="51">
        <v>0.27002509960556353</v>
      </c>
      <c r="G2697" s="51" t="str">
        <v>柴山 2022/08/02 (火)
平日夜間</v>
      </c>
    </row>
    <row r="2698" spans="1:7" ht="16.149999999999999" x14ac:dyDescent="0.7">
      <c r="A2698" s="49">
        <v>44768.653625069448</v>
      </c>
      <c r="B2698" s="50" t="s">
        <v>30</v>
      </c>
      <c r="C2698" s="50" t="s">
        <v>408</v>
      </c>
      <c r="D2698" s="50" t="s">
        <v>259</v>
      </c>
      <c r="E2698" s="50">
        <v>-1</v>
      </c>
      <c r="F2698" s="51">
        <v>-4.7230954659957192E-2</v>
      </c>
      <c r="G2698" s="51" t="str">
        <v>柴山 2022/08/03 (水)
平日夜間</v>
      </c>
    </row>
    <row r="2699" spans="1:7" ht="16.149999999999999" x14ac:dyDescent="0.7">
      <c r="A2699" s="49">
        <v>44768.653625069448</v>
      </c>
      <c r="B2699" s="50" t="s">
        <v>30</v>
      </c>
      <c r="C2699" s="50" t="s">
        <v>409</v>
      </c>
      <c r="D2699" s="50" t="s">
        <v>259</v>
      </c>
      <c r="E2699" s="50">
        <v>-1</v>
      </c>
      <c r="F2699" s="51">
        <v>-0.23376685989307511</v>
      </c>
      <c r="G2699" s="51" t="str">
        <v>柴山 2022/08/04 (木)
平日夜間</v>
      </c>
    </row>
    <row r="2700" spans="1:7" ht="16.149999999999999" x14ac:dyDescent="0.7">
      <c r="A2700" s="49">
        <v>44768.653625069448</v>
      </c>
      <c r="B2700" s="50" t="s">
        <v>30</v>
      </c>
      <c r="C2700" s="50" t="s">
        <v>410</v>
      </c>
      <c r="D2700" s="50" t="s">
        <v>259</v>
      </c>
      <c r="E2700" s="50">
        <v>-1</v>
      </c>
      <c r="F2700" s="51">
        <v>-8.9239374310703612E-2</v>
      </c>
      <c r="G2700" s="51" t="str">
        <v>柴山 2022/08/05 (金)
平日夜間</v>
      </c>
    </row>
    <row r="2701" spans="1:7" ht="16.149999999999999" x14ac:dyDescent="0.7">
      <c r="A2701" s="49">
        <v>44768.653625069448</v>
      </c>
      <c r="B2701" s="50" t="s">
        <v>30</v>
      </c>
      <c r="C2701" s="50" t="s">
        <v>411</v>
      </c>
      <c r="D2701" s="50" t="s">
        <v>263</v>
      </c>
      <c r="E2701" s="50">
        <v>0</v>
      </c>
      <c r="F2701" s="51">
        <v>2.4835249110407798E-2</v>
      </c>
      <c r="G2701" s="51" t="str">
        <v>柴山 2022/08/06 (土)
休日午前</v>
      </c>
    </row>
    <row r="2702" spans="1:7" ht="16.149999999999999" x14ac:dyDescent="0.7">
      <c r="A2702" s="49">
        <v>44768.653625069448</v>
      </c>
      <c r="B2702" s="50" t="s">
        <v>30</v>
      </c>
      <c r="C2702" s="50" t="s">
        <v>412</v>
      </c>
      <c r="D2702" s="50" t="s">
        <v>261</v>
      </c>
      <c r="E2702" s="50">
        <v>-1</v>
      </c>
      <c r="F2702" s="51">
        <v>-0.57420474175048275</v>
      </c>
      <c r="G2702" s="51" t="str">
        <v>柴山 2022/08/06 (土)
休日午後</v>
      </c>
    </row>
    <row r="2703" spans="1:7" ht="16.149999999999999" x14ac:dyDescent="0.7">
      <c r="A2703" s="49">
        <v>44768.653625069448</v>
      </c>
      <c r="B2703" s="50" t="s">
        <v>30</v>
      </c>
      <c r="C2703" s="50" t="s">
        <v>413</v>
      </c>
      <c r="D2703" s="50" t="s">
        <v>263</v>
      </c>
      <c r="E2703" s="50">
        <v>-1</v>
      </c>
      <c r="F2703" s="51">
        <v>-0.69269273898506856</v>
      </c>
      <c r="G2703" s="51" t="str">
        <v>柴山 2022/08/07 (日)
休日午前</v>
      </c>
    </row>
    <row r="2704" spans="1:7" ht="16.149999999999999" x14ac:dyDescent="0.7">
      <c r="A2704" s="49">
        <v>44768.653625069448</v>
      </c>
      <c r="B2704" s="50" t="s">
        <v>30</v>
      </c>
      <c r="C2704" s="50" t="s">
        <v>414</v>
      </c>
      <c r="D2704" s="50" t="s">
        <v>261</v>
      </c>
      <c r="E2704" s="50">
        <v>-1</v>
      </c>
      <c r="F2704" s="51">
        <v>-0.25466208281206315</v>
      </c>
      <c r="G2704" s="51" t="str">
        <v>柴山 2022/08/07 (日)
休日午後</v>
      </c>
    </row>
    <row r="2705" spans="1:7" ht="16.149999999999999" x14ac:dyDescent="0.7">
      <c r="A2705" s="49">
        <v>44768.653625069448</v>
      </c>
      <c r="B2705" s="50" t="s">
        <v>30</v>
      </c>
      <c r="C2705" s="50" t="s">
        <v>415</v>
      </c>
      <c r="D2705" s="50" t="s">
        <v>259</v>
      </c>
      <c r="E2705" s="50">
        <v>-1</v>
      </c>
      <c r="F2705" s="51">
        <v>-0.79947069138804561</v>
      </c>
      <c r="G2705" s="51" t="str">
        <v>柴山 2022/08/08 (月)
平日夜間</v>
      </c>
    </row>
    <row r="2706" spans="1:7" ht="16.149999999999999" x14ac:dyDescent="0.7">
      <c r="A2706" s="49">
        <v>44768.653625069448</v>
      </c>
      <c r="B2706" s="50" t="s">
        <v>30</v>
      </c>
      <c r="C2706" s="50" t="s">
        <v>416</v>
      </c>
      <c r="D2706" s="50" t="s">
        <v>259</v>
      </c>
      <c r="E2706" s="50">
        <v>0</v>
      </c>
      <c r="F2706" s="51">
        <v>0.5824442023890859</v>
      </c>
      <c r="G2706" s="51" t="str">
        <v>柴山 2022/08/09 (火)
平日夜間</v>
      </c>
    </row>
    <row r="2707" spans="1:7" ht="16.149999999999999" x14ac:dyDescent="0.7">
      <c r="A2707" s="49">
        <v>44768.653625069448</v>
      </c>
      <c r="B2707" s="50" t="s">
        <v>30</v>
      </c>
      <c r="C2707" s="50" t="s">
        <v>417</v>
      </c>
      <c r="D2707" s="50" t="s">
        <v>259</v>
      </c>
      <c r="E2707" s="50">
        <v>-1</v>
      </c>
      <c r="F2707" s="51">
        <v>-0.99107067099326707</v>
      </c>
      <c r="G2707" s="51" t="str">
        <v>柴山 2022/08/10 (水)
平日夜間</v>
      </c>
    </row>
    <row r="2708" spans="1:7" ht="16.149999999999999" x14ac:dyDescent="0.7">
      <c r="A2708" s="49">
        <v>44768.653625069448</v>
      </c>
      <c r="B2708" s="50" t="s">
        <v>30</v>
      </c>
      <c r="C2708" s="50" t="s">
        <v>418</v>
      </c>
      <c r="D2708" s="50" t="s">
        <v>263</v>
      </c>
      <c r="E2708" s="50">
        <v>0</v>
      </c>
      <c r="F2708" s="51">
        <v>0.14944335123347008</v>
      </c>
      <c r="G2708" s="51" t="str">
        <v>柴山 2022/08/11 (木)
休日午前</v>
      </c>
    </row>
    <row r="2709" spans="1:7" ht="16.149999999999999" x14ac:dyDescent="0.7">
      <c r="A2709" s="49">
        <v>44768.653625069448</v>
      </c>
      <c r="B2709" s="50" t="s">
        <v>30</v>
      </c>
      <c r="C2709" s="50" t="s">
        <v>419</v>
      </c>
      <c r="D2709" s="50" t="s">
        <v>261</v>
      </c>
      <c r="E2709" s="50">
        <v>-1</v>
      </c>
      <c r="F2709" s="51">
        <v>-0.63393134170038357</v>
      </c>
      <c r="G2709" s="51" t="str">
        <v>柴山 2022/08/11 (木)
休日午後</v>
      </c>
    </row>
    <row r="2710" spans="1:7" ht="16.149999999999999" x14ac:dyDescent="0.7">
      <c r="A2710" s="49">
        <v>44768.653625069448</v>
      </c>
      <c r="B2710" s="50" t="s">
        <v>30</v>
      </c>
      <c r="C2710" s="50" t="s">
        <v>420</v>
      </c>
      <c r="D2710" s="50" t="s">
        <v>259</v>
      </c>
      <c r="E2710" s="50">
        <v>0</v>
      </c>
      <c r="F2710" s="51">
        <v>0.53310906307649186</v>
      </c>
      <c r="G2710" s="51" t="str">
        <v>柴山 2022/08/12 (金)
平日夜間</v>
      </c>
    </row>
    <row r="2711" spans="1:7" ht="16.149999999999999" x14ac:dyDescent="0.7">
      <c r="A2711" s="49">
        <v>44768.653625069448</v>
      </c>
      <c r="B2711" s="50" t="s">
        <v>30</v>
      </c>
      <c r="C2711" s="50" t="s">
        <v>421</v>
      </c>
      <c r="D2711" s="50" t="s">
        <v>263</v>
      </c>
      <c r="E2711" s="50">
        <v>0</v>
      </c>
      <c r="F2711" s="51">
        <v>0.97900142488792263</v>
      </c>
      <c r="G2711" s="51" t="str">
        <v>柴山 2022/08/13 (土)
休日午前</v>
      </c>
    </row>
    <row r="2712" spans="1:7" ht="16.149999999999999" x14ac:dyDescent="0.7">
      <c r="A2712" s="49">
        <v>44768.653625069448</v>
      </c>
      <c r="B2712" s="50" t="s">
        <v>30</v>
      </c>
      <c r="C2712" s="50" t="s">
        <v>422</v>
      </c>
      <c r="D2712" s="50" t="s">
        <v>261</v>
      </c>
      <c r="E2712" s="50">
        <v>-1</v>
      </c>
      <c r="F2712" s="51">
        <v>-9.7097923159382704E-2</v>
      </c>
      <c r="G2712" s="51" t="str">
        <v>柴山 2022/08/13 (土)
休日午後</v>
      </c>
    </row>
    <row r="2713" spans="1:7" ht="16.149999999999999" x14ac:dyDescent="0.7">
      <c r="A2713" s="49">
        <v>44768.653625069448</v>
      </c>
      <c r="B2713" s="50" t="s">
        <v>30</v>
      </c>
      <c r="C2713" s="50" t="s">
        <v>423</v>
      </c>
      <c r="D2713" s="50" t="s">
        <v>263</v>
      </c>
      <c r="E2713" s="50">
        <v>0</v>
      </c>
      <c r="F2713" s="51">
        <v>0.65057095661290187</v>
      </c>
      <c r="G2713" s="51" t="str">
        <v>柴山 2022/08/14 (日)
休日午前</v>
      </c>
    </row>
    <row r="2714" spans="1:7" ht="16.149999999999999" x14ac:dyDescent="0.7">
      <c r="A2714" s="49">
        <v>44768.653625069448</v>
      </c>
      <c r="B2714" s="50" t="s">
        <v>30</v>
      </c>
      <c r="C2714" s="50" t="s">
        <v>424</v>
      </c>
      <c r="D2714" s="50" t="s">
        <v>261</v>
      </c>
      <c r="E2714" s="50">
        <v>-1</v>
      </c>
      <c r="F2714" s="51">
        <v>-0.10205416174606863</v>
      </c>
      <c r="G2714" s="51" t="str">
        <v>柴山 2022/08/14 (日)
休日午後</v>
      </c>
    </row>
    <row r="2715" spans="1:7" ht="16.149999999999999" x14ac:dyDescent="0.7">
      <c r="A2715" s="49">
        <v>44768.653625069448</v>
      </c>
      <c r="B2715" s="50" t="s">
        <v>30</v>
      </c>
      <c r="C2715" s="50" t="s">
        <v>425</v>
      </c>
      <c r="D2715" s="50" t="s">
        <v>259</v>
      </c>
      <c r="E2715" s="50">
        <v>0</v>
      </c>
      <c r="F2715" s="51">
        <v>0.85438318267720059</v>
      </c>
      <c r="G2715" s="51" t="str">
        <v>柴山 2022/08/15 (月)
平日夜間</v>
      </c>
    </row>
    <row r="2716" spans="1:7" ht="16.149999999999999" x14ac:dyDescent="0.7">
      <c r="A2716" s="49">
        <v>44768.653625069448</v>
      </c>
      <c r="B2716" s="50" t="s">
        <v>30</v>
      </c>
      <c r="C2716" s="50" t="s">
        <v>426</v>
      </c>
      <c r="D2716" s="50" t="s">
        <v>259</v>
      </c>
      <c r="E2716" s="50">
        <v>0</v>
      </c>
      <c r="F2716" s="51">
        <v>4.3638849770854637E-2</v>
      </c>
      <c r="G2716" s="51" t="str">
        <v>柴山 2022/08/16 (火)
平日夜間</v>
      </c>
    </row>
    <row r="2717" spans="1:7" ht="16.149999999999999" x14ac:dyDescent="0.7">
      <c r="A2717" s="49">
        <v>44768.653625069448</v>
      </c>
      <c r="B2717" s="50" t="s">
        <v>30</v>
      </c>
      <c r="C2717" s="50" t="s">
        <v>427</v>
      </c>
      <c r="D2717" s="50" t="s">
        <v>259</v>
      </c>
      <c r="E2717" s="50">
        <v>0</v>
      </c>
      <c r="F2717" s="51">
        <v>0.24834095593561956</v>
      </c>
      <c r="G2717" s="51" t="str">
        <v>柴山 2022/08/17 (水)
平日夜間</v>
      </c>
    </row>
    <row r="2718" spans="1:7" ht="16.149999999999999" x14ac:dyDescent="0.7">
      <c r="A2718" s="49">
        <v>44768.653625069448</v>
      </c>
      <c r="B2718" s="50" t="s">
        <v>30</v>
      </c>
      <c r="C2718" s="50" t="s">
        <v>428</v>
      </c>
      <c r="D2718" s="50" t="s">
        <v>259</v>
      </c>
      <c r="E2718" s="50">
        <v>0</v>
      </c>
      <c r="F2718" s="51">
        <v>0.57528789713731965</v>
      </c>
      <c r="G2718" s="51" t="str">
        <v>柴山 2022/08/18 (木)
平日夜間</v>
      </c>
    </row>
    <row r="2719" spans="1:7" ht="16.149999999999999" x14ac:dyDescent="0.7">
      <c r="A2719" s="49">
        <v>44768.653625069448</v>
      </c>
      <c r="B2719" s="50" t="s">
        <v>30</v>
      </c>
      <c r="C2719" s="50" t="s">
        <v>429</v>
      </c>
      <c r="D2719" s="50" t="s">
        <v>259</v>
      </c>
      <c r="E2719" s="50">
        <v>0</v>
      </c>
      <c r="F2719" s="51">
        <v>6.7154853553899052E-2</v>
      </c>
      <c r="G2719" s="51" t="str">
        <v>柴山 2022/08/19 (金)
平日夜間</v>
      </c>
    </row>
    <row r="2720" spans="1:7" ht="16.149999999999999" x14ac:dyDescent="0.7">
      <c r="A2720" s="49">
        <v>44768.653625069448</v>
      </c>
      <c r="B2720" s="50" t="s">
        <v>30</v>
      </c>
      <c r="C2720" s="50" t="s">
        <v>430</v>
      </c>
      <c r="D2720" s="50" t="s">
        <v>263</v>
      </c>
      <c r="E2720" s="50">
        <v>-1</v>
      </c>
      <c r="F2720" s="51">
        <v>-0.94657009101722123</v>
      </c>
      <c r="G2720" s="51" t="str">
        <v>柴山 2022/08/20 (土)
休日午前</v>
      </c>
    </row>
    <row r="2721" spans="1:7" ht="16.149999999999999" x14ac:dyDescent="0.7">
      <c r="A2721" s="49">
        <v>44768.653625069448</v>
      </c>
      <c r="B2721" s="50" t="s">
        <v>30</v>
      </c>
      <c r="C2721" s="50" t="s">
        <v>431</v>
      </c>
      <c r="D2721" s="50" t="s">
        <v>261</v>
      </c>
      <c r="E2721" s="50">
        <v>-1</v>
      </c>
      <c r="F2721" s="51">
        <v>-0.33073166395161557</v>
      </c>
      <c r="G2721" s="51" t="str">
        <v>柴山 2022/08/20 (土)
休日午後</v>
      </c>
    </row>
    <row r="2722" spans="1:7" ht="16.149999999999999" x14ac:dyDescent="0.7">
      <c r="A2722" s="49">
        <v>44768.653625069448</v>
      </c>
      <c r="B2722" s="50" t="s">
        <v>30</v>
      </c>
      <c r="C2722" s="50" t="s">
        <v>432</v>
      </c>
      <c r="D2722" s="50" t="s">
        <v>263</v>
      </c>
      <c r="E2722" s="50">
        <v>0</v>
      </c>
      <c r="F2722" s="51">
        <v>0.97930078035933543</v>
      </c>
      <c r="G2722" s="51" t="str">
        <v>柴山 2022/08/21 (日)
休日午前</v>
      </c>
    </row>
    <row r="2723" spans="1:7" ht="16.149999999999999" x14ac:dyDescent="0.7">
      <c r="A2723" s="49">
        <v>44768.653625069448</v>
      </c>
      <c r="B2723" s="50" t="s">
        <v>30</v>
      </c>
      <c r="C2723" s="50" t="s">
        <v>433</v>
      </c>
      <c r="D2723" s="50" t="s">
        <v>261</v>
      </c>
      <c r="E2723" s="50">
        <v>-1</v>
      </c>
      <c r="F2723" s="51">
        <v>-0.33917272426050071</v>
      </c>
      <c r="G2723" s="51" t="str">
        <v>柴山 2022/08/21 (日)
休日午後</v>
      </c>
    </row>
    <row r="2724" spans="1:7" ht="16.149999999999999" x14ac:dyDescent="0.7">
      <c r="A2724" s="49">
        <v>44768.653625069448</v>
      </c>
      <c r="B2724" s="50" t="s">
        <v>30</v>
      </c>
      <c r="C2724" s="50" t="s">
        <v>434</v>
      </c>
      <c r="D2724" s="50" t="s">
        <v>259</v>
      </c>
      <c r="E2724" s="50">
        <v>0</v>
      </c>
      <c r="F2724" s="51">
        <v>0.76206440504395467</v>
      </c>
      <c r="G2724" s="51" t="str">
        <v>柴山 2022/08/22 (月)
平日夜間</v>
      </c>
    </row>
    <row r="2725" spans="1:7" ht="16.149999999999999" x14ac:dyDescent="0.7">
      <c r="A2725" s="49">
        <v>44768.653625069448</v>
      </c>
      <c r="B2725" s="50" t="s">
        <v>30</v>
      </c>
      <c r="C2725" s="50" t="s">
        <v>435</v>
      </c>
      <c r="D2725" s="50" t="s">
        <v>259</v>
      </c>
      <c r="E2725" s="50">
        <v>-1</v>
      </c>
      <c r="F2725" s="51">
        <v>-0.45607294095016315</v>
      </c>
      <c r="G2725" s="51" t="str">
        <v>柴山 2022/08/23 (火)
平日夜間</v>
      </c>
    </row>
    <row r="2726" spans="1:7" ht="16.149999999999999" x14ac:dyDescent="0.7">
      <c r="A2726" s="49">
        <v>44768.653625069448</v>
      </c>
      <c r="B2726" s="50" t="s">
        <v>30</v>
      </c>
      <c r="C2726" s="50" t="s">
        <v>436</v>
      </c>
      <c r="D2726" s="50" t="s">
        <v>259</v>
      </c>
      <c r="E2726" s="50">
        <v>0</v>
      </c>
      <c r="F2726" s="51">
        <v>0.60155914064587135</v>
      </c>
      <c r="G2726" s="51" t="str">
        <v>柴山 2022/08/24 (水)
平日夜間</v>
      </c>
    </row>
    <row r="2727" spans="1:7" ht="16.149999999999999" x14ac:dyDescent="0.7">
      <c r="A2727" s="49">
        <v>44768.653625069448</v>
      </c>
      <c r="B2727" s="50" t="s">
        <v>30</v>
      </c>
      <c r="C2727" s="50" t="s">
        <v>437</v>
      </c>
      <c r="D2727" s="50" t="s">
        <v>259</v>
      </c>
      <c r="E2727" s="50">
        <v>0</v>
      </c>
      <c r="F2727" s="51">
        <v>0.70607169251910595</v>
      </c>
      <c r="G2727" s="51" t="str">
        <v>柴山 2022/08/25 (木)
平日夜間</v>
      </c>
    </row>
    <row r="2728" spans="1:7" ht="16.149999999999999" x14ac:dyDescent="0.7">
      <c r="A2728" s="49">
        <v>44768.653625069448</v>
      </c>
      <c r="B2728" s="50" t="s">
        <v>30</v>
      </c>
      <c r="C2728" s="50" t="s">
        <v>438</v>
      </c>
      <c r="D2728" s="50" t="s">
        <v>259</v>
      </c>
      <c r="E2728" s="50">
        <v>0</v>
      </c>
      <c r="F2728" s="51">
        <v>0.90112206878464307</v>
      </c>
      <c r="G2728" s="51" t="str">
        <v>柴山 2022/08/26 (金)
平日夜間</v>
      </c>
    </row>
    <row r="2729" spans="1:7" ht="16.149999999999999" x14ac:dyDescent="0.7">
      <c r="A2729" s="49">
        <v>44768.653625069448</v>
      </c>
      <c r="B2729" s="50" t="s">
        <v>30</v>
      </c>
      <c r="C2729" s="50" t="s">
        <v>439</v>
      </c>
      <c r="D2729" s="50" t="s">
        <v>263</v>
      </c>
      <c r="E2729" s="50">
        <v>0</v>
      </c>
      <c r="F2729" s="51">
        <v>0.17830175151895244</v>
      </c>
      <c r="G2729" s="51" t="str">
        <v>柴山 2022/08/27 (土)
休日午前</v>
      </c>
    </row>
    <row r="2730" spans="1:7" ht="16.149999999999999" x14ac:dyDescent="0.7">
      <c r="A2730" s="49">
        <v>44768.653625069448</v>
      </c>
      <c r="B2730" s="50" t="s">
        <v>30</v>
      </c>
      <c r="C2730" s="50" t="s">
        <v>440</v>
      </c>
      <c r="D2730" s="50" t="s">
        <v>261</v>
      </c>
      <c r="E2730" s="50">
        <v>-1</v>
      </c>
      <c r="F2730" s="51">
        <v>-3.8292975527308259E-2</v>
      </c>
      <c r="G2730" s="51" t="str">
        <v>柴山 2022/08/27 (土)
休日午後</v>
      </c>
    </row>
    <row r="2731" spans="1:7" ht="16.149999999999999" x14ac:dyDescent="0.7">
      <c r="A2731" s="49">
        <v>44768.653625069448</v>
      </c>
      <c r="B2731" s="50" t="s">
        <v>30</v>
      </c>
      <c r="C2731" s="50" t="s">
        <v>441</v>
      </c>
      <c r="D2731" s="50" t="s">
        <v>263</v>
      </c>
      <c r="E2731" s="50">
        <v>0</v>
      </c>
      <c r="F2731" s="51">
        <v>0.12896370635450083</v>
      </c>
      <c r="G2731" s="51" t="str">
        <v>柴山 2022/08/28 (日)
休日午前</v>
      </c>
    </row>
    <row r="2732" spans="1:7" ht="16.149999999999999" x14ac:dyDescent="0.7">
      <c r="A2732" s="49">
        <v>44768.653625069448</v>
      </c>
      <c r="B2732" s="50" t="s">
        <v>30</v>
      </c>
      <c r="C2732" s="50" t="s">
        <v>442</v>
      </c>
      <c r="D2732" s="50" t="s">
        <v>261</v>
      </c>
      <c r="E2732" s="50">
        <v>-1</v>
      </c>
      <c r="F2732" s="51">
        <v>-0.91410651672620991</v>
      </c>
      <c r="G2732" s="51" t="str">
        <v>柴山 2022/08/28 (日)
休日午後</v>
      </c>
    </row>
    <row r="2733" spans="1:7" ht="16.149999999999999" x14ac:dyDescent="0.7">
      <c r="A2733" s="49">
        <v>44768.653625069448</v>
      </c>
      <c r="B2733" s="50" t="s">
        <v>30</v>
      </c>
      <c r="C2733" s="50" t="s">
        <v>443</v>
      </c>
      <c r="D2733" s="50" t="s">
        <v>259</v>
      </c>
      <c r="E2733" s="50">
        <v>2</v>
      </c>
      <c r="F2733" s="51">
        <v>2.1955423387441044</v>
      </c>
      <c r="G2733" s="51" t="str">
        <v>柴山 2022/08/29 (月)
平日夜間</v>
      </c>
    </row>
    <row r="2734" spans="1:7" ht="16.149999999999999" x14ac:dyDescent="0.7">
      <c r="A2734" s="49">
        <v>44768.653625069448</v>
      </c>
      <c r="B2734" s="50" t="s">
        <v>30</v>
      </c>
      <c r="C2734" s="50" t="s">
        <v>444</v>
      </c>
      <c r="D2734" s="50" t="s">
        <v>259</v>
      </c>
      <c r="E2734" s="50">
        <v>0</v>
      </c>
      <c r="F2734" s="51">
        <v>0.41256216840647308</v>
      </c>
      <c r="G2734" s="51" t="str">
        <v>柴山 2022/08/30 (火)
平日夜間</v>
      </c>
    </row>
    <row r="2735" spans="1:7" ht="16.149999999999999" x14ac:dyDescent="0.7">
      <c r="A2735" s="49">
        <v>44768.653625069448</v>
      </c>
      <c r="B2735" s="50" t="s">
        <v>30</v>
      </c>
      <c r="C2735" s="50" t="s">
        <v>445</v>
      </c>
      <c r="D2735" s="50" t="s">
        <v>259</v>
      </c>
      <c r="E2735" s="50">
        <v>0</v>
      </c>
      <c r="F2735" s="51">
        <v>7.897537941999655E-3</v>
      </c>
      <c r="G2735" s="51" t="str">
        <v>柴山 2022/08/31 (水)
平日夜間</v>
      </c>
    </row>
    <row r="2736" spans="1:7" ht="16.149999999999999" x14ac:dyDescent="0.7">
      <c r="A2736" s="49">
        <v>44768.657440254625</v>
      </c>
      <c r="B2736" s="50" t="s">
        <v>15</v>
      </c>
      <c r="C2736" s="50" t="s">
        <v>406</v>
      </c>
      <c r="D2736" s="50" t="s">
        <v>259</v>
      </c>
      <c r="E2736" s="50">
        <v>-1</v>
      </c>
      <c r="F2736" s="51">
        <v>-0.96561303551939059</v>
      </c>
      <c r="G2736" s="51" t="str">
        <v>太良 2022/08/01 (月)
平日夜間</v>
      </c>
    </row>
    <row r="2737" spans="1:7" ht="16.149999999999999" x14ac:dyDescent="0.7">
      <c r="A2737" s="49">
        <v>44768.657440254625</v>
      </c>
      <c r="B2737" s="50" t="s">
        <v>15</v>
      </c>
      <c r="C2737" s="50" t="s">
        <v>407</v>
      </c>
      <c r="D2737" s="50" t="s">
        <v>259</v>
      </c>
      <c r="E2737" s="50">
        <v>0</v>
      </c>
      <c r="F2737" s="51">
        <v>0.83963659292245985</v>
      </c>
      <c r="G2737" s="51" t="str">
        <v>太良 2022/08/02 (火)
平日夜間</v>
      </c>
    </row>
    <row r="2738" spans="1:7" ht="16.149999999999999" x14ac:dyDescent="0.7">
      <c r="A2738" s="49">
        <v>44768.657440254625</v>
      </c>
      <c r="B2738" s="50" t="s">
        <v>15</v>
      </c>
      <c r="C2738" s="50" t="s">
        <v>408</v>
      </c>
      <c r="D2738" s="50" t="s">
        <v>259</v>
      </c>
      <c r="E2738" s="50">
        <v>0</v>
      </c>
      <c r="F2738" s="51">
        <v>0.1891666568457071</v>
      </c>
      <c r="G2738" s="51" t="str">
        <v>太良 2022/08/03 (水)
平日夜間</v>
      </c>
    </row>
    <row r="2739" spans="1:7" ht="16.149999999999999" x14ac:dyDescent="0.7">
      <c r="A2739" s="49">
        <v>44768.657440254625</v>
      </c>
      <c r="B2739" s="50" t="s">
        <v>15</v>
      </c>
      <c r="C2739" s="50" t="s">
        <v>409</v>
      </c>
      <c r="D2739" s="50" t="s">
        <v>259</v>
      </c>
      <c r="E2739" s="50">
        <v>-1</v>
      </c>
      <c r="F2739" s="51">
        <v>-5.8572042911160471E-2</v>
      </c>
      <c r="G2739" s="51" t="str">
        <v>太良 2022/08/04 (木)
平日夜間</v>
      </c>
    </row>
    <row r="2740" spans="1:7" ht="16.149999999999999" x14ac:dyDescent="0.7">
      <c r="A2740" s="49">
        <v>44768.657440254625</v>
      </c>
      <c r="B2740" s="50" t="s">
        <v>15</v>
      </c>
      <c r="C2740" s="50" t="s">
        <v>410</v>
      </c>
      <c r="D2740" s="50" t="s">
        <v>259</v>
      </c>
      <c r="E2740" s="50">
        <v>-1</v>
      </c>
      <c r="F2740" s="51">
        <v>-0.59534625383942208</v>
      </c>
      <c r="G2740" s="51" t="str">
        <v>太良 2022/08/05 (金)
平日夜間</v>
      </c>
    </row>
    <row r="2741" spans="1:7" ht="16.149999999999999" x14ac:dyDescent="0.7">
      <c r="A2741" s="49">
        <v>44768.657440254625</v>
      </c>
      <c r="B2741" s="50" t="s">
        <v>15</v>
      </c>
      <c r="C2741" s="50" t="s">
        <v>411</v>
      </c>
      <c r="D2741" s="50" t="s">
        <v>263</v>
      </c>
      <c r="E2741" s="50">
        <v>-1</v>
      </c>
      <c r="F2741" s="51">
        <v>-0.23262067749467574</v>
      </c>
      <c r="G2741" s="51" t="str">
        <v>太良 2022/08/06 (土)
休日午前</v>
      </c>
    </row>
    <row r="2742" spans="1:7" ht="16.149999999999999" x14ac:dyDescent="0.7">
      <c r="A2742" s="49">
        <v>44768.657440254625</v>
      </c>
      <c r="B2742" s="50" t="s">
        <v>15</v>
      </c>
      <c r="C2742" s="50" t="s">
        <v>412</v>
      </c>
      <c r="D2742" s="50" t="s">
        <v>261</v>
      </c>
      <c r="E2742" s="50">
        <v>-1</v>
      </c>
      <c r="F2742" s="51">
        <v>-0.92020860708544738</v>
      </c>
      <c r="G2742" s="51" t="str">
        <v>太良 2022/08/06 (土)
休日午後</v>
      </c>
    </row>
    <row r="2743" spans="1:7" ht="16.149999999999999" x14ac:dyDescent="0.7">
      <c r="A2743" s="49">
        <v>44768.657440254625</v>
      </c>
      <c r="B2743" s="50" t="s">
        <v>15</v>
      </c>
      <c r="C2743" s="50" t="s">
        <v>413</v>
      </c>
      <c r="D2743" s="50" t="s">
        <v>263</v>
      </c>
      <c r="E2743" s="50">
        <v>-1</v>
      </c>
      <c r="F2743" s="51">
        <v>-0.45198150149856908</v>
      </c>
      <c r="G2743" s="51" t="str">
        <v>太良 2022/08/07 (日)
休日午前</v>
      </c>
    </row>
    <row r="2744" spans="1:7" ht="16.149999999999999" x14ac:dyDescent="0.7">
      <c r="A2744" s="49">
        <v>44768.657440254625</v>
      </c>
      <c r="B2744" s="50" t="s">
        <v>15</v>
      </c>
      <c r="C2744" s="50" t="s">
        <v>414</v>
      </c>
      <c r="D2744" s="50" t="s">
        <v>261</v>
      </c>
      <c r="E2744" s="50">
        <v>-1</v>
      </c>
      <c r="F2744" s="51">
        <v>-0.42360281401251187</v>
      </c>
      <c r="G2744" s="51" t="str">
        <v>太良 2022/08/07 (日)
休日午後</v>
      </c>
    </row>
    <row r="2745" spans="1:7" ht="16.149999999999999" x14ac:dyDescent="0.7">
      <c r="A2745" s="49">
        <v>44768.657440254625</v>
      </c>
      <c r="B2745" s="50" t="s">
        <v>15</v>
      </c>
      <c r="C2745" s="50" t="s">
        <v>415</v>
      </c>
      <c r="D2745" s="50" t="s">
        <v>259</v>
      </c>
      <c r="E2745" s="50">
        <v>-1</v>
      </c>
      <c r="F2745" s="51">
        <v>-0.44252579591811325</v>
      </c>
      <c r="G2745" s="51" t="str">
        <v>太良 2022/08/08 (月)
平日夜間</v>
      </c>
    </row>
    <row r="2746" spans="1:7" ht="16.149999999999999" x14ac:dyDescent="0.7">
      <c r="A2746" s="49">
        <v>44768.657440254625</v>
      </c>
      <c r="B2746" s="50" t="s">
        <v>15</v>
      </c>
      <c r="C2746" s="50" t="s">
        <v>416</v>
      </c>
      <c r="D2746" s="50" t="s">
        <v>259</v>
      </c>
      <c r="E2746" s="50">
        <v>-1</v>
      </c>
      <c r="F2746" s="51">
        <v>-0.67932447083943925</v>
      </c>
      <c r="G2746" s="51" t="str">
        <v>太良 2022/08/09 (火)
平日夜間</v>
      </c>
    </row>
    <row r="2747" spans="1:7" ht="16.149999999999999" x14ac:dyDescent="0.7">
      <c r="A2747" s="49">
        <v>44768.657440254625</v>
      </c>
      <c r="B2747" s="50" t="s">
        <v>15</v>
      </c>
      <c r="C2747" s="50" t="s">
        <v>417</v>
      </c>
      <c r="D2747" s="50" t="s">
        <v>259</v>
      </c>
      <c r="E2747" s="50">
        <v>-1</v>
      </c>
      <c r="F2747" s="51">
        <v>-0.80669058213655287</v>
      </c>
      <c r="G2747" s="51" t="str">
        <v>太良 2022/08/10 (水)
平日夜間</v>
      </c>
    </row>
    <row r="2748" spans="1:7" ht="16.149999999999999" x14ac:dyDescent="0.7">
      <c r="A2748" s="49">
        <v>44768.657440254625</v>
      </c>
      <c r="B2748" s="50" t="s">
        <v>15</v>
      </c>
      <c r="C2748" s="50" t="s">
        <v>418</v>
      </c>
      <c r="D2748" s="50" t="s">
        <v>263</v>
      </c>
      <c r="E2748" s="50">
        <v>-1</v>
      </c>
      <c r="F2748" s="51">
        <v>-0.40557909232901301</v>
      </c>
      <c r="G2748" s="51" t="str">
        <v>太良 2022/08/11 (木)
休日午前</v>
      </c>
    </row>
    <row r="2749" spans="1:7" ht="16.149999999999999" x14ac:dyDescent="0.7">
      <c r="A2749" s="49">
        <v>44768.657440254625</v>
      </c>
      <c r="B2749" s="50" t="s">
        <v>15</v>
      </c>
      <c r="C2749" s="50" t="s">
        <v>419</v>
      </c>
      <c r="D2749" s="50" t="s">
        <v>261</v>
      </c>
      <c r="E2749" s="50">
        <v>-1</v>
      </c>
      <c r="F2749" s="51">
        <v>-0.98009459101081142</v>
      </c>
      <c r="G2749" s="51" t="str">
        <v>太良 2022/08/11 (木)
休日午後</v>
      </c>
    </row>
    <row r="2750" spans="1:7" ht="16.149999999999999" x14ac:dyDescent="0.7">
      <c r="A2750" s="49">
        <v>44768.657440254625</v>
      </c>
      <c r="B2750" s="50" t="s">
        <v>15</v>
      </c>
      <c r="C2750" s="50" t="s">
        <v>420</v>
      </c>
      <c r="D2750" s="50" t="s">
        <v>259</v>
      </c>
      <c r="E2750" s="50">
        <v>-1</v>
      </c>
      <c r="F2750" s="51">
        <v>-0.55357671553071053</v>
      </c>
      <c r="G2750" s="51" t="str">
        <v>太良 2022/08/12 (金)
平日夜間</v>
      </c>
    </row>
    <row r="2751" spans="1:7" ht="16.149999999999999" x14ac:dyDescent="0.7">
      <c r="A2751" s="49">
        <v>44768.657440254625</v>
      </c>
      <c r="B2751" s="50" t="s">
        <v>15</v>
      </c>
      <c r="C2751" s="50" t="s">
        <v>421</v>
      </c>
      <c r="D2751" s="50" t="s">
        <v>263</v>
      </c>
      <c r="E2751" s="50">
        <v>-1</v>
      </c>
      <c r="F2751" s="51">
        <v>-0.98495811757722262</v>
      </c>
      <c r="G2751" s="51" t="str">
        <v>太良 2022/08/13 (土)
休日午前</v>
      </c>
    </row>
    <row r="2752" spans="1:7" ht="16.149999999999999" x14ac:dyDescent="0.7">
      <c r="A2752" s="49">
        <v>44768.657440254625</v>
      </c>
      <c r="B2752" s="50" t="s">
        <v>15</v>
      </c>
      <c r="C2752" s="50" t="s">
        <v>422</v>
      </c>
      <c r="D2752" s="50" t="s">
        <v>261</v>
      </c>
      <c r="E2752" s="50">
        <v>-1</v>
      </c>
      <c r="F2752" s="51">
        <v>-9.0485143815749458E-2</v>
      </c>
      <c r="G2752" s="51" t="str">
        <v>太良 2022/08/13 (土)
休日午後</v>
      </c>
    </row>
    <row r="2753" spans="1:7" ht="16.149999999999999" x14ac:dyDescent="0.7">
      <c r="A2753" s="49">
        <v>44768.657440254625</v>
      </c>
      <c r="B2753" s="50" t="s">
        <v>15</v>
      </c>
      <c r="C2753" s="50" t="s">
        <v>423</v>
      </c>
      <c r="D2753" s="50" t="s">
        <v>263</v>
      </c>
      <c r="E2753" s="50">
        <v>-1</v>
      </c>
      <c r="F2753" s="51">
        <v>-0.18019315841486572</v>
      </c>
      <c r="G2753" s="51" t="str">
        <v>太良 2022/08/14 (日)
休日午前</v>
      </c>
    </row>
    <row r="2754" spans="1:7" ht="16.149999999999999" x14ac:dyDescent="0.7">
      <c r="A2754" s="49">
        <v>44768.657440254625</v>
      </c>
      <c r="B2754" s="50" t="s">
        <v>15</v>
      </c>
      <c r="C2754" s="50" t="s">
        <v>424</v>
      </c>
      <c r="D2754" s="50" t="s">
        <v>261</v>
      </c>
      <c r="E2754" s="50">
        <v>-1</v>
      </c>
      <c r="F2754" s="51">
        <v>-0.3018410747431739</v>
      </c>
      <c r="G2754" s="51" t="str">
        <v>太良 2022/08/14 (日)
休日午後</v>
      </c>
    </row>
    <row r="2755" spans="1:7" ht="16.149999999999999" x14ac:dyDescent="0.7">
      <c r="A2755" s="49">
        <v>44768.657440254625</v>
      </c>
      <c r="B2755" s="50" t="s">
        <v>15</v>
      </c>
      <c r="C2755" s="50" t="s">
        <v>425</v>
      </c>
      <c r="D2755" s="50" t="s">
        <v>259</v>
      </c>
      <c r="E2755" s="50">
        <v>0</v>
      </c>
      <c r="F2755" s="51">
        <v>0.36927238010096985</v>
      </c>
      <c r="G2755" s="51" t="str">
        <v>太良 2022/08/15 (月)
平日夜間</v>
      </c>
    </row>
    <row r="2756" spans="1:7" ht="16.149999999999999" x14ac:dyDescent="0.7">
      <c r="A2756" s="49">
        <v>44768.657440254625</v>
      </c>
      <c r="B2756" s="50" t="s">
        <v>15</v>
      </c>
      <c r="C2756" s="50" t="s">
        <v>426</v>
      </c>
      <c r="D2756" s="50" t="s">
        <v>259</v>
      </c>
      <c r="E2756" s="50">
        <v>0</v>
      </c>
      <c r="F2756" s="51">
        <v>6.0206161513552736E-2</v>
      </c>
      <c r="G2756" s="51" t="str">
        <v>太良 2022/08/16 (火)
平日夜間</v>
      </c>
    </row>
    <row r="2757" spans="1:7" ht="16.149999999999999" x14ac:dyDescent="0.7">
      <c r="A2757" s="49">
        <v>44768.657440254625</v>
      </c>
      <c r="B2757" s="50" t="s">
        <v>15</v>
      </c>
      <c r="C2757" s="50" t="s">
        <v>427</v>
      </c>
      <c r="D2757" s="50" t="s">
        <v>259</v>
      </c>
      <c r="E2757" s="50">
        <v>0</v>
      </c>
      <c r="F2757" s="51">
        <v>0.62324473933738611</v>
      </c>
      <c r="G2757" s="51" t="str">
        <v>太良 2022/08/17 (水)
平日夜間</v>
      </c>
    </row>
    <row r="2758" spans="1:7" ht="16.149999999999999" x14ac:dyDescent="0.7">
      <c r="A2758" s="49">
        <v>44768.657440254625</v>
      </c>
      <c r="B2758" s="50" t="s">
        <v>15</v>
      </c>
      <c r="C2758" s="50" t="s">
        <v>428</v>
      </c>
      <c r="D2758" s="50" t="s">
        <v>259</v>
      </c>
      <c r="E2758" s="50">
        <v>-1</v>
      </c>
      <c r="F2758" s="51">
        <v>-0.79208115959909797</v>
      </c>
      <c r="G2758" s="51" t="str">
        <v>太良 2022/08/18 (木)
平日夜間</v>
      </c>
    </row>
    <row r="2759" spans="1:7" ht="16.149999999999999" x14ac:dyDescent="0.7">
      <c r="A2759" s="49">
        <v>44768.657440254625</v>
      </c>
      <c r="B2759" s="50" t="s">
        <v>15</v>
      </c>
      <c r="C2759" s="50" t="s">
        <v>429</v>
      </c>
      <c r="D2759" s="50" t="s">
        <v>259</v>
      </c>
      <c r="E2759" s="50">
        <v>-1</v>
      </c>
      <c r="F2759" s="51">
        <v>-0.77960937336856784</v>
      </c>
      <c r="G2759" s="51" t="str">
        <v>太良 2022/08/19 (金)
平日夜間</v>
      </c>
    </row>
    <row r="2760" spans="1:7" ht="16.149999999999999" x14ac:dyDescent="0.7">
      <c r="A2760" s="49">
        <v>44768.657440254625</v>
      </c>
      <c r="B2760" s="50" t="s">
        <v>15</v>
      </c>
      <c r="C2760" s="50" t="s">
        <v>430</v>
      </c>
      <c r="D2760" s="50" t="s">
        <v>263</v>
      </c>
      <c r="E2760" s="50">
        <v>-1</v>
      </c>
      <c r="F2760" s="51">
        <v>-0.17962111563621308</v>
      </c>
      <c r="G2760" s="51" t="str">
        <v>太良 2022/08/20 (土)
休日午前</v>
      </c>
    </row>
    <row r="2761" spans="1:7" ht="16.149999999999999" x14ac:dyDescent="0.7">
      <c r="A2761" s="49">
        <v>44768.657440254625</v>
      </c>
      <c r="B2761" s="50" t="s">
        <v>15</v>
      </c>
      <c r="C2761" s="50" t="s">
        <v>431</v>
      </c>
      <c r="D2761" s="50" t="s">
        <v>261</v>
      </c>
      <c r="E2761" s="50">
        <v>0</v>
      </c>
      <c r="F2761" s="51">
        <v>0.36122855082579219</v>
      </c>
      <c r="G2761" s="51" t="str">
        <v>太良 2022/08/20 (土)
休日午後</v>
      </c>
    </row>
    <row r="2762" spans="1:7" ht="16.149999999999999" x14ac:dyDescent="0.7">
      <c r="A2762" s="49">
        <v>44768.657440254625</v>
      </c>
      <c r="B2762" s="50" t="s">
        <v>15</v>
      </c>
      <c r="C2762" s="50" t="s">
        <v>432</v>
      </c>
      <c r="D2762" s="50" t="s">
        <v>263</v>
      </c>
      <c r="E2762" s="50">
        <v>0</v>
      </c>
      <c r="F2762" s="51">
        <v>0.25515887848348751</v>
      </c>
      <c r="G2762" s="51" t="str">
        <v>太良 2022/08/21 (日)
休日午前</v>
      </c>
    </row>
    <row r="2763" spans="1:7" ht="16.149999999999999" x14ac:dyDescent="0.7">
      <c r="A2763" s="49">
        <v>44768.657440254625</v>
      </c>
      <c r="B2763" s="50" t="s">
        <v>15</v>
      </c>
      <c r="C2763" s="50" t="s">
        <v>433</v>
      </c>
      <c r="D2763" s="50" t="s">
        <v>261</v>
      </c>
      <c r="E2763" s="50">
        <v>0</v>
      </c>
      <c r="F2763" s="51">
        <v>0.89631461742055407</v>
      </c>
      <c r="G2763" s="51" t="str">
        <v>太良 2022/08/21 (日)
休日午後</v>
      </c>
    </row>
    <row r="2764" spans="1:7" ht="16.149999999999999" x14ac:dyDescent="0.7">
      <c r="A2764" s="49">
        <v>44768.657440254625</v>
      </c>
      <c r="B2764" s="50" t="s">
        <v>15</v>
      </c>
      <c r="C2764" s="50" t="s">
        <v>434</v>
      </c>
      <c r="D2764" s="50" t="s">
        <v>259</v>
      </c>
      <c r="E2764" s="50">
        <v>-1</v>
      </c>
      <c r="F2764" s="51">
        <v>-0.91293147838492583</v>
      </c>
      <c r="G2764" s="51" t="str">
        <v>太良 2022/08/22 (月)
平日夜間</v>
      </c>
    </row>
    <row r="2765" spans="1:7" ht="16.149999999999999" x14ac:dyDescent="0.7">
      <c r="A2765" s="49">
        <v>44768.657440254625</v>
      </c>
      <c r="B2765" s="50" t="s">
        <v>15</v>
      </c>
      <c r="C2765" s="50" t="s">
        <v>435</v>
      </c>
      <c r="D2765" s="50" t="s">
        <v>259</v>
      </c>
      <c r="E2765" s="50">
        <v>-1</v>
      </c>
      <c r="F2765" s="51">
        <v>-0.981788400751193</v>
      </c>
      <c r="G2765" s="51" t="str">
        <v>太良 2022/08/23 (火)
平日夜間</v>
      </c>
    </row>
    <row r="2766" spans="1:7" ht="16.149999999999999" x14ac:dyDescent="0.7">
      <c r="A2766" s="49">
        <v>44768.657440254625</v>
      </c>
      <c r="B2766" s="50" t="s">
        <v>15</v>
      </c>
      <c r="C2766" s="50" t="s">
        <v>436</v>
      </c>
      <c r="D2766" s="50" t="s">
        <v>259</v>
      </c>
      <c r="E2766" s="50">
        <v>0</v>
      </c>
      <c r="F2766" s="51">
        <v>0.32692936124329797</v>
      </c>
      <c r="G2766" s="51" t="str">
        <v>太良 2022/08/24 (水)
平日夜間</v>
      </c>
    </row>
    <row r="2767" spans="1:7" ht="16.149999999999999" x14ac:dyDescent="0.7">
      <c r="A2767" s="49">
        <v>44768.657440254625</v>
      </c>
      <c r="B2767" s="50" t="s">
        <v>15</v>
      </c>
      <c r="C2767" s="50" t="s">
        <v>437</v>
      </c>
      <c r="D2767" s="50" t="s">
        <v>259</v>
      </c>
      <c r="E2767" s="50">
        <v>-1</v>
      </c>
      <c r="F2767" s="51">
        <v>-0.97814854118040051</v>
      </c>
      <c r="G2767" s="51" t="str">
        <v>太良 2022/08/25 (木)
平日夜間</v>
      </c>
    </row>
    <row r="2768" spans="1:7" ht="16.149999999999999" x14ac:dyDescent="0.7">
      <c r="A2768" s="49">
        <v>44768.657440254625</v>
      </c>
      <c r="B2768" s="50" t="s">
        <v>15</v>
      </c>
      <c r="C2768" s="50" t="s">
        <v>438</v>
      </c>
      <c r="D2768" s="50" t="s">
        <v>259</v>
      </c>
      <c r="E2768" s="50">
        <v>0</v>
      </c>
      <c r="F2768" s="51">
        <v>0.94456096361544772</v>
      </c>
      <c r="G2768" s="51" t="str">
        <v>太良 2022/08/26 (金)
平日夜間</v>
      </c>
    </row>
    <row r="2769" spans="1:7" ht="16.149999999999999" x14ac:dyDescent="0.7">
      <c r="A2769" s="49">
        <v>44768.657440254625</v>
      </c>
      <c r="B2769" s="50" t="s">
        <v>15</v>
      </c>
      <c r="C2769" s="50" t="s">
        <v>439</v>
      </c>
      <c r="D2769" s="50" t="s">
        <v>263</v>
      </c>
      <c r="E2769" s="50">
        <v>0</v>
      </c>
      <c r="F2769" s="51">
        <v>0.32649799052811579</v>
      </c>
      <c r="G2769" s="51" t="str">
        <v>太良 2022/08/27 (土)
休日午前</v>
      </c>
    </row>
    <row r="2770" spans="1:7" ht="16.149999999999999" x14ac:dyDescent="0.7">
      <c r="A2770" s="49">
        <v>44768.657440254625</v>
      </c>
      <c r="B2770" s="50" t="s">
        <v>15</v>
      </c>
      <c r="C2770" s="50" t="s">
        <v>440</v>
      </c>
      <c r="D2770" s="50" t="s">
        <v>261</v>
      </c>
      <c r="E2770" s="50">
        <v>0</v>
      </c>
      <c r="F2770" s="51">
        <v>0.51275242916028296</v>
      </c>
      <c r="G2770" s="51" t="str">
        <v>太良 2022/08/27 (土)
休日午後</v>
      </c>
    </row>
    <row r="2771" spans="1:7" ht="16.149999999999999" x14ac:dyDescent="0.7">
      <c r="A2771" s="49">
        <v>44768.657440254625</v>
      </c>
      <c r="B2771" s="50" t="s">
        <v>15</v>
      </c>
      <c r="C2771" s="50" t="s">
        <v>441</v>
      </c>
      <c r="D2771" s="50" t="s">
        <v>263</v>
      </c>
      <c r="E2771" s="50">
        <v>0</v>
      </c>
      <c r="F2771" s="51">
        <v>0.71494607991233416</v>
      </c>
      <c r="G2771" s="51" t="str">
        <v>太良 2022/08/28 (日)
休日午前</v>
      </c>
    </row>
    <row r="2772" spans="1:7" ht="16.149999999999999" x14ac:dyDescent="0.7">
      <c r="A2772" s="49">
        <v>44768.657440254625</v>
      </c>
      <c r="B2772" s="50" t="s">
        <v>15</v>
      </c>
      <c r="C2772" s="50" t="s">
        <v>442</v>
      </c>
      <c r="D2772" s="50" t="s">
        <v>261</v>
      </c>
      <c r="E2772" s="50">
        <v>2</v>
      </c>
      <c r="F2772" s="51">
        <v>2.1074383481245951</v>
      </c>
      <c r="G2772" s="51" t="str">
        <v>太良 2022/08/28 (日)
休日午後</v>
      </c>
    </row>
    <row r="2773" spans="1:7" ht="16.149999999999999" x14ac:dyDescent="0.7">
      <c r="A2773" s="49">
        <v>44768.657440254625</v>
      </c>
      <c r="B2773" s="50" t="s">
        <v>15</v>
      </c>
      <c r="C2773" s="50" t="s">
        <v>443</v>
      </c>
      <c r="D2773" s="50" t="s">
        <v>259</v>
      </c>
      <c r="E2773" s="50">
        <v>-1</v>
      </c>
      <c r="F2773" s="51">
        <v>-0.4379257991023553</v>
      </c>
      <c r="G2773" s="51" t="str">
        <v>太良 2022/08/29 (月)
平日夜間</v>
      </c>
    </row>
    <row r="2774" spans="1:7" ht="16.149999999999999" x14ac:dyDescent="0.7">
      <c r="A2774" s="49">
        <v>44768.657440254625</v>
      </c>
      <c r="B2774" s="50" t="s">
        <v>15</v>
      </c>
      <c r="C2774" s="50" t="s">
        <v>444</v>
      </c>
      <c r="D2774" s="50" t="s">
        <v>259</v>
      </c>
      <c r="E2774" s="50">
        <v>0</v>
      </c>
      <c r="F2774" s="51">
        <v>0.19500239452266932</v>
      </c>
      <c r="G2774" s="51" t="str">
        <v>太良 2022/08/30 (火)
平日夜間</v>
      </c>
    </row>
    <row r="2775" spans="1:7" ht="16.149999999999999" x14ac:dyDescent="0.7">
      <c r="A2775" s="49">
        <v>44768.657440254625</v>
      </c>
      <c r="B2775" s="50" t="s">
        <v>15</v>
      </c>
      <c r="C2775" s="50" t="s">
        <v>445</v>
      </c>
      <c r="D2775" s="50" t="s">
        <v>259</v>
      </c>
      <c r="E2775" s="50">
        <v>0</v>
      </c>
      <c r="F2775" s="51">
        <v>0.29429411392119609</v>
      </c>
      <c r="G2775" s="51" t="str">
        <v>太良 2022/08/31 (水)
平日夜間</v>
      </c>
    </row>
    <row r="2776" spans="1:7" ht="16.149999999999999" x14ac:dyDescent="0.7">
      <c r="A2776" s="49">
        <v>44768.759204664355</v>
      </c>
      <c r="B2776" s="50" t="s">
        <v>31</v>
      </c>
      <c r="C2776" s="50" t="s">
        <v>406</v>
      </c>
      <c r="D2776" s="50" t="s">
        <v>259</v>
      </c>
      <c r="E2776" s="50">
        <v>-1</v>
      </c>
      <c r="F2776" s="51">
        <v>-0.31492057317596456</v>
      </c>
      <c r="G2776" s="51" t="str">
        <v>湯川 2022/08/01 (月)
平日夜間</v>
      </c>
    </row>
    <row r="2777" spans="1:7" ht="16.149999999999999" x14ac:dyDescent="0.7">
      <c r="A2777" s="49">
        <v>44768.759204664355</v>
      </c>
      <c r="B2777" s="50" t="s">
        <v>31</v>
      </c>
      <c r="C2777" s="50" t="s">
        <v>407</v>
      </c>
      <c r="D2777" s="50" t="s">
        <v>259</v>
      </c>
      <c r="E2777" s="50">
        <v>-1</v>
      </c>
      <c r="F2777" s="51">
        <v>-0.74411485731068971</v>
      </c>
      <c r="G2777" s="51" t="str">
        <v>湯川 2022/08/02 (火)
平日夜間</v>
      </c>
    </row>
    <row r="2778" spans="1:7" ht="16.149999999999999" x14ac:dyDescent="0.7">
      <c r="A2778" s="49">
        <v>44768.759204664355</v>
      </c>
      <c r="B2778" s="50" t="s">
        <v>31</v>
      </c>
      <c r="C2778" s="50" t="s">
        <v>408</v>
      </c>
      <c r="D2778" s="50" t="s">
        <v>259</v>
      </c>
      <c r="E2778" s="50">
        <v>0</v>
      </c>
      <c r="F2778" s="51">
        <v>0.88212335817352061</v>
      </c>
      <c r="G2778" s="51" t="str">
        <v>湯川 2022/08/03 (水)
平日夜間</v>
      </c>
    </row>
    <row r="2779" spans="1:7" ht="16.149999999999999" x14ac:dyDescent="0.7">
      <c r="A2779" s="49">
        <v>44768.759204664355</v>
      </c>
      <c r="B2779" s="50" t="s">
        <v>31</v>
      </c>
      <c r="C2779" s="50" t="s">
        <v>409</v>
      </c>
      <c r="D2779" s="50" t="s">
        <v>259</v>
      </c>
      <c r="E2779" s="50">
        <v>0</v>
      </c>
      <c r="F2779" s="51">
        <v>0.52001489945635648</v>
      </c>
      <c r="G2779" s="51" t="str">
        <v>湯川 2022/08/04 (木)
平日夜間</v>
      </c>
    </row>
    <row r="2780" spans="1:7" ht="16.149999999999999" x14ac:dyDescent="0.7">
      <c r="A2780" s="49">
        <v>44768.759204664355</v>
      </c>
      <c r="B2780" s="50" t="s">
        <v>31</v>
      </c>
      <c r="C2780" s="50" t="s">
        <v>410</v>
      </c>
      <c r="D2780" s="50" t="s">
        <v>259</v>
      </c>
      <c r="E2780" s="50">
        <v>1</v>
      </c>
      <c r="F2780" s="51">
        <v>1.4560649469749065</v>
      </c>
      <c r="G2780" s="51" t="str">
        <v>湯川 2022/08/05 (金)
平日夜間</v>
      </c>
    </row>
    <row r="2781" spans="1:7" ht="16.149999999999999" x14ac:dyDescent="0.7">
      <c r="A2781" s="49">
        <v>44768.759204664355</v>
      </c>
      <c r="B2781" s="50" t="s">
        <v>31</v>
      </c>
      <c r="C2781" s="50" t="s">
        <v>411</v>
      </c>
      <c r="D2781" s="50" t="s">
        <v>263</v>
      </c>
      <c r="E2781" s="50">
        <v>0</v>
      </c>
      <c r="F2781" s="51">
        <v>0.38794202476729622</v>
      </c>
      <c r="G2781" s="51" t="str">
        <v>湯川 2022/08/06 (土)
休日午前</v>
      </c>
    </row>
    <row r="2782" spans="1:7" ht="16.149999999999999" x14ac:dyDescent="0.7">
      <c r="A2782" s="49">
        <v>44768.759204664355</v>
      </c>
      <c r="B2782" s="50" t="s">
        <v>31</v>
      </c>
      <c r="C2782" s="50" t="s">
        <v>412</v>
      </c>
      <c r="D2782" s="50" t="s">
        <v>261</v>
      </c>
      <c r="E2782" s="50">
        <v>0</v>
      </c>
      <c r="F2782" s="51">
        <v>0.7300078484427639</v>
      </c>
      <c r="G2782" s="51" t="str">
        <v>湯川 2022/08/06 (土)
休日午後</v>
      </c>
    </row>
    <row r="2783" spans="1:7" ht="16.149999999999999" x14ac:dyDescent="0.7">
      <c r="A2783" s="49">
        <v>44768.759204664355</v>
      </c>
      <c r="B2783" s="50" t="s">
        <v>31</v>
      </c>
      <c r="C2783" s="50" t="s">
        <v>413</v>
      </c>
      <c r="D2783" s="50" t="s">
        <v>263</v>
      </c>
      <c r="E2783" s="50">
        <v>0</v>
      </c>
      <c r="F2783" s="51">
        <v>6.5859370480525481E-3</v>
      </c>
      <c r="G2783" s="51" t="str">
        <v>湯川 2022/08/07 (日)
休日午前</v>
      </c>
    </row>
    <row r="2784" spans="1:7" ht="16.149999999999999" x14ac:dyDescent="0.7">
      <c r="A2784" s="49">
        <v>44768.759204664355</v>
      </c>
      <c r="B2784" s="50" t="s">
        <v>31</v>
      </c>
      <c r="C2784" s="50" t="s">
        <v>414</v>
      </c>
      <c r="D2784" s="50" t="s">
        <v>261</v>
      </c>
      <c r="E2784" s="50">
        <v>0</v>
      </c>
      <c r="F2784" s="51">
        <v>0.17160017073176737</v>
      </c>
      <c r="G2784" s="51" t="str">
        <v>湯川 2022/08/07 (日)
休日午後</v>
      </c>
    </row>
    <row r="2785" spans="1:7" ht="16.149999999999999" x14ac:dyDescent="0.7">
      <c r="A2785" s="49">
        <v>44768.759204664355</v>
      </c>
      <c r="B2785" s="50" t="s">
        <v>31</v>
      </c>
      <c r="C2785" s="50" t="s">
        <v>415</v>
      </c>
      <c r="D2785" s="50" t="s">
        <v>259</v>
      </c>
      <c r="E2785" s="50">
        <v>0</v>
      </c>
      <c r="F2785" s="51">
        <v>0.84719871851932527</v>
      </c>
      <c r="G2785" s="51" t="str">
        <v>湯川 2022/08/08 (月)
平日夜間</v>
      </c>
    </row>
    <row r="2786" spans="1:7" ht="16.149999999999999" x14ac:dyDescent="0.7">
      <c r="A2786" s="49">
        <v>44768.759204664355</v>
      </c>
      <c r="B2786" s="50" t="s">
        <v>31</v>
      </c>
      <c r="C2786" s="50" t="s">
        <v>416</v>
      </c>
      <c r="D2786" s="50" t="s">
        <v>259</v>
      </c>
      <c r="E2786" s="50">
        <v>0</v>
      </c>
      <c r="F2786" s="51">
        <v>0.818910257271662</v>
      </c>
      <c r="G2786" s="51" t="str">
        <v>湯川 2022/08/09 (火)
平日夜間</v>
      </c>
    </row>
    <row r="2787" spans="1:7" ht="16.149999999999999" x14ac:dyDescent="0.7">
      <c r="A2787" s="49">
        <v>44768.759204664355</v>
      </c>
      <c r="B2787" s="50" t="s">
        <v>31</v>
      </c>
      <c r="C2787" s="50" t="s">
        <v>417</v>
      </c>
      <c r="D2787" s="50" t="s">
        <v>259</v>
      </c>
      <c r="E2787" s="50">
        <v>0</v>
      </c>
      <c r="F2787" s="51">
        <v>0.43376116747985782</v>
      </c>
      <c r="G2787" s="51" t="str">
        <v>湯川 2022/08/10 (水)
平日夜間</v>
      </c>
    </row>
    <row r="2788" spans="1:7" ht="16.149999999999999" x14ac:dyDescent="0.7">
      <c r="A2788" s="49">
        <v>44768.759204664355</v>
      </c>
      <c r="B2788" s="50" t="s">
        <v>31</v>
      </c>
      <c r="C2788" s="50" t="s">
        <v>418</v>
      </c>
      <c r="D2788" s="50" t="s">
        <v>263</v>
      </c>
      <c r="E2788" s="50">
        <v>0</v>
      </c>
      <c r="F2788" s="51">
        <v>0.12198896779607438</v>
      </c>
      <c r="G2788" s="51" t="str">
        <v>湯川 2022/08/11 (木)
休日午前</v>
      </c>
    </row>
    <row r="2789" spans="1:7" ht="16.149999999999999" x14ac:dyDescent="0.7">
      <c r="A2789" s="49">
        <v>44768.759204664355</v>
      </c>
      <c r="B2789" s="50" t="s">
        <v>31</v>
      </c>
      <c r="C2789" s="50" t="s">
        <v>419</v>
      </c>
      <c r="D2789" s="50" t="s">
        <v>261</v>
      </c>
      <c r="E2789" s="50">
        <v>0</v>
      </c>
      <c r="F2789" s="51">
        <v>0.73337802829111354</v>
      </c>
      <c r="G2789" s="51" t="str">
        <v>湯川 2022/08/11 (木)
休日午後</v>
      </c>
    </row>
    <row r="2790" spans="1:7" ht="16.149999999999999" x14ac:dyDescent="0.7">
      <c r="A2790" s="49">
        <v>44768.759204664355</v>
      </c>
      <c r="B2790" s="50" t="s">
        <v>31</v>
      </c>
      <c r="C2790" s="50" t="s">
        <v>420</v>
      </c>
      <c r="D2790" s="50" t="s">
        <v>259</v>
      </c>
      <c r="E2790" s="50">
        <v>0</v>
      </c>
      <c r="F2790" s="51">
        <v>0.24734110936321607</v>
      </c>
      <c r="G2790" s="51" t="str">
        <v>湯川 2022/08/12 (金)
平日夜間</v>
      </c>
    </row>
    <row r="2791" spans="1:7" ht="16.149999999999999" x14ac:dyDescent="0.7">
      <c r="A2791" s="49">
        <v>44768.759204664355</v>
      </c>
      <c r="B2791" s="50" t="s">
        <v>31</v>
      </c>
      <c r="C2791" s="50" t="s">
        <v>421</v>
      </c>
      <c r="D2791" s="50" t="s">
        <v>263</v>
      </c>
      <c r="E2791" s="50">
        <v>0</v>
      </c>
      <c r="F2791" s="51">
        <v>0.77730897165551727</v>
      </c>
      <c r="G2791" s="51" t="str">
        <v>湯川 2022/08/13 (土)
休日午前</v>
      </c>
    </row>
    <row r="2792" spans="1:7" ht="16.149999999999999" x14ac:dyDescent="0.7">
      <c r="A2792" s="49">
        <v>44768.759204664355</v>
      </c>
      <c r="B2792" s="50" t="s">
        <v>31</v>
      </c>
      <c r="C2792" s="50" t="s">
        <v>422</v>
      </c>
      <c r="D2792" s="50" t="s">
        <v>261</v>
      </c>
      <c r="E2792" s="50">
        <v>0</v>
      </c>
      <c r="F2792" s="51">
        <v>0.70181432833193291</v>
      </c>
      <c r="G2792" s="51" t="str">
        <v>湯川 2022/08/13 (土)
休日午後</v>
      </c>
    </row>
    <row r="2793" spans="1:7" ht="16.149999999999999" x14ac:dyDescent="0.7">
      <c r="A2793" s="49">
        <v>44768.759204664355</v>
      </c>
      <c r="B2793" s="50" t="s">
        <v>31</v>
      </c>
      <c r="C2793" s="50" t="s">
        <v>423</v>
      </c>
      <c r="D2793" s="50" t="s">
        <v>263</v>
      </c>
      <c r="E2793" s="50">
        <v>0</v>
      </c>
      <c r="F2793" s="51">
        <v>0.71918795131781388</v>
      </c>
      <c r="G2793" s="51" t="str">
        <v>湯川 2022/08/14 (日)
休日午前</v>
      </c>
    </row>
    <row r="2794" spans="1:7" ht="16.149999999999999" x14ac:dyDescent="0.7">
      <c r="A2794" s="49">
        <v>44768.759204664355</v>
      </c>
      <c r="B2794" s="50" t="s">
        <v>31</v>
      </c>
      <c r="C2794" s="50" t="s">
        <v>424</v>
      </c>
      <c r="D2794" s="50" t="s">
        <v>261</v>
      </c>
      <c r="E2794" s="50">
        <v>0</v>
      </c>
      <c r="F2794" s="51">
        <v>0.31369487753706182</v>
      </c>
      <c r="G2794" s="51" t="str">
        <v>湯川 2022/08/14 (日)
休日午後</v>
      </c>
    </row>
    <row r="2795" spans="1:7" ht="16.149999999999999" x14ac:dyDescent="0.7">
      <c r="A2795" s="49">
        <v>44768.759204664355</v>
      </c>
      <c r="B2795" s="50" t="s">
        <v>31</v>
      </c>
      <c r="C2795" s="50" t="s">
        <v>425</v>
      </c>
      <c r="D2795" s="50" t="s">
        <v>259</v>
      </c>
      <c r="E2795" s="50">
        <v>0</v>
      </c>
      <c r="F2795" s="51">
        <v>0.17952046061603677</v>
      </c>
      <c r="G2795" s="51" t="str">
        <v>湯川 2022/08/15 (月)
平日夜間</v>
      </c>
    </row>
    <row r="2796" spans="1:7" ht="16.149999999999999" x14ac:dyDescent="0.7">
      <c r="A2796" s="49">
        <v>44768.759204664355</v>
      </c>
      <c r="B2796" s="50" t="s">
        <v>31</v>
      </c>
      <c r="C2796" s="50" t="s">
        <v>426</v>
      </c>
      <c r="D2796" s="50" t="s">
        <v>259</v>
      </c>
      <c r="E2796" s="50">
        <v>0</v>
      </c>
      <c r="F2796" s="51">
        <v>0.45404816117660096</v>
      </c>
      <c r="G2796" s="51" t="str">
        <v>湯川 2022/08/16 (火)
平日夜間</v>
      </c>
    </row>
    <row r="2797" spans="1:7" ht="16.149999999999999" x14ac:dyDescent="0.7">
      <c r="A2797" s="49">
        <v>44768.759204664355</v>
      </c>
      <c r="B2797" s="50" t="s">
        <v>31</v>
      </c>
      <c r="C2797" s="50" t="s">
        <v>427</v>
      </c>
      <c r="D2797" s="50" t="s">
        <v>259</v>
      </c>
      <c r="E2797" s="50">
        <v>0</v>
      </c>
      <c r="F2797" s="51">
        <v>0.4174204110562485</v>
      </c>
      <c r="G2797" s="51" t="str">
        <v>湯川 2022/08/17 (水)
平日夜間</v>
      </c>
    </row>
    <row r="2798" spans="1:7" ht="16.149999999999999" x14ac:dyDescent="0.7">
      <c r="A2798" s="49">
        <v>44768.759204664355</v>
      </c>
      <c r="B2798" s="50" t="s">
        <v>31</v>
      </c>
      <c r="C2798" s="50" t="s">
        <v>428</v>
      </c>
      <c r="D2798" s="50" t="s">
        <v>259</v>
      </c>
      <c r="E2798" s="50">
        <v>0</v>
      </c>
      <c r="F2798" s="51">
        <v>7.6371556812837582E-2</v>
      </c>
      <c r="G2798" s="51" t="str">
        <v>湯川 2022/08/18 (木)
平日夜間</v>
      </c>
    </row>
    <row r="2799" spans="1:7" ht="16.149999999999999" x14ac:dyDescent="0.7">
      <c r="A2799" s="49">
        <v>44768.759204664355</v>
      </c>
      <c r="B2799" s="50" t="s">
        <v>31</v>
      </c>
      <c r="C2799" s="50" t="s">
        <v>429</v>
      </c>
      <c r="D2799" s="50" t="s">
        <v>259</v>
      </c>
      <c r="E2799" s="50">
        <v>0</v>
      </c>
      <c r="F2799" s="51">
        <v>0.37563444370004273</v>
      </c>
      <c r="G2799" s="51" t="str">
        <v>湯川 2022/08/19 (金)
平日夜間</v>
      </c>
    </row>
    <row r="2800" spans="1:7" ht="16.149999999999999" x14ac:dyDescent="0.7">
      <c r="A2800" s="49">
        <v>44768.759204664355</v>
      </c>
      <c r="B2800" s="50" t="s">
        <v>31</v>
      </c>
      <c r="C2800" s="50" t="s">
        <v>430</v>
      </c>
      <c r="D2800" s="50" t="s">
        <v>263</v>
      </c>
      <c r="E2800" s="50">
        <v>-1</v>
      </c>
      <c r="F2800" s="51">
        <v>-0.50900136768417803</v>
      </c>
      <c r="G2800" s="51" t="str">
        <v>湯川 2022/08/20 (土)
休日午前</v>
      </c>
    </row>
    <row r="2801" spans="1:7" ht="16.149999999999999" x14ac:dyDescent="0.7">
      <c r="A2801" s="49">
        <v>44768.759204664355</v>
      </c>
      <c r="B2801" s="50" t="s">
        <v>31</v>
      </c>
      <c r="C2801" s="50" t="s">
        <v>431</v>
      </c>
      <c r="D2801" s="50" t="s">
        <v>261</v>
      </c>
      <c r="E2801" s="50">
        <v>-1</v>
      </c>
      <c r="F2801" s="51">
        <v>-0.98958669640343011</v>
      </c>
      <c r="G2801" s="51" t="str">
        <v>湯川 2022/08/20 (土)
休日午後</v>
      </c>
    </row>
    <row r="2802" spans="1:7" ht="16.149999999999999" x14ac:dyDescent="0.7">
      <c r="A2802" s="49">
        <v>44768.759204664355</v>
      </c>
      <c r="B2802" s="50" t="s">
        <v>31</v>
      </c>
      <c r="C2802" s="50" t="s">
        <v>432</v>
      </c>
      <c r="D2802" s="50" t="s">
        <v>263</v>
      </c>
      <c r="E2802" s="50">
        <v>-1</v>
      </c>
      <c r="F2802" s="51">
        <v>-0.20108143071827</v>
      </c>
      <c r="G2802" s="51" t="str">
        <v>湯川 2022/08/21 (日)
休日午前</v>
      </c>
    </row>
    <row r="2803" spans="1:7" ht="16.149999999999999" x14ac:dyDescent="0.7">
      <c r="A2803" s="49">
        <v>44768.759204664355</v>
      </c>
      <c r="B2803" s="50" t="s">
        <v>31</v>
      </c>
      <c r="C2803" s="50" t="s">
        <v>433</v>
      </c>
      <c r="D2803" s="50" t="s">
        <v>261</v>
      </c>
      <c r="E2803" s="50">
        <v>-1</v>
      </c>
      <c r="F2803" s="51">
        <v>-0.42248804961824682</v>
      </c>
      <c r="G2803" s="51" t="str">
        <v>湯川 2022/08/21 (日)
休日午後</v>
      </c>
    </row>
    <row r="2804" spans="1:7" ht="16.149999999999999" x14ac:dyDescent="0.7">
      <c r="A2804" s="49">
        <v>44768.759204664355</v>
      </c>
      <c r="B2804" s="50" t="s">
        <v>31</v>
      </c>
      <c r="C2804" s="50" t="s">
        <v>434</v>
      </c>
      <c r="D2804" s="50" t="s">
        <v>259</v>
      </c>
      <c r="E2804" s="50">
        <v>0</v>
      </c>
      <c r="F2804" s="51">
        <v>0.48988928004736509</v>
      </c>
      <c r="G2804" s="51" t="str">
        <v>湯川 2022/08/22 (月)
平日夜間</v>
      </c>
    </row>
    <row r="2805" spans="1:7" ht="16.149999999999999" x14ac:dyDescent="0.7">
      <c r="A2805" s="49">
        <v>44768.759204664355</v>
      </c>
      <c r="B2805" s="50" t="s">
        <v>31</v>
      </c>
      <c r="C2805" s="50" t="s">
        <v>435</v>
      </c>
      <c r="D2805" s="50" t="s">
        <v>259</v>
      </c>
      <c r="E2805" s="50">
        <v>0</v>
      </c>
      <c r="F2805" s="51">
        <v>0.54434375739375751</v>
      </c>
      <c r="G2805" s="51" t="str">
        <v>湯川 2022/08/23 (火)
平日夜間</v>
      </c>
    </row>
    <row r="2806" spans="1:7" ht="16.149999999999999" x14ac:dyDescent="0.7">
      <c r="A2806" s="49">
        <v>44768.759204664355</v>
      </c>
      <c r="B2806" s="50" t="s">
        <v>31</v>
      </c>
      <c r="C2806" s="50" t="s">
        <v>436</v>
      </c>
      <c r="D2806" s="50" t="s">
        <v>259</v>
      </c>
      <c r="E2806" s="50">
        <v>0</v>
      </c>
      <c r="F2806" s="51">
        <v>0.80078902617156977</v>
      </c>
      <c r="G2806" s="51" t="str">
        <v>湯川 2022/08/24 (水)
平日夜間</v>
      </c>
    </row>
    <row r="2807" spans="1:7" ht="16.149999999999999" x14ac:dyDescent="0.7">
      <c r="A2807" s="49">
        <v>44768.759204664355</v>
      </c>
      <c r="B2807" s="50" t="s">
        <v>31</v>
      </c>
      <c r="C2807" s="50" t="s">
        <v>437</v>
      </c>
      <c r="D2807" s="50" t="s">
        <v>259</v>
      </c>
      <c r="E2807" s="50">
        <v>0</v>
      </c>
      <c r="F2807" s="51">
        <v>0.61548767787851988</v>
      </c>
      <c r="G2807" s="51" t="str">
        <v>湯川 2022/08/25 (木)
平日夜間</v>
      </c>
    </row>
    <row r="2808" spans="1:7" ht="16.149999999999999" x14ac:dyDescent="0.7">
      <c r="A2808" s="49">
        <v>44768.759204664355</v>
      </c>
      <c r="B2808" s="50" t="s">
        <v>31</v>
      </c>
      <c r="C2808" s="50" t="s">
        <v>438</v>
      </c>
      <c r="D2808" s="50" t="s">
        <v>259</v>
      </c>
      <c r="E2808" s="50">
        <v>-1</v>
      </c>
      <c r="F2808" s="51">
        <v>-0.85087722971210233</v>
      </c>
      <c r="G2808" s="51" t="str">
        <v>湯川 2022/08/26 (金)
平日夜間</v>
      </c>
    </row>
    <row r="2809" spans="1:7" ht="16.149999999999999" x14ac:dyDescent="0.7">
      <c r="A2809" s="49">
        <v>44768.759204664355</v>
      </c>
      <c r="B2809" s="50" t="s">
        <v>31</v>
      </c>
      <c r="C2809" s="50" t="s">
        <v>439</v>
      </c>
      <c r="D2809" s="50" t="s">
        <v>263</v>
      </c>
      <c r="E2809" s="50">
        <v>0</v>
      </c>
      <c r="F2809" s="51">
        <v>0.46158108747841498</v>
      </c>
      <c r="G2809" s="51" t="str">
        <v>湯川 2022/08/27 (土)
休日午前</v>
      </c>
    </row>
    <row r="2810" spans="1:7" ht="16.149999999999999" x14ac:dyDescent="0.7">
      <c r="A2810" s="49">
        <v>44768.759204664355</v>
      </c>
      <c r="B2810" s="50" t="s">
        <v>31</v>
      </c>
      <c r="C2810" s="50" t="s">
        <v>440</v>
      </c>
      <c r="D2810" s="50" t="s">
        <v>261</v>
      </c>
      <c r="E2810" s="50">
        <v>0</v>
      </c>
      <c r="F2810" s="51">
        <v>7.8797722281207516E-3</v>
      </c>
      <c r="G2810" s="51" t="str">
        <v>湯川 2022/08/27 (土)
休日午後</v>
      </c>
    </row>
    <row r="2811" spans="1:7" ht="16.149999999999999" x14ac:dyDescent="0.7">
      <c r="A2811" s="49">
        <v>44768.759204664355</v>
      </c>
      <c r="B2811" s="50" t="s">
        <v>31</v>
      </c>
      <c r="C2811" s="50" t="s">
        <v>441</v>
      </c>
      <c r="D2811" s="50" t="s">
        <v>263</v>
      </c>
      <c r="E2811" s="50">
        <v>0</v>
      </c>
      <c r="F2811" s="51">
        <v>8.4674642194414007E-2</v>
      </c>
      <c r="G2811" s="51" t="str">
        <v>湯川 2022/08/28 (日)
休日午前</v>
      </c>
    </row>
    <row r="2812" spans="1:7" ht="16.149999999999999" x14ac:dyDescent="0.7">
      <c r="A2812" s="49">
        <v>44768.759204664355</v>
      </c>
      <c r="B2812" s="50" t="s">
        <v>31</v>
      </c>
      <c r="C2812" s="50" t="s">
        <v>442</v>
      </c>
      <c r="D2812" s="50" t="s">
        <v>261</v>
      </c>
      <c r="E2812" s="50">
        <v>0</v>
      </c>
      <c r="F2812" s="51">
        <v>0.79503367663355129</v>
      </c>
      <c r="G2812" s="51" t="str">
        <v>湯川 2022/08/28 (日)
休日午後</v>
      </c>
    </row>
    <row r="2813" spans="1:7" ht="16.149999999999999" x14ac:dyDescent="0.7">
      <c r="A2813" s="49">
        <v>44768.759204664355</v>
      </c>
      <c r="B2813" s="50" t="s">
        <v>31</v>
      </c>
      <c r="C2813" s="50" t="s">
        <v>443</v>
      </c>
      <c r="D2813" s="50" t="s">
        <v>259</v>
      </c>
      <c r="E2813" s="50">
        <v>0</v>
      </c>
      <c r="F2813" s="51">
        <v>0.68011396387364242</v>
      </c>
      <c r="G2813" s="51" t="str">
        <v>湯川 2022/08/29 (月)
平日夜間</v>
      </c>
    </row>
    <row r="2814" spans="1:7" ht="16.149999999999999" x14ac:dyDescent="0.7">
      <c r="A2814" s="49">
        <v>44768.759204664355</v>
      </c>
      <c r="B2814" s="50" t="s">
        <v>31</v>
      </c>
      <c r="C2814" s="50" t="s">
        <v>444</v>
      </c>
      <c r="D2814" s="50" t="s">
        <v>259</v>
      </c>
      <c r="E2814" s="50">
        <v>0</v>
      </c>
      <c r="F2814" s="51">
        <v>0.44667030487550763</v>
      </c>
      <c r="G2814" s="51" t="str">
        <v>湯川 2022/08/30 (火)
平日夜間</v>
      </c>
    </row>
    <row r="2815" spans="1:7" ht="16.149999999999999" x14ac:dyDescent="0.7">
      <c r="A2815" s="49">
        <v>44768.759204664355</v>
      </c>
      <c r="B2815" s="50" t="s">
        <v>31</v>
      </c>
      <c r="C2815" s="50" t="s">
        <v>445</v>
      </c>
      <c r="D2815" s="50" t="s">
        <v>259</v>
      </c>
      <c r="E2815" s="50">
        <v>0</v>
      </c>
      <c r="F2815" s="51">
        <v>0.66068452102261754</v>
      </c>
      <c r="G2815" s="51" t="str">
        <v>湯川 2022/08/31 (水)
平日夜間</v>
      </c>
    </row>
    <row r="2816" spans="1:7" ht="16.149999999999999" x14ac:dyDescent="0.7">
      <c r="A2816" s="49">
        <v>44768.77625811343</v>
      </c>
      <c r="B2816" s="50" t="s">
        <v>2</v>
      </c>
      <c r="C2816" s="50" t="s">
        <v>406</v>
      </c>
      <c r="D2816" s="50" t="s">
        <v>259</v>
      </c>
      <c r="E2816" s="50">
        <v>0</v>
      </c>
      <c r="F2816" s="51">
        <v>0.95075518314432883</v>
      </c>
      <c r="G2816" s="51" t="str">
        <v>伊藤 2022/08/01 (月)
平日夜間</v>
      </c>
    </row>
    <row r="2817" spans="1:7" ht="16.149999999999999" x14ac:dyDescent="0.7">
      <c r="A2817" s="49">
        <v>44768.77625811343</v>
      </c>
      <c r="B2817" s="50" t="s">
        <v>2</v>
      </c>
      <c r="C2817" s="50" t="s">
        <v>407</v>
      </c>
      <c r="D2817" s="50" t="s">
        <v>259</v>
      </c>
      <c r="E2817" s="50">
        <v>0</v>
      </c>
      <c r="F2817" s="51">
        <v>7.4007612125956523E-2</v>
      </c>
      <c r="G2817" s="51" t="str">
        <v>伊藤 2022/08/02 (火)
平日夜間</v>
      </c>
    </row>
    <row r="2818" spans="1:7" ht="16.149999999999999" x14ac:dyDescent="0.7">
      <c r="A2818" s="49">
        <v>44768.77625811343</v>
      </c>
      <c r="B2818" s="50" t="s">
        <v>2</v>
      </c>
      <c r="C2818" s="50" t="s">
        <v>408</v>
      </c>
      <c r="D2818" s="50" t="s">
        <v>259</v>
      </c>
      <c r="E2818" s="50">
        <v>0</v>
      </c>
      <c r="F2818" s="51">
        <v>0.64068213365197035</v>
      </c>
      <c r="G2818" s="51" t="str">
        <v>伊藤 2022/08/03 (水)
平日夜間</v>
      </c>
    </row>
    <row r="2819" spans="1:7" ht="16.149999999999999" x14ac:dyDescent="0.7">
      <c r="A2819" s="49">
        <v>44768.77625811343</v>
      </c>
      <c r="B2819" s="50" t="s">
        <v>2</v>
      </c>
      <c r="C2819" s="50" t="s">
        <v>409</v>
      </c>
      <c r="D2819" s="50" t="s">
        <v>259</v>
      </c>
      <c r="E2819" s="50">
        <v>0</v>
      </c>
      <c r="F2819" s="51">
        <v>0.30701458100757573</v>
      </c>
      <c r="G2819" s="51" t="str">
        <v>伊藤 2022/08/04 (木)
平日夜間</v>
      </c>
    </row>
    <row r="2820" spans="1:7" ht="16.149999999999999" x14ac:dyDescent="0.7">
      <c r="A2820" s="49">
        <v>44768.77625811343</v>
      </c>
      <c r="B2820" s="50" t="s">
        <v>2</v>
      </c>
      <c r="C2820" s="50" t="s">
        <v>410</v>
      </c>
      <c r="D2820" s="50" t="s">
        <v>259</v>
      </c>
      <c r="E2820" s="50">
        <v>0</v>
      </c>
      <c r="F2820" s="51">
        <v>0.9002766669214155</v>
      </c>
      <c r="G2820" s="51" t="str">
        <v>伊藤 2022/08/05 (金)
平日夜間</v>
      </c>
    </row>
    <row r="2821" spans="1:7" ht="16.149999999999999" x14ac:dyDescent="0.7">
      <c r="A2821" s="49">
        <v>44768.77625811343</v>
      </c>
      <c r="B2821" s="50" t="s">
        <v>2</v>
      </c>
      <c r="C2821" s="50" t="s">
        <v>411</v>
      </c>
      <c r="D2821" s="50" t="s">
        <v>263</v>
      </c>
      <c r="E2821" s="50">
        <v>-1</v>
      </c>
      <c r="F2821" s="51">
        <v>-0.75640230312235324</v>
      </c>
      <c r="G2821" s="51" t="str">
        <v>伊藤 2022/08/06 (土)
休日午前</v>
      </c>
    </row>
    <row r="2822" spans="1:7" ht="16.149999999999999" x14ac:dyDescent="0.7">
      <c r="A2822" s="49">
        <v>44768.77625811343</v>
      </c>
      <c r="B2822" s="50" t="s">
        <v>2</v>
      </c>
      <c r="C2822" s="50" t="s">
        <v>412</v>
      </c>
      <c r="D2822" s="50" t="s">
        <v>261</v>
      </c>
      <c r="E2822" s="50">
        <v>-1</v>
      </c>
      <c r="F2822" s="51">
        <v>-0.45567341731575417</v>
      </c>
      <c r="G2822" s="51" t="str">
        <v>伊藤 2022/08/06 (土)
休日午後</v>
      </c>
    </row>
    <row r="2823" spans="1:7" ht="16.149999999999999" x14ac:dyDescent="0.7">
      <c r="A2823" s="49">
        <v>44768.77625811343</v>
      </c>
      <c r="B2823" s="50" t="s">
        <v>2</v>
      </c>
      <c r="C2823" s="50" t="s">
        <v>413</v>
      </c>
      <c r="D2823" s="50" t="s">
        <v>263</v>
      </c>
      <c r="E2823" s="50">
        <v>-1</v>
      </c>
      <c r="F2823" s="51">
        <v>-0.94600883459758944</v>
      </c>
      <c r="G2823" s="51" t="str">
        <v>伊藤 2022/08/07 (日)
休日午前</v>
      </c>
    </row>
    <row r="2824" spans="1:7" ht="16.149999999999999" x14ac:dyDescent="0.7">
      <c r="A2824" s="49">
        <v>44768.77625811343</v>
      </c>
      <c r="B2824" s="50" t="s">
        <v>2</v>
      </c>
      <c r="C2824" s="50" t="s">
        <v>414</v>
      </c>
      <c r="D2824" s="50" t="s">
        <v>261</v>
      </c>
      <c r="E2824" s="50">
        <v>-1</v>
      </c>
      <c r="F2824" s="51">
        <v>-0.14943797923379409</v>
      </c>
      <c r="G2824" s="51" t="str">
        <v>伊藤 2022/08/07 (日)
休日午後</v>
      </c>
    </row>
    <row r="2825" spans="1:7" ht="16.149999999999999" x14ac:dyDescent="0.7">
      <c r="A2825" s="49">
        <v>44768.77625811343</v>
      </c>
      <c r="B2825" s="50" t="s">
        <v>2</v>
      </c>
      <c r="C2825" s="50" t="s">
        <v>415</v>
      </c>
      <c r="D2825" s="50" t="s">
        <v>259</v>
      </c>
      <c r="E2825" s="50">
        <v>0</v>
      </c>
      <c r="F2825" s="51">
        <v>7.2082254161857762E-2</v>
      </c>
      <c r="G2825" s="51" t="str">
        <v>伊藤 2022/08/08 (月)
平日夜間</v>
      </c>
    </row>
    <row r="2826" spans="1:7" ht="16.149999999999999" x14ac:dyDescent="0.7">
      <c r="A2826" s="49">
        <v>44768.77625811343</v>
      </c>
      <c r="B2826" s="50" t="s">
        <v>2</v>
      </c>
      <c r="C2826" s="50" t="s">
        <v>416</v>
      </c>
      <c r="D2826" s="50" t="s">
        <v>259</v>
      </c>
      <c r="E2826" s="50">
        <v>-1</v>
      </c>
      <c r="F2826" s="51">
        <v>-0.83180870080214886</v>
      </c>
      <c r="G2826" s="51" t="str">
        <v>伊藤 2022/08/09 (火)
平日夜間</v>
      </c>
    </row>
    <row r="2827" spans="1:7" ht="16.149999999999999" x14ac:dyDescent="0.7">
      <c r="A2827" s="49">
        <v>44768.77625811343</v>
      </c>
      <c r="B2827" s="50" t="s">
        <v>2</v>
      </c>
      <c r="C2827" s="50" t="s">
        <v>417</v>
      </c>
      <c r="D2827" s="50" t="s">
        <v>259</v>
      </c>
      <c r="E2827" s="50">
        <v>0</v>
      </c>
      <c r="F2827" s="51">
        <v>0.53479536696462726</v>
      </c>
      <c r="G2827" s="51" t="str">
        <v>伊藤 2022/08/10 (水)
平日夜間</v>
      </c>
    </row>
    <row r="2828" spans="1:7" ht="16.149999999999999" x14ac:dyDescent="0.7">
      <c r="A2828" s="49">
        <v>44768.77625811343</v>
      </c>
      <c r="B2828" s="50" t="s">
        <v>2</v>
      </c>
      <c r="C2828" s="50" t="s">
        <v>418</v>
      </c>
      <c r="D2828" s="50" t="s">
        <v>263</v>
      </c>
      <c r="E2828" s="50">
        <v>0</v>
      </c>
      <c r="F2828" s="51">
        <v>0.69752145626689321</v>
      </c>
      <c r="G2828" s="51" t="str">
        <v>伊藤 2022/08/11 (木)
休日午前</v>
      </c>
    </row>
    <row r="2829" spans="1:7" ht="16.149999999999999" x14ac:dyDescent="0.7">
      <c r="A2829" s="49">
        <v>44768.77625811343</v>
      </c>
      <c r="B2829" s="50" t="s">
        <v>2</v>
      </c>
      <c r="C2829" s="50" t="s">
        <v>419</v>
      </c>
      <c r="D2829" s="50" t="s">
        <v>261</v>
      </c>
      <c r="E2829" s="50">
        <v>0</v>
      </c>
      <c r="F2829" s="51">
        <v>6.8214317345322684E-2</v>
      </c>
      <c r="G2829" s="51" t="str">
        <v>伊藤 2022/08/11 (木)
休日午後</v>
      </c>
    </row>
    <row r="2830" spans="1:7" ht="16.149999999999999" x14ac:dyDescent="0.7">
      <c r="A2830" s="49">
        <v>44768.77625811343</v>
      </c>
      <c r="B2830" s="50" t="s">
        <v>2</v>
      </c>
      <c r="C2830" s="50" t="s">
        <v>420</v>
      </c>
      <c r="D2830" s="50" t="s">
        <v>259</v>
      </c>
      <c r="E2830" s="50">
        <v>-1</v>
      </c>
      <c r="F2830" s="51">
        <v>-0.65899062684451049</v>
      </c>
      <c r="G2830" s="51" t="str">
        <v>伊藤 2022/08/12 (金)
平日夜間</v>
      </c>
    </row>
    <row r="2831" spans="1:7" ht="16.149999999999999" x14ac:dyDescent="0.7">
      <c r="A2831" s="49">
        <v>44768.77625811343</v>
      </c>
      <c r="B2831" s="50" t="s">
        <v>2</v>
      </c>
      <c r="C2831" s="50" t="s">
        <v>421</v>
      </c>
      <c r="D2831" s="50" t="s">
        <v>263</v>
      </c>
      <c r="E2831" s="50">
        <v>-1</v>
      </c>
      <c r="F2831" s="51">
        <v>-0.10495893512535348</v>
      </c>
      <c r="G2831" s="51" t="str">
        <v>伊藤 2022/08/13 (土)
休日午前</v>
      </c>
    </row>
    <row r="2832" spans="1:7" ht="16.149999999999999" x14ac:dyDescent="0.7">
      <c r="A2832" s="49">
        <v>44768.77625811343</v>
      </c>
      <c r="B2832" s="50" t="s">
        <v>2</v>
      </c>
      <c r="C2832" s="50" t="s">
        <v>422</v>
      </c>
      <c r="D2832" s="50" t="s">
        <v>261</v>
      </c>
      <c r="E2832" s="50">
        <v>-1</v>
      </c>
      <c r="F2832" s="51">
        <v>-0.82973425370463927</v>
      </c>
      <c r="G2832" s="51" t="str">
        <v>伊藤 2022/08/13 (土)
休日午後</v>
      </c>
    </row>
    <row r="2833" spans="1:7" ht="16.149999999999999" x14ac:dyDescent="0.7">
      <c r="A2833" s="49">
        <v>44768.77625811343</v>
      </c>
      <c r="B2833" s="50" t="s">
        <v>2</v>
      </c>
      <c r="C2833" s="50" t="s">
        <v>423</v>
      </c>
      <c r="D2833" s="50" t="s">
        <v>263</v>
      </c>
      <c r="E2833" s="50">
        <v>0</v>
      </c>
      <c r="F2833" s="51">
        <v>0.88473238646535513</v>
      </c>
      <c r="G2833" s="51" t="str">
        <v>伊藤 2022/08/14 (日)
休日午前</v>
      </c>
    </row>
    <row r="2834" spans="1:7" ht="16.149999999999999" x14ac:dyDescent="0.7">
      <c r="A2834" s="49">
        <v>44768.77625811343</v>
      </c>
      <c r="B2834" s="50" t="s">
        <v>2</v>
      </c>
      <c r="C2834" s="50" t="s">
        <v>424</v>
      </c>
      <c r="D2834" s="50" t="s">
        <v>261</v>
      </c>
      <c r="E2834" s="50">
        <v>0</v>
      </c>
      <c r="F2834" s="51">
        <v>0.14342712488107501</v>
      </c>
      <c r="G2834" s="51" t="str">
        <v>伊藤 2022/08/14 (日)
休日午後</v>
      </c>
    </row>
    <row r="2835" spans="1:7" ht="16.149999999999999" x14ac:dyDescent="0.7">
      <c r="A2835" s="49">
        <v>44768.77625811343</v>
      </c>
      <c r="B2835" s="50" t="s">
        <v>2</v>
      </c>
      <c r="C2835" s="50" t="s">
        <v>425</v>
      </c>
      <c r="D2835" s="50" t="s">
        <v>259</v>
      </c>
      <c r="E2835" s="50">
        <v>0</v>
      </c>
      <c r="F2835" s="51">
        <v>0.92797972790508765</v>
      </c>
      <c r="G2835" s="51" t="str">
        <v>伊藤 2022/08/15 (月)
平日夜間</v>
      </c>
    </row>
    <row r="2836" spans="1:7" ht="16.149999999999999" x14ac:dyDescent="0.7">
      <c r="A2836" s="49">
        <v>44768.77625811343</v>
      </c>
      <c r="B2836" s="50" t="s">
        <v>2</v>
      </c>
      <c r="C2836" s="50" t="s">
        <v>426</v>
      </c>
      <c r="D2836" s="50" t="s">
        <v>259</v>
      </c>
      <c r="E2836" s="50">
        <v>0</v>
      </c>
      <c r="F2836" s="51">
        <v>0.92253507908857135</v>
      </c>
      <c r="G2836" s="51" t="str">
        <v>伊藤 2022/08/16 (火)
平日夜間</v>
      </c>
    </row>
    <row r="2837" spans="1:7" ht="16.149999999999999" x14ac:dyDescent="0.7">
      <c r="A2837" s="49">
        <v>44768.77625811343</v>
      </c>
      <c r="B2837" s="50" t="s">
        <v>2</v>
      </c>
      <c r="C2837" s="50" t="s">
        <v>427</v>
      </c>
      <c r="D2837" s="50" t="s">
        <v>259</v>
      </c>
      <c r="E2837" s="50">
        <v>0</v>
      </c>
      <c r="F2837" s="51">
        <v>0.94577931782578939</v>
      </c>
      <c r="G2837" s="51" t="str">
        <v>伊藤 2022/08/17 (水)
平日夜間</v>
      </c>
    </row>
    <row r="2838" spans="1:7" ht="16.149999999999999" x14ac:dyDescent="0.7">
      <c r="A2838" s="49">
        <v>44768.77625811343</v>
      </c>
      <c r="B2838" s="50" t="s">
        <v>2</v>
      </c>
      <c r="C2838" s="50" t="s">
        <v>428</v>
      </c>
      <c r="D2838" s="50" t="s">
        <v>259</v>
      </c>
      <c r="E2838" s="50">
        <v>0</v>
      </c>
      <c r="F2838" s="51">
        <v>0.48135726389569022</v>
      </c>
      <c r="G2838" s="51" t="str">
        <v>伊藤 2022/08/18 (木)
平日夜間</v>
      </c>
    </row>
    <row r="2839" spans="1:7" ht="16.149999999999999" x14ac:dyDescent="0.7">
      <c r="A2839" s="49">
        <v>44768.77625811343</v>
      </c>
      <c r="B2839" s="50" t="s">
        <v>2</v>
      </c>
      <c r="C2839" s="50" t="s">
        <v>429</v>
      </c>
      <c r="D2839" s="50" t="s">
        <v>259</v>
      </c>
      <c r="E2839" s="50">
        <v>2</v>
      </c>
      <c r="F2839" s="51">
        <v>2.4004197044506448</v>
      </c>
      <c r="G2839" s="51" t="str">
        <v>伊藤 2022/08/19 (金)
平日夜間</v>
      </c>
    </row>
    <row r="2840" spans="1:7" ht="16.149999999999999" x14ac:dyDescent="0.7">
      <c r="A2840" s="49">
        <v>44768.77625811343</v>
      </c>
      <c r="B2840" s="50" t="s">
        <v>2</v>
      </c>
      <c r="C2840" s="50" t="s">
        <v>430</v>
      </c>
      <c r="D2840" s="50" t="s">
        <v>263</v>
      </c>
      <c r="E2840" s="50">
        <v>-1</v>
      </c>
      <c r="F2840" s="51">
        <v>-0.29478136766756435</v>
      </c>
      <c r="G2840" s="51" t="str">
        <v>伊藤 2022/08/20 (土)
休日午前</v>
      </c>
    </row>
    <row r="2841" spans="1:7" ht="16.149999999999999" x14ac:dyDescent="0.7">
      <c r="A2841" s="49">
        <v>44768.77625811343</v>
      </c>
      <c r="B2841" s="50" t="s">
        <v>2</v>
      </c>
      <c r="C2841" s="50" t="s">
        <v>431</v>
      </c>
      <c r="D2841" s="50" t="s">
        <v>261</v>
      </c>
      <c r="E2841" s="50">
        <v>-1</v>
      </c>
      <c r="F2841" s="51">
        <v>-0.36764735546348071</v>
      </c>
      <c r="G2841" s="51" t="str">
        <v>伊藤 2022/08/20 (土)
休日午後</v>
      </c>
    </row>
    <row r="2842" spans="1:7" ht="16.149999999999999" x14ac:dyDescent="0.7">
      <c r="A2842" s="49">
        <v>44768.77625811343</v>
      </c>
      <c r="B2842" s="50" t="s">
        <v>2</v>
      </c>
      <c r="C2842" s="50" t="s">
        <v>432</v>
      </c>
      <c r="D2842" s="50" t="s">
        <v>263</v>
      </c>
      <c r="E2842" s="50">
        <v>0</v>
      </c>
      <c r="F2842" s="51">
        <v>0.59538382897869857</v>
      </c>
      <c r="G2842" s="51" t="str">
        <v>伊藤 2022/08/21 (日)
休日午前</v>
      </c>
    </row>
    <row r="2843" spans="1:7" ht="16.149999999999999" x14ac:dyDescent="0.7">
      <c r="A2843" s="49">
        <v>44768.77625811343</v>
      </c>
      <c r="B2843" s="50" t="s">
        <v>2</v>
      </c>
      <c r="C2843" s="50" t="s">
        <v>433</v>
      </c>
      <c r="D2843" s="50" t="s">
        <v>261</v>
      </c>
      <c r="E2843" s="50">
        <v>0</v>
      </c>
      <c r="F2843" s="51">
        <v>0.92054567585400604</v>
      </c>
      <c r="G2843" s="51" t="str">
        <v>伊藤 2022/08/21 (日)
休日午後</v>
      </c>
    </row>
    <row r="2844" spans="1:7" ht="16.149999999999999" x14ac:dyDescent="0.7">
      <c r="A2844" s="49">
        <v>44768.77625811343</v>
      </c>
      <c r="B2844" s="50" t="s">
        <v>2</v>
      </c>
      <c r="C2844" s="50" t="s">
        <v>434</v>
      </c>
      <c r="D2844" s="50" t="s">
        <v>259</v>
      </c>
      <c r="E2844" s="50">
        <v>0</v>
      </c>
      <c r="F2844" s="51">
        <v>0.2111480561107435</v>
      </c>
      <c r="G2844" s="51" t="str">
        <v>伊藤 2022/08/22 (月)
平日夜間</v>
      </c>
    </row>
    <row r="2845" spans="1:7" ht="16.149999999999999" x14ac:dyDescent="0.7">
      <c r="A2845" s="49">
        <v>44768.77625811343</v>
      </c>
      <c r="B2845" s="50" t="s">
        <v>2</v>
      </c>
      <c r="C2845" s="50" t="s">
        <v>435</v>
      </c>
      <c r="D2845" s="50" t="s">
        <v>259</v>
      </c>
      <c r="E2845" s="50">
        <v>0</v>
      </c>
      <c r="F2845" s="51">
        <v>0.34431380289914393</v>
      </c>
      <c r="G2845" s="51" t="str">
        <v>伊藤 2022/08/23 (火)
平日夜間</v>
      </c>
    </row>
    <row r="2846" spans="1:7" ht="16.149999999999999" x14ac:dyDescent="0.7">
      <c r="A2846" s="49">
        <v>44768.77625811343</v>
      </c>
      <c r="B2846" s="50" t="s">
        <v>2</v>
      </c>
      <c r="C2846" s="50" t="s">
        <v>436</v>
      </c>
      <c r="D2846" s="50" t="s">
        <v>259</v>
      </c>
      <c r="E2846" s="50">
        <v>0</v>
      </c>
      <c r="F2846" s="51">
        <v>0.84091958097913233</v>
      </c>
      <c r="G2846" s="51" t="str">
        <v>伊藤 2022/08/24 (水)
平日夜間</v>
      </c>
    </row>
    <row r="2847" spans="1:7" ht="16.149999999999999" x14ac:dyDescent="0.7">
      <c r="A2847" s="49">
        <v>44768.77625811343</v>
      </c>
      <c r="B2847" s="50" t="s">
        <v>2</v>
      </c>
      <c r="C2847" s="50" t="s">
        <v>437</v>
      </c>
      <c r="D2847" s="50" t="s">
        <v>259</v>
      </c>
      <c r="E2847" s="50">
        <v>0</v>
      </c>
      <c r="F2847" s="51">
        <v>0.25676939582915548</v>
      </c>
      <c r="G2847" s="51" t="str">
        <v>伊藤 2022/08/25 (木)
平日夜間</v>
      </c>
    </row>
    <row r="2848" spans="1:7" ht="16.149999999999999" x14ac:dyDescent="0.7">
      <c r="A2848" s="49">
        <v>44768.77625811343</v>
      </c>
      <c r="B2848" s="50" t="s">
        <v>2</v>
      </c>
      <c r="C2848" s="50" t="s">
        <v>438</v>
      </c>
      <c r="D2848" s="50" t="s">
        <v>259</v>
      </c>
      <c r="E2848" s="50">
        <v>0</v>
      </c>
      <c r="F2848" s="51">
        <v>0.56657612694524695</v>
      </c>
      <c r="G2848" s="51" t="str">
        <v>伊藤 2022/08/26 (金)
平日夜間</v>
      </c>
    </row>
    <row r="2849" spans="1:7" ht="16.149999999999999" x14ac:dyDescent="0.7">
      <c r="A2849" s="49">
        <v>44768.77625811343</v>
      </c>
      <c r="B2849" s="50" t="s">
        <v>2</v>
      </c>
      <c r="C2849" s="50" t="s">
        <v>439</v>
      </c>
      <c r="D2849" s="50" t="s">
        <v>263</v>
      </c>
      <c r="E2849" s="50">
        <v>-1</v>
      </c>
      <c r="F2849" s="51">
        <v>-0.76090742017957647</v>
      </c>
      <c r="G2849" s="51" t="str">
        <v>伊藤 2022/08/27 (土)
休日午前</v>
      </c>
    </row>
    <row r="2850" spans="1:7" ht="16.149999999999999" x14ac:dyDescent="0.7">
      <c r="A2850" s="49">
        <v>44768.77625811343</v>
      </c>
      <c r="B2850" s="50" t="s">
        <v>2</v>
      </c>
      <c r="C2850" s="50" t="s">
        <v>440</v>
      </c>
      <c r="D2850" s="50" t="s">
        <v>261</v>
      </c>
      <c r="E2850" s="50">
        <v>-1</v>
      </c>
      <c r="F2850" s="51">
        <v>-0.25428759173998206</v>
      </c>
      <c r="G2850" s="51" t="str">
        <v>伊藤 2022/08/27 (土)
休日午後</v>
      </c>
    </row>
    <row r="2851" spans="1:7" ht="16.149999999999999" x14ac:dyDescent="0.7">
      <c r="A2851" s="49">
        <v>44768.77625811343</v>
      </c>
      <c r="B2851" s="50" t="s">
        <v>2</v>
      </c>
      <c r="C2851" s="50" t="s">
        <v>441</v>
      </c>
      <c r="D2851" s="50" t="s">
        <v>263</v>
      </c>
      <c r="E2851" s="50">
        <v>0</v>
      </c>
      <c r="F2851" s="51">
        <v>0.31698379803800658</v>
      </c>
      <c r="G2851" s="51" t="str">
        <v>伊藤 2022/08/28 (日)
休日午前</v>
      </c>
    </row>
    <row r="2852" spans="1:7" ht="16.149999999999999" x14ac:dyDescent="0.7">
      <c r="A2852" s="49">
        <v>44768.77625811343</v>
      </c>
      <c r="B2852" s="50" t="s">
        <v>2</v>
      </c>
      <c r="C2852" s="50" t="s">
        <v>442</v>
      </c>
      <c r="D2852" s="50" t="s">
        <v>261</v>
      </c>
      <c r="E2852" s="50">
        <v>0</v>
      </c>
      <c r="F2852" s="51">
        <v>0.8480514543394555</v>
      </c>
      <c r="G2852" s="51" t="str">
        <v>伊藤 2022/08/28 (日)
休日午後</v>
      </c>
    </row>
    <row r="2853" spans="1:7" ht="16.149999999999999" x14ac:dyDescent="0.7">
      <c r="A2853" s="49">
        <v>44768.77625811343</v>
      </c>
      <c r="B2853" s="50" t="s">
        <v>2</v>
      </c>
      <c r="C2853" s="50" t="s">
        <v>443</v>
      </c>
      <c r="D2853" s="50" t="s">
        <v>259</v>
      </c>
      <c r="E2853" s="50">
        <v>0</v>
      </c>
      <c r="F2853" s="51">
        <v>0.84445218000200306</v>
      </c>
      <c r="G2853" s="51" t="str">
        <v>伊藤 2022/08/29 (月)
平日夜間</v>
      </c>
    </row>
    <row r="2854" spans="1:7" ht="16.149999999999999" x14ac:dyDescent="0.7">
      <c r="A2854" s="49">
        <v>44768.77625811343</v>
      </c>
      <c r="B2854" s="50" t="s">
        <v>2</v>
      </c>
      <c r="C2854" s="50" t="s">
        <v>444</v>
      </c>
      <c r="D2854" s="50" t="s">
        <v>259</v>
      </c>
      <c r="E2854" s="50">
        <v>0</v>
      </c>
      <c r="F2854" s="51">
        <v>0.85308550080695378</v>
      </c>
      <c r="G2854" s="51" t="str">
        <v>伊藤 2022/08/30 (火)
平日夜間</v>
      </c>
    </row>
    <row r="2855" spans="1:7" ht="16.149999999999999" x14ac:dyDescent="0.7">
      <c r="A2855" s="49">
        <v>44768.77625811343</v>
      </c>
      <c r="B2855" s="50" t="s">
        <v>2</v>
      </c>
      <c r="C2855" s="50" t="s">
        <v>445</v>
      </c>
      <c r="D2855" s="50" t="s">
        <v>259</v>
      </c>
      <c r="E2855" s="50">
        <v>0</v>
      </c>
      <c r="F2855" s="51">
        <v>0.43393521632909571</v>
      </c>
      <c r="G2855" s="51" t="str">
        <v>伊藤 2022/08/31 (水)
平日夜間</v>
      </c>
    </row>
    <row r="2856" spans="1:7" ht="16.149999999999999" x14ac:dyDescent="0.7">
      <c r="A2856" s="49">
        <v>44768.81590361111</v>
      </c>
      <c r="B2856" s="50" t="s">
        <v>29</v>
      </c>
      <c r="C2856" s="50" t="s">
        <v>406</v>
      </c>
      <c r="D2856" s="50" t="s">
        <v>259</v>
      </c>
      <c r="E2856" s="50">
        <v>0</v>
      </c>
      <c r="F2856" s="51">
        <v>0.65888115153311411</v>
      </c>
      <c r="G2856" s="51" t="str">
        <v>福里 2022/08/01 (月)
平日夜間</v>
      </c>
    </row>
    <row r="2857" spans="1:7" ht="16.149999999999999" x14ac:dyDescent="0.7">
      <c r="A2857" s="49">
        <v>44768.81590361111</v>
      </c>
      <c r="B2857" s="50" t="s">
        <v>29</v>
      </c>
      <c r="C2857" s="50" t="s">
        <v>407</v>
      </c>
      <c r="D2857" s="50" t="s">
        <v>259</v>
      </c>
      <c r="E2857" s="50">
        <v>-1</v>
      </c>
      <c r="F2857" s="51">
        <v>-0.53172094646608881</v>
      </c>
      <c r="G2857" s="51" t="str">
        <v>福里 2022/08/02 (火)
平日夜間</v>
      </c>
    </row>
    <row r="2858" spans="1:7" ht="16.149999999999999" x14ac:dyDescent="0.7">
      <c r="A2858" s="49">
        <v>44768.81590361111</v>
      </c>
      <c r="B2858" s="50" t="s">
        <v>29</v>
      </c>
      <c r="C2858" s="50" t="s">
        <v>408</v>
      </c>
      <c r="D2858" s="50" t="s">
        <v>259</v>
      </c>
      <c r="E2858" s="50">
        <v>-1</v>
      </c>
      <c r="F2858" s="51">
        <v>-0.3509833247356442</v>
      </c>
      <c r="G2858" s="51" t="str">
        <v>福里 2022/08/03 (水)
平日夜間</v>
      </c>
    </row>
    <row r="2859" spans="1:7" ht="16.149999999999999" x14ac:dyDescent="0.7">
      <c r="A2859" s="49">
        <v>44768.81590361111</v>
      </c>
      <c r="B2859" s="50" t="s">
        <v>29</v>
      </c>
      <c r="C2859" s="50" t="s">
        <v>409</v>
      </c>
      <c r="D2859" s="50" t="s">
        <v>259</v>
      </c>
      <c r="E2859" s="50">
        <v>-1</v>
      </c>
      <c r="F2859" s="51">
        <v>-0.67199987070591827</v>
      </c>
      <c r="G2859" s="51" t="str">
        <v>福里 2022/08/04 (木)
平日夜間</v>
      </c>
    </row>
    <row r="2860" spans="1:7" ht="16.149999999999999" x14ac:dyDescent="0.7">
      <c r="A2860" s="49">
        <v>44768.81590361111</v>
      </c>
      <c r="B2860" s="50" t="s">
        <v>29</v>
      </c>
      <c r="C2860" s="50" t="s">
        <v>410</v>
      </c>
      <c r="D2860" s="50" t="s">
        <v>259</v>
      </c>
      <c r="E2860" s="50">
        <v>-1</v>
      </c>
      <c r="F2860" s="51">
        <v>-0.48415190639796957</v>
      </c>
      <c r="G2860" s="51" t="str">
        <v>福里 2022/08/05 (金)
平日夜間</v>
      </c>
    </row>
    <row r="2861" spans="1:7" ht="16.149999999999999" x14ac:dyDescent="0.7">
      <c r="A2861" s="49">
        <v>44768.81590361111</v>
      </c>
      <c r="B2861" s="50" t="s">
        <v>29</v>
      </c>
      <c r="C2861" s="50" t="s">
        <v>411</v>
      </c>
      <c r="D2861" s="50" t="s">
        <v>263</v>
      </c>
      <c r="E2861" s="50">
        <v>-1</v>
      </c>
      <c r="F2861" s="51">
        <v>-0.57107785613889006</v>
      </c>
      <c r="G2861" s="51" t="str">
        <v>福里 2022/08/06 (土)
休日午前</v>
      </c>
    </row>
    <row r="2862" spans="1:7" ht="16.149999999999999" x14ac:dyDescent="0.7">
      <c r="A2862" s="49">
        <v>44768.81590361111</v>
      </c>
      <c r="B2862" s="50" t="s">
        <v>29</v>
      </c>
      <c r="C2862" s="50" t="s">
        <v>412</v>
      </c>
      <c r="D2862" s="50" t="s">
        <v>261</v>
      </c>
      <c r="E2862" s="50">
        <v>-1</v>
      </c>
      <c r="F2862" s="51">
        <v>-0.13741407307438891</v>
      </c>
      <c r="G2862" s="51" t="str">
        <v>福里 2022/08/06 (土)
休日午後</v>
      </c>
    </row>
    <row r="2863" spans="1:7" ht="16.149999999999999" x14ac:dyDescent="0.7">
      <c r="A2863" s="49">
        <v>44768.81590361111</v>
      </c>
      <c r="B2863" s="50" t="s">
        <v>29</v>
      </c>
      <c r="C2863" s="50" t="s">
        <v>413</v>
      </c>
      <c r="D2863" s="50" t="s">
        <v>263</v>
      </c>
      <c r="E2863" s="50">
        <v>-1</v>
      </c>
      <c r="F2863" s="51">
        <v>-0.5565277633276926</v>
      </c>
      <c r="G2863" s="51" t="str">
        <v>福里 2022/08/07 (日)
休日午前</v>
      </c>
    </row>
    <row r="2864" spans="1:7" ht="16.149999999999999" x14ac:dyDescent="0.7">
      <c r="A2864" s="49">
        <v>44768.81590361111</v>
      </c>
      <c r="B2864" s="50" t="s">
        <v>29</v>
      </c>
      <c r="C2864" s="50" t="s">
        <v>414</v>
      </c>
      <c r="D2864" s="50" t="s">
        <v>261</v>
      </c>
      <c r="E2864" s="50">
        <v>-1</v>
      </c>
      <c r="F2864" s="51">
        <v>-0.56097878645427901</v>
      </c>
      <c r="G2864" s="51" t="str">
        <v>福里 2022/08/07 (日)
休日午後</v>
      </c>
    </row>
    <row r="2865" spans="1:7" ht="16.149999999999999" x14ac:dyDescent="0.7">
      <c r="A2865" s="49">
        <v>44768.81590361111</v>
      </c>
      <c r="B2865" s="50" t="s">
        <v>29</v>
      </c>
      <c r="C2865" s="50" t="s">
        <v>415</v>
      </c>
      <c r="D2865" s="50" t="s">
        <v>259</v>
      </c>
      <c r="E2865" s="50">
        <v>0</v>
      </c>
      <c r="F2865" s="51">
        <v>0.70740505540137888</v>
      </c>
      <c r="G2865" s="51" t="str">
        <v>福里 2022/08/08 (月)
平日夜間</v>
      </c>
    </row>
    <row r="2866" spans="1:7" ht="16.149999999999999" x14ac:dyDescent="0.7">
      <c r="A2866" s="49">
        <v>44768.81590361111</v>
      </c>
      <c r="B2866" s="50" t="s">
        <v>29</v>
      </c>
      <c r="C2866" s="50" t="s">
        <v>416</v>
      </c>
      <c r="D2866" s="50" t="s">
        <v>259</v>
      </c>
      <c r="E2866" s="50">
        <v>0</v>
      </c>
      <c r="F2866" s="51">
        <v>0.8721230152165762</v>
      </c>
      <c r="G2866" s="51" t="str">
        <v>福里 2022/08/09 (火)
平日夜間</v>
      </c>
    </row>
    <row r="2867" spans="1:7" ht="16.149999999999999" x14ac:dyDescent="0.7">
      <c r="A2867" s="49">
        <v>44768.81590361111</v>
      </c>
      <c r="B2867" s="50" t="s">
        <v>29</v>
      </c>
      <c r="C2867" s="50" t="s">
        <v>417</v>
      </c>
      <c r="D2867" s="50" t="s">
        <v>259</v>
      </c>
      <c r="E2867" s="50">
        <v>0</v>
      </c>
      <c r="F2867" s="51">
        <v>9.298246986609171E-2</v>
      </c>
      <c r="G2867" s="51" t="str">
        <v>福里 2022/08/10 (水)
平日夜間</v>
      </c>
    </row>
    <row r="2868" spans="1:7" ht="16.149999999999999" x14ac:dyDescent="0.7">
      <c r="A2868" s="49">
        <v>44768.81590361111</v>
      </c>
      <c r="B2868" s="50" t="s">
        <v>29</v>
      </c>
      <c r="C2868" s="50" t="s">
        <v>418</v>
      </c>
      <c r="D2868" s="50" t="s">
        <v>263</v>
      </c>
      <c r="E2868" s="50">
        <v>-1</v>
      </c>
      <c r="F2868" s="51">
        <v>-0.51616076225353491</v>
      </c>
      <c r="G2868" s="51" t="str">
        <v>福里 2022/08/11 (木)
休日午前</v>
      </c>
    </row>
    <row r="2869" spans="1:7" ht="16.149999999999999" x14ac:dyDescent="0.7">
      <c r="A2869" s="49">
        <v>44768.81590361111</v>
      </c>
      <c r="B2869" s="50" t="s">
        <v>29</v>
      </c>
      <c r="C2869" s="50" t="s">
        <v>419</v>
      </c>
      <c r="D2869" s="50" t="s">
        <v>261</v>
      </c>
      <c r="E2869" s="50">
        <v>-1</v>
      </c>
      <c r="F2869" s="51">
        <v>-0.69565842953997659</v>
      </c>
      <c r="G2869" s="51" t="str">
        <v>福里 2022/08/11 (木)
休日午後</v>
      </c>
    </row>
    <row r="2870" spans="1:7" ht="16.149999999999999" x14ac:dyDescent="0.7">
      <c r="A2870" s="49">
        <v>44768.81590361111</v>
      </c>
      <c r="B2870" s="50" t="s">
        <v>29</v>
      </c>
      <c r="C2870" s="50" t="s">
        <v>420</v>
      </c>
      <c r="D2870" s="50" t="s">
        <v>259</v>
      </c>
      <c r="E2870" s="50">
        <v>-1</v>
      </c>
      <c r="F2870" s="51">
        <v>-8.2736985343078384E-2</v>
      </c>
      <c r="G2870" s="51" t="str">
        <v>福里 2022/08/12 (金)
平日夜間</v>
      </c>
    </row>
    <row r="2871" spans="1:7" ht="16.149999999999999" x14ac:dyDescent="0.7">
      <c r="A2871" s="49">
        <v>44768.81590361111</v>
      </c>
      <c r="B2871" s="50" t="s">
        <v>29</v>
      </c>
      <c r="C2871" s="50" t="s">
        <v>421</v>
      </c>
      <c r="D2871" s="50" t="s">
        <v>263</v>
      </c>
      <c r="E2871" s="50">
        <v>-1</v>
      </c>
      <c r="F2871" s="51">
        <v>-0.22541852228050208</v>
      </c>
      <c r="G2871" s="51" t="str">
        <v>福里 2022/08/13 (土)
休日午前</v>
      </c>
    </row>
    <row r="2872" spans="1:7" ht="16.149999999999999" x14ac:dyDescent="0.7">
      <c r="A2872" s="49">
        <v>44768.81590361111</v>
      </c>
      <c r="B2872" s="50" t="s">
        <v>29</v>
      </c>
      <c r="C2872" s="50" t="s">
        <v>422</v>
      </c>
      <c r="D2872" s="50" t="s">
        <v>261</v>
      </c>
      <c r="E2872" s="50">
        <v>-1</v>
      </c>
      <c r="F2872" s="51">
        <v>-0.7326795566108486</v>
      </c>
      <c r="G2872" s="51" t="str">
        <v>福里 2022/08/13 (土)
休日午後</v>
      </c>
    </row>
    <row r="2873" spans="1:7" ht="16.149999999999999" x14ac:dyDescent="0.7">
      <c r="A2873" s="49">
        <v>44768.81590361111</v>
      </c>
      <c r="B2873" s="50" t="s">
        <v>29</v>
      </c>
      <c r="C2873" s="50" t="s">
        <v>423</v>
      </c>
      <c r="D2873" s="50" t="s">
        <v>263</v>
      </c>
      <c r="E2873" s="50">
        <v>0</v>
      </c>
      <c r="F2873" s="51">
        <v>0.48276233379859601</v>
      </c>
      <c r="G2873" s="51" t="str">
        <v>福里 2022/08/14 (日)
休日午前</v>
      </c>
    </row>
    <row r="2874" spans="1:7" ht="16.149999999999999" x14ac:dyDescent="0.7">
      <c r="A2874" s="49">
        <v>44768.81590361111</v>
      </c>
      <c r="B2874" s="50" t="s">
        <v>29</v>
      </c>
      <c r="C2874" s="50" t="s">
        <v>424</v>
      </c>
      <c r="D2874" s="50" t="s">
        <v>261</v>
      </c>
      <c r="E2874" s="50">
        <v>0</v>
      </c>
      <c r="F2874" s="51">
        <v>0.13892473113423143</v>
      </c>
      <c r="G2874" s="51" t="str">
        <v>福里 2022/08/14 (日)
休日午後</v>
      </c>
    </row>
    <row r="2875" spans="1:7" ht="16.149999999999999" x14ac:dyDescent="0.7">
      <c r="A2875" s="49">
        <v>44768.81590361111</v>
      </c>
      <c r="B2875" s="50" t="s">
        <v>29</v>
      </c>
      <c r="C2875" s="50" t="s">
        <v>425</v>
      </c>
      <c r="D2875" s="50" t="s">
        <v>259</v>
      </c>
      <c r="E2875" s="50">
        <v>-1</v>
      </c>
      <c r="F2875" s="51">
        <v>-0.42448570797189467</v>
      </c>
      <c r="G2875" s="51" t="str">
        <v>福里 2022/08/15 (月)
平日夜間</v>
      </c>
    </row>
    <row r="2876" spans="1:7" ht="16.149999999999999" x14ac:dyDescent="0.7">
      <c r="A2876" s="49">
        <v>44768.81590361111</v>
      </c>
      <c r="B2876" s="50" t="s">
        <v>29</v>
      </c>
      <c r="C2876" s="50" t="s">
        <v>426</v>
      </c>
      <c r="D2876" s="50" t="s">
        <v>259</v>
      </c>
      <c r="E2876" s="50">
        <v>0</v>
      </c>
      <c r="F2876" s="51">
        <v>0.48519918925409256</v>
      </c>
      <c r="G2876" s="51" t="str">
        <v>福里 2022/08/16 (火)
平日夜間</v>
      </c>
    </row>
    <row r="2877" spans="1:7" ht="16.149999999999999" x14ac:dyDescent="0.7">
      <c r="A2877" s="49">
        <v>44768.81590361111</v>
      </c>
      <c r="B2877" s="50" t="s">
        <v>29</v>
      </c>
      <c r="C2877" s="50" t="s">
        <v>427</v>
      </c>
      <c r="D2877" s="50" t="s">
        <v>259</v>
      </c>
      <c r="E2877" s="50">
        <v>0</v>
      </c>
      <c r="F2877" s="51">
        <v>0.20734427611398631</v>
      </c>
      <c r="G2877" s="51" t="str">
        <v>福里 2022/08/17 (水)
平日夜間</v>
      </c>
    </row>
    <row r="2878" spans="1:7" ht="16.149999999999999" x14ac:dyDescent="0.7">
      <c r="A2878" s="49">
        <v>44768.81590361111</v>
      </c>
      <c r="B2878" s="50" t="s">
        <v>29</v>
      </c>
      <c r="C2878" s="50" t="s">
        <v>428</v>
      </c>
      <c r="D2878" s="50" t="s">
        <v>259</v>
      </c>
      <c r="E2878" s="50">
        <v>-1</v>
      </c>
      <c r="F2878" s="51">
        <v>-0.76807553205115431</v>
      </c>
      <c r="G2878" s="51" t="str">
        <v>福里 2022/08/18 (木)
平日夜間</v>
      </c>
    </row>
    <row r="2879" spans="1:7" ht="16.149999999999999" x14ac:dyDescent="0.7">
      <c r="A2879" s="49">
        <v>44768.81590361111</v>
      </c>
      <c r="B2879" s="50" t="s">
        <v>29</v>
      </c>
      <c r="C2879" s="50" t="s">
        <v>429</v>
      </c>
      <c r="D2879" s="50" t="s">
        <v>259</v>
      </c>
      <c r="E2879" s="50">
        <v>0</v>
      </c>
      <c r="F2879" s="51">
        <v>0.10819257328944554</v>
      </c>
      <c r="G2879" s="51" t="str">
        <v>福里 2022/08/19 (金)
平日夜間</v>
      </c>
    </row>
    <row r="2880" spans="1:7" ht="16.149999999999999" x14ac:dyDescent="0.7">
      <c r="A2880" s="49">
        <v>44768.81590361111</v>
      </c>
      <c r="B2880" s="50" t="s">
        <v>29</v>
      </c>
      <c r="C2880" s="50" t="s">
        <v>430</v>
      </c>
      <c r="D2880" s="50" t="s">
        <v>263</v>
      </c>
      <c r="E2880" s="50">
        <v>-1</v>
      </c>
      <c r="F2880" s="51">
        <v>-0.26278822294968407</v>
      </c>
      <c r="G2880" s="51" t="str">
        <v>福里 2022/08/20 (土)
休日午前</v>
      </c>
    </row>
    <row r="2881" spans="1:7" ht="16.149999999999999" x14ac:dyDescent="0.7">
      <c r="A2881" s="49">
        <v>44768.81590361111</v>
      </c>
      <c r="B2881" s="50" t="s">
        <v>29</v>
      </c>
      <c r="C2881" s="50" t="s">
        <v>431</v>
      </c>
      <c r="D2881" s="50" t="s">
        <v>261</v>
      </c>
      <c r="E2881" s="50">
        <v>-1</v>
      </c>
      <c r="F2881" s="51">
        <v>-0.25457249867134712</v>
      </c>
      <c r="G2881" s="51" t="str">
        <v>福里 2022/08/20 (土)
休日午後</v>
      </c>
    </row>
    <row r="2882" spans="1:7" ht="16.149999999999999" x14ac:dyDescent="0.7">
      <c r="A2882" s="49">
        <v>44768.81590361111</v>
      </c>
      <c r="B2882" s="50" t="s">
        <v>29</v>
      </c>
      <c r="C2882" s="50" t="s">
        <v>432</v>
      </c>
      <c r="D2882" s="50" t="s">
        <v>263</v>
      </c>
      <c r="E2882" s="50">
        <v>0</v>
      </c>
      <c r="F2882" s="51">
        <v>0.62902088622329666</v>
      </c>
      <c r="G2882" s="51" t="str">
        <v>福里 2022/08/21 (日)
休日午前</v>
      </c>
    </row>
    <row r="2883" spans="1:7" ht="16.149999999999999" x14ac:dyDescent="0.7">
      <c r="A2883" s="49">
        <v>44768.81590361111</v>
      </c>
      <c r="B2883" s="50" t="s">
        <v>29</v>
      </c>
      <c r="C2883" s="50" t="s">
        <v>433</v>
      </c>
      <c r="D2883" s="50" t="s">
        <v>261</v>
      </c>
      <c r="E2883" s="50">
        <v>2</v>
      </c>
      <c r="F2883" s="51">
        <v>2.0249226212955485</v>
      </c>
      <c r="G2883" s="51" t="str">
        <v>福里 2022/08/21 (日)
休日午後</v>
      </c>
    </row>
    <row r="2884" spans="1:7" ht="16.149999999999999" x14ac:dyDescent="0.7">
      <c r="A2884" s="49">
        <v>44768.81590361111</v>
      </c>
      <c r="B2884" s="50" t="s">
        <v>29</v>
      </c>
      <c r="C2884" s="50" t="s">
        <v>434</v>
      </c>
      <c r="D2884" s="50" t="s">
        <v>259</v>
      </c>
      <c r="E2884" s="50">
        <v>-1</v>
      </c>
      <c r="F2884" s="51">
        <v>-0.48811839314992844</v>
      </c>
      <c r="G2884" s="51" t="str">
        <v>福里 2022/08/22 (月)
平日夜間</v>
      </c>
    </row>
    <row r="2885" spans="1:7" ht="16.149999999999999" x14ac:dyDescent="0.7">
      <c r="A2885" s="49">
        <v>44768.81590361111</v>
      </c>
      <c r="B2885" s="50" t="s">
        <v>29</v>
      </c>
      <c r="C2885" s="50" t="s">
        <v>435</v>
      </c>
      <c r="D2885" s="50" t="s">
        <v>259</v>
      </c>
      <c r="E2885" s="50">
        <v>0</v>
      </c>
      <c r="F2885" s="51">
        <v>0.90206067428295111</v>
      </c>
      <c r="G2885" s="51" t="str">
        <v>福里 2022/08/23 (火)
平日夜間</v>
      </c>
    </row>
    <row r="2886" spans="1:7" ht="16.149999999999999" x14ac:dyDescent="0.7">
      <c r="A2886" s="49">
        <v>44768.81590361111</v>
      </c>
      <c r="B2886" s="50" t="s">
        <v>29</v>
      </c>
      <c r="C2886" s="50" t="s">
        <v>436</v>
      </c>
      <c r="D2886" s="50" t="s">
        <v>259</v>
      </c>
      <c r="E2886" s="50">
        <v>0</v>
      </c>
      <c r="F2886" s="51">
        <v>0.54398655083309388</v>
      </c>
      <c r="G2886" s="51" t="str">
        <v>福里 2022/08/24 (水)
平日夜間</v>
      </c>
    </row>
    <row r="2887" spans="1:7" ht="16.149999999999999" x14ac:dyDescent="0.7">
      <c r="A2887" s="49">
        <v>44768.81590361111</v>
      </c>
      <c r="B2887" s="50" t="s">
        <v>29</v>
      </c>
      <c r="C2887" s="50" t="s">
        <v>437</v>
      </c>
      <c r="D2887" s="50" t="s">
        <v>259</v>
      </c>
      <c r="E2887" s="50">
        <v>-1</v>
      </c>
      <c r="F2887" s="51">
        <v>-0.42582237752007712</v>
      </c>
      <c r="G2887" s="51" t="str">
        <v>福里 2022/08/25 (木)
平日夜間</v>
      </c>
    </row>
    <row r="2888" spans="1:7" ht="16.149999999999999" x14ac:dyDescent="0.7">
      <c r="A2888" s="49">
        <v>44768.81590361111</v>
      </c>
      <c r="B2888" s="50" t="s">
        <v>29</v>
      </c>
      <c r="C2888" s="50" t="s">
        <v>438</v>
      </c>
      <c r="D2888" s="50" t="s">
        <v>259</v>
      </c>
      <c r="E2888" s="50">
        <v>-1</v>
      </c>
      <c r="F2888" s="51">
        <v>-0.51681084835267588</v>
      </c>
      <c r="G2888" s="51" t="str">
        <v>福里 2022/08/26 (金)
平日夜間</v>
      </c>
    </row>
    <row r="2889" spans="1:7" ht="16.149999999999999" x14ac:dyDescent="0.7">
      <c r="A2889" s="49">
        <v>44768.81590361111</v>
      </c>
      <c r="B2889" s="50" t="s">
        <v>29</v>
      </c>
      <c r="C2889" s="50" t="s">
        <v>439</v>
      </c>
      <c r="D2889" s="50" t="s">
        <v>263</v>
      </c>
      <c r="E2889" s="50">
        <v>-1</v>
      </c>
      <c r="F2889" s="51">
        <v>-0.1287178740546302</v>
      </c>
      <c r="G2889" s="51" t="str">
        <v>福里 2022/08/27 (土)
休日午前</v>
      </c>
    </row>
    <row r="2890" spans="1:7" ht="16.149999999999999" x14ac:dyDescent="0.7">
      <c r="A2890" s="49">
        <v>44768.81590361111</v>
      </c>
      <c r="B2890" s="50" t="s">
        <v>29</v>
      </c>
      <c r="C2890" s="50" t="s">
        <v>440</v>
      </c>
      <c r="D2890" s="50" t="s">
        <v>261</v>
      </c>
      <c r="E2890" s="50">
        <v>-1</v>
      </c>
      <c r="F2890" s="51">
        <v>-0.2957013766523966</v>
      </c>
      <c r="G2890" s="51" t="str">
        <v>福里 2022/08/27 (土)
休日午後</v>
      </c>
    </row>
    <row r="2891" spans="1:7" ht="16.149999999999999" x14ac:dyDescent="0.7">
      <c r="A2891" s="49">
        <v>44768.81590361111</v>
      </c>
      <c r="B2891" s="50" t="s">
        <v>29</v>
      </c>
      <c r="C2891" s="50" t="s">
        <v>441</v>
      </c>
      <c r="D2891" s="50" t="s">
        <v>263</v>
      </c>
      <c r="E2891" s="50">
        <v>-1</v>
      </c>
      <c r="F2891" s="51">
        <v>-0.34266403176357407</v>
      </c>
      <c r="G2891" s="51" t="str">
        <v>福里 2022/08/28 (日)
休日午前</v>
      </c>
    </row>
    <row r="2892" spans="1:7" ht="16.149999999999999" x14ac:dyDescent="0.7">
      <c r="A2892" s="49">
        <v>44768.81590361111</v>
      </c>
      <c r="B2892" s="50" t="s">
        <v>29</v>
      </c>
      <c r="C2892" s="50" t="s">
        <v>442</v>
      </c>
      <c r="D2892" s="50" t="s">
        <v>261</v>
      </c>
      <c r="E2892" s="50">
        <v>-1</v>
      </c>
      <c r="F2892" s="51">
        <v>-0.81166766013981961</v>
      </c>
      <c r="G2892" s="51" t="str">
        <v>福里 2022/08/28 (日)
休日午後</v>
      </c>
    </row>
    <row r="2893" spans="1:7" ht="16.149999999999999" x14ac:dyDescent="0.7">
      <c r="A2893" s="49">
        <v>44768.81590361111</v>
      </c>
      <c r="B2893" s="50" t="s">
        <v>29</v>
      </c>
      <c r="C2893" s="50" t="s">
        <v>443</v>
      </c>
      <c r="D2893" s="50" t="s">
        <v>259</v>
      </c>
      <c r="E2893" s="50">
        <v>0</v>
      </c>
      <c r="F2893" s="51">
        <v>0.19599433725901405</v>
      </c>
      <c r="G2893" s="51" t="str">
        <v>福里 2022/08/29 (月)
平日夜間</v>
      </c>
    </row>
    <row r="2894" spans="1:7" ht="16.149999999999999" x14ac:dyDescent="0.7">
      <c r="A2894" s="49">
        <v>44768.81590361111</v>
      </c>
      <c r="B2894" s="50" t="s">
        <v>29</v>
      </c>
      <c r="C2894" s="50" t="s">
        <v>444</v>
      </c>
      <c r="D2894" s="50" t="s">
        <v>259</v>
      </c>
      <c r="E2894" s="50">
        <v>0</v>
      </c>
      <c r="F2894" s="51">
        <v>0.92798160740143354</v>
      </c>
      <c r="G2894" s="51" t="str">
        <v>福里 2022/08/30 (火)
平日夜間</v>
      </c>
    </row>
    <row r="2895" spans="1:7" ht="16.149999999999999" x14ac:dyDescent="0.7">
      <c r="A2895" s="49">
        <v>44768.81590361111</v>
      </c>
      <c r="B2895" s="50" t="s">
        <v>29</v>
      </c>
      <c r="C2895" s="50" t="s">
        <v>445</v>
      </c>
      <c r="D2895" s="50" t="s">
        <v>259</v>
      </c>
      <c r="E2895" s="50">
        <v>0</v>
      </c>
      <c r="F2895" s="51">
        <v>0.20817159626728254</v>
      </c>
      <c r="G2895" s="51" t="str">
        <v>福里 2022/08/31 (水)
平日夜間</v>
      </c>
    </row>
    <row r="2896" spans="1:7" ht="16.149999999999999" x14ac:dyDescent="0.7">
      <c r="A2896" s="49">
        <v>44768.866790879634</v>
      </c>
      <c r="B2896" s="50" t="s">
        <v>4</v>
      </c>
      <c r="C2896" s="50" t="s">
        <v>406</v>
      </c>
      <c r="D2896" s="50" t="s">
        <v>259</v>
      </c>
      <c r="E2896" s="50">
        <v>-1</v>
      </c>
      <c r="F2896" s="51">
        <v>-6.5352599574290959E-2</v>
      </c>
      <c r="G2896" s="51" t="str">
        <v>井上 2022/08/01 (月)
平日夜間</v>
      </c>
    </row>
    <row r="2897" spans="1:7" ht="16.149999999999999" x14ac:dyDescent="0.7">
      <c r="A2897" s="49">
        <v>44768.866790879634</v>
      </c>
      <c r="B2897" s="50" t="s">
        <v>4</v>
      </c>
      <c r="C2897" s="50" t="s">
        <v>407</v>
      </c>
      <c r="D2897" s="50" t="s">
        <v>259</v>
      </c>
      <c r="E2897" s="50">
        <v>-1</v>
      </c>
      <c r="F2897" s="51">
        <v>-0.11739257180168283</v>
      </c>
      <c r="G2897" s="51" t="str">
        <v>井上 2022/08/02 (火)
平日夜間</v>
      </c>
    </row>
    <row r="2898" spans="1:7" ht="16.149999999999999" x14ac:dyDescent="0.7">
      <c r="A2898" s="49">
        <v>44768.866790879634</v>
      </c>
      <c r="B2898" s="50" t="s">
        <v>4</v>
      </c>
      <c r="C2898" s="50" t="s">
        <v>408</v>
      </c>
      <c r="D2898" s="50" t="s">
        <v>259</v>
      </c>
      <c r="E2898" s="50">
        <v>0</v>
      </c>
      <c r="F2898" s="51">
        <v>0.72131451504461208</v>
      </c>
      <c r="G2898" s="51" t="str">
        <v>井上 2022/08/03 (水)
平日夜間</v>
      </c>
    </row>
    <row r="2899" spans="1:7" ht="16.149999999999999" x14ac:dyDescent="0.7">
      <c r="A2899" s="49">
        <v>44768.866790879634</v>
      </c>
      <c r="B2899" s="50" t="s">
        <v>4</v>
      </c>
      <c r="C2899" s="50" t="s">
        <v>409</v>
      </c>
      <c r="D2899" s="50" t="s">
        <v>259</v>
      </c>
      <c r="E2899" s="50">
        <v>-1</v>
      </c>
      <c r="F2899" s="51">
        <v>-0.74580763639742531</v>
      </c>
      <c r="G2899" s="51" t="str">
        <v>井上 2022/08/04 (木)
平日夜間</v>
      </c>
    </row>
    <row r="2900" spans="1:7" ht="16.149999999999999" x14ac:dyDescent="0.7">
      <c r="A2900" s="49">
        <v>44768.866790879634</v>
      </c>
      <c r="B2900" s="50" t="s">
        <v>4</v>
      </c>
      <c r="C2900" s="50" t="s">
        <v>410</v>
      </c>
      <c r="D2900" s="50" t="s">
        <v>259</v>
      </c>
      <c r="E2900" s="50">
        <v>-1</v>
      </c>
      <c r="F2900" s="51">
        <v>-0.73055318125833746</v>
      </c>
      <c r="G2900" s="51" t="str">
        <v>井上 2022/08/05 (金)
平日夜間</v>
      </c>
    </row>
    <row r="2901" spans="1:7" ht="16.149999999999999" x14ac:dyDescent="0.7">
      <c r="A2901" s="49">
        <v>44768.866790879634</v>
      </c>
      <c r="B2901" s="50" t="s">
        <v>4</v>
      </c>
      <c r="C2901" s="50" t="s">
        <v>411</v>
      </c>
      <c r="D2901" s="50" t="s">
        <v>263</v>
      </c>
      <c r="E2901" s="50">
        <v>-1</v>
      </c>
      <c r="F2901" s="51">
        <v>-0.5839542823790862</v>
      </c>
      <c r="G2901" s="51" t="str">
        <v>井上 2022/08/06 (土)
休日午前</v>
      </c>
    </row>
    <row r="2902" spans="1:7" ht="16.149999999999999" x14ac:dyDescent="0.7">
      <c r="A2902" s="49">
        <v>44768.866790879634</v>
      </c>
      <c r="B2902" s="50" t="s">
        <v>4</v>
      </c>
      <c r="C2902" s="50" t="s">
        <v>412</v>
      </c>
      <c r="D2902" s="50" t="s">
        <v>261</v>
      </c>
      <c r="E2902" s="50">
        <v>-1</v>
      </c>
      <c r="F2902" s="51">
        <v>-0.71620459534955017</v>
      </c>
      <c r="G2902" s="51" t="str">
        <v>井上 2022/08/06 (土)
休日午後</v>
      </c>
    </row>
    <row r="2903" spans="1:7" ht="16.149999999999999" x14ac:dyDescent="0.7">
      <c r="A2903" s="49">
        <v>44768.866790879634</v>
      </c>
      <c r="B2903" s="50" t="s">
        <v>4</v>
      </c>
      <c r="C2903" s="50" t="s">
        <v>413</v>
      </c>
      <c r="D2903" s="50" t="s">
        <v>263</v>
      </c>
      <c r="E2903" s="50">
        <v>-1</v>
      </c>
      <c r="F2903" s="51">
        <v>-0.61075004864895588</v>
      </c>
      <c r="G2903" s="51" t="str">
        <v>井上 2022/08/07 (日)
休日午前</v>
      </c>
    </row>
    <row r="2904" spans="1:7" ht="16.149999999999999" x14ac:dyDescent="0.7">
      <c r="A2904" s="49">
        <v>44768.866790879634</v>
      </c>
      <c r="B2904" s="50" t="s">
        <v>4</v>
      </c>
      <c r="C2904" s="50" t="s">
        <v>414</v>
      </c>
      <c r="D2904" s="50" t="s">
        <v>261</v>
      </c>
      <c r="E2904" s="50">
        <v>-1</v>
      </c>
      <c r="F2904" s="51">
        <v>-8.2792863649339132E-4</v>
      </c>
      <c r="G2904" s="51" t="str">
        <v>井上 2022/08/07 (日)
休日午後</v>
      </c>
    </row>
    <row r="2905" spans="1:7" ht="16.149999999999999" x14ac:dyDescent="0.7">
      <c r="A2905" s="49">
        <v>44768.866790879634</v>
      </c>
      <c r="B2905" s="50" t="s">
        <v>4</v>
      </c>
      <c r="C2905" s="50" t="s">
        <v>415</v>
      </c>
      <c r="D2905" s="50" t="s">
        <v>259</v>
      </c>
      <c r="E2905" s="50">
        <v>0</v>
      </c>
      <c r="F2905" s="51">
        <v>0.30389306771393265</v>
      </c>
      <c r="G2905" s="51" t="str">
        <v>井上 2022/08/08 (月)
平日夜間</v>
      </c>
    </row>
    <row r="2906" spans="1:7" ht="16.149999999999999" x14ac:dyDescent="0.7">
      <c r="A2906" s="49">
        <v>44768.866790879634</v>
      </c>
      <c r="B2906" s="50" t="s">
        <v>4</v>
      </c>
      <c r="C2906" s="50" t="s">
        <v>416</v>
      </c>
      <c r="D2906" s="50" t="s">
        <v>259</v>
      </c>
      <c r="E2906" s="50">
        <v>0</v>
      </c>
      <c r="F2906" s="51">
        <v>0.68330885327190405</v>
      </c>
      <c r="G2906" s="51" t="str">
        <v>井上 2022/08/09 (火)
平日夜間</v>
      </c>
    </row>
    <row r="2907" spans="1:7" ht="16.149999999999999" x14ac:dyDescent="0.7">
      <c r="A2907" s="49">
        <v>44768.866790879634</v>
      </c>
      <c r="B2907" s="50" t="s">
        <v>4</v>
      </c>
      <c r="C2907" s="50" t="s">
        <v>417</v>
      </c>
      <c r="D2907" s="50" t="s">
        <v>259</v>
      </c>
      <c r="E2907" s="50">
        <v>-1</v>
      </c>
      <c r="F2907" s="51">
        <v>-0.84046878854539608</v>
      </c>
      <c r="G2907" s="51" t="str">
        <v>井上 2022/08/10 (水)
平日夜間</v>
      </c>
    </row>
    <row r="2908" spans="1:7" ht="16.149999999999999" x14ac:dyDescent="0.7">
      <c r="A2908" s="49">
        <v>44768.866790879634</v>
      </c>
      <c r="B2908" s="50" t="s">
        <v>4</v>
      </c>
      <c r="C2908" s="50" t="s">
        <v>418</v>
      </c>
      <c r="D2908" s="50" t="s">
        <v>263</v>
      </c>
      <c r="E2908" s="50">
        <v>-1</v>
      </c>
      <c r="F2908" s="51">
        <v>-0.83842770038094816</v>
      </c>
      <c r="G2908" s="51" t="str">
        <v>井上 2022/08/11 (木)
休日午前</v>
      </c>
    </row>
    <row r="2909" spans="1:7" ht="16.149999999999999" x14ac:dyDescent="0.7">
      <c r="A2909" s="49">
        <v>44768.866790879634</v>
      </c>
      <c r="B2909" s="50" t="s">
        <v>4</v>
      </c>
      <c r="C2909" s="50" t="s">
        <v>419</v>
      </c>
      <c r="D2909" s="50" t="s">
        <v>261</v>
      </c>
      <c r="E2909" s="50">
        <v>-1</v>
      </c>
      <c r="F2909" s="51">
        <v>-0.82232973867206494</v>
      </c>
      <c r="G2909" s="51" t="str">
        <v>井上 2022/08/11 (木)
休日午後</v>
      </c>
    </row>
    <row r="2910" spans="1:7" ht="16.149999999999999" x14ac:dyDescent="0.7">
      <c r="A2910" s="49">
        <v>44768.866790879634</v>
      </c>
      <c r="B2910" s="50" t="s">
        <v>4</v>
      </c>
      <c r="C2910" s="50" t="s">
        <v>420</v>
      </c>
      <c r="D2910" s="50" t="s">
        <v>259</v>
      </c>
      <c r="E2910" s="50">
        <v>-1</v>
      </c>
      <c r="F2910" s="51">
        <v>-0.57712323572441604</v>
      </c>
      <c r="G2910" s="51" t="str">
        <v>井上 2022/08/12 (金)
平日夜間</v>
      </c>
    </row>
    <row r="2911" spans="1:7" ht="16.149999999999999" x14ac:dyDescent="0.7">
      <c r="A2911" s="49">
        <v>44768.866790879634</v>
      </c>
      <c r="B2911" s="50" t="s">
        <v>4</v>
      </c>
      <c r="C2911" s="50" t="s">
        <v>421</v>
      </c>
      <c r="D2911" s="50" t="s">
        <v>263</v>
      </c>
      <c r="E2911" s="50">
        <v>-1</v>
      </c>
      <c r="F2911" s="51">
        <v>-0.99758431239005652</v>
      </c>
      <c r="G2911" s="51" t="str">
        <v>井上 2022/08/13 (土)
休日午前</v>
      </c>
    </row>
    <row r="2912" spans="1:7" ht="16.149999999999999" x14ac:dyDescent="0.7">
      <c r="A2912" s="49">
        <v>44768.866790879634</v>
      </c>
      <c r="B2912" s="50" t="s">
        <v>4</v>
      </c>
      <c r="C2912" s="50" t="s">
        <v>422</v>
      </c>
      <c r="D2912" s="50" t="s">
        <v>261</v>
      </c>
      <c r="E2912" s="50">
        <v>-1</v>
      </c>
      <c r="F2912" s="51">
        <v>-0.67523989081978009</v>
      </c>
      <c r="G2912" s="51" t="str">
        <v>井上 2022/08/13 (土)
休日午後</v>
      </c>
    </row>
    <row r="2913" spans="1:7" ht="16.149999999999999" x14ac:dyDescent="0.7">
      <c r="A2913" s="49">
        <v>44768.866790879634</v>
      </c>
      <c r="B2913" s="50" t="s">
        <v>4</v>
      </c>
      <c r="C2913" s="50" t="s">
        <v>423</v>
      </c>
      <c r="D2913" s="50" t="s">
        <v>263</v>
      </c>
      <c r="E2913" s="50">
        <v>0</v>
      </c>
      <c r="F2913" s="51">
        <v>0.84295278995479506</v>
      </c>
      <c r="G2913" s="51" t="str">
        <v>井上 2022/08/14 (日)
休日午前</v>
      </c>
    </row>
    <row r="2914" spans="1:7" ht="16.149999999999999" x14ac:dyDescent="0.7">
      <c r="A2914" s="49">
        <v>44768.866790879634</v>
      </c>
      <c r="B2914" s="50" t="s">
        <v>4</v>
      </c>
      <c r="C2914" s="50" t="s">
        <v>424</v>
      </c>
      <c r="D2914" s="50" t="s">
        <v>261</v>
      </c>
      <c r="E2914" s="50">
        <v>-1</v>
      </c>
      <c r="F2914" s="51">
        <v>-0.11451406484447113</v>
      </c>
      <c r="G2914" s="51" t="str">
        <v>井上 2022/08/14 (日)
休日午後</v>
      </c>
    </row>
    <row r="2915" spans="1:7" ht="16.149999999999999" x14ac:dyDescent="0.7">
      <c r="A2915" s="49">
        <v>44768.866790879634</v>
      </c>
      <c r="B2915" s="50" t="s">
        <v>4</v>
      </c>
      <c r="C2915" s="50" t="s">
        <v>425</v>
      </c>
      <c r="D2915" s="50" t="s">
        <v>259</v>
      </c>
      <c r="E2915" s="50">
        <v>-1</v>
      </c>
      <c r="F2915" s="51">
        <v>-8.1087724143380502E-2</v>
      </c>
      <c r="G2915" s="51" t="str">
        <v>井上 2022/08/15 (月)
平日夜間</v>
      </c>
    </row>
    <row r="2916" spans="1:7" ht="16.149999999999999" x14ac:dyDescent="0.7">
      <c r="A2916" s="49">
        <v>44768.866790879634</v>
      </c>
      <c r="B2916" s="50" t="s">
        <v>4</v>
      </c>
      <c r="C2916" s="50" t="s">
        <v>426</v>
      </c>
      <c r="D2916" s="50" t="s">
        <v>259</v>
      </c>
      <c r="E2916" s="50">
        <v>0</v>
      </c>
      <c r="F2916" s="51">
        <v>0.40475516675528911</v>
      </c>
      <c r="G2916" s="51" t="str">
        <v>井上 2022/08/16 (火)
平日夜間</v>
      </c>
    </row>
    <row r="2917" spans="1:7" ht="16.149999999999999" x14ac:dyDescent="0.7">
      <c r="A2917" s="49">
        <v>44768.866790879634</v>
      </c>
      <c r="B2917" s="50" t="s">
        <v>4</v>
      </c>
      <c r="C2917" s="50" t="s">
        <v>427</v>
      </c>
      <c r="D2917" s="50" t="s">
        <v>259</v>
      </c>
      <c r="E2917" s="50">
        <v>0</v>
      </c>
      <c r="F2917" s="51">
        <v>0.32762192165794035</v>
      </c>
      <c r="G2917" s="51" t="str">
        <v>井上 2022/08/17 (水)
平日夜間</v>
      </c>
    </row>
    <row r="2918" spans="1:7" ht="16.149999999999999" x14ac:dyDescent="0.7">
      <c r="A2918" s="49">
        <v>44768.866790879634</v>
      </c>
      <c r="B2918" s="50" t="s">
        <v>4</v>
      </c>
      <c r="C2918" s="50" t="s">
        <v>428</v>
      </c>
      <c r="D2918" s="50" t="s">
        <v>259</v>
      </c>
      <c r="E2918" s="50">
        <v>0</v>
      </c>
      <c r="F2918" s="51">
        <v>0.82668792078178366</v>
      </c>
      <c r="G2918" s="51" t="str">
        <v>井上 2022/08/18 (木)
平日夜間</v>
      </c>
    </row>
    <row r="2919" spans="1:7" ht="16.149999999999999" x14ac:dyDescent="0.7">
      <c r="A2919" s="49">
        <v>44768.866790879634</v>
      </c>
      <c r="B2919" s="50" t="s">
        <v>4</v>
      </c>
      <c r="C2919" s="50" t="s">
        <v>429</v>
      </c>
      <c r="D2919" s="50" t="s">
        <v>259</v>
      </c>
      <c r="E2919" s="50">
        <v>0</v>
      </c>
      <c r="F2919" s="51">
        <v>0.95755260687426302</v>
      </c>
      <c r="G2919" s="51" t="str">
        <v>井上 2022/08/19 (金)
平日夜間</v>
      </c>
    </row>
    <row r="2920" spans="1:7" ht="16.149999999999999" x14ac:dyDescent="0.7">
      <c r="A2920" s="49">
        <v>44768.866790879634</v>
      </c>
      <c r="B2920" s="50" t="s">
        <v>4</v>
      </c>
      <c r="C2920" s="50" t="s">
        <v>430</v>
      </c>
      <c r="D2920" s="50" t="s">
        <v>263</v>
      </c>
      <c r="E2920" s="50">
        <v>0</v>
      </c>
      <c r="F2920" s="51">
        <v>0.59765264321352962</v>
      </c>
      <c r="G2920" s="51" t="str">
        <v>井上 2022/08/20 (土)
休日午前</v>
      </c>
    </row>
    <row r="2921" spans="1:7" ht="16.149999999999999" x14ac:dyDescent="0.7">
      <c r="A2921" s="49">
        <v>44768.866790879634</v>
      </c>
      <c r="B2921" s="50" t="s">
        <v>4</v>
      </c>
      <c r="C2921" s="50" t="s">
        <v>431</v>
      </c>
      <c r="D2921" s="50" t="s">
        <v>261</v>
      </c>
      <c r="E2921" s="50">
        <v>0</v>
      </c>
      <c r="F2921" s="51">
        <v>0.99212116755092317</v>
      </c>
      <c r="G2921" s="51" t="str">
        <v>井上 2022/08/20 (土)
休日午後</v>
      </c>
    </row>
    <row r="2922" spans="1:7" ht="16.149999999999999" x14ac:dyDescent="0.7">
      <c r="A2922" s="49">
        <v>44768.866790879634</v>
      </c>
      <c r="B2922" s="50" t="s">
        <v>4</v>
      </c>
      <c r="C2922" s="50" t="s">
        <v>432</v>
      </c>
      <c r="D2922" s="50" t="s">
        <v>263</v>
      </c>
      <c r="E2922" s="50">
        <v>-1</v>
      </c>
      <c r="F2922" s="51">
        <v>-3.8466861872850089E-2</v>
      </c>
      <c r="G2922" s="51" t="str">
        <v>井上 2022/08/21 (日)
休日午前</v>
      </c>
    </row>
    <row r="2923" spans="1:7" ht="16.149999999999999" x14ac:dyDescent="0.7">
      <c r="A2923" s="49">
        <v>44768.866790879634</v>
      </c>
      <c r="B2923" s="50" t="s">
        <v>4</v>
      </c>
      <c r="C2923" s="50" t="s">
        <v>433</v>
      </c>
      <c r="D2923" s="50" t="s">
        <v>261</v>
      </c>
      <c r="E2923" s="50">
        <v>-1</v>
      </c>
      <c r="F2923" s="51">
        <v>-0.91744850622726015</v>
      </c>
      <c r="G2923" s="51" t="str">
        <v>井上 2022/08/21 (日)
休日午後</v>
      </c>
    </row>
    <row r="2924" spans="1:7" ht="16.149999999999999" x14ac:dyDescent="0.7">
      <c r="A2924" s="49">
        <v>44768.866790879634</v>
      </c>
      <c r="B2924" s="50" t="s">
        <v>4</v>
      </c>
      <c r="C2924" s="50" t="s">
        <v>434</v>
      </c>
      <c r="D2924" s="50" t="s">
        <v>259</v>
      </c>
      <c r="E2924" s="50">
        <v>-1</v>
      </c>
      <c r="F2924" s="51">
        <v>-0.30713792780801286</v>
      </c>
      <c r="G2924" s="51" t="str">
        <v>井上 2022/08/22 (月)
平日夜間</v>
      </c>
    </row>
    <row r="2925" spans="1:7" ht="16.149999999999999" x14ac:dyDescent="0.7">
      <c r="A2925" s="49">
        <v>44768.866790879634</v>
      </c>
      <c r="B2925" s="50" t="s">
        <v>4</v>
      </c>
      <c r="C2925" s="50" t="s">
        <v>435</v>
      </c>
      <c r="D2925" s="50" t="s">
        <v>259</v>
      </c>
      <c r="E2925" s="50">
        <v>2</v>
      </c>
      <c r="F2925" s="51">
        <v>2.9468168421293806</v>
      </c>
      <c r="G2925" s="51" t="str">
        <v>井上 2022/08/23 (火)
平日夜間</v>
      </c>
    </row>
    <row r="2926" spans="1:7" ht="16.149999999999999" x14ac:dyDescent="0.7">
      <c r="A2926" s="49">
        <v>44768.866790879634</v>
      </c>
      <c r="B2926" s="50" t="s">
        <v>4</v>
      </c>
      <c r="C2926" s="50" t="s">
        <v>436</v>
      </c>
      <c r="D2926" s="50" t="s">
        <v>259</v>
      </c>
      <c r="E2926" s="50">
        <v>-1</v>
      </c>
      <c r="F2926" s="51">
        <v>-0.32563997077701545</v>
      </c>
      <c r="G2926" s="51" t="str">
        <v>井上 2022/08/24 (水)
平日夜間</v>
      </c>
    </row>
    <row r="2927" spans="1:7" ht="16.149999999999999" x14ac:dyDescent="0.7">
      <c r="A2927" s="49">
        <v>44768.866790879634</v>
      </c>
      <c r="B2927" s="50" t="s">
        <v>4</v>
      </c>
      <c r="C2927" s="50" t="s">
        <v>437</v>
      </c>
      <c r="D2927" s="50" t="s">
        <v>259</v>
      </c>
      <c r="E2927" s="50">
        <v>0</v>
      </c>
      <c r="F2927" s="51">
        <v>0.83251613931433011</v>
      </c>
      <c r="G2927" s="51" t="str">
        <v>井上 2022/08/25 (木)
平日夜間</v>
      </c>
    </row>
    <row r="2928" spans="1:7" ht="16.149999999999999" x14ac:dyDescent="0.7">
      <c r="A2928" s="49">
        <v>44768.866790879634</v>
      </c>
      <c r="B2928" s="50" t="s">
        <v>4</v>
      </c>
      <c r="C2928" s="50" t="s">
        <v>438</v>
      </c>
      <c r="D2928" s="50" t="s">
        <v>259</v>
      </c>
      <c r="E2928" s="50">
        <v>0</v>
      </c>
      <c r="F2928" s="51">
        <v>0.86931141056642081</v>
      </c>
      <c r="G2928" s="51" t="str">
        <v>井上 2022/08/26 (金)
平日夜間</v>
      </c>
    </row>
    <row r="2929" spans="1:7" ht="16.149999999999999" x14ac:dyDescent="0.7">
      <c r="A2929" s="49">
        <v>44768.866790879634</v>
      </c>
      <c r="B2929" s="50" t="s">
        <v>4</v>
      </c>
      <c r="C2929" s="50" t="s">
        <v>439</v>
      </c>
      <c r="D2929" s="50" t="s">
        <v>263</v>
      </c>
      <c r="E2929" s="50">
        <v>0</v>
      </c>
      <c r="F2929" s="51">
        <v>0.42660956393725802</v>
      </c>
      <c r="G2929" s="51" t="str">
        <v>井上 2022/08/27 (土)
休日午前</v>
      </c>
    </row>
    <row r="2930" spans="1:7" ht="16.149999999999999" x14ac:dyDescent="0.7">
      <c r="A2930" s="49">
        <v>44768.866790879634</v>
      </c>
      <c r="B2930" s="50" t="s">
        <v>4</v>
      </c>
      <c r="C2930" s="50" t="s">
        <v>440</v>
      </c>
      <c r="D2930" s="50" t="s">
        <v>261</v>
      </c>
      <c r="E2930" s="50">
        <v>0</v>
      </c>
      <c r="F2930" s="51">
        <v>0.75275152318035499</v>
      </c>
      <c r="G2930" s="51" t="str">
        <v>井上 2022/08/27 (土)
休日午後</v>
      </c>
    </row>
    <row r="2931" spans="1:7" ht="16.149999999999999" x14ac:dyDescent="0.7">
      <c r="A2931" s="49">
        <v>44768.866790879634</v>
      </c>
      <c r="B2931" s="50" t="s">
        <v>4</v>
      </c>
      <c r="C2931" s="50" t="s">
        <v>441</v>
      </c>
      <c r="D2931" s="50" t="s">
        <v>263</v>
      </c>
      <c r="E2931" s="50">
        <v>-1</v>
      </c>
      <c r="F2931" s="51">
        <v>-0.74404943919270039</v>
      </c>
      <c r="G2931" s="51" t="str">
        <v>井上 2022/08/28 (日)
休日午前</v>
      </c>
    </row>
    <row r="2932" spans="1:7" ht="16.149999999999999" x14ac:dyDescent="0.7">
      <c r="A2932" s="49">
        <v>44768.866790879634</v>
      </c>
      <c r="B2932" s="50" t="s">
        <v>4</v>
      </c>
      <c r="C2932" s="50" t="s">
        <v>442</v>
      </c>
      <c r="D2932" s="50" t="s">
        <v>261</v>
      </c>
      <c r="E2932" s="50">
        <v>-1</v>
      </c>
      <c r="F2932" s="51">
        <v>-0.22054680868344279</v>
      </c>
      <c r="G2932" s="51" t="str">
        <v>井上 2022/08/28 (日)
休日午後</v>
      </c>
    </row>
    <row r="2933" spans="1:7" ht="16.149999999999999" x14ac:dyDescent="0.7">
      <c r="A2933" s="49">
        <v>44768.866790879634</v>
      </c>
      <c r="B2933" s="50" t="s">
        <v>4</v>
      </c>
      <c r="C2933" s="50" t="s">
        <v>443</v>
      </c>
      <c r="D2933" s="50" t="s">
        <v>259</v>
      </c>
      <c r="E2933" s="50">
        <v>-1</v>
      </c>
      <c r="F2933" s="51">
        <v>-0.84109906170806981</v>
      </c>
      <c r="G2933" s="51" t="str">
        <v>井上 2022/08/29 (月)
平日夜間</v>
      </c>
    </row>
    <row r="2934" spans="1:7" ht="16.149999999999999" x14ac:dyDescent="0.7">
      <c r="A2934" s="49">
        <v>44768.866790879634</v>
      </c>
      <c r="B2934" s="50" t="s">
        <v>4</v>
      </c>
      <c r="C2934" s="50" t="s">
        <v>444</v>
      </c>
      <c r="D2934" s="50" t="s">
        <v>259</v>
      </c>
      <c r="E2934" s="50">
        <v>-1</v>
      </c>
      <c r="F2934" s="51">
        <v>-0.74703995143125423</v>
      </c>
      <c r="G2934" s="51" t="str">
        <v>井上 2022/08/30 (火)
平日夜間</v>
      </c>
    </row>
    <row r="2935" spans="1:7" ht="16.149999999999999" x14ac:dyDescent="0.7">
      <c r="A2935" s="49">
        <v>44768.866790879634</v>
      </c>
      <c r="B2935" s="50" t="s">
        <v>4</v>
      </c>
      <c r="C2935" s="50" t="s">
        <v>445</v>
      </c>
      <c r="D2935" s="50" t="s">
        <v>259</v>
      </c>
      <c r="E2935" s="50">
        <v>0</v>
      </c>
      <c r="F2935" s="51">
        <v>0.17153099343163536</v>
      </c>
      <c r="G2935" s="51" t="str">
        <v>井上 2022/08/31 (水)
平日夜間</v>
      </c>
    </row>
    <row r="2936" spans="1:7" ht="16.149999999999999" x14ac:dyDescent="0.7">
      <c r="A2936" s="49">
        <v>44768.902927465278</v>
      </c>
      <c r="B2936" s="50" t="s">
        <v>19</v>
      </c>
      <c r="C2936" s="50" t="s">
        <v>406</v>
      </c>
      <c r="D2936" s="50" t="s">
        <v>259</v>
      </c>
      <c r="E2936" s="50">
        <v>0</v>
      </c>
      <c r="F2936" s="51">
        <v>0.46531710827522343</v>
      </c>
      <c r="G2936" s="51" t="str">
        <v>佐藤 2022/08/01 (月)
平日夜間</v>
      </c>
    </row>
    <row r="2937" spans="1:7" ht="16.149999999999999" x14ac:dyDescent="0.7">
      <c r="A2937" s="49">
        <v>44768.902927465278</v>
      </c>
      <c r="B2937" s="50" t="s">
        <v>19</v>
      </c>
      <c r="C2937" s="50" t="s">
        <v>407</v>
      </c>
      <c r="D2937" s="50" t="s">
        <v>259</v>
      </c>
      <c r="E2937" s="50">
        <v>0</v>
      </c>
      <c r="F2937" s="51">
        <v>0.66672902717358129</v>
      </c>
      <c r="G2937" s="51" t="str">
        <v>佐藤 2022/08/02 (火)
平日夜間</v>
      </c>
    </row>
    <row r="2938" spans="1:7" ht="16.149999999999999" x14ac:dyDescent="0.7">
      <c r="A2938" s="49">
        <v>44768.902927465278</v>
      </c>
      <c r="B2938" s="50" t="s">
        <v>19</v>
      </c>
      <c r="C2938" s="50" t="s">
        <v>408</v>
      </c>
      <c r="D2938" s="50" t="s">
        <v>259</v>
      </c>
      <c r="E2938" s="50">
        <v>0</v>
      </c>
      <c r="F2938" s="51">
        <v>0.94764067938603991</v>
      </c>
      <c r="G2938" s="51" t="str">
        <v>佐藤 2022/08/03 (水)
平日夜間</v>
      </c>
    </row>
    <row r="2939" spans="1:7" ht="16.149999999999999" x14ac:dyDescent="0.7">
      <c r="A2939" s="49">
        <v>44768.902927465278</v>
      </c>
      <c r="B2939" s="50" t="s">
        <v>19</v>
      </c>
      <c r="C2939" s="50" t="s">
        <v>409</v>
      </c>
      <c r="D2939" s="50" t="s">
        <v>259</v>
      </c>
      <c r="E2939" s="50">
        <v>0</v>
      </c>
      <c r="F2939" s="51">
        <v>0.95779248188702404</v>
      </c>
      <c r="G2939" s="51" t="str">
        <v>佐藤 2022/08/04 (木)
平日夜間</v>
      </c>
    </row>
    <row r="2940" spans="1:7" ht="16.149999999999999" x14ac:dyDescent="0.7">
      <c r="A2940" s="49">
        <v>44768.902927465278</v>
      </c>
      <c r="B2940" s="50" t="s">
        <v>19</v>
      </c>
      <c r="C2940" s="50" t="s">
        <v>410</v>
      </c>
      <c r="D2940" s="50" t="s">
        <v>259</v>
      </c>
      <c r="E2940" s="50">
        <v>-1</v>
      </c>
      <c r="F2940" s="51">
        <v>-9.6090808132635486E-2</v>
      </c>
      <c r="G2940" s="51" t="str">
        <v>佐藤 2022/08/05 (金)
平日夜間</v>
      </c>
    </row>
    <row r="2941" spans="1:7" ht="16.149999999999999" x14ac:dyDescent="0.7">
      <c r="A2941" s="49">
        <v>44768.902927465278</v>
      </c>
      <c r="B2941" s="50" t="s">
        <v>19</v>
      </c>
      <c r="C2941" s="50" t="s">
        <v>411</v>
      </c>
      <c r="D2941" s="50" t="s">
        <v>263</v>
      </c>
      <c r="E2941" s="50">
        <v>1</v>
      </c>
      <c r="F2941" s="51">
        <v>1.8759492572449432</v>
      </c>
      <c r="G2941" s="51" t="str">
        <v>佐藤 2022/08/06 (土)
休日午前</v>
      </c>
    </row>
    <row r="2942" spans="1:7" ht="16.149999999999999" x14ac:dyDescent="0.7">
      <c r="A2942" s="49">
        <v>44768.902927465278</v>
      </c>
      <c r="B2942" s="50" t="s">
        <v>19</v>
      </c>
      <c r="C2942" s="50" t="s">
        <v>412</v>
      </c>
      <c r="D2942" s="50" t="s">
        <v>261</v>
      </c>
      <c r="E2942" s="50">
        <v>0</v>
      </c>
      <c r="F2942" s="51">
        <v>1.3002397515277542E-2</v>
      </c>
      <c r="G2942" s="51" t="str">
        <v>佐藤 2022/08/06 (土)
休日午後</v>
      </c>
    </row>
    <row r="2943" spans="1:7" ht="16.149999999999999" x14ac:dyDescent="0.7">
      <c r="A2943" s="49">
        <v>44768.902927465278</v>
      </c>
      <c r="B2943" s="50" t="s">
        <v>19</v>
      </c>
      <c r="C2943" s="50" t="s">
        <v>413</v>
      </c>
      <c r="D2943" s="50" t="s">
        <v>263</v>
      </c>
      <c r="E2943" s="50">
        <v>0</v>
      </c>
      <c r="F2943" s="51">
        <v>3.852831007148394E-3</v>
      </c>
      <c r="G2943" s="51" t="str">
        <v>佐藤 2022/08/07 (日)
休日午前</v>
      </c>
    </row>
    <row r="2944" spans="1:7" ht="16.149999999999999" x14ac:dyDescent="0.7">
      <c r="A2944" s="49">
        <v>44768.902927465278</v>
      </c>
      <c r="B2944" s="50" t="s">
        <v>19</v>
      </c>
      <c r="C2944" s="50" t="s">
        <v>414</v>
      </c>
      <c r="D2944" s="50" t="s">
        <v>261</v>
      </c>
      <c r="E2944" s="50">
        <v>0</v>
      </c>
      <c r="F2944" s="51">
        <v>0.52113420085756745</v>
      </c>
      <c r="G2944" s="51" t="str">
        <v>佐藤 2022/08/07 (日)
休日午後</v>
      </c>
    </row>
    <row r="2945" spans="1:7" ht="16.149999999999999" x14ac:dyDescent="0.7">
      <c r="A2945" s="49">
        <v>44768.902927465278</v>
      </c>
      <c r="B2945" s="50" t="s">
        <v>19</v>
      </c>
      <c r="C2945" s="50" t="s">
        <v>415</v>
      </c>
      <c r="D2945" s="50" t="s">
        <v>259</v>
      </c>
      <c r="E2945" s="50">
        <v>-1</v>
      </c>
      <c r="F2945" s="51">
        <v>-0.82738391605811445</v>
      </c>
      <c r="G2945" s="51" t="str">
        <v>佐藤 2022/08/08 (月)
平日夜間</v>
      </c>
    </row>
    <row r="2946" spans="1:7" ht="16.149999999999999" x14ac:dyDescent="0.7">
      <c r="A2946" s="49">
        <v>44768.902927465278</v>
      </c>
      <c r="B2946" s="50" t="s">
        <v>19</v>
      </c>
      <c r="C2946" s="50" t="s">
        <v>416</v>
      </c>
      <c r="D2946" s="50" t="s">
        <v>259</v>
      </c>
      <c r="E2946" s="50">
        <v>0</v>
      </c>
      <c r="F2946" s="51">
        <v>0.83804458371717772</v>
      </c>
      <c r="G2946" s="51" t="str">
        <v>佐藤 2022/08/09 (火)
平日夜間</v>
      </c>
    </row>
    <row r="2947" spans="1:7" ht="16.149999999999999" x14ac:dyDescent="0.7">
      <c r="A2947" s="49">
        <v>44768.902927465278</v>
      </c>
      <c r="B2947" s="50" t="s">
        <v>19</v>
      </c>
      <c r="C2947" s="50" t="s">
        <v>417</v>
      </c>
      <c r="D2947" s="50" t="s">
        <v>259</v>
      </c>
      <c r="E2947" s="50">
        <v>-1</v>
      </c>
      <c r="F2947" s="51">
        <v>-0.20539913242091767</v>
      </c>
      <c r="G2947" s="51" t="str">
        <v>佐藤 2022/08/10 (水)
平日夜間</v>
      </c>
    </row>
    <row r="2948" spans="1:7" ht="16.149999999999999" x14ac:dyDescent="0.7">
      <c r="A2948" s="49">
        <v>44768.902927465278</v>
      </c>
      <c r="B2948" s="50" t="s">
        <v>19</v>
      </c>
      <c r="C2948" s="50" t="s">
        <v>418</v>
      </c>
      <c r="D2948" s="50" t="s">
        <v>263</v>
      </c>
      <c r="E2948" s="50">
        <v>-1</v>
      </c>
      <c r="F2948" s="51">
        <v>-0.18256058700470312</v>
      </c>
      <c r="G2948" s="51" t="str">
        <v>佐藤 2022/08/11 (木)
休日午前</v>
      </c>
    </row>
    <row r="2949" spans="1:7" ht="16.149999999999999" x14ac:dyDescent="0.7">
      <c r="A2949" s="49">
        <v>44768.902927465278</v>
      </c>
      <c r="B2949" s="50" t="s">
        <v>19</v>
      </c>
      <c r="C2949" s="50" t="s">
        <v>419</v>
      </c>
      <c r="D2949" s="50" t="s">
        <v>261</v>
      </c>
      <c r="E2949" s="50">
        <v>-1</v>
      </c>
      <c r="F2949" s="51">
        <v>-0.13794555956184729</v>
      </c>
      <c r="G2949" s="51" t="str">
        <v>佐藤 2022/08/11 (木)
休日午後</v>
      </c>
    </row>
    <row r="2950" spans="1:7" ht="16.149999999999999" x14ac:dyDescent="0.7">
      <c r="A2950" s="49">
        <v>44768.902927465278</v>
      </c>
      <c r="B2950" s="50" t="s">
        <v>19</v>
      </c>
      <c r="C2950" s="50" t="s">
        <v>420</v>
      </c>
      <c r="D2950" s="50" t="s">
        <v>259</v>
      </c>
      <c r="E2950" s="50">
        <v>-1</v>
      </c>
      <c r="F2950" s="51">
        <v>-0.90117453568283445</v>
      </c>
      <c r="G2950" s="51" t="str">
        <v>佐藤 2022/08/12 (金)
平日夜間</v>
      </c>
    </row>
    <row r="2951" spans="1:7" ht="16.149999999999999" x14ac:dyDescent="0.7">
      <c r="A2951" s="49">
        <v>44768.902927465278</v>
      </c>
      <c r="B2951" s="50" t="s">
        <v>19</v>
      </c>
      <c r="C2951" s="50" t="s">
        <v>421</v>
      </c>
      <c r="D2951" s="50" t="s">
        <v>263</v>
      </c>
      <c r="E2951" s="50">
        <v>-1</v>
      </c>
      <c r="F2951" s="51">
        <v>-0.19731103972596564</v>
      </c>
      <c r="G2951" s="51" t="str">
        <v>佐藤 2022/08/13 (土)
休日午前</v>
      </c>
    </row>
    <row r="2952" spans="1:7" ht="16.149999999999999" x14ac:dyDescent="0.7">
      <c r="A2952" s="49">
        <v>44768.902927465278</v>
      </c>
      <c r="B2952" s="50" t="s">
        <v>19</v>
      </c>
      <c r="C2952" s="50" t="s">
        <v>422</v>
      </c>
      <c r="D2952" s="50" t="s">
        <v>261</v>
      </c>
      <c r="E2952" s="50">
        <v>-1</v>
      </c>
      <c r="F2952" s="51">
        <v>-0.89450456984841131</v>
      </c>
      <c r="G2952" s="51" t="str">
        <v>佐藤 2022/08/13 (土)
休日午後</v>
      </c>
    </row>
    <row r="2953" spans="1:7" ht="16.149999999999999" x14ac:dyDescent="0.7">
      <c r="A2953" s="49">
        <v>44768.902927465278</v>
      </c>
      <c r="B2953" s="50" t="s">
        <v>19</v>
      </c>
      <c r="C2953" s="50" t="s">
        <v>423</v>
      </c>
      <c r="D2953" s="50" t="s">
        <v>263</v>
      </c>
      <c r="E2953" s="50">
        <v>-1</v>
      </c>
      <c r="F2953" s="51">
        <v>-7.2873684044759912E-2</v>
      </c>
      <c r="G2953" s="51" t="str">
        <v>佐藤 2022/08/14 (日)
休日午前</v>
      </c>
    </row>
    <row r="2954" spans="1:7" ht="16.149999999999999" x14ac:dyDescent="0.7">
      <c r="A2954" s="49">
        <v>44768.902927465278</v>
      </c>
      <c r="B2954" s="50" t="s">
        <v>19</v>
      </c>
      <c r="C2954" s="50" t="s">
        <v>424</v>
      </c>
      <c r="D2954" s="50" t="s">
        <v>261</v>
      </c>
      <c r="E2954" s="50">
        <v>-1</v>
      </c>
      <c r="F2954" s="51">
        <v>-0.27647217392043633</v>
      </c>
      <c r="G2954" s="51" t="str">
        <v>佐藤 2022/08/14 (日)
休日午後</v>
      </c>
    </row>
    <row r="2955" spans="1:7" ht="16.149999999999999" x14ac:dyDescent="0.7">
      <c r="A2955" s="49">
        <v>44768.902927465278</v>
      </c>
      <c r="B2955" s="50" t="s">
        <v>19</v>
      </c>
      <c r="C2955" s="50" t="s">
        <v>425</v>
      </c>
      <c r="D2955" s="50" t="s">
        <v>259</v>
      </c>
      <c r="E2955" s="50">
        <v>-1</v>
      </c>
      <c r="F2955" s="51">
        <v>-0.62807440229591638</v>
      </c>
      <c r="G2955" s="51" t="str">
        <v>佐藤 2022/08/15 (月)
平日夜間</v>
      </c>
    </row>
    <row r="2956" spans="1:7" ht="16.149999999999999" x14ac:dyDescent="0.7">
      <c r="A2956" s="49">
        <v>44768.902927465278</v>
      </c>
      <c r="B2956" s="50" t="s">
        <v>19</v>
      </c>
      <c r="C2956" s="50" t="s">
        <v>426</v>
      </c>
      <c r="D2956" s="50" t="s">
        <v>259</v>
      </c>
      <c r="E2956" s="50">
        <v>-1</v>
      </c>
      <c r="F2956" s="51">
        <v>-0.8694120909169949</v>
      </c>
      <c r="G2956" s="51" t="str">
        <v>佐藤 2022/08/16 (火)
平日夜間</v>
      </c>
    </row>
    <row r="2957" spans="1:7" ht="16.149999999999999" x14ac:dyDescent="0.7">
      <c r="A2957" s="49">
        <v>44768.902927465278</v>
      </c>
      <c r="B2957" s="50" t="s">
        <v>19</v>
      </c>
      <c r="C2957" s="50" t="s">
        <v>427</v>
      </c>
      <c r="D2957" s="50" t="s">
        <v>259</v>
      </c>
      <c r="E2957" s="50">
        <v>-1</v>
      </c>
      <c r="F2957" s="51">
        <v>-0.4463130292008135</v>
      </c>
      <c r="G2957" s="51" t="str">
        <v>佐藤 2022/08/17 (水)
平日夜間</v>
      </c>
    </row>
    <row r="2958" spans="1:7" ht="16.149999999999999" x14ac:dyDescent="0.7">
      <c r="A2958" s="49">
        <v>44768.902927465278</v>
      </c>
      <c r="B2958" s="50" t="s">
        <v>19</v>
      </c>
      <c r="C2958" s="50" t="s">
        <v>428</v>
      </c>
      <c r="D2958" s="50" t="s">
        <v>259</v>
      </c>
      <c r="E2958" s="50">
        <v>0</v>
      </c>
      <c r="F2958" s="51">
        <v>0.53842093284397952</v>
      </c>
      <c r="G2958" s="51" t="str">
        <v>佐藤 2022/08/18 (木)
平日夜間</v>
      </c>
    </row>
    <row r="2959" spans="1:7" ht="16.149999999999999" x14ac:dyDescent="0.7">
      <c r="A2959" s="49">
        <v>44768.902927465278</v>
      </c>
      <c r="B2959" s="50" t="s">
        <v>19</v>
      </c>
      <c r="C2959" s="50" t="s">
        <v>429</v>
      </c>
      <c r="D2959" s="50" t="s">
        <v>259</v>
      </c>
      <c r="E2959" s="50">
        <v>-1</v>
      </c>
      <c r="F2959" s="51">
        <v>-0.70388301478344939</v>
      </c>
      <c r="G2959" s="51" t="str">
        <v>佐藤 2022/08/19 (金)
平日夜間</v>
      </c>
    </row>
    <row r="2960" spans="1:7" ht="16.149999999999999" x14ac:dyDescent="0.7">
      <c r="A2960" s="49">
        <v>44768.902927465278</v>
      </c>
      <c r="B2960" s="50" t="s">
        <v>19</v>
      </c>
      <c r="C2960" s="50" t="s">
        <v>430</v>
      </c>
      <c r="D2960" s="50" t="s">
        <v>263</v>
      </c>
      <c r="E2960" s="50">
        <v>-1</v>
      </c>
      <c r="F2960" s="51">
        <v>-0.11557696738910628</v>
      </c>
      <c r="G2960" s="51" t="str">
        <v>佐藤 2022/08/20 (土)
休日午前</v>
      </c>
    </row>
    <row r="2961" spans="1:7" ht="16.149999999999999" x14ac:dyDescent="0.7">
      <c r="A2961" s="49">
        <v>44768.902927465278</v>
      </c>
      <c r="B2961" s="50" t="s">
        <v>19</v>
      </c>
      <c r="C2961" s="50" t="s">
        <v>431</v>
      </c>
      <c r="D2961" s="50" t="s">
        <v>261</v>
      </c>
      <c r="E2961" s="50">
        <v>-1</v>
      </c>
      <c r="F2961" s="51">
        <v>-0.25734399644490158</v>
      </c>
      <c r="G2961" s="51" t="str">
        <v>佐藤 2022/08/20 (土)
休日午後</v>
      </c>
    </row>
    <row r="2962" spans="1:7" ht="16.149999999999999" x14ac:dyDescent="0.7">
      <c r="A2962" s="49">
        <v>44768.902927465278</v>
      </c>
      <c r="B2962" s="50" t="s">
        <v>19</v>
      </c>
      <c r="C2962" s="50" t="s">
        <v>432</v>
      </c>
      <c r="D2962" s="50" t="s">
        <v>263</v>
      </c>
      <c r="E2962" s="50">
        <v>-1</v>
      </c>
      <c r="F2962" s="51">
        <v>-0.40391281017538505</v>
      </c>
      <c r="G2962" s="51" t="str">
        <v>佐藤 2022/08/21 (日)
休日午前</v>
      </c>
    </row>
    <row r="2963" spans="1:7" ht="16.149999999999999" x14ac:dyDescent="0.7">
      <c r="A2963" s="49">
        <v>44768.902927465278</v>
      </c>
      <c r="B2963" s="50" t="s">
        <v>19</v>
      </c>
      <c r="C2963" s="50" t="s">
        <v>433</v>
      </c>
      <c r="D2963" s="50" t="s">
        <v>261</v>
      </c>
      <c r="E2963" s="50">
        <v>-1</v>
      </c>
      <c r="F2963" s="51">
        <v>-0.61482462095348267</v>
      </c>
      <c r="G2963" s="51" t="str">
        <v>佐藤 2022/08/21 (日)
休日午後</v>
      </c>
    </row>
    <row r="2964" spans="1:7" ht="16.149999999999999" x14ac:dyDescent="0.7">
      <c r="A2964" s="49">
        <v>44768.902927465278</v>
      </c>
      <c r="B2964" s="50" t="s">
        <v>19</v>
      </c>
      <c r="C2964" s="50" t="s">
        <v>434</v>
      </c>
      <c r="D2964" s="50" t="s">
        <v>259</v>
      </c>
      <c r="E2964" s="50">
        <v>-1</v>
      </c>
      <c r="F2964" s="51">
        <v>-0.42736847299154035</v>
      </c>
      <c r="G2964" s="51" t="str">
        <v>佐藤 2022/08/22 (月)
平日夜間</v>
      </c>
    </row>
    <row r="2965" spans="1:7" ht="16.149999999999999" x14ac:dyDescent="0.7">
      <c r="A2965" s="49">
        <v>44768.902927465278</v>
      </c>
      <c r="B2965" s="50" t="s">
        <v>19</v>
      </c>
      <c r="C2965" s="50" t="s">
        <v>435</v>
      </c>
      <c r="D2965" s="50" t="s">
        <v>259</v>
      </c>
      <c r="E2965" s="50">
        <v>0</v>
      </c>
      <c r="F2965" s="51">
        <v>0.25999983516886327</v>
      </c>
      <c r="G2965" s="51" t="str">
        <v>佐藤 2022/08/23 (火)
平日夜間</v>
      </c>
    </row>
    <row r="2966" spans="1:7" ht="16.149999999999999" x14ac:dyDescent="0.7">
      <c r="A2966" s="49">
        <v>44768.902927465278</v>
      </c>
      <c r="B2966" s="50" t="s">
        <v>19</v>
      </c>
      <c r="C2966" s="50" t="s">
        <v>436</v>
      </c>
      <c r="D2966" s="50" t="s">
        <v>259</v>
      </c>
      <c r="E2966" s="50">
        <v>0</v>
      </c>
      <c r="F2966" s="51">
        <v>0.39344772166844244</v>
      </c>
      <c r="G2966" s="51" t="str">
        <v>佐藤 2022/08/24 (水)
平日夜間</v>
      </c>
    </row>
    <row r="2967" spans="1:7" ht="16.149999999999999" x14ac:dyDescent="0.7">
      <c r="A2967" s="49">
        <v>44768.902927465278</v>
      </c>
      <c r="B2967" s="50" t="s">
        <v>19</v>
      </c>
      <c r="C2967" s="50" t="s">
        <v>437</v>
      </c>
      <c r="D2967" s="50" t="s">
        <v>259</v>
      </c>
      <c r="E2967" s="50">
        <v>0</v>
      </c>
      <c r="F2967" s="51">
        <v>0.30510120474477165</v>
      </c>
      <c r="G2967" s="51" t="str">
        <v>佐藤 2022/08/25 (木)
平日夜間</v>
      </c>
    </row>
    <row r="2968" spans="1:7" ht="16.149999999999999" x14ac:dyDescent="0.7">
      <c r="A2968" s="49">
        <v>44768.902927465278</v>
      </c>
      <c r="B2968" s="50" t="s">
        <v>19</v>
      </c>
      <c r="C2968" s="50" t="s">
        <v>438</v>
      </c>
      <c r="D2968" s="50" t="s">
        <v>259</v>
      </c>
      <c r="E2968" s="50">
        <v>0</v>
      </c>
      <c r="F2968" s="51">
        <v>0.47274331173366835</v>
      </c>
      <c r="G2968" s="51" t="str">
        <v>佐藤 2022/08/26 (金)
平日夜間</v>
      </c>
    </row>
    <row r="2969" spans="1:7" ht="16.149999999999999" x14ac:dyDescent="0.7">
      <c r="A2969" s="49">
        <v>44768.902927465278</v>
      </c>
      <c r="B2969" s="50" t="s">
        <v>19</v>
      </c>
      <c r="C2969" s="50" t="s">
        <v>439</v>
      </c>
      <c r="D2969" s="50" t="s">
        <v>263</v>
      </c>
      <c r="E2969" s="50">
        <v>1</v>
      </c>
      <c r="F2969" s="51">
        <v>1.557206597986156</v>
      </c>
      <c r="G2969" s="51" t="str">
        <v>佐藤 2022/08/27 (土)
休日午前</v>
      </c>
    </row>
    <row r="2970" spans="1:7" ht="16.149999999999999" x14ac:dyDescent="0.7">
      <c r="A2970" s="49">
        <v>44768.902927465278</v>
      </c>
      <c r="B2970" s="50" t="s">
        <v>19</v>
      </c>
      <c r="C2970" s="50" t="s">
        <v>440</v>
      </c>
      <c r="D2970" s="50" t="s">
        <v>261</v>
      </c>
      <c r="E2970" s="50">
        <v>0</v>
      </c>
      <c r="F2970" s="51">
        <v>3.153371796781701E-2</v>
      </c>
      <c r="G2970" s="51" t="str">
        <v>佐藤 2022/08/27 (土)
休日午後</v>
      </c>
    </row>
    <row r="2971" spans="1:7" ht="16.149999999999999" x14ac:dyDescent="0.7">
      <c r="A2971" s="49">
        <v>44768.902927465278</v>
      </c>
      <c r="B2971" s="50" t="s">
        <v>19</v>
      </c>
      <c r="C2971" s="50" t="s">
        <v>441</v>
      </c>
      <c r="D2971" s="50" t="s">
        <v>263</v>
      </c>
      <c r="E2971" s="50">
        <v>1</v>
      </c>
      <c r="F2971" s="51">
        <v>1.0453156890253921</v>
      </c>
      <c r="G2971" s="51" t="str">
        <v>佐藤 2022/08/28 (日)
休日午前</v>
      </c>
    </row>
    <row r="2972" spans="1:7" ht="16.149999999999999" x14ac:dyDescent="0.7">
      <c r="A2972" s="49">
        <v>44768.902927465278</v>
      </c>
      <c r="B2972" s="50" t="s">
        <v>19</v>
      </c>
      <c r="C2972" s="50" t="s">
        <v>442</v>
      </c>
      <c r="D2972" s="50" t="s">
        <v>261</v>
      </c>
      <c r="E2972" s="50">
        <v>0</v>
      </c>
      <c r="F2972" s="51">
        <v>0.65141935892497149</v>
      </c>
      <c r="G2972" s="51" t="str">
        <v>佐藤 2022/08/28 (日)
休日午後</v>
      </c>
    </row>
    <row r="2973" spans="1:7" ht="16.149999999999999" x14ac:dyDescent="0.7">
      <c r="A2973" s="49">
        <v>44768.902927465278</v>
      </c>
      <c r="B2973" s="50" t="s">
        <v>19</v>
      </c>
      <c r="C2973" s="50" t="s">
        <v>443</v>
      </c>
      <c r="D2973" s="50" t="s">
        <v>259</v>
      </c>
      <c r="E2973" s="50">
        <v>-1</v>
      </c>
      <c r="F2973" s="51">
        <v>-0.37138628321162925</v>
      </c>
      <c r="G2973" s="51" t="str">
        <v>佐藤 2022/08/29 (月)
平日夜間</v>
      </c>
    </row>
    <row r="2974" spans="1:7" ht="16.149999999999999" x14ac:dyDescent="0.7">
      <c r="A2974" s="49">
        <v>44768.902927465278</v>
      </c>
      <c r="B2974" s="50" t="s">
        <v>19</v>
      </c>
      <c r="C2974" s="50" t="s">
        <v>444</v>
      </c>
      <c r="D2974" s="50" t="s">
        <v>259</v>
      </c>
      <c r="E2974" s="50">
        <v>0</v>
      </c>
      <c r="F2974" s="51">
        <v>0.87679158447069216</v>
      </c>
      <c r="G2974" s="51" t="str">
        <v>佐藤 2022/08/30 (火)
平日夜間</v>
      </c>
    </row>
    <row r="2975" spans="1:7" ht="16.149999999999999" x14ac:dyDescent="0.7">
      <c r="A2975" s="49">
        <v>44768.902927465278</v>
      </c>
      <c r="B2975" s="50" t="s">
        <v>19</v>
      </c>
      <c r="C2975" s="50" t="s">
        <v>445</v>
      </c>
      <c r="D2975" s="50" t="s">
        <v>259</v>
      </c>
      <c r="E2975" s="50">
        <v>0</v>
      </c>
      <c r="F2975" s="51">
        <v>0.85340757429633074</v>
      </c>
      <c r="G2975" s="51" t="str">
        <v>佐藤 2022/08/31 (水)
平日夜間</v>
      </c>
    </row>
    <row r="2976" spans="1:7" ht="16.149999999999999" x14ac:dyDescent="0.7">
      <c r="A2976" s="49">
        <v>44768.922507118055</v>
      </c>
      <c r="B2976" s="50" t="s">
        <v>18</v>
      </c>
      <c r="C2976" s="50" t="s">
        <v>406</v>
      </c>
      <c r="D2976" s="50" t="s">
        <v>259</v>
      </c>
      <c r="E2976" s="50">
        <v>-1</v>
      </c>
      <c r="F2976" s="51">
        <v>-0.87693462287547574</v>
      </c>
      <c r="G2976" s="51" t="str">
        <v>中瀬 2022/08/01 (月)
平日夜間</v>
      </c>
    </row>
    <row r="2977" spans="1:7" ht="16.149999999999999" x14ac:dyDescent="0.7">
      <c r="A2977" s="49">
        <v>44768.922507118055</v>
      </c>
      <c r="B2977" s="50" t="s">
        <v>18</v>
      </c>
      <c r="C2977" s="50" t="s">
        <v>407</v>
      </c>
      <c r="D2977" s="50" t="s">
        <v>259</v>
      </c>
      <c r="E2977" s="50">
        <v>0</v>
      </c>
      <c r="F2977" s="51">
        <v>0.85877343629501124</v>
      </c>
      <c r="G2977" s="51" t="str">
        <v>中瀬 2022/08/02 (火)
平日夜間</v>
      </c>
    </row>
    <row r="2978" spans="1:7" ht="16.149999999999999" x14ac:dyDescent="0.7">
      <c r="A2978" s="49">
        <v>44768.922507118055</v>
      </c>
      <c r="B2978" s="50" t="s">
        <v>18</v>
      </c>
      <c r="C2978" s="50" t="s">
        <v>408</v>
      </c>
      <c r="D2978" s="50" t="s">
        <v>259</v>
      </c>
      <c r="E2978" s="50">
        <v>0</v>
      </c>
      <c r="F2978" s="51">
        <v>0.99429455158645941</v>
      </c>
      <c r="G2978" s="51" t="str">
        <v>中瀬 2022/08/03 (水)
平日夜間</v>
      </c>
    </row>
    <row r="2979" spans="1:7" ht="16.149999999999999" x14ac:dyDescent="0.7">
      <c r="A2979" s="49">
        <v>44768.922507118055</v>
      </c>
      <c r="B2979" s="50" t="s">
        <v>18</v>
      </c>
      <c r="C2979" s="50" t="s">
        <v>409</v>
      </c>
      <c r="D2979" s="50" t="s">
        <v>259</v>
      </c>
      <c r="E2979" s="50">
        <v>0</v>
      </c>
      <c r="F2979" s="51">
        <v>0.74247582035686377</v>
      </c>
      <c r="G2979" s="51" t="str">
        <v>中瀬 2022/08/04 (木)
平日夜間</v>
      </c>
    </row>
    <row r="2980" spans="1:7" ht="16.149999999999999" x14ac:dyDescent="0.7">
      <c r="A2980" s="49">
        <v>44768.922507118055</v>
      </c>
      <c r="B2980" s="50" t="s">
        <v>18</v>
      </c>
      <c r="C2980" s="50" t="s">
        <v>410</v>
      </c>
      <c r="D2980" s="50" t="s">
        <v>259</v>
      </c>
      <c r="E2980" s="50">
        <v>-1</v>
      </c>
      <c r="F2980" s="51">
        <v>-0.55119869742254046</v>
      </c>
      <c r="G2980" s="51" t="str">
        <v>中瀬 2022/08/05 (金)
平日夜間</v>
      </c>
    </row>
    <row r="2981" spans="1:7" ht="16.149999999999999" x14ac:dyDescent="0.7">
      <c r="A2981" s="49">
        <v>44768.922507118055</v>
      </c>
      <c r="B2981" s="50" t="s">
        <v>18</v>
      </c>
      <c r="C2981" s="50" t="s">
        <v>411</v>
      </c>
      <c r="D2981" s="50" t="s">
        <v>263</v>
      </c>
      <c r="E2981" s="50">
        <v>-1</v>
      </c>
      <c r="F2981" s="51">
        <v>-0.66701536170083386</v>
      </c>
      <c r="G2981" s="51" t="str">
        <v>中瀬 2022/08/06 (土)
休日午前</v>
      </c>
    </row>
    <row r="2982" spans="1:7" ht="16.149999999999999" x14ac:dyDescent="0.7">
      <c r="A2982" s="49">
        <v>44768.922507118055</v>
      </c>
      <c r="B2982" s="50" t="s">
        <v>18</v>
      </c>
      <c r="C2982" s="50" t="s">
        <v>412</v>
      </c>
      <c r="D2982" s="50" t="s">
        <v>261</v>
      </c>
      <c r="E2982" s="50">
        <v>-1</v>
      </c>
      <c r="F2982" s="51">
        <v>-0.45983103775813605</v>
      </c>
      <c r="G2982" s="51" t="str">
        <v>中瀬 2022/08/06 (土)
休日午後</v>
      </c>
    </row>
    <row r="2983" spans="1:7" ht="16.149999999999999" x14ac:dyDescent="0.7">
      <c r="A2983" s="49">
        <v>44768.922507118055</v>
      </c>
      <c r="B2983" s="50" t="s">
        <v>18</v>
      </c>
      <c r="C2983" s="50" t="s">
        <v>413</v>
      </c>
      <c r="D2983" s="50" t="s">
        <v>263</v>
      </c>
      <c r="E2983" s="50">
        <v>-1</v>
      </c>
      <c r="F2983" s="51">
        <v>-0.22316883799612874</v>
      </c>
      <c r="G2983" s="51" t="str">
        <v>中瀬 2022/08/07 (日)
休日午前</v>
      </c>
    </row>
    <row r="2984" spans="1:7" ht="16.149999999999999" x14ac:dyDescent="0.7">
      <c r="A2984" s="49">
        <v>44768.922507118055</v>
      </c>
      <c r="B2984" s="50" t="s">
        <v>18</v>
      </c>
      <c r="C2984" s="50" t="s">
        <v>414</v>
      </c>
      <c r="D2984" s="50" t="s">
        <v>261</v>
      </c>
      <c r="E2984" s="50">
        <v>-1</v>
      </c>
      <c r="F2984" s="51">
        <v>-0.96357413857554097</v>
      </c>
      <c r="G2984" s="51" t="str">
        <v>中瀬 2022/08/07 (日)
休日午後</v>
      </c>
    </row>
    <row r="2985" spans="1:7" ht="16.149999999999999" x14ac:dyDescent="0.7">
      <c r="A2985" s="49">
        <v>44768.922507118055</v>
      </c>
      <c r="B2985" s="50" t="s">
        <v>18</v>
      </c>
      <c r="C2985" s="50" t="s">
        <v>415</v>
      </c>
      <c r="D2985" s="50" t="s">
        <v>259</v>
      </c>
      <c r="E2985" s="50">
        <v>0</v>
      </c>
      <c r="F2985" s="51">
        <v>0.58926419603676394</v>
      </c>
      <c r="G2985" s="51" t="str">
        <v>中瀬 2022/08/08 (月)
平日夜間</v>
      </c>
    </row>
    <row r="2986" spans="1:7" ht="16.149999999999999" x14ac:dyDescent="0.7">
      <c r="A2986" s="49">
        <v>44768.922507118055</v>
      </c>
      <c r="B2986" s="50" t="s">
        <v>18</v>
      </c>
      <c r="C2986" s="50" t="s">
        <v>416</v>
      </c>
      <c r="D2986" s="50" t="s">
        <v>259</v>
      </c>
      <c r="E2986" s="50">
        <v>0</v>
      </c>
      <c r="F2986" s="51">
        <v>8.9363996597859208E-2</v>
      </c>
      <c r="G2986" s="51" t="str">
        <v>中瀬 2022/08/09 (火)
平日夜間</v>
      </c>
    </row>
    <row r="2987" spans="1:7" ht="16.149999999999999" x14ac:dyDescent="0.7">
      <c r="A2987" s="49">
        <v>44768.922507118055</v>
      </c>
      <c r="B2987" s="50" t="s">
        <v>18</v>
      </c>
      <c r="C2987" s="50" t="s">
        <v>417</v>
      </c>
      <c r="D2987" s="50" t="s">
        <v>259</v>
      </c>
      <c r="E2987" s="50">
        <v>0</v>
      </c>
      <c r="F2987" s="51">
        <v>0.23210117002634534</v>
      </c>
      <c r="G2987" s="51" t="str">
        <v>中瀬 2022/08/10 (水)
平日夜間</v>
      </c>
    </row>
    <row r="2988" spans="1:7" ht="16.149999999999999" x14ac:dyDescent="0.7">
      <c r="A2988" s="49">
        <v>44768.922507118055</v>
      </c>
      <c r="B2988" s="50" t="s">
        <v>18</v>
      </c>
      <c r="C2988" s="50" t="s">
        <v>418</v>
      </c>
      <c r="D2988" s="50" t="s">
        <v>263</v>
      </c>
      <c r="E2988" s="50">
        <v>0</v>
      </c>
      <c r="F2988" s="51">
        <v>0.23582208986900732</v>
      </c>
      <c r="G2988" s="51" t="str">
        <v>中瀬 2022/08/11 (木)
休日午前</v>
      </c>
    </row>
    <row r="2989" spans="1:7" ht="16.149999999999999" x14ac:dyDescent="0.7">
      <c r="A2989" s="49">
        <v>44768.922507118055</v>
      </c>
      <c r="B2989" s="50" t="s">
        <v>18</v>
      </c>
      <c r="C2989" s="50" t="s">
        <v>419</v>
      </c>
      <c r="D2989" s="50" t="s">
        <v>261</v>
      </c>
      <c r="E2989" s="50">
        <v>0</v>
      </c>
      <c r="F2989" s="51">
        <v>0.14516069093484774</v>
      </c>
      <c r="G2989" s="51" t="str">
        <v>中瀬 2022/08/11 (木)
休日午後</v>
      </c>
    </row>
    <row r="2990" spans="1:7" ht="16.149999999999999" x14ac:dyDescent="0.7">
      <c r="A2990" s="49">
        <v>44768.922507118055</v>
      </c>
      <c r="B2990" s="50" t="s">
        <v>18</v>
      </c>
      <c r="C2990" s="50" t="s">
        <v>420</v>
      </c>
      <c r="D2990" s="50" t="s">
        <v>259</v>
      </c>
      <c r="E2990" s="50">
        <v>-1</v>
      </c>
      <c r="F2990" s="51">
        <v>-0.18288245408434101</v>
      </c>
      <c r="G2990" s="51" t="str">
        <v>中瀬 2022/08/12 (金)
平日夜間</v>
      </c>
    </row>
    <row r="2991" spans="1:7" ht="16.149999999999999" x14ac:dyDescent="0.7">
      <c r="A2991" s="49">
        <v>44768.922507118055</v>
      </c>
      <c r="B2991" s="50" t="s">
        <v>18</v>
      </c>
      <c r="C2991" s="50" t="s">
        <v>421</v>
      </c>
      <c r="D2991" s="50" t="s">
        <v>263</v>
      </c>
      <c r="E2991" s="50">
        <v>-1</v>
      </c>
      <c r="F2991" s="51">
        <v>-0.63136831934205384</v>
      </c>
      <c r="G2991" s="51" t="str">
        <v>中瀬 2022/08/13 (土)
休日午前</v>
      </c>
    </row>
    <row r="2992" spans="1:7" ht="16.149999999999999" x14ac:dyDescent="0.7">
      <c r="A2992" s="49">
        <v>44768.922507118055</v>
      </c>
      <c r="B2992" s="50" t="s">
        <v>18</v>
      </c>
      <c r="C2992" s="50" t="s">
        <v>422</v>
      </c>
      <c r="D2992" s="50" t="s">
        <v>261</v>
      </c>
      <c r="E2992" s="50">
        <v>-1</v>
      </c>
      <c r="F2992" s="51">
        <v>-0.1096236199959173</v>
      </c>
      <c r="G2992" s="51" t="str">
        <v>中瀬 2022/08/13 (土)
休日午後</v>
      </c>
    </row>
    <row r="2993" spans="1:7" ht="16.149999999999999" x14ac:dyDescent="0.7">
      <c r="A2993" s="49">
        <v>44768.922507118055</v>
      </c>
      <c r="B2993" s="50" t="s">
        <v>18</v>
      </c>
      <c r="C2993" s="50" t="s">
        <v>423</v>
      </c>
      <c r="D2993" s="50" t="s">
        <v>263</v>
      </c>
      <c r="E2993" s="50">
        <v>-1</v>
      </c>
      <c r="F2993" s="51">
        <v>-0.50619628846353559</v>
      </c>
      <c r="G2993" s="51" t="str">
        <v>中瀬 2022/08/14 (日)
休日午前</v>
      </c>
    </row>
    <row r="2994" spans="1:7" ht="16.149999999999999" x14ac:dyDescent="0.7">
      <c r="A2994" s="49">
        <v>44768.922507118055</v>
      </c>
      <c r="B2994" s="50" t="s">
        <v>18</v>
      </c>
      <c r="C2994" s="50" t="s">
        <v>424</v>
      </c>
      <c r="D2994" s="50" t="s">
        <v>261</v>
      </c>
      <c r="E2994" s="50">
        <v>-1</v>
      </c>
      <c r="F2994" s="51">
        <v>-0.95696811819980598</v>
      </c>
      <c r="G2994" s="51" t="str">
        <v>中瀬 2022/08/14 (日)
休日午後</v>
      </c>
    </row>
    <row r="2995" spans="1:7" ht="16.149999999999999" x14ac:dyDescent="0.7">
      <c r="A2995" s="49">
        <v>44768.922507118055</v>
      </c>
      <c r="B2995" s="50" t="s">
        <v>18</v>
      </c>
      <c r="C2995" s="50" t="s">
        <v>425</v>
      </c>
      <c r="D2995" s="50" t="s">
        <v>259</v>
      </c>
      <c r="E2995" s="50">
        <v>-1</v>
      </c>
      <c r="F2995" s="51">
        <v>-0.26608040250751586</v>
      </c>
      <c r="G2995" s="51" t="str">
        <v>中瀬 2022/08/15 (月)
平日夜間</v>
      </c>
    </row>
    <row r="2996" spans="1:7" ht="16.149999999999999" x14ac:dyDescent="0.7">
      <c r="A2996" s="49">
        <v>44768.922507118055</v>
      </c>
      <c r="B2996" s="50" t="s">
        <v>18</v>
      </c>
      <c r="C2996" s="50" t="s">
        <v>426</v>
      </c>
      <c r="D2996" s="50" t="s">
        <v>259</v>
      </c>
      <c r="E2996" s="50">
        <v>0</v>
      </c>
      <c r="F2996" s="51">
        <v>0.56326700785593187</v>
      </c>
      <c r="G2996" s="51" t="str">
        <v>中瀬 2022/08/16 (火)
平日夜間</v>
      </c>
    </row>
    <row r="2997" spans="1:7" ht="16.149999999999999" x14ac:dyDescent="0.7">
      <c r="A2997" s="49">
        <v>44768.922507118055</v>
      </c>
      <c r="B2997" s="50" t="s">
        <v>18</v>
      </c>
      <c r="C2997" s="50" t="s">
        <v>427</v>
      </c>
      <c r="D2997" s="50" t="s">
        <v>259</v>
      </c>
      <c r="E2997" s="50">
        <v>0</v>
      </c>
      <c r="F2997" s="51">
        <v>0.87673137133425527</v>
      </c>
      <c r="G2997" s="51" t="str">
        <v>中瀬 2022/08/17 (水)
平日夜間</v>
      </c>
    </row>
    <row r="2998" spans="1:7" ht="16.149999999999999" x14ac:dyDescent="0.7">
      <c r="A2998" s="49">
        <v>44768.922507118055</v>
      </c>
      <c r="B2998" s="50" t="s">
        <v>18</v>
      </c>
      <c r="C2998" s="50" t="s">
        <v>428</v>
      </c>
      <c r="D2998" s="50" t="s">
        <v>259</v>
      </c>
      <c r="E2998" s="50">
        <v>0</v>
      </c>
      <c r="F2998" s="51">
        <v>0.58270739271986827</v>
      </c>
      <c r="G2998" s="51" t="str">
        <v>中瀬 2022/08/18 (木)
平日夜間</v>
      </c>
    </row>
    <row r="2999" spans="1:7" ht="16.149999999999999" x14ac:dyDescent="0.7">
      <c r="A2999" s="49">
        <v>44768.922507118055</v>
      </c>
      <c r="B2999" s="50" t="s">
        <v>18</v>
      </c>
      <c r="C2999" s="50" t="s">
        <v>429</v>
      </c>
      <c r="D2999" s="50" t="s">
        <v>259</v>
      </c>
      <c r="E2999" s="50">
        <v>0</v>
      </c>
      <c r="F2999" s="51">
        <v>0.91092653406572244</v>
      </c>
      <c r="G2999" s="51" t="str">
        <v>中瀬 2022/08/19 (金)
平日夜間</v>
      </c>
    </row>
    <row r="3000" spans="1:7" ht="16.149999999999999" x14ac:dyDescent="0.7">
      <c r="A3000" s="49">
        <v>44768.922507118055</v>
      </c>
      <c r="B3000" s="50" t="s">
        <v>18</v>
      </c>
      <c r="C3000" s="50" t="s">
        <v>430</v>
      </c>
      <c r="D3000" s="50" t="s">
        <v>263</v>
      </c>
      <c r="E3000" s="50">
        <v>-1</v>
      </c>
      <c r="F3000" s="51">
        <v>-0.31022205364704303</v>
      </c>
      <c r="G3000" s="51" t="str">
        <v>中瀬 2022/08/20 (土)
休日午前</v>
      </c>
    </row>
    <row r="3001" spans="1:7" ht="16.149999999999999" x14ac:dyDescent="0.7">
      <c r="A3001" s="49">
        <v>44768.922507118055</v>
      </c>
      <c r="B3001" s="50" t="s">
        <v>18</v>
      </c>
      <c r="C3001" s="50" t="s">
        <v>431</v>
      </c>
      <c r="D3001" s="50" t="s">
        <v>261</v>
      </c>
      <c r="E3001" s="50">
        <v>-1</v>
      </c>
      <c r="F3001" s="51">
        <v>-0.51883159459472883</v>
      </c>
      <c r="G3001" s="51" t="str">
        <v>中瀬 2022/08/20 (土)
休日午後</v>
      </c>
    </row>
    <row r="3002" spans="1:7" ht="16.149999999999999" x14ac:dyDescent="0.7">
      <c r="A3002" s="49">
        <v>44768.922507118055</v>
      </c>
      <c r="B3002" s="50" t="s">
        <v>18</v>
      </c>
      <c r="C3002" s="50" t="s">
        <v>432</v>
      </c>
      <c r="D3002" s="50" t="s">
        <v>263</v>
      </c>
      <c r="E3002" s="50">
        <v>-1</v>
      </c>
      <c r="F3002" s="51">
        <v>-0.92073740067556553</v>
      </c>
      <c r="G3002" s="51" t="str">
        <v>中瀬 2022/08/21 (日)
休日午前</v>
      </c>
    </row>
    <row r="3003" spans="1:7" ht="16.149999999999999" x14ac:dyDescent="0.7">
      <c r="A3003" s="49">
        <v>44768.922507118055</v>
      </c>
      <c r="B3003" s="50" t="s">
        <v>18</v>
      </c>
      <c r="C3003" s="50" t="s">
        <v>433</v>
      </c>
      <c r="D3003" s="50" t="s">
        <v>261</v>
      </c>
      <c r="E3003" s="50">
        <v>-1</v>
      </c>
      <c r="F3003" s="51">
        <v>-0.22705666221556631</v>
      </c>
      <c r="G3003" s="51" t="str">
        <v>中瀬 2022/08/21 (日)
休日午後</v>
      </c>
    </row>
    <row r="3004" spans="1:7" ht="16.149999999999999" x14ac:dyDescent="0.7">
      <c r="A3004" s="49">
        <v>44768.922507118055</v>
      </c>
      <c r="B3004" s="50" t="s">
        <v>18</v>
      </c>
      <c r="C3004" s="50" t="s">
        <v>434</v>
      </c>
      <c r="D3004" s="50" t="s">
        <v>259</v>
      </c>
      <c r="E3004" s="50">
        <v>0</v>
      </c>
      <c r="F3004" s="51">
        <v>0.48259790713007966</v>
      </c>
      <c r="G3004" s="51" t="str">
        <v>中瀬 2022/08/22 (月)
平日夜間</v>
      </c>
    </row>
    <row r="3005" spans="1:7" ht="16.149999999999999" x14ac:dyDescent="0.7">
      <c r="A3005" s="49">
        <v>44768.922507118055</v>
      </c>
      <c r="B3005" s="50" t="s">
        <v>18</v>
      </c>
      <c r="C3005" s="50" t="s">
        <v>435</v>
      </c>
      <c r="D3005" s="50" t="s">
        <v>259</v>
      </c>
      <c r="E3005" s="50">
        <v>0</v>
      </c>
      <c r="F3005" s="51">
        <v>0.1821095425601702</v>
      </c>
      <c r="G3005" s="51" t="str">
        <v>中瀬 2022/08/23 (火)
平日夜間</v>
      </c>
    </row>
    <row r="3006" spans="1:7" ht="16.149999999999999" x14ac:dyDescent="0.7">
      <c r="A3006" s="49">
        <v>44768.922507118055</v>
      </c>
      <c r="B3006" s="50" t="s">
        <v>18</v>
      </c>
      <c r="C3006" s="50" t="s">
        <v>436</v>
      </c>
      <c r="D3006" s="50" t="s">
        <v>259</v>
      </c>
      <c r="E3006" s="50">
        <v>0</v>
      </c>
      <c r="F3006" s="51">
        <v>0.64663242577201929</v>
      </c>
      <c r="G3006" s="51" t="str">
        <v>中瀬 2022/08/24 (水)
平日夜間</v>
      </c>
    </row>
    <row r="3007" spans="1:7" ht="16.149999999999999" x14ac:dyDescent="0.7">
      <c r="A3007" s="49">
        <v>44768.922507118055</v>
      </c>
      <c r="B3007" s="50" t="s">
        <v>18</v>
      </c>
      <c r="C3007" s="50" t="s">
        <v>437</v>
      </c>
      <c r="D3007" s="50" t="s">
        <v>259</v>
      </c>
      <c r="E3007" s="50">
        <v>0</v>
      </c>
      <c r="F3007" s="51">
        <v>0.78881409902707755</v>
      </c>
      <c r="G3007" s="51" t="str">
        <v>中瀬 2022/08/25 (木)
平日夜間</v>
      </c>
    </row>
    <row r="3008" spans="1:7" ht="16.149999999999999" x14ac:dyDescent="0.7">
      <c r="A3008" s="49">
        <v>44768.922507118055</v>
      </c>
      <c r="B3008" s="50" t="s">
        <v>18</v>
      </c>
      <c r="C3008" s="50" t="s">
        <v>438</v>
      </c>
      <c r="D3008" s="50" t="s">
        <v>259</v>
      </c>
      <c r="E3008" s="50">
        <v>0</v>
      </c>
      <c r="F3008" s="51">
        <v>0.60257422465008781</v>
      </c>
      <c r="G3008" s="51" t="str">
        <v>中瀬 2022/08/26 (金)
平日夜間</v>
      </c>
    </row>
    <row r="3009" spans="1:7" ht="16.149999999999999" x14ac:dyDescent="0.7">
      <c r="A3009" s="49">
        <v>44768.922507118055</v>
      </c>
      <c r="B3009" s="50" t="s">
        <v>18</v>
      </c>
      <c r="C3009" s="50" t="s">
        <v>439</v>
      </c>
      <c r="D3009" s="50" t="s">
        <v>263</v>
      </c>
      <c r="E3009" s="50">
        <v>0</v>
      </c>
      <c r="F3009" s="51">
        <v>0.30588473281325879</v>
      </c>
      <c r="G3009" s="51" t="str">
        <v>中瀬 2022/08/27 (土)
休日午前</v>
      </c>
    </row>
    <row r="3010" spans="1:7" ht="16.149999999999999" x14ac:dyDescent="0.7">
      <c r="A3010" s="49">
        <v>44768.922507118055</v>
      </c>
      <c r="B3010" s="50" t="s">
        <v>18</v>
      </c>
      <c r="C3010" s="50" t="s">
        <v>440</v>
      </c>
      <c r="D3010" s="50" t="s">
        <v>261</v>
      </c>
      <c r="E3010" s="50">
        <v>0</v>
      </c>
      <c r="F3010" s="51">
        <v>2.2487022822846647E-2</v>
      </c>
      <c r="G3010" s="51" t="str">
        <v>中瀬 2022/08/27 (土)
休日午後</v>
      </c>
    </row>
    <row r="3011" spans="1:7" ht="16.149999999999999" x14ac:dyDescent="0.7">
      <c r="A3011" s="49">
        <v>44768.922507118055</v>
      </c>
      <c r="B3011" s="50" t="s">
        <v>18</v>
      </c>
      <c r="C3011" s="50" t="s">
        <v>441</v>
      </c>
      <c r="D3011" s="50" t="s">
        <v>263</v>
      </c>
      <c r="E3011" s="50">
        <v>0</v>
      </c>
      <c r="F3011" s="51">
        <v>0.51937160616659916</v>
      </c>
      <c r="G3011" s="51" t="str">
        <v>中瀬 2022/08/28 (日)
休日午前</v>
      </c>
    </row>
    <row r="3012" spans="1:7" ht="16.149999999999999" x14ac:dyDescent="0.7">
      <c r="A3012" s="49">
        <v>44768.922507118055</v>
      </c>
      <c r="B3012" s="50" t="s">
        <v>18</v>
      </c>
      <c r="C3012" s="50" t="s">
        <v>442</v>
      </c>
      <c r="D3012" s="50" t="s">
        <v>261</v>
      </c>
      <c r="E3012" s="50">
        <v>0</v>
      </c>
      <c r="F3012" s="51">
        <v>0.27603003737313991</v>
      </c>
      <c r="G3012" s="51" t="str">
        <v>中瀬 2022/08/28 (日)
休日午後</v>
      </c>
    </row>
    <row r="3013" spans="1:7" ht="16.149999999999999" x14ac:dyDescent="0.7">
      <c r="A3013" s="49">
        <v>44768.922507118055</v>
      </c>
      <c r="B3013" s="50" t="s">
        <v>18</v>
      </c>
      <c r="C3013" s="50" t="s">
        <v>443</v>
      </c>
      <c r="D3013" s="50" t="s">
        <v>259</v>
      </c>
      <c r="E3013" s="50">
        <v>0</v>
      </c>
      <c r="F3013" s="51">
        <v>0.5210006568745742</v>
      </c>
      <c r="G3013" s="51" t="str">
        <v>中瀬 2022/08/29 (月)
平日夜間</v>
      </c>
    </row>
    <row r="3014" spans="1:7" ht="16.149999999999999" x14ac:dyDescent="0.7">
      <c r="A3014" s="49">
        <v>44768.922507118055</v>
      </c>
      <c r="B3014" s="50" t="s">
        <v>18</v>
      </c>
      <c r="C3014" s="50" t="s">
        <v>444</v>
      </c>
      <c r="D3014" s="50" t="s">
        <v>259</v>
      </c>
      <c r="E3014" s="50">
        <v>-1</v>
      </c>
      <c r="F3014" s="51">
        <v>-0.36645634383944525</v>
      </c>
      <c r="G3014" s="51" t="str">
        <v>中瀬 2022/08/30 (火)
平日夜間</v>
      </c>
    </row>
    <row r="3015" spans="1:7" ht="16.149999999999999" x14ac:dyDescent="0.7">
      <c r="A3015" s="49">
        <v>44768.922507118055</v>
      </c>
      <c r="B3015" s="50" t="s">
        <v>18</v>
      </c>
      <c r="C3015" s="50" t="s">
        <v>445</v>
      </c>
      <c r="D3015" s="50" t="s">
        <v>259</v>
      </c>
      <c r="E3015" s="50">
        <v>-1</v>
      </c>
      <c r="F3015" s="51">
        <v>-0.10476520546639101</v>
      </c>
      <c r="G3015" s="51" t="str">
        <v>中瀬 2022/08/31 (水)
平日夜間</v>
      </c>
    </row>
    <row r="3016" spans="1:7" ht="16.149999999999999" x14ac:dyDescent="0.7">
      <c r="A3016" s="49">
        <v>44769.873238043983</v>
      </c>
      <c r="B3016" s="50" t="s">
        <v>11</v>
      </c>
      <c r="C3016" s="50" t="s">
        <v>406</v>
      </c>
      <c r="D3016" s="50" t="s">
        <v>259</v>
      </c>
      <c r="E3016" s="50">
        <v>-1</v>
      </c>
      <c r="F3016" s="51">
        <v>-0.30374127190788447</v>
      </c>
      <c r="G3016" s="51" t="str">
        <v>宮坂 2022/08/01 (月)
平日夜間</v>
      </c>
    </row>
    <row r="3017" spans="1:7" ht="16.149999999999999" x14ac:dyDescent="0.7">
      <c r="A3017" s="49">
        <v>44769.873238043983</v>
      </c>
      <c r="B3017" s="50" t="s">
        <v>11</v>
      </c>
      <c r="C3017" s="50" t="s">
        <v>407</v>
      </c>
      <c r="D3017" s="50" t="s">
        <v>259</v>
      </c>
      <c r="E3017" s="50">
        <v>0</v>
      </c>
      <c r="F3017" s="51">
        <v>0.96302079080665193</v>
      </c>
      <c r="G3017" s="51" t="str">
        <v>宮坂 2022/08/02 (火)
平日夜間</v>
      </c>
    </row>
    <row r="3018" spans="1:7" ht="16.149999999999999" x14ac:dyDescent="0.7">
      <c r="A3018" s="49">
        <v>44769.873238043983</v>
      </c>
      <c r="B3018" s="50" t="s">
        <v>11</v>
      </c>
      <c r="C3018" s="50" t="s">
        <v>408</v>
      </c>
      <c r="D3018" s="50" t="s">
        <v>259</v>
      </c>
      <c r="E3018" s="50">
        <v>0</v>
      </c>
      <c r="F3018" s="51">
        <v>0.90953834931343613</v>
      </c>
      <c r="G3018" s="51" t="str">
        <v>宮坂 2022/08/03 (水)
平日夜間</v>
      </c>
    </row>
    <row r="3019" spans="1:7" ht="16.149999999999999" x14ac:dyDescent="0.7">
      <c r="A3019" s="49">
        <v>44769.873238043983</v>
      </c>
      <c r="B3019" s="50" t="s">
        <v>11</v>
      </c>
      <c r="C3019" s="50" t="s">
        <v>409</v>
      </c>
      <c r="D3019" s="50" t="s">
        <v>259</v>
      </c>
      <c r="E3019" s="50">
        <v>-1</v>
      </c>
      <c r="F3019" s="51">
        <v>-0.68038555255537148</v>
      </c>
      <c r="G3019" s="51" t="str">
        <v>宮坂 2022/08/04 (木)
平日夜間</v>
      </c>
    </row>
    <row r="3020" spans="1:7" ht="16.149999999999999" x14ac:dyDescent="0.7">
      <c r="A3020" s="49">
        <v>44769.873238043983</v>
      </c>
      <c r="B3020" s="50" t="s">
        <v>11</v>
      </c>
      <c r="C3020" s="50" t="s">
        <v>410</v>
      </c>
      <c r="D3020" s="50" t="s">
        <v>259</v>
      </c>
      <c r="E3020" s="50">
        <v>-1</v>
      </c>
      <c r="F3020" s="51">
        <v>-0.70534611380581191</v>
      </c>
      <c r="G3020" s="51" t="str">
        <v>宮坂 2022/08/05 (金)
平日夜間</v>
      </c>
    </row>
    <row r="3021" spans="1:7" ht="16.149999999999999" x14ac:dyDescent="0.7">
      <c r="A3021" s="49">
        <v>44769.873238043983</v>
      </c>
      <c r="B3021" s="50" t="s">
        <v>11</v>
      </c>
      <c r="C3021" s="50" t="s">
        <v>411</v>
      </c>
      <c r="D3021" s="50" t="s">
        <v>263</v>
      </c>
      <c r="E3021" s="50">
        <v>-1</v>
      </c>
      <c r="F3021" s="51">
        <v>-0.23213423873133698</v>
      </c>
      <c r="G3021" s="51" t="str">
        <v>宮坂 2022/08/06 (土)
休日午前</v>
      </c>
    </row>
    <row r="3022" spans="1:7" ht="16.149999999999999" x14ac:dyDescent="0.7">
      <c r="A3022" s="49">
        <v>44769.873238043983</v>
      </c>
      <c r="B3022" s="50" t="s">
        <v>11</v>
      </c>
      <c r="C3022" s="50" t="s">
        <v>412</v>
      </c>
      <c r="D3022" s="50" t="s">
        <v>261</v>
      </c>
      <c r="E3022" s="50">
        <v>-1</v>
      </c>
      <c r="F3022" s="51">
        <v>-0.27184638866179989</v>
      </c>
      <c r="G3022" s="51" t="str">
        <v>宮坂 2022/08/06 (土)
休日午後</v>
      </c>
    </row>
    <row r="3023" spans="1:7" ht="16.149999999999999" x14ac:dyDescent="0.7">
      <c r="A3023" s="49">
        <v>44769.873238043983</v>
      </c>
      <c r="B3023" s="50" t="s">
        <v>11</v>
      </c>
      <c r="C3023" s="50" t="s">
        <v>413</v>
      </c>
      <c r="D3023" s="50" t="s">
        <v>263</v>
      </c>
      <c r="E3023" s="50">
        <v>-1</v>
      </c>
      <c r="F3023" s="51">
        <v>-3.8627322344570114E-2</v>
      </c>
      <c r="G3023" s="51" t="str">
        <v>宮坂 2022/08/07 (日)
休日午前</v>
      </c>
    </row>
    <row r="3024" spans="1:7" ht="16.149999999999999" x14ac:dyDescent="0.7">
      <c r="A3024" s="49">
        <v>44769.873238043983</v>
      </c>
      <c r="B3024" s="50" t="s">
        <v>11</v>
      </c>
      <c r="C3024" s="50" t="s">
        <v>414</v>
      </c>
      <c r="D3024" s="50" t="s">
        <v>261</v>
      </c>
      <c r="E3024" s="50">
        <v>-1</v>
      </c>
      <c r="F3024" s="51">
        <v>-0.79220623091329734</v>
      </c>
      <c r="G3024" s="51" t="str">
        <v>宮坂 2022/08/07 (日)
休日午後</v>
      </c>
    </row>
    <row r="3025" spans="1:7" ht="16.149999999999999" x14ac:dyDescent="0.7">
      <c r="A3025" s="49">
        <v>44769.873238043983</v>
      </c>
      <c r="B3025" s="50" t="s">
        <v>11</v>
      </c>
      <c r="C3025" s="50" t="s">
        <v>415</v>
      </c>
      <c r="D3025" s="50" t="s">
        <v>259</v>
      </c>
      <c r="E3025" s="50">
        <v>0</v>
      </c>
      <c r="F3025" s="51">
        <v>0.42855485463378162</v>
      </c>
      <c r="G3025" s="51" t="str">
        <v>宮坂 2022/08/08 (月)
平日夜間</v>
      </c>
    </row>
    <row r="3026" spans="1:7" ht="16.149999999999999" x14ac:dyDescent="0.7">
      <c r="A3026" s="49">
        <v>44769.873238043983</v>
      </c>
      <c r="B3026" s="50" t="s">
        <v>11</v>
      </c>
      <c r="C3026" s="50" t="s">
        <v>416</v>
      </c>
      <c r="D3026" s="50" t="s">
        <v>259</v>
      </c>
      <c r="E3026" s="50">
        <v>0</v>
      </c>
      <c r="F3026" s="51">
        <v>0.47240926344922007</v>
      </c>
      <c r="G3026" s="51" t="str">
        <v>宮坂 2022/08/09 (火)
平日夜間</v>
      </c>
    </row>
    <row r="3027" spans="1:7" ht="16.149999999999999" x14ac:dyDescent="0.7">
      <c r="A3027" s="49">
        <v>44769.873238043983</v>
      </c>
      <c r="B3027" s="50" t="s">
        <v>11</v>
      </c>
      <c r="C3027" s="50" t="s">
        <v>417</v>
      </c>
      <c r="D3027" s="50" t="s">
        <v>259</v>
      </c>
      <c r="E3027" s="50">
        <v>-1</v>
      </c>
      <c r="F3027" s="51">
        <v>-0.66549548461619312</v>
      </c>
      <c r="G3027" s="51" t="str">
        <v>宮坂 2022/08/10 (水)
平日夜間</v>
      </c>
    </row>
    <row r="3028" spans="1:7" ht="16.149999999999999" x14ac:dyDescent="0.7">
      <c r="A3028" s="49">
        <v>44769.873238043983</v>
      </c>
      <c r="B3028" s="50" t="s">
        <v>11</v>
      </c>
      <c r="C3028" s="50" t="s">
        <v>418</v>
      </c>
      <c r="D3028" s="50" t="s">
        <v>263</v>
      </c>
      <c r="E3028" s="50">
        <v>-1</v>
      </c>
      <c r="F3028" s="51">
        <v>-0.60765036510412873</v>
      </c>
      <c r="G3028" s="51" t="str">
        <v>宮坂 2022/08/11 (木)
休日午前</v>
      </c>
    </row>
    <row r="3029" spans="1:7" ht="16.149999999999999" x14ac:dyDescent="0.7">
      <c r="A3029" s="49">
        <v>44769.873238043983</v>
      </c>
      <c r="B3029" s="50" t="s">
        <v>11</v>
      </c>
      <c r="C3029" s="50" t="s">
        <v>419</v>
      </c>
      <c r="D3029" s="50" t="s">
        <v>261</v>
      </c>
      <c r="E3029" s="50">
        <v>-1</v>
      </c>
      <c r="F3029" s="51">
        <v>-0.3253813249161237</v>
      </c>
      <c r="G3029" s="51" t="str">
        <v>宮坂 2022/08/11 (木)
休日午後</v>
      </c>
    </row>
    <row r="3030" spans="1:7" ht="16.149999999999999" x14ac:dyDescent="0.7">
      <c r="A3030" s="49">
        <v>44769.873238043983</v>
      </c>
      <c r="B3030" s="50" t="s">
        <v>11</v>
      </c>
      <c r="C3030" s="50" t="s">
        <v>420</v>
      </c>
      <c r="D3030" s="50" t="s">
        <v>259</v>
      </c>
      <c r="E3030" s="50">
        <v>2</v>
      </c>
      <c r="F3030" s="51">
        <v>2.0578154055662052</v>
      </c>
      <c r="G3030" s="51" t="str">
        <v>宮坂 2022/08/12 (金)
平日夜間</v>
      </c>
    </row>
    <row r="3031" spans="1:7" ht="16.149999999999999" x14ac:dyDescent="0.7">
      <c r="A3031" s="49">
        <v>44769.873238043983</v>
      </c>
      <c r="B3031" s="50" t="s">
        <v>11</v>
      </c>
      <c r="C3031" s="50" t="s">
        <v>421</v>
      </c>
      <c r="D3031" s="50" t="s">
        <v>263</v>
      </c>
      <c r="E3031" s="50">
        <v>0</v>
      </c>
      <c r="F3031" s="51">
        <v>0.24872644144473588</v>
      </c>
      <c r="G3031" s="51" t="str">
        <v>宮坂 2022/08/13 (土)
休日午前</v>
      </c>
    </row>
    <row r="3032" spans="1:7" ht="16.149999999999999" x14ac:dyDescent="0.7">
      <c r="A3032" s="49">
        <v>44769.873238043983</v>
      </c>
      <c r="B3032" s="50" t="s">
        <v>11</v>
      </c>
      <c r="C3032" s="50" t="s">
        <v>422</v>
      </c>
      <c r="D3032" s="50" t="s">
        <v>261</v>
      </c>
      <c r="E3032" s="50">
        <v>0</v>
      </c>
      <c r="F3032" s="51">
        <v>0.77319371167761997</v>
      </c>
      <c r="G3032" s="51" t="str">
        <v>宮坂 2022/08/13 (土)
休日午後</v>
      </c>
    </row>
    <row r="3033" spans="1:7" ht="16.149999999999999" x14ac:dyDescent="0.7">
      <c r="A3033" s="49">
        <v>44769.873238043983</v>
      </c>
      <c r="B3033" s="50" t="s">
        <v>11</v>
      </c>
      <c r="C3033" s="50" t="s">
        <v>423</v>
      </c>
      <c r="D3033" s="50" t="s">
        <v>263</v>
      </c>
      <c r="E3033" s="50">
        <v>0</v>
      </c>
      <c r="F3033" s="51">
        <v>0.35321433851038742</v>
      </c>
      <c r="G3033" s="51" t="str">
        <v>宮坂 2022/08/14 (日)
休日午前</v>
      </c>
    </row>
    <row r="3034" spans="1:7" ht="16.149999999999999" x14ac:dyDescent="0.7">
      <c r="A3034" s="49">
        <v>44769.873238043983</v>
      </c>
      <c r="B3034" s="50" t="s">
        <v>11</v>
      </c>
      <c r="C3034" s="50" t="s">
        <v>424</v>
      </c>
      <c r="D3034" s="50" t="s">
        <v>261</v>
      </c>
      <c r="E3034" s="50">
        <v>0</v>
      </c>
      <c r="F3034" s="51">
        <v>0.74519003990426702</v>
      </c>
      <c r="G3034" s="51" t="str">
        <v>宮坂 2022/08/14 (日)
休日午後</v>
      </c>
    </row>
    <row r="3035" spans="1:7" ht="16.149999999999999" x14ac:dyDescent="0.7">
      <c r="A3035" s="49">
        <v>44769.873238043983</v>
      </c>
      <c r="B3035" s="50" t="s">
        <v>11</v>
      </c>
      <c r="C3035" s="50" t="s">
        <v>425</v>
      </c>
      <c r="D3035" s="50" t="s">
        <v>259</v>
      </c>
      <c r="E3035" s="50">
        <v>0</v>
      </c>
      <c r="F3035" s="51">
        <v>0.75058831486691124</v>
      </c>
      <c r="G3035" s="51" t="str">
        <v>宮坂 2022/08/15 (月)
平日夜間</v>
      </c>
    </row>
    <row r="3036" spans="1:7" ht="16.149999999999999" x14ac:dyDescent="0.7">
      <c r="A3036" s="49">
        <v>44769.873238043983</v>
      </c>
      <c r="B3036" s="50" t="s">
        <v>11</v>
      </c>
      <c r="C3036" s="50" t="s">
        <v>426</v>
      </c>
      <c r="D3036" s="50" t="s">
        <v>259</v>
      </c>
      <c r="E3036" s="50">
        <v>0</v>
      </c>
      <c r="F3036" s="51">
        <v>0.42733396009081592</v>
      </c>
      <c r="G3036" s="51" t="str">
        <v>宮坂 2022/08/16 (火)
平日夜間</v>
      </c>
    </row>
    <row r="3037" spans="1:7" ht="16.149999999999999" x14ac:dyDescent="0.7">
      <c r="A3037" s="49">
        <v>44769.873238043983</v>
      </c>
      <c r="B3037" s="50" t="s">
        <v>11</v>
      </c>
      <c r="C3037" s="50" t="s">
        <v>427</v>
      </c>
      <c r="D3037" s="50" t="s">
        <v>259</v>
      </c>
      <c r="E3037" s="50">
        <v>0</v>
      </c>
      <c r="F3037" s="51">
        <v>0.32585298929191109</v>
      </c>
      <c r="G3037" s="51" t="str">
        <v>宮坂 2022/08/17 (水)
平日夜間</v>
      </c>
    </row>
    <row r="3038" spans="1:7" ht="16.149999999999999" x14ac:dyDescent="0.7">
      <c r="A3038" s="49">
        <v>44769.873238043983</v>
      </c>
      <c r="B3038" s="50" t="s">
        <v>11</v>
      </c>
      <c r="C3038" s="50" t="s">
        <v>428</v>
      </c>
      <c r="D3038" s="50" t="s">
        <v>259</v>
      </c>
      <c r="E3038" s="50">
        <v>0</v>
      </c>
      <c r="F3038" s="51">
        <v>0.98343107374403793</v>
      </c>
      <c r="G3038" s="51" t="str">
        <v>宮坂 2022/08/18 (木)
平日夜間</v>
      </c>
    </row>
    <row r="3039" spans="1:7" ht="16.149999999999999" x14ac:dyDescent="0.7">
      <c r="A3039" s="49">
        <v>44769.873238043983</v>
      </c>
      <c r="B3039" s="50" t="s">
        <v>11</v>
      </c>
      <c r="C3039" s="50" t="s">
        <v>429</v>
      </c>
      <c r="D3039" s="50" t="s">
        <v>259</v>
      </c>
      <c r="E3039" s="50">
        <v>1</v>
      </c>
      <c r="F3039" s="51">
        <v>1.1051450605803514</v>
      </c>
      <c r="G3039" s="51" t="str">
        <v>宮坂 2022/08/19 (金)
平日夜間</v>
      </c>
    </row>
    <row r="3040" spans="1:7" ht="16.149999999999999" x14ac:dyDescent="0.7">
      <c r="A3040" s="49">
        <v>44769.873238043983</v>
      </c>
      <c r="B3040" s="50" t="s">
        <v>11</v>
      </c>
      <c r="C3040" s="50" t="s">
        <v>430</v>
      </c>
      <c r="D3040" s="50" t="s">
        <v>263</v>
      </c>
      <c r="E3040" s="50">
        <v>0</v>
      </c>
      <c r="F3040" s="51">
        <v>0.91232848570284664</v>
      </c>
      <c r="G3040" s="51" t="str">
        <v>宮坂 2022/08/20 (土)
休日午前</v>
      </c>
    </row>
    <row r="3041" spans="1:7" ht="16.149999999999999" x14ac:dyDescent="0.7">
      <c r="A3041" s="49">
        <v>44769.873238043983</v>
      </c>
      <c r="B3041" s="50" t="s">
        <v>11</v>
      </c>
      <c r="C3041" s="50" t="s">
        <v>431</v>
      </c>
      <c r="D3041" s="50" t="s">
        <v>261</v>
      </c>
      <c r="E3041" s="50">
        <v>0</v>
      </c>
      <c r="F3041" s="51">
        <v>0.49090916606807777</v>
      </c>
      <c r="G3041" s="51" t="str">
        <v>宮坂 2022/08/20 (土)
休日午後</v>
      </c>
    </row>
    <row r="3042" spans="1:7" ht="16.149999999999999" x14ac:dyDescent="0.7">
      <c r="A3042" s="49">
        <v>44769.873238043983</v>
      </c>
      <c r="B3042" s="50" t="s">
        <v>11</v>
      </c>
      <c r="C3042" s="50" t="s">
        <v>432</v>
      </c>
      <c r="D3042" s="50" t="s">
        <v>263</v>
      </c>
      <c r="E3042" s="50">
        <v>0</v>
      </c>
      <c r="F3042" s="51">
        <v>8.9042366906738835E-2</v>
      </c>
      <c r="G3042" s="51" t="str">
        <v>宮坂 2022/08/21 (日)
休日午前</v>
      </c>
    </row>
    <row r="3043" spans="1:7" ht="16.149999999999999" x14ac:dyDescent="0.7">
      <c r="A3043" s="49">
        <v>44769.873238043983</v>
      </c>
      <c r="B3043" s="50" t="s">
        <v>11</v>
      </c>
      <c r="C3043" s="50" t="s">
        <v>433</v>
      </c>
      <c r="D3043" s="50" t="s">
        <v>261</v>
      </c>
      <c r="E3043" s="50">
        <v>0</v>
      </c>
      <c r="F3043" s="51">
        <v>0.21387402603981132</v>
      </c>
      <c r="G3043" s="51" t="str">
        <v>宮坂 2022/08/21 (日)
休日午後</v>
      </c>
    </row>
    <row r="3044" spans="1:7" ht="16.149999999999999" x14ac:dyDescent="0.7">
      <c r="A3044" s="49">
        <v>44769.873238043983</v>
      </c>
      <c r="B3044" s="50" t="s">
        <v>11</v>
      </c>
      <c r="C3044" s="50" t="s">
        <v>434</v>
      </c>
      <c r="D3044" s="50" t="s">
        <v>259</v>
      </c>
      <c r="E3044" s="50">
        <v>0</v>
      </c>
      <c r="F3044" s="51">
        <v>0.55408354747387212</v>
      </c>
      <c r="G3044" s="51" t="str">
        <v>宮坂 2022/08/22 (月)
平日夜間</v>
      </c>
    </row>
    <row r="3045" spans="1:7" ht="16.149999999999999" x14ac:dyDescent="0.7">
      <c r="A3045" s="49">
        <v>44769.873238043983</v>
      </c>
      <c r="B3045" s="50" t="s">
        <v>11</v>
      </c>
      <c r="C3045" s="50" t="s">
        <v>435</v>
      </c>
      <c r="D3045" s="50" t="s">
        <v>259</v>
      </c>
      <c r="E3045" s="50">
        <v>0</v>
      </c>
      <c r="F3045" s="51">
        <v>0.13634378928538715</v>
      </c>
      <c r="G3045" s="51" t="str">
        <v>宮坂 2022/08/23 (火)
平日夜間</v>
      </c>
    </row>
    <row r="3046" spans="1:7" ht="16.149999999999999" x14ac:dyDescent="0.7">
      <c r="A3046" s="49">
        <v>44769.873238043983</v>
      </c>
      <c r="B3046" s="50" t="s">
        <v>11</v>
      </c>
      <c r="C3046" s="50" t="s">
        <v>436</v>
      </c>
      <c r="D3046" s="50" t="s">
        <v>259</v>
      </c>
      <c r="E3046" s="50">
        <v>0</v>
      </c>
      <c r="F3046" s="51">
        <v>0.63360739361685514</v>
      </c>
      <c r="G3046" s="51" t="str">
        <v>宮坂 2022/08/24 (水)
平日夜間</v>
      </c>
    </row>
    <row r="3047" spans="1:7" ht="16.149999999999999" x14ac:dyDescent="0.7">
      <c r="A3047" s="49">
        <v>44769.873238043983</v>
      </c>
      <c r="B3047" s="50" t="s">
        <v>11</v>
      </c>
      <c r="C3047" s="50" t="s">
        <v>437</v>
      </c>
      <c r="D3047" s="50" t="s">
        <v>259</v>
      </c>
      <c r="E3047" s="50">
        <v>0</v>
      </c>
      <c r="F3047" s="51">
        <v>0.90010528580473892</v>
      </c>
      <c r="G3047" s="51" t="str">
        <v>宮坂 2022/08/25 (木)
平日夜間</v>
      </c>
    </row>
    <row r="3048" spans="1:7" ht="16.149999999999999" x14ac:dyDescent="0.7">
      <c r="A3048" s="49">
        <v>44769.873238043983</v>
      </c>
      <c r="B3048" s="50" t="s">
        <v>11</v>
      </c>
      <c r="C3048" s="50" t="s">
        <v>438</v>
      </c>
      <c r="D3048" s="50" t="s">
        <v>259</v>
      </c>
      <c r="E3048" s="50">
        <v>1</v>
      </c>
      <c r="F3048" s="51">
        <v>1.5021915160303456</v>
      </c>
      <c r="G3048" s="51" t="str">
        <v>宮坂 2022/08/26 (金)
平日夜間</v>
      </c>
    </row>
    <row r="3049" spans="1:7" ht="16.149999999999999" x14ac:dyDescent="0.7">
      <c r="A3049" s="49">
        <v>44769.873238043983</v>
      </c>
      <c r="B3049" s="50" t="s">
        <v>11</v>
      </c>
      <c r="C3049" s="50" t="s">
        <v>439</v>
      </c>
      <c r="D3049" s="50" t="s">
        <v>263</v>
      </c>
      <c r="E3049" s="50">
        <v>0</v>
      </c>
      <c r="F3049" s="51">
        <v>0.32743492219042358</v>
      </c>
      <c r="G3049" s="51" t="str">
        <v>宮坂 2022/08/27 (土)
休日午前</v>
      </c>
    </row>
    <row r="3050" spans="1:7" ht="16.149999999999999" x14ac:dyDescent="0.7">
      <c r="A3050" s="49">
        <v>44769.873238043983</v>
      </c>
      <c r="B3050" s="50" t="s">
        <v>11</v>
      </c>
      <c r="C3050" s="50" t="s">
        <v>440</v>
      </c>
      <c r="D3050" s="50" t="s">
        <v>261</v>
      </c>
      <c r="E3050" s="50">
        <v>0</v>
      </c>
      <c r="F3050" s="51">
        <v>0.21498786114581181</v>
      </c>
      <c r="G3050" s="51" t="str">
        <v>宮坂 2022/08/27 (土)
休日午後</v>
      </c>
    </row>
    <row r="3051" spans="1:7" ht="16.149999999999999" x14ac:dyDescent="0.7">
      <c r="A3051" s="49">
        <v>44769.873238043983</v>
      </c>
      <c r="B3051" s="50" t="s">
        <v>11</v>
      </c>
      <c r="C3051" s="50" t="s">
        <v>441</v>
      </c>
      <c r="D3051" s="50" t="s">
        <v>263</v>
      </c>
      <c r="E3051" s="50">
        <v>1</v>
      </c>
      <c r="F3051" s="51">
        <v>1.2160489948391371</v>
      </c>
      <c r="G3051" s="51" t="str">
        <v>宮坂 2022/08/28 (日)
休日午前</v>
      </c>
    </row>
    <row r="3052" spans="1:7" ht="16.149999999999999" x14ac:dyDescent="0.7">
      <c r="A3052" s="49">
        <v>44769.873238043983</v>
      </c>
      <c r="B3052" s="50" t="s">
        <v>11</v>
      </c>
      <c r="C3052" s="50" t="s">
        <v>442</v>
      </c>
      <c r="D3052" s="50" t="s">
        <v>261</v>
      </c>
      <c r="E3052" s="50">
        <v>-1</v>
      </c>
      <c r="F3052" s="51">
        <v>-0.86561618646107519</v>
      </c>
      <c r="G3052" s="51" t="str">
        <v>宮坂 2022/08/28 (日)
休日午後</v>
      </c>
    </row>
    <row r="3053" spans="1:7" ht="16.149999999999999" x14ac:dyDescent="0.7">
      <c r="A3053" s="49">
        <v>44769.873238043983</v>
      </c>
      <c r="B3053" s="50" t="s">
        <v>11</v>
      </c>
      <c r="C3053" s="50" t="s">
        <v>443</v>
      </c>
      <c r="D3053" s="50" t="s">
        <v>259</v>
      </c>
      <c r="E3053" s="50">
        <v>0</v>
      </c>
      <c r="F3053" s="51">
        <v>0.25194946925295492</v>
      </c>
      <c r="G3053" s="51" t="str">
        <v>宮坂 2022/08/29 (月)
平日夜間</v>
      </c>
    </row>
    <row r="3054" spans="1:7" ht="16.149999999999999" x14ac:dyDescent="0.7">
      <c r="A3054" s="49">
        <v>44769.873238043983</v>
      </c>
      <c r="B3054" s="50" t="s">
        <v>11</v>
      </c>
      <c r="C3054" s="50" t="s">
        <v>444</v>
      </c>
      <c r="D3054" s="50" t="s">
        <v>259</v>
      </c>
      <c r="E3054" s="50">
        <v>0</v>
      </c>
      <c r="F3054" s="51">
        <v>8.9865977454771651E-2</v>
      </c>
      <c r="G3054" s="51" t="str">
        <v>宮坂 2022/08/30 (火)
平日夜間</v>
      </c>
    </row>
    <row r="3055" spans="1:7" ht="16.149999999999999" x14ac:dyDescent="0.7">
      <c r="A3055" s="49">
        <v>44769.873238043983</v>
      </c>
      <c r="B3055" s="50" t="s">
        <v>11</v>
      </c>
      <c r="C3055" s="50" t="s">
        <v>445</v>
      </c>
      <c r="D3055" s="50" t="s">
        <v>259</v>
      </c>
      <c r="E3055" s="50">
        <v>0</v>
      </c>
      <c r="F3055" s="51">
        <v>0.25151051166974847</v>
      </c>
      <c r="G3055" s="51" t="str">
        <v>宮坂 2022/08/31 (水)
平日夜間</v>
      </c>
    </row>
    <row r="3056" spans="1:7" ht="16.149999999999999" x14ac:dyDescent="0.7">
      <c r="A3056" s="49">
        <v>44770.954811226853</v>
      </c>
      <c r="B3056" s="50" t="s">
        <v>45</v>
      </c>
      <c r="C3056" s="50" t="s">
        <v>406</v>
      </c>
      <c r="D3056" s="50" t="s">
        <v>259</v>
      </c>
      <c r="E3056" s="50">
        <v>0</v>
      </c>
      <c r="F3056" s="51">
        <v>0.33014925408766738</v>
      </c>
      <c r="G3056" s="51" t="str">
        <v>松井 2022/08/01 (月)
平日夜間</v>
      </c>
    </row>
    <row r="3057" spans="1:7" ht="16.149999999999999" x14ac:dyDescent="0.7">
      <c r="A3057" s="49">
        <v>44770.954811226853</v>
      </c>
      <c r="B3057" s="50" t="s">
        <v>45</v>
      </c>
      <c r="C3057" s="50" t="s">
        <v>407</v>
      </c>
      <c r="D3057" s="50" t="s">
        <v>259</v>
      </c>
      <c r="E3057" s="50">
        <v>0</v>
      </c>
      <c r="F3057" s="51">
        <v>0.13289502983348678</v>
      </c>
      <c r="G3057" s="51" t="str">
        <v>松井 2022/08/02 (火)
平日夜間</v>
      </c>
    </row>
    <row r="3058" spans="1:7" ht="16.149999999999999" x14ac:dyDescent="0.7">
      <c r="A3058" s="49">
        <v>44770.954811226853</v>
      </c>
      <c r="B3058" s="50" t="s">
        <v>45</v>
      </c>
      <c r="C3058" s="50" t="s">
        <v>408</v>
      </c>
      <c r="D3058" s="50" t="s">
        <v>259</v>
      </c>
      <c r="E3058" s="50">
        <v>-1</v>
      </c>
      <c r="F3058" s="51">
        <v>-0.70631358135333544</v>
      </c>
      <c r="G3058" s="51" t="str">
        <v>松井 2022/08/03 (水)
平日夜間</v>
      </c>
    </row>
    <row r="3059" spans="1:7" ht="16.149999999999999" x14ac:dyDescent="0.7">
      <c r="A3059" s="49">
        <v>44770.954811226853</v>
      </c>
      <c r="B3059" s="50" t="s">
        <v>45</v>
      </c>
      <c r="C3059" s="50" t="s">
        <v>409</v>
      </c>
      <c r="D3059" s="50" t="s">
        <v>259</v>
      </c>
      <c r="E3059" s="50">
        <v>-1</v>
      </c>
      <c r="F3059" s="51">
        <v>-0.71988532756259205</v>
      </c>
      <c r="G3059" s="51" t="str">
        <v>松井 2022/08/04 (木)
平日夜間</v>
      </c>
    </row>
    <row r="3060" spans="1:7" ht="16.149999999999999" x14ac:dyDescent="0.7">
      <c r="A3060" s="49">
        <v>44770.954811226853</v>
      </c>
      <c r="B3060" s="50" t="s">
        <v>45</v>
      </c>
      <c r="C3060" s="50" t="s">
        <v>410</v>
      </c>
      <c r="D3060" s="50" t="s">
        <v>259</v>
      </c>
      <c r="E3060" s="50">
        <v>-1</v>
      </c>
      <c r="F3060" s="51">
        <v>-0.46307724439006792</v>
      </c>
      <c r="G3060" s="51" t="str">
        <v>松井 2022/08/05 (金)
平日夜間</v>
      </c>
    </row>
    <row r="3061" spans="1:7" ht="16.149999999999999" x14ac:dyDescent="0.7">
      <c r="A3061" s="49">
        <v>44770.954811226853</v>
      </c>
      <c r="B3061" s="50" t="s">
        <v>45</v>
      </c>
      <c r="C3061" s="50" t="s">
        <v>411</v>
      </c>
      <c r="D3061" s="50" t="s">
        <v>263</v>
      </c>
      <c r="E3061" s="50">
        <v>-1</v>
      </c>
      <c r="F3061" s="51">
        <v>-0.22252511521467966</v>
      </c>
      <c r="G3061" s="51" t="str">
        <v>松井 2022/08/06 (土)
休日午前</v>
      </c>
    </row>
    <row r="3062" spans="1:7" ht="16.149999999999999" x14ac:dyDescent="0.7">
      <c r="A3062" s="49">
        <v>44770.954811226853</v>
      </c>
      <c r="B3062" s="50" t="s">
        <v>45</v>
      </c>
      <c r="C3062" s="50" t="s">
        <v>412</v>
      </c>
      <c r="D3062" s="50" t="s">
        <v>261</v>
      </c>
      <c r="E3062" s="50">
        <v>-1</v>
      </c>
      <c r="F3062" s="51">
        <v>-2.4160538021707589E-2</v>
      </c>
      <c r="G3062" s="51" t="str">
        <v>松井 2022/08/06 (土)
休日午後</v>
      </c>
    </row>
    <row r="3063" spans="1:7" ht="16.149999999999999" x14ac:dyDescent="0.7">
      <c r="A3063" s="49">
        <v>44770.954811226853</v>
      </c>
      <c r="B3063" s="50" t="s">
        <v>45</v>
      </c>
      <c r="C3063" s="50" t="s">
        <v>413</v>
      </c>
      <c r="D3063" s="50" t="s">
        <v>263</v>
      </c>
      <c r="E3063" s="50">
        <v>-1</v>
      </c>
      <c r="F3063" s="51">
        <v>-0.41149095797915813</v>
      </c>
      <c r="G3063" s="51" t="str">
        <v>松井 2022/08/07 (日)
休日午前</v>
      </c>
    </row>
    <row r="3064" spans="1:7" ht="16.149999999999999" x14ac:dyDescent="0.7">
      <c r="A3064" s="49">
        <v>44770.954811226853</v>
      </c>
      <c r="B3064" s="50" t="s">
        <v>45</v>
      </c>
      <c r="C3064" s="50" t="s">
        <v>414</v>
      </c>
      <c r="D3064" s="50" t="s">
        <v>261</v>
      </c>
      <c r="E3064" s="50">
        <v>-1</v>
      </c>
      <c r="F3064" s="51">
        <v>-0.95835597542279483</v>
      </c>
      <c r="G3064" s="51" t="str">
        <v>松井 2022/08/07 (日)
休日午後</v>
      </c>
    </row>
    <row r="3065" spans="1:7" ht="16.149999999999999" x14ac:dyDescent="0.7">
      <c r="A3065" s="49">
        <v>44770.954811226853</v>
      </c>
      <c r="B3065" s="50" t="s">
        <v>45</v>
      </c>
      <c r="C3065" s="50" t="s">
        <v>415</v>
      </c>
      <c r="D3065" s="50" t="s">
        <v>259</v>
      </c>
      <c r="E3065" s="50">
        <v>0</v>
      </c>
      <c r="F3065" s="51">
        <v>0.58832896250053701</v>
      </c>
      <c r="G3065" s="51" t="str">
        <v>松井 2022/08/08 (月)
平日夜間</v>
      </c>
    </row>
    <row r="3066" spans="1:7" ht="16.149999999999999" x14ac:dyDescent="0.7">
      <c r="A3066" s="49">
        <v>44770.954811226853</v>
      </c>
      <c r="B3066" s="50" t="s">
        <v>45</v>
      </c>
      <c r="C3066" s="50" t="s">
        <v>416</v>
      </c>
      <c r="D3066" s="50" t="s">
        <v>259</v>
      </c>
      <c r="E3066" s="50">
        <v>0</v>
      </c>
      <c r="F3066" s="51">
        <v>2.7701092481392298E-2</v>
      </c>
      <c r="G3066" s="51" t="str">
        <v>松井 2022/08/09 (火)
平日夜間</v>
      </c>
    </row>
    <row r="3067" spans="1:7" ht="16.149999999999999" x14ac:dyDescent="0.7">
      <c r="A3067" s="49">
        <v>44770.954811226853</v>
      </c>
      <c r="B3067" s="50" t="s">
        <v>45</v>
      </c>
      <c r="C3067" s="50" t="s">
        <v>417</v>
      </c>
      <c r="D3067" s="50" t="s">
        <v>259</v>
      </c>
      <c r="E3067" s="50">
        <v>0</v>
      </c>
      <c r="F3067" s="51">
        <v>7.1554245359897628E-2</v>
      </c>
      <c r="G3067" s="51" t="str">
        <v>松井 2022/08/10 (水)
平日夜間</v>
      </c>
    </row>
    <row r="3068" spans="1:7" ht="16.149999999999999" x14ac:dyDescent="0.7">
      <c r="A3068" s="49">
        <v>44770.954811226853</v>
      </c>
      <c r="B3068" s="50" t="s">
        <v>45</v>
      </c>
      <c r="C3068" s="50" t="s">
        <v>418</v>
      </c>
      <c r="D3068" s="50" t="s">
        <v>263</v>
      </c>
      <c r="E3068" s="50">
        <v>0</v>
      </c>
      <c r="F3068" s="51">
        <v>9.8468786315155876E-2</v>
      </c>
      <c r="G3068" s="51" t="str">
        <v>松井 2022/08/11 (木)
休日午前</v>
      </c>
    </row>
    <row r="3069" spans="1:7" ht="16.149999999999999" x14ac:dyDescent="0.7">
      <c r="A3069" s="49">
        <v>44770.954811226853</v>
      </c>
      <c r="B3069" s="50" t="s">
        <v>45</v>
      </c>
      <c r="C3069" s="50" t="s">
        <v>419</v>
      </c>
      <c r="D3069" s="50" t="s">
        <v>261</v>
      </c>
      <c r="E3069" s="50">
        <v>0</v>
      </c>
      <c r="F3069" s="51">
        <v>3.8122059148880227E-2</v>
      </c>
      <c r="G3069" s="51" t="str">
        <v>松井 2022/08/11 (木)
休日午後</v>
      </c>
    </row>
    <row r="3070" spans="1:7" ht="16.149999999999999" x14ac:dyDescent="0.7">
      <c r="A3070" s="49">
        <v>44770.954811226853</v>
      </c>
      <c r="B3070" s="50" t="s">
        <v>45</v>
      </c>
      <c r="C3070" s="50" t="s">
        <v>420</v>
      </c>
      <c r="D3070" s="50" t="s">
        <v>259</v>
      </c>
      <c r="E3070" s="50">
        <v>0</v>
      </c>
      <c r="F3070" s="51">
        <v>0.3469313719095406</v>
      </c>
      <c r="G3070" s="51" t="str">
        <v>松井 2022/08/12 (金)
平日夜間</v>
      </c>
    </row>
    <row r="3071" spans="1:7" ht="16.149999999999999" x14ac:dyDescent="0.7">
      <c r="A3071" s="49">
        <v>44770.954811226853</v>
      </c>
      <c r="B3071" s="50" t="s">
        <v>45</v>
      </c>
      <c r="C3071" s="50" t="s">
        <v>421</v>
      </c>
      <c r="D3071" s="50" t="s">
        <v>263</v>
      </c>
      <c r="E3071" s="50">
        <v>0</v>
      </c>
      <c r="F3071" s="51">
        <v>0.83752197374609949</v>
      </c>
      <c r="G3071" s="51" t="str">
        <v>松井 2022/08/13 (土)
休日午前</v>
      </c>
    </row>
    <row r="3072" spans="1:7" ht="16.149999999999999" x14ac:dyDescent="0.7">
      <c r="A3072" s="49">
        <v>44770.954811226853</v>
      </c>
      <c r="B3072" s="50" t="s">
        <v>45</v>
      </c>
      <c r="C3072" s="50" t="s">
        <v>422</v>
      </c>
      <c r="D3072" s="50" t="s">
        <v>261</v>
      </c>
      <c r="E3072" s="50">
        <v>0</v>
      </c>
      <c r="F3072" s="51">
        <v>0.40288733392015619</v>
      </c>
      <c r="G3072" s="51" t="str">
        <v>松井 2022/08/13 (土)
休日午後</v>
      </c>
    </row>
    <row r="3073" spans="1:7" ht="16.149999999999999" x14ac:dyDescent="0.7">
      <c r="A3073" s="49">
        <v>44770.954811226853</v>
      </c>
      <c r="B3073" s="50" t="s">
        <v>45</v>
      </c>
      <c r="C3073" s="50" t="s">
        <v>423</v>
      </c>
      <c r="D3073" s="50" t="s">
        <v>263</v>
      </c>
      <c r="E3073" s="50">
        <v>0</v>
      </c>
      <c r="F3073" s="51">
        <v>0.67424131830742584</v>
      </c>
      <c r="G3073" s="51" t="str">
        <v>松井 2022/08/14 (日)
休日午前</v>
      </c>
    </row>
    <row r="3074" spans="1:7" ht="16.149999999999999" x14ac:dyDescent="0.7">
      <c r="A3074" s="49">
        <v>44770.954811226853</v>
      </c>
      <c r="B3074" s="50" t="s">
        <v>45</v>
      </c>
      <c r="C3074" s="50" t="s">
        <v>424</v>
      </c>
      <c r="D3074" s="50" t="s">
        <v>261</v>
      </c>
      <c r="E3074" s="50">
        <v>0</v>
      </c>
      <c r="F3074" s="51">
        <v>0.75067127289923996</v>
      </c>
      <c r="G3074" s="51" t="str">
        <v>松井 2022/08/14 (日)
休日午後</v>
      </c>
    </row>
    <row r="3075" spans="1:7" ht="16.149999999999999" x14ac:dyDescent="0.7">
      <c r="A3075" s="49">
        <v>44770.954811226853</v>
      </c>
      <c r="B3075" s="50" t="s">
        <v>45</v>
      </c>
      <c r="C3075" s="50" t="s">
        <v>425</v>
      </c>
      <c r="D3075" s="50" t="s">
        <v>259</v>
      </c>
      <c r="E3075" s="50">
        <v>0</v>
      </c>
      <c r="F3075" s="51">
        <v>0.10370105050420375</v>
      </c>
      <c r="G3075" s="51" t="str">
        <v>松井 2022/08/15 (月)
平日夜間</v>
      </c>
    </row>
    <row r="3076" spans="1:7" ht="16.149999999999999" x14ac:dyDescent="0.7">
      <c r="A3076" s="49">
        <v>44770.954811226853</v>
      </c>
      <c r="B3076" s="50" t="s">
        <v>45</v>
      </c>
      <c r="C3076" s="50" t="s">
        <v>426</v>
      </c>
      <c r="D3076" s="50" t="s">
        <v>259</v>
      </c>
      <c r="E3076" s="50">
        <v>0</v>
      </c>
      <c r="F3076" s="51">
        <v>0.96680357174731979</v>
      </c>
      <c r="G3076" s="51" t="str">
        <v>松井 2022/08/16 (火)
平日夜間</v>
      </c>
    </row>
    <row r="3077" spans="1:7" ht="16.149999999999999" x14ac:dyDescent="0.7">
      <c r="A3077" s="49">
        <v>44770.954811226853</v>
      </c>
      <c r="B3077" s="50" t="s">
        <v>45</v>
      </c>
      <c r="C3077" s="50" t="s">
        <v>427</v>
      </c>
      <c r="D3077" s="50" t="s">
        <v>259</v>
      </c>
      <c r="E3077" s="50">
        <v>-1</v>
      </c>
      <c r="F3077" s="51">
        <v>-2.7571548712884031E-2</v>
      </c>
      <c r="G3077" s="51" t="str">
        <v>松井 2022/08/17 (水)
平日夜間</v>
      </c>
    </row>
    <row r="3078" spans="1:7" ht="16.149999999999999" x14ac:dyDescent="0.7">
      <c r="A3078" s="49">
        <v>44770.954811226853</v>
      </c>
      <c r="B3078" s="50" t="s">
        <v>45</v>
      </c>
      <c r="C3078" s="50" t="s">
        <v>428</v>
      </c>
      <c r="D3078" s="50" t="s">
        <v>259</v>
      </c>
      <c r="E3078" s="50">
        <v>-1</v>
      </c>
      <c r="F3078" s="51">
        <v>-0.15595163806045531</v>
      </c>
      <c r="G3078" s="51" t="str">
        <v>松井 2022/08/18 (木)
平日夜間</v>
      </c>
    </row>
    <row r="3079" spans="1:7" ht="16.149999999999999" x14ac:dyDescent="0.7">
      <c r="A3079" s="49">
        <v>44770.954811226853</v>
      </c>
      <c r="B3079" s="50" t="s">
        <v>45</v>
      </c>
      <c r="C3079" s="50" t="s">
        <v>429</v>
      </c>
      <c r="D3079" s="50" t="s">
        <v>259</v>
      </c>
      <c r="E3079" s="50">
        <v>-1</v>
      </c>
      <c r="F3079" s="51">
        <v>-0.58094664865783363</v>
      </c>
      <c r="G3079" s="51" t="str">
        <v>松井 2022/08/19 (金)
平日夜間</v>
      </c>
    </row>
    <row r="3080" spans="1:7" ht="16.149999999999999" x14ac:dyDescent="0.7">
      <c r="A3080" s="49">
        <v>44770.954811226853</v>
      </c>
      <c r="B3080" s="50" t="s">
        <v>45</v>
      </c>
      <c r="C3080" s="50" t="s">
        <v>430</v>
      </c>
      <c r="D3080" s="50" t="s">
        <v>263</v>
      </c>
      <c r="E3080" s="50">
        <v>-1</v>
      </c>
      <c r="F3080" s="51">
        <v>-0.87805632670014822</v>
      </c>
      <c r="G3080" s="51" t="str">
        <v>松井 2022/08/20 (土)
休日午前</v>
      </c>
    </row>
    <row r="3081" spans="1:7" ht="16.149999999999999" x14ac:dyDescent="0.7">
      <c r="A3081" s="49">
        <v>44770.954811226853</v>
      </c>
      <c r="B3081" s="50" t="s">
        <v>45</v>
      </c>
      <c r="C3081" s="50" t="s">
        <v>431</v>
      </c>
      <c r="D3081" s="50" t="s">
        <v>261</v>
      </c>
      <c r="E3081" s="50">
        <v>-1</v>
      </c>
      <c r="F3081" s="51">
        <v>-2.2396140636126161E-2</v>
      </c>
      <c r="G3081" s="51" t="str">
        <v>松井 2022/08/20 (土)
休日午後</v>
      </c>
    </row>
    <row r="3082" spans="1:7" ht="16.149999999999999" x14ac:dyDescent="0.7">
      <c r="A3082" s="49">
        <v>44770.954811226853</v>
      </c>
      <c r="B3082" s="50" t="s">
        <v>45</v>
      </c>
      <c r="C3082" s="50" t="s">
        <v>432</v>
      </c>
      <c r="D3082" s="50" t="s">
        <v>263</v>
      </c>
      <c r="E3082" s="50">
        <v>-1</v>
      </c>
      <c r="F3082" s="51">
        <v>-0.42329258154332083</v>
      </c>
      <c r="G3082" s="51" t="str">
        <v>松井 2022/08/21 (日)
休日午前</v>
      </c>
    </row>
    <row r="3083" spans="1:7" ht="16.149999999999999" x14ac:dyDescent="0.7">
      <c r="A3083" s="49">
        <v>44770.954811226853</v>
      </c>
      <c r="B3083" s="50" t="s">
        <v>45</v>
      </c>
      <c r="C3083" s="50" t="s">
        <v>433</v>
      </c>
      <c r="D3083" s="50" t="s">
        <v>261</v>
      </c>
      <c r="E3083" s="50">
        <v>-1</v>
      </c>
      <c r="F3083" s="51">
        <v>-0.24875275338366665</v>
      </c>
      <c r="G3083" s="51" t="str">
        <v>松井 2022/08/21 (日)
休日午後</v>
      </c>
    </row>
    <row r="3084" spans="1:7" ht="16.149999999999999" x14ac:dyDescent="0.7">
      <c r="A3084" s="49">
        <v>44770.954811226853</v>
      </c>
      <c r="B3084" s="50" t="s">
        <v>45</v>
      </c>
      <c r="C3084" s="50" t="s">
        <v>434</v>
      </c>
      <c r="D3084" s="50" t="s">
        <v>259</v>
      </c>
      <c r="E3084" s="50">
        <v>0</v>
      </c>
      <c r="F3084" s="51">
        <v>0.38674821748897203</v>
      </c>
      <c r="G3084" s="51" t="str">
        <v>松井 2022/08/22 (月)
平日夜間</v>
      </c>
    </row>
    <row r="3085" spans="1:7" ht="16.149999999999999" x14ac:dyDescent="0.7">
      <c r="A3085" s="49">
        <v>44770.954811226853</v>
      </c>
      <c r="B3085" s="50" t="s">
        <v>45</v>
      </c>
      <c r="C3085" s="50" t="s">
        <v>435</v>
      </c>
      <c r="D3085" s="50" t="s">
        <v>259</v>
      </c>
      <c r="E3085" s="50">
        <v>0</v>
      </c>
      <c r="F3085" s="51">
        <v>0.487809404587219</v>
      </c>
      <c r="G3085" s="51" t="str">
        <v>松井 2022/08/23 (火)
平日夜間</v>
      </c>
    </row>
    <row r="3086" spans="1:7" ht="16.149999999999999" x14ac:dyDescent="0.7">
      <c r="A3086" s="49">
        <v>44770.954811226853</v>
      </c>
      <c r="B3086" s="50" t="s">
        <v>45</v>
      </c>
      <c r="C3086" s="50" t="s">
        <v>436</v>
      </c>
      <c r="D3086" s="50" t="s">
        <v>259</v>
      </c>
      <c r="E3086" s="50">
        <v>0</v>
      </c>
      <c r="F3086" s="51">
        <v>0.56999487338883026</v>
      </c>
      <c r="G3086" s="51" t="str">
        <v>松井 2022/08/24 (水)
平日夜間</v>
      </c>
    </row>
    <row r="3087" spans="1:7" ht="16.149999999999999" x14ac:dyDescent="0.7">
      <c r="A3087" s="49">
        <v>44770.954811226853</v>
      </c>
      <c r="B3087" s="50" t="s">
        <v>45</v>
      </c>
      <c r="C3087" s="50" t="s">
        <v>437</v>
      </c>
      <c r="D3087" s="50" t="s">
        <v>259</v>
      </c>
      <c r="E3087" s="50">
        <v>0</v>
      </c>
      <c r="F3087" s="51">
        <v>0.31605741283312816</v>
      </c>
      <c r="G3087" s="51" t="str">
        <v>松井 2022/08/25 (木)
平日夜間</v>
      </c>
    </row>
    <row r="3088" spans="1:7" ht="16.149999999999999" x14ac:dyDescent="0.7">
      <c r="A3088" s="49">
        <v>44770.954811226853</v>
      </c>
      <c r="B3088" s="50" t="s">
        <v>45</v>
      </c>
      <c r="C3088" s="50" t="s">
        <v>438</v>
      </c>
      <c r="D3088" s="50" t="s">
        <v>259</v>
      </c>
      <c r="E3088" s="50">
        <v>-1</v>
      </c>
      <c r="F3088" s="51">
        <v>-6.2751474785291972E-3</v>
      </c>
      <c r="G3088" s="51" t="str">
        <v>松井 2022/08/26 (金)
平日夜間</v>
      </c>
    </row>
    <row r="3089" spans="1:7" ht="16.149999999999999" x14ac:dyDescent="0.7">
      <c r="A3089" s="49">
        <v>44770.954811226853</v>
      </c>
      <c r="B3089" s="50" t="s">
        <v>45</v>
      </c>
      <c r="C3089" s="50" t="s">
        <v>439</v>
      </c>
      <c r="D3089" s="50" t="s">
        <v>263</v>
      </c>
      <c r="E3089" s="50">
        <v>-1</v>
      </c>
      <c r="F3089" s="51">
        <v>-0.1067510497991655</v>
      </c>
      <c r="G3089" s="51" t="str">
        <v>松井 2022/08/27 (土)
休日午前</v>
      </c>
    </row>
    <row r="3090" spans="1:7" ht="16.149999999999999" x14ac:dyDescent="0.7">
      <c r="A3090" s="49">
        <v>44770.954811226853</v>
      </c>
      <c r="B3090" s="50" t="s">
        <v>45</v>
      </c>
      <c r="C3090" s="50" t="s">
        <v>440</v>
      </c>
      <c r="D3090" s="50" t="s">
        <v>261</v>
      </c>
      <c r="E3090" s="50">
        <v>-1</v>
      </c>
      <c r="F3090" s="51">
        <v>-0.88565408832256964</v>
      </c>
      <c r="G3090" s="51" t="str">
        <v>松井 2022/08/27 (土)
休日午後</v>
      </c>
    </row>
    <row r="3091" spans="1:7" ht="16.149999999999999" x14ac:dyDescent="0.7">
      <c r="A3091" s="49">
        <v>44770.954811226853</v>
      </c>
      <c r="B3091" s="50" t="s">
        <v>45</v>
      </c>
      <c r="C3091" s="50" t="s">
        <v>441</v>
      </c>
      <c r="D3091" s="50" t="s">
        <v>263</v>
      </c>
      <c r="E3091" s="50">
        <v>-1</v>
      </c>
      <c r="F3091" s="51">
        <v>-0.6216305973018923</v>
      </c>
      <c r="G3091" s="51" t="str">
        <v>松井 2022/08/28 (日)
休日午前</v>
      </c>
    </row>
    <row r="3092" spans="1:7" ht="16.149999999999999" x14ac:dyDescent="0.7">
      <c r="A3092" s="49">
        <v>44770.954811226853</v>
      </c>
      <c r="B3092" s="50" t="s">
        <v>45</v>
      </c>
      <c r="C3092" s="50" t="s">
        <v>442</v>
      </c>
      <c r="D3092" s="50" t="s">
        <v>261</v>
      </c>
      <c r="E3092" s="50">
        <v>-1</v>
      </c>
      <c r="F3092" s="51">
        <v>-0.18354932376723321</v>
      </c>
      <c r="G3092" s="51" t="str">
        <v>松井 2022/08/28 (日)
休日午後</v>
      </c>
    </row>
    <row r="3093" spans="1:7" ht="16.149999999999999" x14ac:dyDescent="0.7">
      <c r="A3093" s="49">
        <v>44770.954811226853</v>
      </c>
      <c r="B3093" s="50" t="s">
        <v>45</v>
      </c>
      <c r="C3093" s="50" t="s">
        <v>443</v>
      </c>
      <c r="D3093" s="50" t="s">
        <v>259</v>
      </c>
      <c r="E3093" s="50">
        <v>0</v>
      </c>
      <c r="F3093" s="51">
        <v>0.54981687530867007</v>
      </c>
      <c r="G3093" s="51" t="str">
        <v>松井 2022/08/29 (月)
平日夜間</v>
      </c>
    </row>
    <row r="3094" spans="1:7" ht="16.149999999999999" x14ac:dyDescent="0.7">
      <c r="A3094" s="49">
        <v>44770.954811226853</v>
      </c>
      <c r="B3094" s="50" t="s">
        <v>45</v>
      </c>
      <c r="C3094" s="50" t="s">
        <v>444</v>
      </c>
      <c r="D3094" s="50" t="s">
        <v>259</v>
      </c>
      <c r="E3094" s="50">
        <v>0</v>
      </c>
      <c r="F3094" s="51">
        <v>0.43897666672056146</v>
      </c>
      <c r="G3094" s="51" t="str">
        <v>松井 2022/08/30 (火)
平日夜間</v>
      </c>
    </row>
    <row r="3095" spans="1:7" ht="16.149999999999999" x14ac:dyDescent="0.7">
      <c r="A3095" s="49">
        <v>44770.954811226853</v>
      </c>
      <c r="B3095" s="50" t="s">
        <v>45</v>
      </c>
      <c r="C3095" s="50" t="s">
        <v>445</v>
      </c>
      <c r="D3095" s="50" t="s">
        <v>259</v>
      </c>
      <c r="E3095" s="50">
        <v>0</v>
      </c>
      <c r="F3095" s="51">
        <v>0.7375959458065815</v>
      </c>
      <c r="G3095" s="51" t="str">
        <v>松井 2022/08/31 (水)
平日夜間</v>
      </c>
    </row>
    <row r="3096" spans="1:7" ht="16.149999999999999" x14ac:dyDescent="0.7">
      <c r="A3096" s="49">
        <v>44770.978656678242</v>
      </c>
      <c r="B3096" s="50" t="s">
        <v>1</v>
      </c>
      <c r="C3096" s="50" t="s">
        <v>406</v>
      </c>
      <c r="D3096" s="50" t="s">
        <v>259</v>
      </c>
      <c r="E3096" s="50">
        <v>-1</v>
      </c>
      <c r="F3096" s="51">
        <v>-0.66510675719190404</v>
      </c>
      <c r="G3096" s="51" t="str">
        <v>菊野 2022/08/01 (月)
平日夜間</v>
      </c>
    </row>
    <row r="3097" spans="1:7" ht="16.149999999999999" x14ac:dyDescent="0.7">
      <c r="A3097" s="49">
        <v>44770.978656678242</v>
      </c>
      <c r="B3097" s="50" t="s">
        <v>1</v>
      </c>
      <c r="C3097" s="50" t="s">
        <v>407</v>
      </c>
      <c r="D3097" s="50" t="s">
        <v>259</v>
      </c>
      <c r="E3097" s="50">
        <v>-1</v>
      </c>
      <c r="F3097" s="51">
        <v>-0.92828307055202108</v>
      </c>
      <c r="G3097" s="51" t="str">
        <v>菊野 2022/08/02 (火)
平日夜間</v>
      </c>
    </row>
    <row r="3098" spans="1:7" ht="16.149999999999999" x14ac:dyDescent="0.7">
      <c r="A3098" s="49">
        <v>44770.978656678242</v>
      </c>
      <c r="B3098" s="50" t="s">
        <v>1</v>
      </c>
      <c r="C3098" s="50" t="s">
        <v>408</v>
      </c>
      <c r="D3098" s="50" t="s">
        <v>259</v>
      </c>
      <c r="E3098" s="50">
        <v>0</v>
      </c>
      <c r="F3098" s="51">
        <v>0.33714247572289913</v>
      </c>
      <c r="G3098" s="51" t="str">
        <v>菊野 2022/08/03 (水)
平日夜間</v>
      </c>
    </row>
    <row r="3099" spans="1:7" ht="16.149999999999999" x14ac:dyDescent="0.7">
      <c r="A3099" s="49">
        <v>44770.978656678242</v>
      </c>
      <c r="B3099" s="50" t="s">
        <v>1</v>
      </c>
      <c r="C3099" s="50" t="s">
        <v>409</v>
      </c>
      <c r="D3099" s="50" t="s">
        <v>259</v>
      </c>
      <c r="E3099" s="50">
        <v>0</v>
      </c>
      <c r="F3099" s="51">
        <v>0.87262172785804193</v>
      </c>
      <c r="G3099" s="51" t="str">
        <v>菊野 2022/08/04 (木)
平日夜間</v>
      </c>
    </row>
    <row r="3100" spans="1:7" ht="16.149999999999999" x14ac:dyDescent="0.7">
      <c r="A3100" s="49">
        <v>44770.978656678242</v>
      </c>
      <c r="B3100" s="50" t="s">
        <v>1</v>
      </c>
      <c r="C3100" s="50" t="s">
        <v>410</v>
      </c>
      <c r="D3100" s="50" t="s">
        <v>259</v>
      </c>
      <c r="E3100" s="50">
        <v>0</v>
      </c>
      <c r="F3100" s="51">
        <v>0.78334072308572322</v>
      </c>
      <c r="G3100" s="51" t="str">
        <v>菊野 2022/08/05 (金)
平日夜間</v>
      </c>
    </row>
    <row r="3101" spans="1:7" ht="16.149999999999999" x14ac:dyDescent="0.7">
      <c r="A3101" s="49">
        <v>44770.978656678242</v>
      </c>
      <c r="B3101" s="50" t="s">
        <v>1</v>
      </c>
      <c r="C3101" s="50" t="s">
        <v>411</v>
      </c>
      <c r="D3101" s="50" t="s">
        <v>263</v>
      </c>
      <c r="E3101" s="50">
        <v>0</v>
      </c>
      <c r="F3101" s="51">
        <v>0.43481784720839656</v>
      </c>
      <c r="G3101" s="51" t="str">
        <v>菊野 2022/08/06 (土)
休日午前</v>
      </c>
    </row>
    <row r="3102" spans="1:7" ht="16.149999999999999" x14ac:dyDescent="0.7">
      <c r="A3102" s="49">
        <v>44770.978656678242</v>
      </c>
      <c r="B3102" s="50" t="s">
        <v>1</v>
      </c>
      <c r="C3102" s="50" t="s">
        <v>412</v>
      </c>
      <c r="D3102" s="50" t="s">
        <v>261</v>
      </c>
      <c r="E3102" s="50">
        <v>0</v>
      </c>
      <c r="F3102" s="51">
        <v>0.60837974976978137</v>
      </c>
      <c r="G3102" s="51" t="str">
        <v>菊野 2022/08/06 (土)
休日午後</v>
      </c>
    </row>
    <row r="3103" spans="1:7" ht="16.149999999999999" x14ac:dyDescent="0.7">
      <c r="A3103" s="49">
        <v>44770.978656678242</v>
      </c>
      <c r="B3103" s="50" t="s">
        <v>1</v>
      </c>
      <c r="C3103" s="50" t="s">
        <v>413</v>
      </c>
      <c r="D3103" s="50" t="s">
        <v>263</v>
      </c>
      <c r="E3103" s="50">
        <v>-1</v>
      </c>
      <c r="F3103" s="51">
        <v>-0.74022916404860206</v>
      </c>
      <c r="G3103" s="51" t="str">
        <v>菊野 2022/08/07 (日)
休日午前</v>
      </c>
    </row>
    <row r="3104" spans="1:7" ht="16.149999999999999" x14ac:dyDescent="0.7">
      <c r="A3104" s="49">
        <v>44770.978656678242</v>
      </c>
      <c r="B3104" s="50" t="s">
        <v>1</v>
      </c>
      <c r="C3104" s="50" t="s">
        <v>414</v>
      </c>
      <c r="D3104" s="50" t="s">
        <v>261</v>
      </c>
      <c r="E3104" s="50">
        <v>-1</v>
      </c>
      <c r="F3104" s="51">
        <v>-0.75300718563796698</v>
      </c>
      <c r="G3104" s="51" t="str">
        <v>菊野 2022/08/07 (日)
休日午後</v>
      </c>
    </row>
    <row r="3105" spans="1:7" ht="16.149999999999999" x14ac:dyDescent="0.7">
      <c r="A3105" s="49">
        <v>44770.978656678242</v>
      </c>
      <c r="B3105" s="50" t="s">
        <v>1</v>
      </c>
      <c r="C3105" s="50" t="s">
        <v>415</v>
      </c>
      <c r="D3105" s="50" t="s">
        <v>259</v>
      </c>
      <c r="E3105" s="50">
        <v>0</v>
      </c>
      <c r="F3105" s="51">
        <v>0.26010933479850018</v>
      </c>
      <c r="G3105" s="51" t="str">
        <v>菊野 2022/08/08 (月)
平日夜間</v>
      </c>
    </row>
    <row r="3106" spans="1:7" ht="16.149999999999999" x14ac:dyDescent="0.7">
      <c r="A3106" s="49">
        <v>44770.978656678242</v>
      </c>
      <c r="B3106" s="50" t="s">
        <v>1</v>
      </c>
      <c r="C3106" s="50" t="s">
        <v>416</v>
      </c>
      <c r="D3106" s="50" t="s">
        <v>259</v>
      </c>
      <c r="E3106" s="50">
        <v>0</v>
      </c>
      <c r="F3106" s="51">
        <v>8.6960604384100471E-2</v>
      </c>
      <c r="G3106" s="51" t="str">
        <v>菊野 2022/08/09 (火)
平日夜間</v>
      </c>
    </row>
    <row r="3107" spans="1:7" ht="16.149999999999999" x14ac:dyDescent="0.7">
      <c r="A3107" s="49">
        <v>44770.978656678242</v>
      </c>
      <c r="B3107" s="50" t="s">
        <v>1</v>
      </c>
      <c r="C3107" s="50" t="s">
        <v>417</v>
      </c>
      <c r="D3107" s="50" t="s">
        <v>259</v>
      </c>
      <c r="E3107" s="50">
        <v>0</v>
      </c>
      <c r="F3107" s="51">
        <v>0.95913572672779068</v>
      </c>
      <c r="G3107" s="51" t="str">
        <v>菊野 2022/08/10 (水)
平日夜間</v>
      </c>
    </row>
    <row r="3108" spans="1:7" ht="16.149999999999999" x14ac:dyDescent="0.7">
      <c r="A3108" s="49">
        <v>44770.978656678242</v>
      </c>
      <c r="B3108" s="50" t="s">
        <v>1</v>
      </c>
      <c r="C3108" s="50" t="s">
        <v>418</v>
      </c>
      <c r="D3108" s="50" t="s">
        <v>263</v>
      </c>
      <c r="E3108" s="50">
        <v>-1</v>
      </c>
      <c r="F3108" s="51">
        <v>-0.20669291500830345</v>
      </c>
      <c r="G3108" s="51" t="str">
        <v>菊野 2022/08/11 (木)
休日午前</v>
      </c>
    </row>
    <row r="3109" spans="1:7" ht="16.149999999999999" x14ac:dyDescent="0.7">
      <c r="A3109" s="49">
        <v>44770.978656678242</v>
      </c>
      <c r="B3109" s="50" t="s">
        <v>1</v>
      </c>
      <c r="C3109" s="50" t="s">
        <v>419</v>
      </c>
      <c r="D3109" s="50" t="s">
        <v>261</v>
      </c>
      <c r="E3109" s="50">
        <v>-1</v>
      </c>
      <c r="F3109" s="51">
        <v>-0.22705126029871114</v>
      </c>
      <c r="G3109" s="51" t="str">
        <v>菊野 2022/08/11 (木)
休日午後</v>
      </c>
    </row>
    <row r="3110" spans="1:7" ht="16.149999999999999" x14ac:dyDescent="0.7">
      <c r="A3110" s="49">
        <v>44770.978656678242</v>
      </c>
      <c r="B3110" s="50" t="s">
        <v>1</v>
      </c>
      <c r="C3110" s="50" t="s">
        <v>420</v>
      </c>
      <c r="D3110" s="50" t="s">
        <v>259</v>
      </c>
      <c r="E3110" s="50">
        <v>0</v>
      </c>
      <c r="F3110" s="51">
        <v>0.62028951198334292</v>
      </c>
      <c r="G3110" s="51" t="str">
        <v>菊野 2022/08/12 (金)
平日夜間</v>
      </c>
    </row>
    <row r="3111" spans="1:7" ht="16.149999999999999" x14ac:dyDescent="0.7">
      <c r="A3111" s="49">
        <v>44770.978656678242</v>
      </c>
      <c r="B3111" s="50" t="s">
        <v>1</v>
      </c>
      <c r="C3111" s="50" t="s">
        <v>421</v>
      </c>
      <c r="D3111" s="50" t="s">
        <v>263</v>
      </c>
      <c r="E3111" s="50">
        <v>0</v>
      </c>
      <c r="F3111" s="51">
        <v>0.11838332067929924</v>
      </c>
      <c r="G3111" s="51" t="str">
        <v>菊野 2022/08/13 (土)
休日午前</v>
      </c>
    </row>
    <row r="3112" spans="1:7" ht="16.149999999999999" x14ac:dyDescent="0.7">
      <c r="A3112" s="49">
        <v>44770.978656678242</v>
      </c>
      <c r="B3112" s="50" t="s">
        <v>1</v>
      </c>
      <c r="C3112" s="50" t="s">
        <v>422</v>
      </c>
      <c r="D3112" s="50" t="s">
        <v>261</v>
      </c>
      <c r="E3112" s="50">
        <v>0</v>
      </c>
      <c r="F3112" s="51">
        <v>0.49767291540439418</v>
      </c>
      <c r="G3112" s="51" t="str">
        <v>菊野 2022/08/13 (土)
休日午後</v>
      </c>
    </row>
    <row r="3113" spans="1:7" ht="16.149999999999999" x14ac:dyDescent="0.7">
      <c r="A3113" s="49">
        <v>44770.978656678242</v>
      </c>
      <c r="B3113" s="50" t="s">
        <v>1</v>
      </c>
      <c r="C3113" s="50" t="s">
        <v>423</v>
      </c>
      <c r="D3113" s="50" t="s">
        <v>263</v>
      </c>
      <c r="E3113" s="50">
        <v>0</v>
      </c>
      <c r="F3113" s="51">
        <v>0.45794511776142466</v>
      </c>
      <c r="G3113" s="51" t="str">
        <v>菊野 2022/08/14 (日)
休日午前</v>
      </c>
    </row>
    <row r="3114" spans="1:7" ht="16.149999999999999" x14ac:dyDescent="0.7">
      <c r="A3114" s="49">
        <v>44770.978656678242</v>
      </c>
      <c r="B3114" s="50" t="s">
        <v>1</v>
      </c>
      <c r="C3114" s="50" t="s">
        <v>424</v>
      </c>
      <c r="D3114" s="50" t="s">
        <v>261</v>
      </c>
      <c r="E3114" s="50">
        <v>0</v>
      </c>
      <c r="F3114" s="51">
        <v>0.27215615657151537</v>
      </c>
      <c r="G3114" s="51" t="str">
        <v>菊野 2022/08/14 (日)
休日午後</v>
      </c>
    </row>
    <row r="3115" spans="1:7" ht="16.149999999999999" x14ac:dyDescent="0.7">
      <c r="A3115" s="49">
        <v>44770.978656678242</v>
      </c>
      <c r="B3115" s="50" t="s">
        <v>1</v>
      </c>
      <c r="C3115" s="50" t="s">
        <v>425</v>
      </c>
      <c r="D3115" s="50" t="s">
        <v>259</v>
      </c>
      <c r="E3115" s="50">
        <v>0</v>
      </c>
      <c r="F3115" s="51">
        <v>0.32457237108762738</v>
      </c>
      <c r="G3115" s="51" t="str">
        <v>菊野 2022/08/15 (月)
平日夜間</v>
      </c>
    </row>
    <row r="3116" spans="1:7" ht="16.149999999999999" x14ac:dyDescent="0.7">
      <c r="A3116" s="49">
        <v>44770.978656678242</v>
      </c>
      <c r="B3116" s="50" t="s">
        <v>1</v>
      </c>
      <c r="C3116" s="50" t="s">
        <v>426</v>
      </c>
      <c r="D3116" s="50" t="s">
        <v>259</v>
      </c>
      <c r="E3116" s="50">
        <v>0</v>
      </c>
      <c r="F3116" s="51">
        <v>0.2969215338674589</v>
      </c>
      <c r="G3116" s="51" t="str">
        <v>菊野 2022/08/16 (火)
平日夜間</v>
      </c>
    </row>
    <row r="3117" spans="1:7" ht="16.149999999999999" x14ac:dyDescent="0.7">
      <c r="A3117" s="49">
        <v>44770.978656678242</v>
      </c>
      <c r="B3117" s="50" t="s">
        <v>1</v>
      </c>
      <c r="C3117" s="50" t="s">
        <v>427</v>
      </c>
      <c r="D3117" s="50" t="s">
        <v>259</v>
      </c>
      <c r="E3117" s="50">
        <v>2</v>
      </c>
      <c r="F3117" s="51">
        <v>2.5405740241824386</v>
      </c>
      <c r="G3117" s="51" t="str">
        <v>菊野 2022/08/17 (水)
平日夜間</v>
      </c>
    </row>
    <row r="3118" spans="1:7" ht="16.149999999999999" x14ac:dyDescent="0.7">
      <c r="A3118" s="49">
        <v>44770.978656678242</v>
      </c>
      <c r="B3118" s="50" t="s">
        <v>1</v>
      </c>
      <c r="C3118" s="50" t="s">
        <v>428</v>
      </c>
      <c r="D3118" s="50" t="s">
        <v>259</v>
      </c>
      <c r="E3118" s="50">
        <v>-1</v>
      </c>
      <c r="F3118" s="51">
        <v>-0.60106377291811142</v>
      </c>
      <c r="G3118" s="51" t="str">
        <v>菊野 2022/08/18 (木)
平日夜間</v>
      </c>
    </row>
    <row r="3119" spans="1:7" ht="16.149999999999999" x14ac:dyDescent="0.7">
      <c r="A3119" s="49">
        <v>44770.978656678242</v>
      </c>
      <c r="B3119" s="50" t="s">
        <v>1</v>
      </c>
      <c r="C3119" s="50" t="s">
        <v>429</v>
      </c>
      <c r="D3119" s="50" t="s">
        <v>259</v>
      </c>
      <c r="E3119" s="50">
        <v>0</v>
      </c>
      <c r="F3119" s="51">
        <v>0.96401931091201032</v>
      </c>
      <c r="G3119" s="51" t="str">
        <v>菊野 2022/08/19 (金)
平日夜間</v>
      </c>
    </row>
    <row r="3120" spans="1:7" ht="16.149999999999999" x14ac:dyDescent="0.7">
      <c r="A3120" s="49">
        <v>44770.978656678242</v>
      </c>
      <c r="B3120" s="50" t="s">
        <v>1</v>
      </c>
      <c r="C3120" s="50" t="s">
        <v>430</v>
      </c>
      <c r="D3120" s="50" t="s">
        <v>263</v>
      </c>
      <c r="E3120" s="50">
        <v>0</v>
      </c>
      <c r="F3120" s="51">
        <v>0.80370800073218263</v>
      </c>
      <c r="G3120" s="51" t="str">
        <v>菊野 2022/08/20 (土)
休日午前</v>
      </c>
    </row>
    <row r="3121" spans="1:7" ht="16.149999999999999" x14ac:dyDescent="0.7">
      <c r="A3121" s="49">
        <v>44770.978656678242</v>
      </c>
      <c r="B3121" s="50" t="s">
        <v>1</v>
      </c>
      <c r="C3121" s="50" t="s">
        <v>431</v>
      </c>
      <c r="D3121" s="50" t="s">
        <v>261</v>
      </c>
      <c r="E3121" s="50">
        <v>0</v>
      </c>
      <c r="F3121" s="51">
        <v>0.35843543741117223</v>
      </c>
      <c r="G3121" s="51" t="str">
        <v>菊野 2022/08/20 (土)
休日午後</v>
      </c>
    </row>
    <row r="3122" spans="1:7" ht="16.149999999999999" x14ac:dyDescent="0.7">
      <c r="A3122" s="49">
        <v>44770.978656678242</v>
      </c>
      <c r="B3122" s="50" t="s">
        <v>1</v>
      </c>
      <c r="C3122" s="50" t="s">
        <v>432</v>
      </c>
      <c r="D3122" s="50" t="s">
        <v>263</v>
      </c>
      <c r="E3122" s="50">
        <v>0</v>
      </c>
      <c r="F3122" s="51">
        <v>0.67186584952752892</v>
      </c>
      <c r="G3122" s="51" t="str">
        <v>菊野 2022/08/21 (日)
休日午前</v>
      </c>
    </row>
    <row r="3123" spans="1:7" ht="16.149999999999999" x14ac:dyDescent="0.7">
      <c r="A3123" s="49">
        <v>44770.978656678242</v>
      </c>
      <c r="B3123" s="50" t="s">
        <v>1</v>
      </c>
      <c r="C3123" s="50" t="s">
        <v>433</v>
      </c>
      <c r="D3123" s="50" t="s">
        <v>261</v>
      </c>
      <c r="E3123" s="50">
        <v>0</v>
      </c>
      <c r="F3123" s="51">
        <v>0.38597042250972646</v>
      </c>
      <c r="G3123" s="51" t="str">
        <v>菊野 2022/08/21 (日)
休日午後</v>
      </c>
    </row>
    <row r="3124" spans="1:7" ht="16.149999999999999" x14ac:dyDescent="0.7">
      <c r="A3124" s="49">
        <v>44770.978656678242</v>
      </c>
      <c r="B3124" s="50" t="s">
        <v>1</v>
      </c>
      <c r="C3124" s="50" t="s">
        <v>434</v>
      </c>
      <c r="D3124" s="50" t="s">
        <v>259</v>
      </c>
      <c r="E3124" s="50">
        <v>0</v>
      </c>
      <c r="F3124" s="51">
        <v>0.87876643695768686</v>
      </c>
      <c r="G3124" s="51" t="str">
        <v>菊野 2022/08/22 (月)
平日夜間</v>
      </c>
    </row>
    <row r="3125" spans="1:7" ht="16.149999999999999" x14ac:dyDescent="0.7">
      <c r="A3125" s="49">
        <v>44770.978656678242</v>
      </c>
      <c r="B3125" s="50" t="s">
        <v>1</v>
      </c>
      <c r="C3125" s="50" t="s">
        <v>435</v>
      </c>
      <c r="D3125" s="50" t="s">
        <v>259</v>
      </c>
      <c r="E3125" s="50">
        <v>0</v>
      </c>
      <c r="F3125" s="51">
        <v>0.57025588479183709</v>
      </c>
      <c r="G3125" s="51" t="str">
        <v>菊野 2022/08/23 (火)
平日夜間</v>
      </c>
    </row>
    <row r="3126" spans="1:7" ht="16.149999999999999" x14ac:dyDescent="0.7">
      <c r="A3126" s="49">
        <v>44770.978656678242</v>
      </c>
      <c r="B3126" s="50" t="s">
        <v>1</v>
      </c>
      <c r="C3126" s="50" t="s">
        <v>436</v>
      </c>
      <c r="D3126" s="50" t="s">
        <v>259</v>
      </c>
      <c r="E3126" s="50">
        <v>0</v>
      </c>
      <c r="F3126" s="51">
        <v>0.87863261340810039</v>
      </c>
      <c r="G3126" s="51" t="str">
        <v>菊野 2022/08/24 (水)
平日夜間</v>
      </c>
    </row>
    <row r="3127" spans="1:7" ht="16.149999999999999" x14ac:dyDescent="0.7">
      <c r="A3127" s="49">
        <v>44770.978656678242</v>
      </c>
      <c r="B3127" s="50" t="s">
        <v>1</v>
      </c>
      <c r="C3127" s="50" t="s">
        <v>437</v>
      </c>
      <c r="D3127" s="50" t="s">
        <v>259</v>
      </c>
      <c r="E3127" s="50">
        <v>0</v>
      </c>
      <c r="F3127" s="51">
        <v>0.81787212213830385</v>
      </c>
      <c r="G3127" s="51" t="str">
        <v>菊野 2022/08/25 (木)
平日夜間</v>
      </c>
    </row>
    <row r="3128" spans="1:7" ht="16.149999999999999" x14ac:dyDescent="0.7">
      <c r="A3128" s="49">
        <v>44770.978656678242</v>
      </c>
      <c r="B3128" s="50" t="s">
        <v>1</v>
      </c>
      <c r="C3128" s="50" t="s">
        <v>438</v>
      </c>
      <c r="D3128" s="50" t="s">
        <v>259</v>
      </c>
      <c r="E3128" s="50">
        <v>0</v>
      </c>
      <c r="F3128" s="51">
        <v>0.88724098479020475</v>
      </c>
      <c r="G3128" s="51" t="str">
        <v>菊野 2022/08/26 (金)
平日夜間</v>
      </c>
    </row>
    <row r="3129" spans="1:7" ht="16.149999999999999" x14ac:dyDescent="0.7">
      <c r="A3129" s="49">
        <v>44770.978656678242</v>
      </c>
      <c r="B3129" s="50" t="s">
        <v>1</v>
      </c>
      <c r="C3129" s="50" t="s">
        <v>439</v>
      </c>
      <c r="D3129" s="50" t="s">
        <v>263</v>
      </c>
      <c r="E3129" s="50">
        <v>-1</v>
      </c>
      <c r="F3129" s="51">
        <v>-0.76568448089861429</v>
      </c>
      <c r="G3129" s="51" t="str">
        <v>菊野 2022/08/27 (土)
休日午前</v>
      </c>
    </row>
    <row r="3130" spans="1:7" ht="16.149999999999999" x14ac:dyDescent="0.7">
      <c r="A3130" s="49">
        <v>44770.978656678242</v>
      </c>
      <c r="B3130" s="50" t="s">
        <v>1</v>
      </c>
      <c r="C3130" s="50" t="s">
        <v>440</v>
      </c>
      <c r="D3130" s="50" t="s">
        <v>261</v>
      </c>
      <c r="E3130" s="50">
        <v>-1</v>
      </c>
      <c r="F3130" s="51">
        <v>-0.99779583872034738</v>
      </c>
      <c r="G3130" s="51" t="str">
        <v>菊野 2022/08/27 (土)
休日午後</v>
      </c>
    </row>
    <row r="3131" spans="1:7" ht="16.149999999999999" x14ac:dyDescent="0.7">
      <c r="A3131" s="49">
        <v>44770.978656678242</v>
      </c>
      <c r="B3131" s="50" t="s">
        <v>1</v>
      </c>
      <c r="C3131" s="50" t="s">
        <v>441</v>
      </c>
      <c r="D3131" s="50" t="s">
        <v>263</v>
      </c>
      <c r="E3131" s="50">
        <v>0</v>
      </c>
      <c r="F3131" s="51">
        <v>0.44295743575250768</v>
      </c>
      <c r="G3131" s="51" t="str">
        <v>菊野 2022/08/28 (日)
休日午前</v>
      </c>
    </row>
    <row r="3132" spans="1:7" ht="16.149999999999999" x14ac:dyDescent="0.7">
      <c r="A3132" s="49">
        <v>44770.978656678242</v>
      </c>
      <c r="B3132" s="50" t="s">
        <v>1</v>
      </c>
      <c r="C3132" s="50" t="s">
        <v>442</v>
      </c>
      <c r="D3132" s="50" t="s">
        <v>261</v>
      </c>
      <c r="E3132" s="50">
        <v>0</v>
      </c>
      <c r="F3132" s="51">
        <v>0.17981760203364749</v>
      </c>
      <c r="G3132" s="51" t="str">
        <v>菊野 2022/08/28 (日)
休日午後</v>
      </c>
    </row>
    <row r="3133" spans="1:7" ht="16.149999999999999" x14ac:dyDescent="0.7">
      <c r="A3133" s="49">
        <v>44770.978656678242</v>
      </c>
      <c r="B3133" s="50" t="s">
        <v>1</v>
      </c>
      <c r="C3133" s="50" t="s">
        <v>443</v>
      </c>
      <c r="D3133" s="50" t="s">
        <v>259</v>
      </c>
      <c r="E3133" s="50">
        <v>0</v>
      </c>
      <c r="F3133" s="51">
        <v>0.86151582183319819</v>
      </c>
      <c r="G3133" s="51" t="str">
        <v>菊野 2022/08/29 (月)
平日夜間</v>
      </c>
    </row>
    <row r="3134" spans="1:7" ht="16.149999999999999" x14ac:dyDescent="0.7">
      <c r="A3134" s="49">
        <v>44770.978656678242</v>
      </c>
      <c r="B3134" s="50" t="s">
        <v>1</v>
      </c>
      <c r="C3134" s="50" t="s">
        <v>444</v>
      </c>
      <c r="D3134" s="50" t="s">
        <v>259</v>
      </c>
      <c r="E3134" s="50">
        <v>0</v>
      </c>
      <c r="F3134" s="51">
        <v>0.10313617106944473</v>
      </c>
      <c r="G3134" s="51" t="str">
        <v>菊野 2022/08/30 (火)
平日夜間</v>
      </c>
    </row>
    <row r="3135" spans="1:7" ht="16.149999999999999" x14ac:dyDescent="0.7">
      <c r="A3135" s="49">
        <v>44770.978656678242</v>
      </c>
      <c r="B3135" s="50" t="s">
        <v>1</v>
      </c>
      <c r="C3135" s="50" t="s">
        <v>445</v>
      </c>
      <c r="D3135" s="50" t="s">
        <v>259</v>
      </c>
      <c r="E3135" s="50">
        <v>0</v>
      </c>
      <c r="F3135" s="51">
        <v>0.42517264662287557</v>
      </c>
      <c r="G3135" s="51" t="str">
        <v>菊野 2022/08/31 (水)
平日夜間</v>
      </c>
    </row>
    <row r="3136" spans="1:7" ht="16.149999999999999" x14ac:dyDescent="0.7">
      <c r="A3136" s="49">
        <v>44770.992863252315</v>
      </c>
      <c r="B3136" s="50" t="s">
        <v>14</v>
      </c>
      <c r="C3136" s="50" t="s">
        <v>406</v>
      </c>
      <c r="D3136" s="50" t="s">
        <v>259</v>
      </c>
      <c r="E3136" s="50">
        <v>-1</v>
      </c>
      <c r="F3136" s="51">
        <v>-0.62165458003472573</v>
      </c>
      <c r="G3136" s="51" t="str">
        <v>林智 2022/08/01 (月)
平日夜間</v>
      </c>
    </row>
    <row r="3137" spans="1:7" ht="16.149999999999999" x14ac:dyDescent="0.7">
      <c r="A3137" s="49">
        <v>44770.992863252315</v>
      </c>
      <c r="B3137" s="50" t="s">
        <v>14</v>
      </c>
      <c r="C3137" s="50" t="s">
        <v>407</v>
      </c>
      <c r="D3137" s="50" t="s">
        <v>259</v>
      </c>
      <c r="E3137" s="50">
        <v>-1</v>
      </c>
      <c r="F3137" s="51">
        <v>-9.2506082911974152E-2</v>
      </c>
      <c r="G3137" s="51" t="str">
        <v>林智 2022/08/02 (火)
平日夜間</v>
      </c>
    </row>
    <row r="3138" spans="1:7" ht="16.149999999999999" x14ac:dyDescent="0.7">
      <c r="A3138" s="49">
        <v>44770.992863252315</v>
      </c>
      <c r="B3138" s="50" t="s">
        <v>14</v>
      </c>
      <c r="C3138" s="50" t="s">
        <v>408</v>
      </c>
      <c r="D3138" s="50" t="s">
        <v>259</v>
      </c>
      <c r="E3138" s="50">
        <v>-1</v>
      </c>
      <c r="F3138" s="51">
        <v>-0.84302012592312825</v>
      </c>
      <c r="G3138" s="51" t="str">
        <v>林智 2022/08/03 (水)
平日夜間</v>
      </c>
    </row>
    <row r="3139" spans="1:7" ht="16.149999999999999" x14ac:dyDescent="0.7">
      <c r="A3139" s="49">
        <v>44770.992863252315</v>
      </c>
      <c r="B3139" s="50" t="s">
        <v>14</v>
      </c>
      <c r="C3139" s="50" t="s">
        <v>409</v>
      </c>
      <c r="D3139" s="50" t="s">
        <v>259</v>
      </c>
      <c r="E3139" s="50">
        <v>-1</v>
      </c>
      <c r="F3139" s="51">
        <v>-0.80175376555698197</v>
      </c>
      <c r="G3139" s="51" t="str">
        <v>林智 2022/08/04 (木)
平日夜間</v>
      </c>
    </row>
    <row r="3140" spans="1:7" ht="16.149999999999999" x14ac:dyDescent="0.7">
      <c r="A3140" s="49">
        <v>44770.992863252315</v>
      </c>
      <c r="B3140" s="50" t="s">
        <v>14</v>
      </c>
      <c r="C3140" s="50" t="s">
        <v>410</v>
      </c>
      <c r="D3140" s="50" t="s">
        <v>259</v>
      </c>
      <c r="E3140" s="50">
        <v>-1</v>
      </c>
      <c r="F3140" s="51">
        <v>-0.37747209998924225</v>
      </c>
      <c r="G3140" s="51" t="str">
        <v>林智 2022/08/05 (金)
平日夜間</v>
      </c>
    </row>
    <row r="3141" spans="1:7" ht="16.149999999999999" x14ac:dyDescent="0.7">
      <c r="A3141" s="49">
        <v>44770.992863252315</v>
      </c>
      <c r="B3141" s="50" t="s">
        <v>14</v>
      </c>
      <c r="C3141" s="50" t="s">
        <v>411</v>
      </c>
      <c r="D3141" s="50" t="s">
        <v>263</v>
      </c>
      <c r="E3141" s="50">
        <v>-1</v>
      </c>
      <c r="F3141" s="51">
        <v>-0.99703196558508478</v>
      </c>
      <c r="G3141" s="51" t="str">
        <v>林智 2022/08/06 (土)
休日午前</v>
      </c>
    </row>
    <row r="3142" spans="1:7" ht="16.149999999999999" x14ac:dyDescent="0.7">
      <c r="A3142" s="49">
        <v>44770.992863252315</v>
      </c>
      <c r="B3142" s="50" t="s">
        <v>14</v>
      </c>
      <c r="C3142" s="50" t="s">
        <v>412</v>
      </c>
      <c r="D3142" s="50" t="s">
        <v>261</v>
      </c>
      <c r="E3142" s="50">
        <v>-1</v>
      </c>
      <c r="F3142" s="51">
        <v>-0.56411290912096157</v>
      </c>
      <c r="G3142" s="51" t="str">
        <v>林智 2022/08/06 (土)
休日午後</v>
      </c>
    </row>
    <row r="3143" spans="1:7" ht="16.149999999999999" x14ac:dyDescent="0.7">
      <c r="A3143" s="49">
        <v>44770.992863252315</v>
      </c>
      <c r="B3143" s="50" t="s">
        <v>14</v>
      </c>
      <c r="C3143" s="50" t="s">
        <v>413</v>
      </c>
      <c r="D3143" s="50" t="s">
        <v>263</v>
      </c>
      <c r="E3143" s="50">
        <v>-1</v>
      </c>
      <c r="F3143" s="51">
        <v>-0.35945286756377071</v>
      </c>
      <c r="G3143" s="51" t="str">
        <v>林智 2022/08/07 (日)
休日午前</v>
      </c>
    </row>
    <row r="3144" spans="1:7" ht="16.149999999999999" x14ac:dyDescent="0.7">
      <c r="A3144" s="49">
        <v>44770.992863252315</v>
      </c>
      <c r="B3144" s="50" t="s">
        <v>14</v>
      </c>
      <c r="C3144" s="50" t="s">
        <v>414</v>
      </c>
      <c r="D3144" s="50" t="s">
        <v>261</v>
      </c>
      <c r="E3144" s="50">
        <v>-1</v>
      </c>
      <c r="F3144" s="51">
        <v>-0.83350862238895007</v>
      </c>
      <c r="G3144" s="51" t="str">
        <v>林智 2022/08/07 (日)
休日午後</v>
      </c>
    </row>
    <row r="3145" spans="1:7" ht="16.149999999999999" x14ac:dyDescent="0.7">
      <c r="A3145" s="49">
        <v>44770.992863252315</v>
      </c>
      <c r="B3145" s="50" t="s">
        <v>14</v>
      </c>
      <c r="C3145" s="50" t="s">
        <v>415</v>
      </c>
      <c r="D3145" s="50" t="s">
        <v>259</v>
      </c>
      <c r="E3145" s="50">
        <v>0</v>
      </c>
      <c r="F3145" s="51">
        <v>0.14334758270684977</v>
      </c>
      <c r="G3145" s="51" t="str">
        <v>林智 2022/08/08 (月)
平日夜間</v>
      </c>
    </row>
    <row r="3146" spans="1:7" ht="16.149999999999999" x14ac:dyDescent="0.7">
      <c r="A3146" s="49">
        <v>44770.992863252315</v>
      </c>
      <c r="B3146" s="50" t="s">
        <v>14</v>
      </c>
      <c r="C3146" s="50" t="s">
        <v>416</v>
      </c>
      <c r="D3146" s="50" t="s">
        <v>259</v>
      </c>
      <c r="E3146" s="50">
        <v>0</v>
      </c>
      <c r="F3146" s="51">
        <v>0.16110112102009388</v>
      </c>
      <c r="G3146" s="51" t="str">
        <v>林智 2022/08/09 (火)
平日夜間</v>
      </c>
    </row>
    <row r="3147" spans="1:7" ht="16.149999999999999" x14ac:dyDescent="0.7">
      <c r="A3147" s="49">
        <v>44770.992863252315</v>
      </c>
      <c r="B3147" s="50" t="s">
        <v>14</v>
      </c>
      <c r="C3147" s="50" t="s">
        <v>417</v>
      </c>
      <c r="D3147" s="50" t="s">
        <v>259</v>
      </c>
      <c r="E3147" s="50">
        <v>-1</v>
      </c>
      <c r="F3147" s="51">
        <v>-0.88517724679967125</v>
      </c>
      <c r="G3147" s="51" t="str">
        <v>林智 2022/08/10 (水)
平日夜間</v>
      </c>
    </row>
    <row r="3148" spans="1:7" ht="16.149999999999999" x14ac:dyDescent="0.7">
      <c r="A3148" s="49">
        <v>44770.992863252315</v>
      </c>
      <c r="B3148" s="50" t="s">
        <v>14</v>
      </c>
      <c r="C3148" s="50" t="s">
        <v>418</v>
      </c>
      <c r="D3148" s="50" t="s">
        <v>263</v>
      </c>
      <c r="E3148" s="50">
        <v>-1</v>
      </c>
      <c r="F3148" s="51">
        <v>-5.6374815391593947E-2</v>
      </c>
      <c r="G3148" s="51" t="str">
        <v>林智 2022/08/11 (木)
休日午前</v>
      </c>
    </row>
    <row r="3149" spans="1:7" ht="16.149999999999999" x14ac:dyDescent="0.7">
      <c r="A3149" s="49">
        <v>44770.992863252315</v>
      </c>
      <c r="B3149" s="50" t="s">
        <v>14</v>
      </c>
      <c r="C3149" s="50" t="s">
        <v>419</v>
      </c>
      <c r="D3149" s="50" t="s">
        <v>261</v>
      </c>
      <c r="E3149" s="50">
        <v>-1</v>
      </c>
      <c r="F3149" s="51">
        <v>-0.76218654956519827</v>
      </c>
      <c r="G3149" s="51" t="str">
        <v>林智 2022/08/11 (木)
休日午後</v>
      </c>
    </row>
    <row r="3150" spans="1:7" ht="16.149999999999999" x14ac:dyDescent="0.7">
      <c r="A3150" s="49">
        <v>44770.992863252315</v>
      </c>
      <c r="B3150" s="50" t="s">
        <v>14</v>
      </c>
      <c r="C3150" s="50" t="s">
        <v>420</v>
      </c>
      <c r="D3150" s="50" t="s">
        <v>259</v>
      </c>
      <c r="E3150" s="50">
        <v>0</v>
      </c>
      <c r="F3150" s="51">
        <v>0.67607884127183371</v>
      </c>
      <c r="G3150" s="51" t="str">
        <v>林智 2022/08/12 (金)
平日夜間</v>
      </c>
    </row>
    <row r="3151" spans="1:7" ht="16.149999999999999" x14ac:dyDescent="0.7">
      <c r="A3151" s="49">
        <v>44770.992863252315</v>
      </c>
      <c r="B3151" s="50" t="s">
        <v>14</v>
      </c>
      <c r="C3151" s="50" t="s">
        <v>421</v>
      </c>
      <c r="D3151" s="50" t="s">
        <v>263</v>
      </c>
      <c r="E3151" s="50">
        <v>0</v>
      </c>
      <c r="F3151" s="51">
        <v>6.4336121800427915E-2</v>
      </c>
      <c r="G3151" s="51" t="str">
        <v>林智 2022/08/13 (土)
休日午前</v>
      </c>
    </row>
    <row r="3152" spans="1:7" ht="16.149999999999999" x14ac:dyDescent="0.7">
      <c r="A3152" s="49">
        <v>44770.992863252315</v>
      </c>
      <c r="B3152" s="50" t="s">
        <v>14</v>
      </c>
      <c r="C3152" s="50" t="s">
        <v>422</v>
      </c>
      <c r="D3152" s="50" t="s">
        <v>261</v>
      </c>
      <c r="E3152" s="50">
        <v>0</v>
      </c>
      <c r="F3152" s="51">
        <v>0.38921819570582827</v>
      </c>
      <c r="G3152" s="51" t="str">
        <v>林智 2022/08/13 (土)
休日午後</v>
      </c>
    </row>
    <row r="3153" spans="1:7" ht="16.149999999999999" x14ac:dyDescent="0.7">
      <c r="A3153" s="49">
        <v>44770.992863252315</v>
      </c>
      <c r="B3153" s="50" t="s">
        <v>14</v>
      </c>
      <c r="C3153" s="50" t="s">
        <v>423</v>
      </c>
      <c r="D3153" s="50" t="s">
        <v>263</v>
      </c>
      <c r="E3153" s="50">
        <v>0</v>
      </c>
      <c r="F3153" s="51">
        <v>0.27051582495033077</v>
      </c>
      <c r="G3153" s="51" t="str">
        <v>林智 2022/08/14 (日)
休日午前</v>
      </c>
    </row>
    <row r="3154" spans="1:7" ht="16.149999999999999" x14ac:dyDescent="0.7">
      <c r="A3154" s="49">
        <v>44770.992863252315</v>
      </c>
      <c r="B3154" s="50" t="s">
        <v>14</v>
      </c>
      <c r="C3154" s="50" t="s">
        <v>424</v>
      </c>
      <c r="D3154" s="50" t="s">
        <v>261</v>
      </c>
      <c r="E3154" s="50">
        <v>0</v>
      </c>
      <c r="F3154" s="51">
        <v>0.90531954221726485</v>
      </c>
      <c r="G3154" s="51" t="str">
        <v>林智 2022/08/14 (日)
休日午後</v>
      </c>
    </row>
    <row r="3155" spans="1:7" ht="16.149999999999999" x14ac:dyDescent="0.7">
      <c r="A3155" s="49">
        <v>44770.992863252315</v>
      </c>
      <c r="B3155" s="50" t="s">
        <v>14</v>
      </c>
      <c r="C3155" s="50" t="s">
        <v>425</v>
      </c>
      <c r="D3155" s="50" t="s">
        <v>259</v>
      </c>
      <c r="E3155" s="50">
        <v>0</v>
      </c>
      <c r="F3155" s="51">
        <v>0.33873259472056438</v>
      </c>
      <c r="G3155" s="51" t="str">
        <v>林智 2022/08/15 (月)
平日夜間</v>
      </c>
    </row>
    <row r="3156" spans="1:7" ht="16.149999999999999" x14ac:dyDescent="0.7">
      <c r="A3156" s="49">
        <v>44770.992863252315</v>
      </c>
      <c r="B3156" s="50" t="s">
        <v>14</v>
      </c>
      <c r="C3156" s="50" t="s">
        <v>426</v>
      </c>
      <c r="D3156" s="50" t="s">
        <v>259</v>
      </c>
      <c r="E3156" s="50">
        <v>-1</v>
      </c>
      <c r="F3156" s="51">
        <v>-0.38965950287235818</v>
      </c>
      <c r="G3156" s="51" t="str">
        <v>林智 2022/08/16 (火)
平日夜間</v>
      </c>
    </row>
    <row r="3157" spans="1:7" ht="16.149999999999999" x14ac:dyDescent="0.7">
      <c r="A3157" s="49">
        <v>44770.992863252315</v>
      </c>
      <c r="B3157" s="50" t="s">
        <v>14</v>
      </c>
      <c r="C3157" s="50" t="s">
        <v>427</v>
      </c>
      <c r="D3157" s="50" t="s">
        <v>259</v>
      </c>
      <c r="E3157" s="50">
        <v>0</v>
      </c>
      <c r="F3157" s="51">
        <v>3.5791130564727158E-2</v>
      </c>
      <c r="G3157" s="51" t="str">
        <v>林智 2022/08/17 (水)
平日夜間</v>
      </c>
    </row>
    <row r="3158" spans="1:7" ht="16.149999999999999" x14ac:dyDescent="0.7">
      <c r="A3158" s="49">
        <v>44770.992863252315</v>
      </c>
      <c r="B3158" s="50" t="s">
        <v>14</v>
      </c>
      <c r="C3158" s="50" t="s">
        <v>428</v>
      </c>
      <c r="D3158" s="50" t="s">
        <v>259</v>
      </c>
      <c r="E3158" s="50">
        <v>0</v>
      </c>
      <c r="F3158" s="51">
        <v>0.97398107324310623</v>
      </c>
      <c r="G3158" s="51" t="str">
        <v>林智 2022/08/18 (木)
平日夜間</v>
      </c>
    </row>
    <row r="3159" spans="1:7" ht="16.149999999999999" x14ac:dyDescent="0.7">
      <c r="A3159" s="49">
        <v>44770.992863252315</v>
      </c>
      <c r="B3159" s="50" t="s">
        <v>14</v>
      </c>
      <c r="C3159" s="50" t="s">
        <v>429</v>
      </c>
      <c r="D3159" s="50" t="s">
        <v>259</v>
      </c>
      <c r="E3159" s="50">
        <v>0</v>
      </c>
      <c r="F3159" s="51">
        <v>0.86851765874619247</v>
      </c>
      <c r="G3159" s="51" t="str">
        <v>林智 2022/08/19 (金)
平日夜間</v>
      </c>
    </row>
    <row r="3160" spans="1:7" ht="16.149999999999999" x14ac:dyDescent="0.7">
      <c r="A3160" s="49">
        <v>44770.992863252315</v>
      </c>
      <c r="B3160" s="50" t="s">
        <v>14</v>
      </c>
      <c r="C3160" s="50" t="s">
        <v>430</v>
      </c>
      <c r="D3160" s="50" t="s">
        <v>263</v>
      </c>
      <c r="E3160" s="50">
        <v>-1</v>
      </c>
      <c r="F3160" s="51">
        <v>-0.7094099012211792</v>
      </c>
      <c r="G3160" s="51" t="str">
        <v>林智 2022/08/20 (土)
休日午前</v>
      </c>
    </row>
    <row r="3161" spans="1:7" ht="16.149999999999999" x14ac:dyDescent="0.7">
      <c r="A3161" s="49">
        <v>44770.992863252315</v>
      </c>
      <c r="B3161" s="50" t="s">
        <v>14</v>
      </c>
      <c r="C3161" s="50" t="s">
        <v>431</v>
      </c>
      <c r="D3161" s="50" t="s">
        <v>261</v>
      </c>
      <c r="E3161" s="50">
        <v>-1</v>
      </c>
      <c r="F3161" s="51">
        <v>-0.1362234013739958</v>
      </c>
      <c r="G3161" s="51" t="str">
        <v>林智 2022/08/20 (土)
休日午後</v>
      </c>
    </row>
    <row r="3162" spans="1:7" ht="16.149999999999999" x14ac:dyDescent="0.7">
      <c r="A3162" s="49">
        <v>44770.992863252315</v>
      </c>
      <c r="B3162" s="50" t="s">
        <v>14</v>
      </c>
      <c r="C3162" s="50" t="s">
        <v>432</v>
      </c>
      <c r="D3162" s="50" t="s">
        <v>263</v>
      </c>
      <c r="E3162" s="50">
        <v>0</v>
      </c>
      <c r="F3162" s="51">
        <v>0.36494669791321344</v>
      </c>
      <c r="G3162" s="51" t="str">
        <v>林智 2022/08/21 (日)
休日午前</v>
      </c>
    </row>
    <row r="3163" spans="1:7" ht="16.149999999999999" x14ac:dyDescent="0.7">
      <c r="A3163" s="49">
        <v>44770.992863252315</v>
      </c>
      <c r="B3163" s="50" t="s">
        <v>14</v>
      </c>
      <c r="C3163" s="50" t="s">
        <v>433</v>
      </c>
      <c r="D3163" s="50" t="s">
        <v>261</v>
      </c>
      <c r="E3163" s="50">
        <v>0</v>
      </c>
      <c r="F3163" s="51">
        <v>0.61420358598366698</v>
      </c>
      <c r="G3163" s="51" t="str">
        <v>林智 2022/08/21 (日)
休日午後</v>
      </c>
    </row>
    <row r="3164" spans="1:7" ht="16.149999999999999" x14ac:dyDescent="0.7">
      <c r="A3164" s="49">
        <v>44770.992863252315</v>
      </c>
      <c r="B3164" s="50" t="s">
        <v>14</v>
      </c>
      <c r="C3164" s="50" t="s">
        <v>434</v>
      </c>
      <c r="D3164" s="50" t="s">
        <v>259</v>
      </c>
      <c r="E3164" s="50">
        <v>2</v>
      </c>
      <c r="F3164" s="51">
        <v>2.7406685938135764</v>
      </c>
      <c r="G3164" s="51" t="str">
        <v>林智 2022/08/22 (月)
平日夜間</v>
      </c>
    </row>
    <row r="3165" spans="1:7" ht="16.149999999999999" x14ac:dyDescent="0.7">
      <c r="A3165" s="49">
        <v>44770.992863252315</v>
      </c>
      <c r="B3165" s="50" t="s">
        <v>14</v>
      </c>
      <c r="C3165" s="50" t="s">
        <v>435</v>
      </c>
      <c r="D3165" s="50" t="s">
        <v>259</v>
      </c>
      <c r="E3165" s="50">
        <v>-1</v>
      </c>
      <c r="F3165" s="51">
        <v>-0.15115225597762616</v>
      </c>
      <c r="G3165" s="51" t="str">
        <v>林智 2022/08/23 (火)
平日夜間</v>
      </c>
    </row>
    <row r="3166" spans="1:7" ht="16.149999999999999" x14ac:dyDescent="0.7">
      <c r="A3166" s="49">
        <v>44770.992863252315</v>
      </c>
      <c r="B3166" s="50" t="s">
        <v>14</v>
      </c>
      <c r="C3166" s="50" t="s">
        <v>436</v>
      </c>
      <c r="D3166" s="50" t="s">
        <v>259</v>
      </c>
      <c r="E3166" s="50">
        <v>0</v>
      </c>
      <c r="F3166" s="51">
        <v>0.48631693081750438</v>
      </c>
      <c r="G3166" s="51" t="str">
        <v>林智 2022/08/24 (水)
平日夜間</v>
      </c>
    </row>
    <row r="3167" spans="1:7" ht="16.149999999999999" x14ac:dyDescent="0.7">
      <c r="A3167" s="49">
        <v>44770.992863252315</v>
      </c>
      <c r="B3167" s="50" t="s">
        <v>14</v>
      </c>
      <c r="C3167" s="50" t="s">
        <v>437</v>
      </c>
      <c r="D3167" s="50" t="s">
        <v>259</v>
      </c>
      <c r="E3167" s="50">
        <v>0</v>
      </c>
      <c r="F3167" s="51">
        <v>0.94709293137871886</v>
      </c>
      <c r="G3167" s="51" t="str">
        <v>林智 2022/08/25 (木)
平日夜間</v>
      </c>
    </row>
    <row r="3168" spans="1:7" ht="16.149999999999999" x14ac:dyDescent="0.7">
      <c r="A3168" s="49">
        <v>44770.992863252315</v>
      </c>
      <c r="B3168" s="50" t="s">
        <v>14</v>
      </c>
      <c r="C3168" s="50" t="s">
        <v>438</v>
      </c>
      <c r="D3168" s="50" t="s">
        <v>259</v>
      </c>
      <c r="E3168" s="50">
        <v>0</v>
      </c>
      <c r="F3168" s="51">
        <v>0.13289137746055935</v>
      </c>
      <c r="G3168" s="51" t="str">
        <v>林智 2022/08/26 (金)
平日夜間</v>
      </c>
    </row>
    <row r="3169" spans="1:7" ht="16.149999999999999" x14ac:dyDescent="0.7">
      <c r="A3169" s="49">
        <v>44770.992863252315</v>
      </c>
      <c r="B3169" s="50" t="s">
        <v>14</v>
      </c>
      <c r="C3169" s="50" t="s">
        <v>439</v>
      </c>
      <c r="D3169" s="50" t="s">
        <v>263</v>
      </c>
      <c r="E3169" s="50">
        <v>-1</v>
      </c>
      <c r="F3169" s="51">
        <v>-0.18668639647376217</v>
      </c>
      <c r="G3169" s="51" t="str">
        <v>林智 2022/08/27 (土)
休日午前</v>
      </c>
    </row>
    <row r="3170" spans="1:7" ht="16.149999999999999" x14ac:dyDescent="0.7">
      <c r="A3170" s="49">
        <v>44770.992863252315</v>
      </c>
      <c r="B3170" s="50" t="s">
        <v>14</v>
      </c>
      <c r="C3170" s="50" t="s">
        <v>440</v>
      </c>
      <c r="D3170" s="50" t="s">
        <v>261</v>
      </c>
      <c r="E3170" s="50">
        <v>-1</v>
      </c>
      <c r="F3170" s="51">
        <v>-9.7167124476880362E-2</v>
      </c>
      <c r="G3170" s="51" t="str">
        <v>林智 2022/08/27 (土)
休日午後</v>
      </c>
    </row>
    <row r="3171" spans="1:7" ht="16.149999999999999" x14ac:dyDescent="0.7">
      <c r="A3171" s="49">
        <v>44770.992863252315</v>
      </c>
      <c r="B3171" s="50" t="s">
        <v>14</v>
      </c>
      <c r="C3171" s="50" t="s">
        <v>441</v>
      </c>
      <c r="D3171" s="50" t="s">
        <v>263</v>
      </c>
      <c r="E3171" s="50">
        <v>-1</v>
      </c>
      <c r="F3171" s="51">
        <v>-7.2581189455219741E-2</v>
      </c>
      <c r="G3171" s="51" t="str">
        <v>林智 2022/08/28 (日)
休日午前</v>
      </c>
    </row>
    <row r="3172" spans="1:7" ht="16.149999999999999" x14ac:dyDescent="0.7">
      <c r="A3172" s="49">
        <v>44770.992863252315</v>
      </c>
      <c r="B3172" s="50" t="s">
        <v>14</v>
      </c>
      <c r="C3172" s="50" t="s">
        <v>442</v>
      </c>
      <c r="D3172" s="50" t="s">
        <v>261</v>
      </c>
      <c r="E3172" s="50">
        <v>-1</v>
      </c>
      <c r="F3172" s="51">
        <v>-0.57168526578366907</v>
      </c>
      <c r="G3172" s="51" t="str">
        <v>林智 2022/08/28 (日)
休日午後</v>
      </c>
    </row>
    <row r="3173" spans="1:7" ht="16.149999999999999" x14ac:dyDescent="0.7">
      <c r="A3173" s="49">
        <v>44770.992863252315</v>
      </c>
      <c r="B3173" s="50" t="s">
        <v>14</v>
      </c>
      <c r="C3173" s="50" t="s">
        <v>443</v>
      </c>
      <c r="D3173" s="50" t="s">
        <v>259</v>
      </c>
      <c r="E3173" s="50">
        <v>-1</v>
      </c>
      <c r="F3173" s="51">
        <v>-0.60046972029791745</v>
      </c>
      <c r="G3173" s="51" t="str">
        <v>林智 2022/08/29 (月)
平日夜間</v>
      </c>
    </row>
    <row r="3174" spans="1:7" ht="16.149999999999999" x14ac:dyDescent="0.7">
      <c r="A3174" s="49">
        <v>44770.992863252315</v>
      </c>
      <c r="B3174" s="50" t="s">
        <v>14</v>
      </c>
      <c r="C3174" s="50" t="s">
        <v>444</v>
      </c>
      <c r="D3174" s="50" t="s">
        <v>259</v>
      </c>
      <c r="E3174" s="50">
        <v>-1</v>
      </c>
      <c r="F3174" s="51">
        <v>-0.42895798673566898</v>
      </c>
      <c r="G3174" s="51" t="str">
        <v>林智 2022/08/30 (火)
平日夜間</v>
      </c>
    </row>
    <row r="3175" spans="1:7" ht="16.149999999999999" x14ac:dyDescent="0.7">
      <c r="A3175" s="49">
        <v>44770.992863252315</v>
      </c>
      <c r="B3175" s="50" t="s">
        <v>14</v>
      </c>
      <c r="C3175" s="50" t="s">
        <v>445</v>
      </c>
      <c r="D3175" s="50" t="s">
        <v>259</v>
      </c>
      <c r="E3175" s="50">
        <v>0</v>
      </c>
      <c r="F3175" s="51">
        <v>0.2322188388108759</v>
      </c>
      <c r="G3175" s="51" t="str">
        <v>林智 2022/08/31 (水)
平日夜間</v>
      </c>
    </row>
    <row r="3176" spans="1:7" ht="16.149999999999999" x14ac:dyDescent="0.7">
      <c r="A3176" s="49">
        <v>44771.639083368056</v>
      </c>
      <c r="B3176" s="50" t="s">
        <v>38</v>
      </c>
      <c r="C3176" s="50" t="s">
        <v>406</v>
      </c>
      <c r="D3176" s="50" t="s">
        <v>259</v>
      </c>
      <c r="E3176" s="50">
        <v>0</v>
      </c>
      <c r="F3176" s="51">
        <v>0.89317461743071647</v>
      </c>
      <c r="G3176" s="51" t="str">
        <v>森岳 2022/08/01 (月)
平日夜間</v>
      </c>
    </row>
    <row r="3177" spans="1:7" ht="16.149999999999999" x14ac:dyDescent="0.7">
      <c r="A3177" s="49">
        <v>44771.639083368056</v>
      </c>
      <c r="B3177" s="50" t="s">
        <v>38</v>
      </c>
      <c r="C3177" s="50" t="s">
        <v>407</v>
      </c>
      <c r="D3177" s="50" t="s">
        <v>259</v>
      </c>
      <c r="E3177" s="50">
        <v>0</v>
      </c>
      <c r="F3177" s="51">
        <v>0.82650105068549018</v>
      </c>
      <c r="G3177" s="51" t="str">
        <v>森岳 2022/08/02 (火)
平日夜間</v>
      </c>
    </row>
    <row r="3178" spans="1:7" ht="16.149999999999999" x14ac:dyDescent="0.7">
      <c r="A3178" s="49">
        <v>44771.639083368056</v>
      </c>
      <c r="B3178" s="50" t="s">
        <v>38</v>
      </c>
      <c r="C3178" s="50" t="s">
        <v>408</v>
      </c>
      <c r="D3178" s="50" t="s">
        <v>259</v>
      </c>
      <c r="E3178" s="50">
        <v>-1</v>
      </c>
      <c r="F3178" s="51">
        <v>-0.12286509958818326</v>
      </c>
      <c r="G3178" s="51" t="str">
        <v>森岳 2022/08/03 (水)
平日夜間</v>
      </c>
    </row>
    <row r="3179" spans="1:7" ht="16.149999999999999" x14ac:dyDescent="0.7">
      <c r="A3179" s="49">
        <v>44771.639083368056</v>
      </c>
      <c r="B3179" s="50" t="s">
        <v>38</v>
      </c>
      <c r="C3179" s="50" t="s">
        <v>409</v>
      </c>
      <c r="D3179" s="50" t="s">
        <v>259</v>
      </c>
      <c r="E3179" s="50">
        <v>0</v>
      </c>
      <c r="F3179" s="51">
        <v>3.1904486569194868E-2</v>
      </c>
      <c r="G3179" s="51" t="str">
        <v>森岳 2022/08/04 (木)
平日夜間</v>
      </c>
    </row>
    <row r="3180" spans="1:7" ht="16.149999999999999" x14ac:dyDescent="0.7">
      <c r="A3180" s="49">
        <v>44771.639083368056</v>
      </c>
      <c r="B3180" s="50" t="s">
        <v>38</v>
      </c>
      <c r="C3180" s="50" t="s">
        <v>410</v>
      </c>
      <c r="D3180" s="50" t="s">
        <v>259</v>
      </c>
      <c r="E3180" s="50">
        <v>0</v>
      </c>
      <c r="F3180" s="51">
        <v>0.57994407268108317</v>
      </c>
      <c r="G3180" s="51" t="str">
        <v>森岳 2022/08/05 (金)
平日夜間</v>
      </c>
    </row>
    <row r="3181" spans="1:7" ht="16.149999999999999" x14ac:dyDescent="0.7">
      <c r="A3181" s="49">
        <v>44771.639083368056</v>
      </c>
      <c r="B3181" s="50" t="s">
        <v>38</v>
      </c>
      <c r="C3181" s="50" t="s">
        <v>411</v>
      </c>
      <c r="D3181" s="50" t="s">
        <v>263</v>
      </c>
      <c r="E3181" s="50">
        <v>-1</v>
      </c>
      <c r="F3181" s="51">
        <v>-6.8640536541249908E-2</v>
      </c>
      <c r="G3181" s="51" t="str">
        <v>森岳 2022/08/06 (土)
休日午前</v>
      </c>
    </row>
    <row r="3182" spans="1:7" ht="16.149999999999999" x14ac:dyDescent="0.7">
      <c r="A3182" s="49">
        <v>44771.639083368056</v>
      </c>
      <c r="B3182" s="50" t="s">
        <v>38</v>
      </c>
      <c r="C3182" s="50" t="s">
        <v>412</v>
      </c>
      <c r="D3182" s="50" t="s">
        <v>261</v>
      </c>
      <c r="E3182" s="50">
        <v>0</v>
      </c>
      <c r="F3182" s="51">
        <v>0.16999629960350782</v>
      </c>
      <c r="G3182" s="51" t="str">
        <v>森岳 2022/08/06 (土)
休日午後</v>
      </c>
    </row>
    <row r="3183" spans="1:7" ht="16.149999999999999" x14ac:dyDescent="0.7">
      <c r="A3183" s="49">
        <v>44771.639083368056</v>
      </c>
      <c r="B3183" s="50" t="s">
        <v>38</v>
      </c>
      <c r="C3183" s="50" t="s">
        <v>413</v>
      </c>
      <c r="D3183" s="50" t="s">
        <v>263</v>
      </c>
      <c r="E3183" s="50">
        <v>0</v>
      </c>
      <c r="F3183" s="51">
        <v>0.25722629026954058</v>
      </c>
      <c r="G3183" s="51" t="str">
        <v>森岳 2022/08/07 (日)
休日午前</v>
      </c>
    </row>
    <row r="3184" spans="1:7" ht="16.149999999999999" x14ac:dyDescent="0.7">
      <c r="A3184" s="49">
        <v>44771.639083368056</v>
      </c>
      <c r="B3184" s="50" t="s">
        <v>38</v>
      </c>
      <c r="C3184" s="50" t="s">
        <v>414</v>
      </c>
      <c r="D3184" s="50" t="s">
        <v>261</v>
      </c>
      <c r="E3184" s="50">
        <v>0</v>
      </c>
      <c r="F3184" s="51">
        <v>0.86666747531975807</v>
      </c>
      <c r="G3184" s="51" t="str">
        <v>森岳 2022/08/07 (日)
休日午後</v>
      </c>
    </row>
    <row r="3185" spans="1:7" ht="16.149999999999999" x14ac:dyDescent="0.7">
      <c r="A3185" s="49">
        <v>44771.639083368056</v>
      </c>
      <c r="B3185" s="50" t="s">
        <v>38</v>
      </c>
      <c r="C3185" s="50" t="s">
        <v>415</v>
      </c>
      <c r="D3185" s="50" t="s">
        <v>259</v>
      </c>
      <c r="E3185" s="50">
        <v>0</v>
      </c>
      <c r="F3185" s="51">
        <v>0.4062113743153164</v>
      </c>
      <c r="G3185" s="51" t="str">
        <v>森岳 2022/08/08 (月)
平日夜間</v>
      </c>
    </row>
    <row r="3186" spans="1:7" ht="16.149999999999999" x14ac:dyDescent="0.7">
      <c r="A3186" s="49">
        <v>44771.639083368056</v>
      </c>
      <c r="B3186" s="50" t="s">
        <v>38</v>
      </c>
      <c r="C3186" s="50" t="s">
        <v>416</v>
      </c>
      <c r="D3186" s="50" t="s">
        <v>259</v>
      </c>
      <c r="E3186" s="50">
        <v>0</v>
      </c>
      <c r="F3186" s="51">
        <v>6.1949218614522072E-2</v>
      </c>
      <c r="G3186" s="51" t="str">
        <v>森岳 2022/08/09 (火)
平日夜間</v>
      </c>
    </row>
    <row r="3187" spans="1:7" ht="16.149999999999999" x14ac:dyDescent="0.7">
      <c r="A3187" s="49">
        <v>44771.639083368056</v>
      </c>
      <c r="B3187" s="50" t="s">
        <v>38</v>
      </c>
      <c r="C3187" s="50" t="s">
        <v>417</v>
      </c>
      <c r="D3187" s="50" t="s">
        <v>259</v>
      </c>
      <c r="E3187" s="50">
        <v>-1</v>
      </c>
      <c r="F3187" s="51">
        <v>-0.61148678729069705</v>
      </c>
      <c r="G3187" s="51" t="str">
        <v>森岳 2022/08/10 (水)
平日夜間</v>
      </c>
    </row>
    <row r="3188" spans="1:7" ht="16.149999999999999" x14ac:dyDescent="0.7">
      <c r="A3188" s="49">
        <v>44771.639083368056</v>
      </c>
      <c r="B3188" s="50" t="s">
        <v>38</v>
      </c>
      <c r="C3188" s="50" t="s">
        <v>418</v>
      </c>
      <c r="D3188" s="50" t="s">
        <v>263</v>
      </c>
      <c r="E3188" s="50">
        <v>0</v>
      </c>
      <c r="F3188" s="51">
        <v>0.1944530445214776</v>
      </c>
      <c r="G3188" s="51" t="str">
        <v>森岳 2022/08/11 (木)
休日午前</v>
      </c>
    </row>
    <row r="3189" spans="1:7" ht="16.149999999999999" x14ac:dyDescent="0.7">
      <c r="A3189" s="49">
        <v>44771.639083368056</v>
      </c>
      <c r="B3189" s="50" t="s">
        <v>38</v>
      </c>
      <c r="C3189" s="50" t="s">
        <v>419</v>
      </c>
      <c r="D3189" s="50" t="s">
        <v>261</v>
      </c>
      <c r="E3189" s="50">
        <v>0</v>
      </c>
      <c r="F3189" s="51">
        <v>0.80396731169243729</v>
      </c>
      <c r="G3189" s="51" t="str">
        <v>森岳 2022/08/11 (木)
休日午後</v>
      </c>
    </row>
    <row r="3190" spans="1:7" ht="16.149999999999999" x14ac:dyDescent="0.7">
      <c r="A3190" s="49">
        <v>44771.639083368056</v>
      </c>
      <c r="B3190" s="50" t="s">
        <v>38</v>
      </c>
      <c r="C3190" s="50" t="s">
        <v>420</v>
      </c>
      <c r="D3190" s="50" t="s">
        <v>259</v>
      </c>
      <c r="E3190" s="50">
        <v>0</v>
      </c>
      <c r="F3190" s="51">
        <v>0.79650666934460768</v>
      </c>
      <c r="G3190" s="51" t="str">
        <v>森岳 2022/08/12 (金)
平日夜間</v>
      </c>
    </row>
    <row r="3191" spans="1:7" ht="16.149999999999999" x14ac:dyDescent="0.7">
      <c r="A3191" s="49">
        <v>44771.639083368056</v>
      </c>
      <c r="B3191" s="50" t="s">
        <v>38</v>
      </c>
      <c r="C3191" s="50" t="s">
        <v>421</v>
      </c>
      <c r="D3191" s="50" t="s">
        <v>263</v>
      </c>
      <c r="E3191" s="50">
        <v>-1</v>
      </c>
      <c r="F3191" s="51">
        <v>-0.51514584098103078</v>
      </c>
      <c r="G3191" s="51" t="str">
        <v>森岳 2022/08/13 (土)
休日午前</v>
      </c>
    </row>
    <row r="3192" spans="1:7" ht="16.149999999999999" x14ac:dyDescent="0.7">
      <c r="A3192" s="49">
        <v>44771.639083368056</v>
      </c>
      <c r="B3192" s="50" t="s">
        <v>38</v>
      </c>
      <c r="C3192" s="50" t="s">
        <v>422</v>
      </c>
      <c r="D3192" s="50" t="s">
        <v>261</v>
      </c>
      <c r="E3192" s="50">
        <v>0</v>
      </c>
      <c r="F3192" s="51">
        <v>0.82659368421313451</v>
      </c>
      <c r="G3192" s="51" t="str">
        <v>森岳 2022/08/13 (土)
休日午後</v>
      </c>
    </row>
    <row r="3193" spans="1:7" ht="16.149999999999999" x14ac:dyDescent="0.7">
      <c r="A3193" s="49">
        <v>44771.639083368056</v>
      </c>
      <c r="B3193" s="50" t="s">
        <v>38</v>
      </c>
      <c r="C3193" s="50" t="s">
        <v>423</v>
      </c>
      <c r="D3193" s="50" t="s">
        <v>263</v>
      </c>
      <c r="E3193" s="50">
        <v>0</v>
      </c>
      <c r="F3193" s="51">
        <v>0.87247293483044897</v>
      </c>
      <c r="G3193" s="51" t="str">
        <v>森岳 2022/08/14 (日)
休日午前</v>
      </c>
    </row>
    <row r="3194" spans="1:7" ht="16.149999999999999" x14ac:dyDescent="0.7">
      <c r="A3194" s="49">
        <v>44771.639083368056</v>
      </c>
      <c r="B3194" s="50" t="s">
        <v>38</v>
      </c>
      <c r="C3194" s="50" t="s">
        <v>424</v>
      </c>
      <c r="D3194" s="50" t="s">
        <v>261</v>
      </c>
      <c r="E3194" s="50">
        <v>0</v>
      </c>
      <c r="F3194" s="51">
        <v>0.59971816338453232</v>
      </c>
      <c r="G3194" s="51" t="str">
        <v>森岳 2022/08/14 (日)
休日午後</v>
      </c>
    </row>
    <row r="3195" spans="1:7" ht="16.149999999999999" x14ac:dyDescent="0.7">
      <c r="A3195" s="49">
        <v>44771.639083368056</v>
      </c>
      <c r="B3195" s="50" t="s">
        <v>38</v>
      </c>
      <c r="C3195" s="50" t="s">
        <v>425</v>
      </c>
      <c r="D3195" s="50" t="s">
        <v>259</v>
      </c>
      <c r="E3195" s="50">
        <v>0</v>
      </c>
      <c r="F3195" s="51">
        <v>0.33621514626306226</v>
      </c>
      <c r="G3195" s="51" t="str">
        <v>森岳 2022/08/15 (月)
平日夜間</v>
      </c>
    </row>
    <row r="3196" spans="1:7" ht="16.149999999999999" x14ac:dyDescent="0.7">
      <c r="A3196" s="49">
        <v>44771.639083368056</v>
      </c>
      <c r="B3196" s="50" t="s">
        <v>38</v>
      </c>
      <c r="C3196" s="50" t="s">
        <v>426</v>
      </c>
      <c r="D3196" s="50" t="s">
        <v>259</v>
      </c>
      <c r="E3196" s="50">
        <v>0</v>
      </c>
      <c r="F3196" s="51">
        <v>0.97445609740771544</v>
      </c>
      <c r="G3196" s="51" t="str">
        <v>森岳 2022/08/16 (火)
平日夜間</v>
      </c>
    </row>
    <row r="3197" spans="1:7" ht="16.149999999999999" x14ac:dyDescent="0.7">
      <c r="A3197" s="49">
        <v>44771.639083368056</v>
      </c>
      <c r="B3197" s="50" t="s">
        <v>38</v>
      </c>
      <c r="C3197" s="50" t="s">
        <v>427</v>
      </c>
      <c r="D3197" s="50" t="s">
        <v>259</v>
      </c>
      <c r="E3197" s="50">
        <v>-1</v>
      </c>
      <c r="F3197" s="51">
        <v>-0.75854032360100465</v>
      </c>
      <c r="G3197" s="51" t="str">
        <v>森岳 2022/08/17 (水)
平日夜間</v>
      </c>
    </row>
    <row r="3198" spans="1:7" ht="16.149999999999999" x14ac:dyDescent="0.7">
      <c r="A3198" s="49">
        <v>44771.639083368056</v>
      </c>
      <c r="B3198" s="50" t="s">
        <v>38</v>
      </c>
      <c r="C3198" s="50" t="s">
        <v>428</v>
      </c>
      <c r="D3198" s="50" t="s">
        <v>259</v>
      </c>
      <c r="E3198" s="50">
        <v>-1</v>
      </c>
      <c r="F3198" s="51">
        <v>-0.92126395527554417</v>
      </c>
      <c r="G3198" s="51" t="str">
        <v>森岳 2022/08/18 (木)
平日夜間</v>
      </c>
    </row>
    <row r="3199" spans="1:7" ht="16.149999999999999" x14ac:dyDescent="0.7">
      <c r="A3199" s="49">
        <v>44771.639083368056</v>
      </c>
      <c r="B3199" s="50" t="s">
        <v>38</v>
      </c>
      <c r="C3199" s="50" t="s">
        <v>429</v>
      </c>
      <c r="D3199" s="50" t="s">
        <v>259</v>
      </c>
      <c r="E3199" s="50">
        <v>0</v>
      </c>
      <c r="F3199" s="51">
        <v>0.18704605386678308</v>
      </c>
      <c r="G3199" s="51" t="str">
        <v>森岳 2022/08/19 (金)
平日夜間</v>
      </c>
    </row>
    <row r="3200" spans="1:7" ht="16.149999999999999" x14ac:dyDescent="0.7">
      <c r="A3200" s="49">
        <v>44771.639083368056</v>
      </c>
      <c r="B3200" s="50" t="s">
        <v>38</v>
      </c>
      <c r="C3200" s="50" t="s">
        <v>430</v>
      </c>
      <c r="D3200" s="50" t="s">
        <v>263</v>
      </c>
      <c r="E3200" s="50">
        <v>-1</v>
      </c>
      <c r="F3200" s="51">
        <v>-0.96938631119682683</v>
      </c>
      <c r="G3200" s="51" t="str">
        <v>森岳 2022/08/20 (土)
休日午前</v>
      </c>
    </row>
    <row r="3201" spans="1:7" ht="16.149999999999999" x14ac:dyDescent="0.7">
      <c r="A3201" s="49">
        <v>44771.639083368056</v>
      </c>
      <c r="B3201" s="50" t="s">
        <v>38</v>
      </c>
      <c r="C3201" s="50" t="s">
        <v>431</v>
      </c>
      <c r="D3201" s="50" t="s">
        <v>261</v>
      </c>
      <c r="E3201" s="50">
        <v>-1</v>
      </c>
      <c r="F3201" s="51">
        <v>-0.98571381922310608</v>
      </c>
      <c r="G3201" s="51" t="str">
        <v>森岳 2022/08/20 (土)
休日午後</v>
      </c>
    </row>
    <row r="3202" spans="1:7" ht="16.149999999999999" x14ac:dyDescent="0.7">
      <c r="A3202" s="49">
        <v>44771.639083368056</v>
      </c>
      <c r="B3202" s="50" t="s">
        <v>38</v>
      </c>
      <c r="C3202" s="50" t="s">
        <v>432</v>
      </c>
      <c r="D3202" s="50" t="s">
        <v>263</v>
      </c>
      <c r="E3202" s="50">
        <v>2</v>
      </c>
      <c r="F3202" s="51">
        <v>2.2086830367667036</v>
      </c>
      <c r="G3202" s="51" t="str">
        <v>森岳 2022/08/21 (日)
休日午前</v>
      </c>
    </row>
    <row r="3203" spans="1:7" ht="16.149999999999999" x14ac:dyDescent="0.7">
      <c r="A3203" s="49">
        <v>44771.639083368056</v>
      </c>
      <c r="B3203" s="50" t="s">
        <v>38</v>
      </c>
      <c r="C3203" s="50" t="s">
        <v>433</v>
      </c>
      <c r="D3203" s="50" t="s">
        <v>261</v>
      </c>
      <c r="E3203" s="50">
        <v>0</v>
      </c>
      <c r="F3203" s="51">
        <v>0.94413861979962244</v>
      </c>
      <c r="G3203" s="51" t="str">
        <v>森岳 2022/08/21 (日)
休日午後</v>
      </c>
    </row>
    <row r="3204" spans="1:7" ht="16.149999999999999" x14ac:dyDescent="0.7">
      <c r="A3204" s="49">
        <v>44771.639083368056</v>
      </c>
      <c r="B3204" s="50" t="s">
        <v>38</v>
      </c>
      <c r="C3204" s="50" t="s">
        <v>434</v>
      </c>
      <c r="D3204" s="50" t="s">
        <v>259</v>
      </c>
      <c r="E3204" s="50">
        <v>0</v>
      </c>
      <c r="F3204" s="51">
        <v>0.71647232198581423</v>
      </c>
      <c r="G3204" s="51" t="str">
        <v>森岳 2022/08/22 (月)
平日夜間</v>
      </c>
    </row>
    <row r="3205" spans="1:7" ht="16.149999999999999" x14ac:dyDescent="0.7">
      <c r="A3205" s="49">
        <v>44771.639083368056</v>
      </c>
      <c r="B3205" s="50" t="s">
        <v>38</v>
      </c>
      <c r="C3205" s="50" t="s">
        <v>435</v>
      </c>
      <c r="D3205" s="50" t="s">
        <v>259</v>
      </c>
      <c r="E3205" s="50">
        <v>0</v>
      </c>
      <c r="F3205" s="51">
        <v>0.16377764158253383</v>
      </c>
      <c r="G3205" s="51" t="str">
        <v>森岳 2022/08/23 (火)
平日夜間</v>
      </c>
    </row>
    <row r="3206" spans="1:7" ht="16.149999999999999" x14ac:dyDescent="0.7">
      <c r="A3206" s="49">
        <v>44771.639083368056</v>
      </c>
      <c r="B3206" s="50" t="s">
        <v>38</v>
      </c>
      <c r="C3206" s="50" t="s">
        <v>436</v>
      </c>
      <c r="D3206" s="50" t="s">
        <v>259</v>
      </c>
      <c r="E3206" s="50">
        <v>-1</v>
      </c>
      <c r="F3206" s="51">
        <v>-0.33865341926568893</v>
      </c>
      <c r="G3206" s="51" t="str">
        <v>森岳 2022/08/24 (水)
平日夜間</v>
      </c>
    </row>
    <row r="3207" spans="1:7" ht="16.149999999999999" x14ac:dyDescent="0.7">
      <c r="A3207" s="49">
        <v>44771.639083368056</v>
      </c>
      <c r="B3207" s="50" t="s">
        <v>38</v>
      </c>
      <c r="C3207" s="50" t="s">
        <v>437</v>
      </c>
      <c r="D3207" s="50" t="s">
        <v>259</v>
      </c>
      <c r="E3207" s="50">
        <v>-1</v>
      </c>
      <c r="F3207" s="51">
        <v>-0.54717469806327901</v>
      </c>
      <c r="G3207" s="51" t="str">
        <v>森岳 2022/08/25 (木)
平日夜間</v>
      </c>
    </row>
    <row r="3208" spans="1:7" ht="16.149999999999999" x14ac:dyDescent="0.7">
      <c r="A3208" s="49">
        <v>44771.639083368056</v>
      </c>
      <c r="B3208" s="50" t="s">
        <v>38</v>
      </c>
      <c r="C3208" s="50" t="s">
        <v>438</v>
      </c>
      <c r="D3208" s="50" t="s">
        <v>259</v>
      </c>
      <c r="E3208" s="50">
        <v>0</v>
      </c>
      <c r="F3208" s="51">
        <v>0.51141170798260616</v>
      </c>
      <c r="G3208" s="51" t="str">
        <v>森岳 2022/08/26 (金)
平日夜間</v>
      </c>
    </row>
    <row r="3209" spans="1:7" ht="16.149999999999999" x14ac:dyDescent="0.7">
      <c r="A3209" s="49">
        <v>44771.639083368056</v>
      </c>
      <c r="B3209" s="50" t="s">
        <v>38</v>
      </c>
      <c r="C3209" s="50" t="s">
        <v>439</v>
      </c>
      <c r="D3209" s="50" t="s">
        <v>263</v>
      </c>
      <c r="E3209" s="50">
        <v>-1</v>
      </c>
      <c r="F3209" s="51">
        <v>-0.97653031767214249</v>
      </c>
      <c r="G3209" s="51" t="str">
        <v>森岳 2022/08/27 (土)
休日午前</v>
      </c>
    </row>
    <row r="3210" spans="1:7" ht="16.149999999999999" x14ac:dyDescent="0.7">
      <c r="A3210" s="49">
        <v>44771.639083368056</v>
      </c>
      <c r="B3210" s="50" t="s">
        <v>38</v>
      </c>
      <c r="C3210" s="50" t="s">
        <v>440</v>
      </c>
      <c r="D3210" s="50" t="s">
        <v>261</v>
      </c>
      <c r="E3210" s="50">
        <v>0</v>
      </c>
      <c r="F3210" s="51">
        <v>0.8788335789331958</v>
      </c>
      <c r="G3210" s="51" t="str">
        <v>森岳 2022/08/27 (土)
休日午後</v>
      </c>
    </row>
    <row r="3211" spans="1:7" ht="16.149999999999999" x14ac:dyDescent="0.7">
      <c r="A3211" s="49">
        <v>44771.639083368056</v>
      </c>
      <c r="B3211" s="50" t="s">
        <v>38</v>
      </c>
      <c r="C3211" s="50" t="s">
        <v>441</v>
      </c>
      <c r="D3211" s="50" t="s">
        <v>263</v>
      </c>
      <c r="E3211" s="50">
        <v>0</v>
      </c>
      <c r="F3211" s="51">
        <v>0.68824712503125896</v>
      </c>
      <c r="G3211" s="51" t="str">
        <v>森岳 2022/08/28 (日)
休日午前</v>
      </c>
    </row>
    <row r="3212" spans="1:7" ht="16.149999999999999" x14ac:dyDescent="0.7">
      <c r="A3212" s="49">
        <v>44771.639083368056</v>
      </c>
      <c r="B3212" s="50" t="s">
        <v>38</v>
      </c>
      <c r="C3212" s="50" t="s">
        <v>442</v>
      </c>
      <c r="D3212" s="50" t="s">
        <v>261</v>
      </c>
      <c r="E3212" s="50">
        <v>0</v>
      </c>
      <c r="F3212" s="51">
        <v>0.20019249802171335</v>
      </c>
      <c r="G3212" s="51" t="str">
        <v>森岳 2022/08/28 (日)
休日午後</v>
      </c>
    </row>
    <row r="3213" spans="1:7" ht="16.149999999999999" x14ac:dyDescent="0.7">
      <c r="A3213" s="49">
        <v>44771.639083368056</v>
      </c>
      <c r="B3213" s="50" t="s">
        <v>38</v>
      </c>
      <c r="C3213" s="50" t="s">
        <v>443</v>
      </c>
      <c r="D3213" s="50" t="s">
        <v>259</v>
      </c>
      <c r="E3213" s="50">
        <v>0</v>
      </c>
      <c r="F3213" s="51">
        <v>0.30206236912012563</v>
      </c>
      <c r="G3213" s="51" t="str">
        <v>森岳 2022/08/29 (月)
平日夜間</v>
      </c>
    </row>
    <row r="3214" spans="1:7" ht="16.149999999999999" x14ac:dyDescent="0.7">
      <c r="A3214" s="49">
        <v>44771.639083368056</v>
      </c>
      <c r="B3214" s="50" t="s">
        <v>38</v>
      </c>
      <c r="C3214" s="50" t="s">
        <v>444</v>
      </c>
      <c r="D3214" s="50" t="s">
        <v>259</v>
      </c>
      <c r="E3214" s="50">
        <v>0</v>
      </c>
      <c r="F3214" s="51">
        <v>0.5731980711298208</v>
      </c>
      <c r="G3214" s="51" t="str">
        <v>森岳 2022/08/30 (火)
平日夜間</v>
      </c>
    </row>
    <row r="3215" spans="1:7" ht="16.149999999999999" x14ac:dyDescent="0.7">
      <c r="A3215" s="49">
        <v>44771.639083368056</v>
      </c>
      <c r="B3215" s="50" t="s">
        <v>38</v>
      </c>
      <c r="C3215" s="50" t="s">
        <v>445</v>
      </c>
      <c r="D3215" s="50" t="s">
        <v>259</v>
      </c>
      <c r="E3215" s="50">
        <v>-1</v>
      </c>
      <c r="F3215" s="51">
        <v>-0.39621230703900001</v>
      </c>
      <c r="G3215" s="51" t="str">
        <v>森岳 2022/08/31 (水)
平日夜間</v>
      </c>
    </row>
    <row r="3216" spans="1:7" ht="16.149999999999999" x14ac:dyDescent="0.7">
      <c r="A3216" s="49">
        <v>44771.963937928245</v>
      </c>
      <c r="B3216" s="50" t="s">
        <v>8</v>
      </c>
      <c r="C3216" s="50" t="s">
        <v>406</v>
      </c>
      <c r="D3216" s="50" t="s">
        <v>259</v>
      </c>
      <c r="E3216" s="50">
        <v>0</v>
      </c>
      <c r="F3216" s="51">
        <v>0.60840197436323451</v>
      </c>
      <c r="G3216" s="51" t="str">
        <v>宗 2022/08/01 (月)
平日夜間</v>
      </c>
    </row>
    <row r="3217" spans="1:7" ht="16.149999999999999" x14ac:dyDescent="0.7">
      <c r="A3217" s="49">
        <v>44771.963937928245</v>
      </c>
      <c r="B3217" s="50" t="s">
        <v>8</v>
      </c>
      <c r="C3217" s="50" t="s">
        <v>407</v>
      </c>
      <c r="D3217" s="50" t="s">
        <v>259</v>
      </c>
      <c r="E3217" s="50">
        <v>0</v>
      </c>
      <c r="F3217" s="51">
        <v>0.99791964625058083</v>
      </c>
      <c r="G3217" s="51" t="str">
        <v>宗 2022/08/02 (火)
平日夜間</v>
      </c>
    </row>
    <row r="3218" spans="1:7" ht="16.149999999999999" x14ac:dyDescent="0.7">
      <c r="A3218" s="49">
        <v>44771.963937928245</v>
      </c>
      <c r="B3218" s="50" t="s">
        <v>8</v>
      </c>
      <c r="C3218" s="50" t="s">
        <v>408</v>
      </c>
      <c r="D3218" s="50" t="s">
        <v>259</v>
      </c>
      <c r="E3218" s="50">
        <v>0</v>
      </c>
      <c r="F3218" s="51">
        <v>0.13621071279536623</v>
      </c>
      <c r="G3218" s="51" t="str">
        <v>宗 2022/08/03 (水)
平日夜間</v>
      </c>
    </row>
    <row r="3219" spans="1:7" ht="16.149999999999999" x14ac:dyDescent="0.7">
      <c r="A3219" s="49">
        <v>44771.963937928245</v>
      </c>
      <c r="B3219" s="50" t="s">
        <v>8</v>
      </c>
      <c r="C3219" s="50" t="s">
        <v>409</v>
      </c>
      <c r="D3219" s="50" t="s">
        <v>259</v>
      </c>
      <c r="E3219" s="50">
        <v>0</v>
      </c>
      <c r="F3219" s="51">
        <v>0.98437358734119162</v>
      </c>
      <c r="G3219" s="51" t="str">
        <v>宗 2022/08/04 (木)
平日夜間</v>
      </c>
    </row>
    <row r="3220" spans="1:7" ht="16.149999999999999" x14ac:dyDescent="0.7">
      <c r="A3220" s="49">
        <v>44771.963937928245</v>
      </c>
      <c r="B3220" s="50" t="s">
        <v>8</v>
      </c>
      <c r="C3220" s="50" t="s">
        <v>410</v>
      </c>
      <c r="D3220" s="50" t="s">
        <v>259</v>
      </c>
      <c r="E3220" s="50">
        <v>0</v>
      </c>
      <c r="F3220" s="51">
        <v>0.47243650342108734</v>
      </c>
      <c r="G3220" s="51" t="str">
        <v>宗 2022/08/05 (金)
平日夜間</v>
      </c>
    </row>
    <row r="3221" spans="1:7" ht="16.149999999999999" x14ac:dyDescent="0.7">
      <c r="A3221" s="49">
        <v>44771.963937928245</v>
      </c>
      <c r="B3221" s="50" t="s">
        <v>8</v>
      </c>
      <c r="C3221" s="50" t="s">
        <v>411</v>
      </c>
      <c r="D3221" s="50" t="s">
        <v>263</v>
      </c>
      <c r="E3221" s="50">
        <v>2</v>
      </c>
      <c r="F3221" s="51">
        <v>2.732819821955025</v>
      </c>
      <c r="G3221" s="51" t="str">
        <v>宗 2022/08/06 (土)
休日午前</v>
      </c>
    </row>
    <row r="3222" spans="1:7" ht="16.149999999999999" x14ac:dyDescent="0.7">
      <c r="A3222" s="49">
        <v>44771.963937928245</v>
      </c>
      <c r="B3222" s="50" t="s">
        <v>8</v>
      </c>
      <c r="C3222" s="50" t="s">
        <v>412</v>
      </c>
      <c r="D3222" s="50" t="s">
        <v>261</v>
      </c>
      <c r="E3222" s="50">
        <v>2</v>
      </c>
      <c r="F3222" s="51">
        <v>2.0266118970392109</v>
      </c>
      <c r="G3222" s="51" t="str">
        <v>宗 2022/08/06 (土)
休日午後</v>
      </c>
    </row>
    <row r="3223" spans="1:7" ht="16.149999999999999" x14ac:dyDescent="0.7">
      <c r="A3223" s="49">
        <v>44771.963937928245</v>
      </c>
      <c r="B3223" s="50" t="s">
        <v>8</v>
      </c>
      <c r="C3223" s="50" t="s">
        <v>413</v>
      </c>
      <c r="D3223" s="50" t="s">
        <v>263</v>
      </c>
      <c r="E3223" s="50">
        <v>0</v>
      </c>
      <c r="F3223" s="51">
        <v>0.69205976108895051</v>
      </c>
      <c r="G3223" s="51" t="str">
        <v>宗 2022/08/07 (日)
休日午前</v>
      </c>
    </row>
    <row r="3224" spans="1:7" ht="16.149999999999999" x14ac:dyDescent="0.7">
      <c r="A3224" s="49">
        <v>44771.963937928245</v>
      </c>
      <c r="B3224" s="50" t="s">
        <v>8</v>
      </c>
      <c r="C3224" s="50" t="s">
        <v>414</v>
      </c>
      <c r="D3224" s="50" t="s">
        <v>261</v>
      </c>
      <c r="E3224" s="50">
        <v>0</v>
      </c>
      <c r="F3224" s="51">
        <v>0.69808566817522633</v>
      </c>
      <c r="G3224" s="51" t="str">
        <v>宗 2022/08/07 (日)
休日午後</v>
      </c>
    </row>
    <row r="3225" spans="1:7" ht="16.149999999999999" x14ac:dyDescent="0.7">
      <c r="A3225" s="49">
        <v>44771.963937928245</v>
      </c>
      <c r="B3225" s="50" t="s">
        <v>8</v>
      </c>
      <c r="C3225" s="50" t="s">
        <v>415</v>
      </c>
      <c r="D3225" s="50" t="s">
        <v>259</v>
      </c>
      <c r="E3225" s="50">
        <v>0</v>
      </c>
      <c r="F3225" s="51">
        <v>0.70497604827349813</v>
      </c>
      <c r="G3225" s="51" t="str">
        <v>宗 2022/08/08 (月)
平日夜間</v>
      </c>
    </row>
    <row r="3226" spans="1:7" ht="16.149999999999999" x14ac:dyDescent="0.7">
      <c r="A3226" s="49">
        <v>44771.963937928245</v>
      </c>
      <c r="B3226" s="50" t="s">
        <v>8</v>
      </c>
      <c r="C3226" s="50" t="s">
        <v>416</v>
      </c>
      <c r="D3226" s="50" t="s">
        <v>259</v>
      </c>
      <c r="E3226" s="50">
        <v>0</v>
      </c>
      <c r="F3226" s="51">
        <v>0.29224089352054738</v>
      </c>
      <c r="G3226" s="51" t="str">
        <v>宗 2022/08/09 (火)
平日夜間</v>
      </c>
    </row>
    <row r="3227" spans="1:7" ht="16.149999999999999" x14ac:dyDescent="0.7">
      <c r="A3227" s="49">
        <v>44771.963937928245</v>
      </c>
      <c r="B3227" s="50" t="s">
        <v>8</v>
      </c>
      <c r="C3227" s="50" t="s">
        <v>417</v>
      </c>
      <c r="D3227" s="50" t="s">
        <v>259</v>
      </c>
      <c r="E3227" s="50">
        <v>-1</v>
      </c>
      <c r="F3227" s="51">
        <v>-0.73252466562508012</v>
      </c>
      <c r="G3227" s="51" t="str">
        <v>宗 2022/08/10 (水)
平日夜間</v>
      </c>
    </row>
    <row r="3228" spans="1:7" ht="16.149999999999999" x14ac:dyDescent="0.7">
      <c r="A3228" s="49">
        <v>44771.963937928245</v>
      </c>
      <c r="B3228" s="50" t="s">
        <v>8</v>
      </c>
      <c r="C3228" s="50" t="s">
        <v>418</v>
      </c>
      <c r="D3228" s="50" t="s">
        <v>263</v>
      </c>
      <c r="E3228" s="50">
        <v>-1</v>
      </c>
      <c r="F3228" s="51">
        <v>-0.1690094647587792</v>
      </c>
      <c r="G3228" s="51" t="str">
        <v>宗 2022/08/11 (木)
休日午前</v>
      </c>
    </row>
    <row r="3229" spans="1:7" ht="16.149999999999999" x14ac:dyDescent="0.7">
      <c r="A3229" s="49">
        <v>44771.963937928245</v>
      </c>
      <c r="B3229" s="50" t="s">
        <v>8</v>
      </c>
      <c r="C3229" s="50" t="s">
        <v>419</v>
      </c>
      <c r="D3229" s="50" t="s">
        <v>261</v>
      </c>
      <c r="E3229" s="50">
        <v>-1</v>
      </c>
      <c r="F3229" s="51">
        <v>-0.29611395068945368</v>
      </c>
      <c r="G3229" s="51" t="str">
        <v>宗 2022/08/11 (木)
休日午後</v>
      </c>
    </row>
    <row r="3230" spans="1:7" ht="16.149999999999999" x14ac:dyDescent="0.7">
      <c r="A3230" s="49">
        <v>44771.963937928245</v>
      </c>
      <c r="B3230" s="50" t="s">
        <v>8</v>
      </c>
      <c r="C3230" s="50" t="s">
        <v>420</v>
      </c>
      <c r="D3230" s="50" t="s">
        <v>259</v>
      </c>
      <c r="E3230" s="50">
        <v>0</v>
      </c>
      <c r="F3230" s="51">
        <v>0.96383864721470558</v>
      </c>
      <c r="G3230" s="51" t="str">
        <v>宗 2022/08/12 (金)
平日夜間</v>
      </c>
    </row>
    <row r="3231" spans="1:7" ht="16.149999999999999" x14ac:dyDescent="0.7">
      <c r="A3231" s="49">
        <v>44771.963937928245</v>
      </c>
      <c r="B3231" s="50" t="s">
        <v>8</v>
      </c>
      <c r="C3231" s="50" t="s">
        <v>421</v>
      </c>
      <c r="D3231" s="50" t="s">
        <v>263</v>
      </c>
      <c r="E3231" s="50">
        <v>-1</v>
      </c>
      <c r="F3231" s="51">
        <v>-0.40886725957607206</v>
      </c>
      <c r="G3231" s="51" t="str">
        <v>宗 2022/08/13 (土)
休日午前</v>
      </c>
    </row>
    <row r="3232" spans="1:7" ht="16.149999999999999" x14ac:dyDescent="0.7">
      <c r="A3232" s="49">
        <v>44771.963937928245</v>
      </c>
      <c r="B3232" s="50" t="s">
        <v>8</v>
      </c>
      <c r="C3232" s="50" t="s">
        <v>422</v>
      </c>
      <c r="D3232" s="50" t="s">
        <v>261</v>
      </c>
      <c r="E3232" s="50">
        <v>-1</v>
      </c>
      <c r="F3232" s="51">
        <v>-0.30508317796106654</v>
      </c>
      <c r="G3232" s="51" t="str">
        <v>宗 2022/08/13 (土)
休日午後</v>
      </c>
    </row>
    <row r="3233" spans="1:7" ht="16.149999999999999" x14ac:dyDescent="0.7">
      <c r="A3233" s="49">
        <v>44771.963937928245</v>
      </c>
      <c r="B3233" s="50" t="s">
        <v>8</v>
      </c>
      <c r="C3233" s="50" t="s">
        <v>423</v>
      </c>
      <c r="D3233" s="50" t="s">
        <v>263</v>
      </c>
      <c r="E3233" s="50">
        <v>-1</v>
      </c>
      <c r="F3233" s="51">
        <v>-0.50352056619296248</v>
      </c>
      <c r="G3233" s="51" t="str">
        <v>宗 2022/08/14 (日)
休日午前</v>
      </c>
    </row>
    <row r="3234" spans="1:7" ht="16.149999999999999" x14ac:dyDescent="0.7">
      <c r="A3234" s="49">
        <v>44771.963937928245</v>
      </c>
      <c r="B3234" s="50" t="s">
        <v>8</v>
      </c>
      <c r="C3234" s="50" t="s">
        <v>424</v>
      </c>
      <c r="D3234" s="50" t="s">
        <v>261</v>
      </c>
      <c r="E3234" s="50">
        <v>-1</v>
      </c>
      <c r="F3234" s="51">
        <v>-0.11298368222799016</v>
      </c>
      <c r="G3234" s="51" t="str">
        <v>宗 2022/08/14 (日)
休日午後</v>
      </c>
    </row>
    <row r="3235" spans="1:7" ht="16.149999999999999" x14ac:dyDescent="0.7">
      <c r="A3235" s="49">
        <v>44771.963937928245</v>
      </c>
      <c r="B3235" s="50" t="s">
        <v>8</v>
      </c>
      <c r="C3235" s="50" t="s">
        <v>425</v>
      </c>
      <c r="D3235" s="50" t="s">
        <v>259</v>
      </c>
      <c r="E3235" s="50">
        <v>0</v>
      </c>
      <c r="F3235" s="51">
        <v>0.62684252692685516</v>
      </c>
      <c r="G3235" s="51" t="str">
        <v>宗 2022/08/15 (月)
平日夜間</v>
      </c>
    </row>
    <row r="3236" spans="1:7" ht="16.149999999999999" x14ac:dyDescent="0.7">
      <c r="A3236" s="49">
        <v>44771.963937928245</v>
      </c>
      <c r="B3236" s="50" t="s">
        <v>8</v>
      </c>
      <c r="C3236" s="50" t="s">
        <v>426</v>
      </c>
      <c r="D3236" s="50" t="s">
        <v>259</v>
      </c>
      <c r="E3236" s="50">
        <v>2</v>
      </c>
      <c r="F3236" s="51">
        <v>2.044405851610116</v>
      </c>
      <c r="G3236" s="51" t="str">
        <v>宗 2022/08/16 (火)
平日夜間</v>
      </c>
    </row>
    <row r="3237" spans="1:7" ht="16.149999999999999" x14ac:dyDescent="0.7">
      <c r="A3237" s="49">
        <v>44771.963937928245</v>
      </c>
      <c r="B3237" s="50" t="s">
        <v>8</v>
      </c>
      <c r="C3237" s="50" t="s">
        <v>427</v>
      </c>
      <c r="D3237" s="50" t="s">
        <v>259</v>
      </c>
      <c r="E3237" s="50">
        <v>0</v>
      </c>
      <c r="F3237" s="51">
        <v>0.12372442546413298</v>
      </c>
      <c r="G3237" s="51" t="str">
        <v>宗 2022/08/17 (水)
平日夜間</v>
      </c>
    </row>
    <row r="3238" spans="1:7" ht="16.149999999999999" x14ac:dyDescent="0.7">
      <c r="A3238" s="49">
        <v>44771.963937928245</v>
      </c>
      <c r="B3238" s="50" t="s">
        <v>8</v>
      </c>
      <c r="C3238" s="50" t="s">
        <v>428</v>
      </c>
      <c r="D3238" s="50" t="s">
        <v>259</v>
      </c>
      <c r="E3238" s="50">
        <v>0</v>
      </c>
      <c r="F3238" s="51">
        <v>0.78299699560783309</v>
      </c>
      <c r="G3238" s="51" t="str">
        <v>宗 2022/08/18 (木)
平日夜間</v>
      </c>
    </row>
    <row r="3239" spans="1:7" ht="16.149999999999999" x14ac:dyDescent="0.7">
      <c r="A3239" s="49">
        <v>44771.963937928245</v>
      </c>
      <c r="B3239" s="50" t="s">
        <v>8</v>
      </c>
      <c r="C3239" s="50" t="s">
        <v>429</v>
      </c>
      <c r="D3239" s="50" t="s">
        <v>259</v>
      </c>
      <c r="E3239" s="50">
        <v>0</v>
      </c>
      <c r="F3239" s="51">
        <v>0.23338507692357391</v>
      </c>
      <c r="G3239" s="51" t="str">
        <v>宗 2022/08/19 (金)
平日夜間</v>
      </c>
    </row>
    <row r="3240" spans="1:7" ht="16.149999999999999" x14ac:dyDescent="0.7">
      <c r="A3240" s="49">
        <v>44771.963937928245</v>
      </c>
      <c r="B3240" s="50" t="s">
        <v>8</v>
      </c>
      <c r="C3240" s="50" t="s">
        <v>430</v>
      </c>
      <c r="D3240" s="50" t="s">
        <v>263</v>
      </c>
      <c r="E3240" s="50">
        <v>-1</v>
      </c>
      <c r="F3240" s="51">
        <v>-0.45644694896451576</v>
      </c>
      <c r="G3240" s="51" t="str">
        <v>宗 2022/08/20 (土)
休日午前</v>
      </c>
    </row>
    <row r="3241" spans="1:7" ht="16.149999999999999" x14ac:dyDescent="0.7">
      <c r="A3241" s="49">
        <v>44771.963937928245</v>
      </c>
      <c r="B3241" s="50" t="s">
        <v>8</v>
      </c>
      <c r="C3241" s="50" t="s">
        <v>431</v>
      </c>
      <c r="D3241" s="50" t="s">
        <v>261</v>
      </c>
      <c r="E3241" s="50">
        <v>-1</v>
      </c>
      <c r="F3241" s="51">
        <v>-0.4940999517645599</v>
      </c>
      <c r="G3241" s="51" t="str">
        <v>宗 2022/08/20 (土)
休日午後</v>
      </c>
    </row>
    <row r="3242" spans="1:7" ht="16.149999999999999" x14ac:dyDescent="0.7">
      <c r="A3242" s="49">
        <v>44771.963937928245</v>
      </c>
      <c r="B3242" s="50" t="s">
        <v>8</v>
      </c>
      <c r="C3242" s="50" t="s">
        <v>432</v>
      </c>
      <c r="D3242" s="50" t="s">
        <v>263</v>
      </c>
      <c r="E3242" s="50">
        <v>-1</v>
      </c>
      <c r="F3242" s="51">
        <v>-0.70108422351521393</v>
      </c>
      <c r="G3242" s="51" t="str">
        <v>宗 2022/08/21 (日)
休日午前</v>
      </c>
    </row>
    <row r="3243" spans="1:7" ht="16.149999999999999" x14ac:dyDescent="0.7">
      <c r="A3243" s="49">
        <v>44771.963937928245</v>
      </c>
      <c r="B3243" s="50" t="s">
        <v>8</v>
      </c>
      <c r="C3243" s="50" t="s">
        <v>433</v>
      </c>
      <c r="D3243" s="50" t="s">
        <v>261</v>
      </c>
      <c r="E3243" s="50">
        <v>-1</v>
      </c>
      <c r="F3243" s="51">
        <v>-0.11160049661461269</v>
      </c>
      <c r="G3243" s="51" t="str">
        <v>宗 2022/08/21 (日)
休日午後</v>
      </c>
    </row>
    <row r="3244" spans="1:7" ht="16.149999999999999" x14ac:dyDescent="0.7">
      <c r="A3244" s="49">
        <v>44771.963937928245</v>
      </c>
      <c r="B3244" s="50" t="s">
        <v>8</v>
      </c>
      <c r="C3244" s="50" t="s">
        <v>434</v>
      </c>
      <c r="D3244" s="50" t="s">
        <v>259</v>
      </c>
      <c r="E3244" s="50">
        <v>0</v>
      </c>
      <c r="F3244" s="51">
        <v>0.33869576145489266</v>
      </c>
      <c r="G3244" s="51" t="str">
        <v>宗 2022/08/22 (月)
平日夜間</v>
      </c>
    </row>
    <row r="3245" spans="1:7" ht="16.149999999999999" x14ac:dyDescent="0.7">
      <c r="A3245" s="49">
        <v>44771.963937928245</v>
      </c>
      <c r="B3245" s="50" t="s">
        <v>8</v>
      </c>
      <c r="C3245" s="50" t="s">
        <v>435</v>
      </c>
      <c r="D3245" s="50" t="s">
        <v>259</v>
      </c>
      <c r="E3245" s="50">
        <v>0</v>
      </c>
      <c r="F3245" s="51">
        <v>0.58175148126444087</v>
      </c>
      <c r="G3245" s="51" t="str">
        <v>宗 2022/08/23 (火)
平日夜間</v>
      </c>
    </row>
    <row r="3246" spans="1:7" ht="16.149999999999999" x14ac:dyDescent="0.7">
      <c r="A3246" s="49">
        <v>44771.963937928245</v>
      </c>
      <c r="B3246" s="50" t="s">
        <v>8</v>
      </c>
      <c r="C3246" s="50" t="s">
        <v>436</v>
      </c>
      <c r="D3246" s="50" t="s">
        <v>259</v>
      </c>
      <c r="E3246" s="50">
        <v>0</v>
      </c>
      <c r="F3246" s="51">
        <v>0.91738571622547416</v>
      </c>
      <c r="G3246" s="51" t="str">
        <v>宗 2022/08/24 (水)
平日夜間</v>
      </c>
    </row>
    <row r="3247" spans="1:7" ht="16.149999999999999" x14ac:dyDescent="0.7">
      <c r="A3247" s="49">
        <v>44771.963937928245</v>
      </c>
      <c r="B3247" s="50" t="s">
        <v>8</v>
      </c>
      <c r="C3247" s="50" t="s">
        <v>437</v>
      </c>
      <c r="D3247" s="50" t="s">
        <v>259</v>
      </c>
      <c r="E3247" s="50">
        <v>0</v>
      </c>
      <c r="F3247" s="51">
        <v>0.75916656685309847</v>
      </c>
      <c r="G3247" s="51" t="str">
        <v>宗 2022/08/25 (木)
平日夜間</v>
      </c>
    </row>
    <row r="3248" spans="1:7" ht="16.149999999999999" x14ac:dyDescent="0.7">
      <c r="A3248" s="49">
        <v>44771.963937928245</v>
      </c>
      <c r="B3248" s="50" t="s">
        <v>8</v>
      </c>
      <c r="C3248" s="50" t="s">
        <v>438</v>
      </c>
      <c r="D3248" s="50" t="s">
        <v>259</v>
      </c>
      <c r="E3248" s="50">
        <v>0</v>
      </c>
      <c r="F3248" s="51">
        <v>0.2409020760872056</v>
      </c>
      <c r="G3248" s="51" t="str">
        <v>宗 2022/08/26 (金)
平日夜間</v>
      </c>
    </row>
    <row r="3249" spans="1:7" ht="16.149999999999999" x14ac:dyDescent="0.7">
      <c r="A3249" s="49">
        <v>44771.963937928245</v>
      </c>
      <c r="B3249" s="50" t="s">
        <v>8</v>
      </c>
      <c r="C3249" s="50" t="s">
        <v>439</v>
      </c>
      <c r="D3249" s="50" t="s">
        <v>263</v>
      </c>
      <c r="E3249" s="50">
        <v>-1</v>
      </c>
      <c r="F3249" s="51">
        <v>-0.3754375725687682</v>
      </c>
      <c r="G3249" s="51" t="str">
        <v>宗 2022/08/27 (土)
休日午前</v>
      </c>
    </row>
    <row r="3250" spans="1:7" ht="16.149999999999999" x14ac:dyDescent="0.7">
      <c r="A3250" s="49">
        <v>44771.963937928245</v>
      </c>
      <c r="B3250" s="50" t="s">
        <v>8</v>
      </c>
      <c r="C3250" s="50" t="s">
        <v>440</v>
      </c>
      <c r="D3250" s="50" t="s">
        <v>261</v>
      </c>
      <c r="E3250" s="50">
        <v>-1</v>
      </c>
      <c r="F3250" s="51">
        <v>-0.19941885083583211</v>
      </c>
      <c r="G3250" s="51" t="str">
        <v>宗 2022/08/27 (土)
休日午後</v>
      </c>
    </row>
    <row r="3251" spans="1:7" ht="16.149999999999999" x14ac:dyDescent="0.7">
      <c r="A3251" s="49">
        <v>44771.963937928245</v>
      </c>
      <c r="B3251" s="50" t="s">
        <v>8</v>
      </c>
      <c r="C3251" s="50" t="s">
        <v>441</v>
      </c>
      <c r="D3251" s="50" t="s">
        <v>263</v>
      </c>
      <c r="E3251" s="50">
        <v>-1</v>
      </c>
      <c r="F3251" s="51">
        <v>-0.18197458866867589</v>
      </c>
      <c r="G3251" s="51" t="str">
        <v>宗 2022/08/28 (日)
休日午前</v>
      </c>
    </row>
    <row r="3252" spans="1:7" ht="16.149999999999999" x14ac:dyDescent="0.7">
      <c r="A3252" s="49">
        <v>44771.963937928245</v>
      </c>
      <c r="B3252" s="50" t="s">
        <v>8</v>
      </c>
      <c r="C3252" s="50" t="s">
        <v>442</v>
      </c>
      <c r="D3252" s="50" t="s">
        <v>261</v>
      </c>
      <c r="E3252" s="50">
        <v>-1</v>
      </c>
      <c r="F3252" s="51">
        <v>-0.3660718501452298</v>
      </c>
      <c r="G3252" s="51" t="str">
        <v>宗 2022/08/28 (日)
休日午後</v>
      </c>
    </row>
    <row r="3253" spans="1:7" ht="16.149999999999999" x14ac:dyDescent="0.7">
      <c r="A3253" s="49">
        <v>44771.963937928245</v>
      </c>
      <c r="B3253" s="50" t="s">
        <v>8</v>
      </c>
      <c r="C3253" s="50" t="s">
        <v>443</v>
      </c>
      <c r="D3253" s="50" t="s">
        <v>259</v>
      </c>
      <c r="E3253" s="50">
        <v>0</v>
      </c>
      <c r="F3253" s="51">
        <v>0.43973171882950446</v>
      </c>
      <c r="G3253" s="51" t="str">
        <v>宗 2022/08/29 (月)
平日夜間</v>
      </c>
    </row>
    <row r="3254" spans="1:7" ht="16.149999999999999" x14ac:dyDescent="0.7">
      <c r="A3254" s="49">
        <v>44771.963937928245</v>
      </c>
      <c r="B3254" s="50" t="s">
        <v>8</v>
      </c>
      <c r="C3254" s="50" t="s">
        <v>444</v>
      </c>
      <c r="D3254" s="50" t="s">
        <v>259</v>
      </c>
      <c r="E3254" s="50">
        <v>0</v>
      </c>
      <c r="F3254" s="51">
        <v>7.9470369272012675E-2</v>
      </c>
      <c r="G3254" s="51" t="str">
        <v>宗 2022/08/30 (火)
平日夜間</v>
      </c>
    </row>
    <row r="3255" spans="1:7" ht="16.149999999999999" x14ac:dyDescent="0.7">
      <c r="A3255" s="49">
        <v>44771.963937928245</v>
      </c>
      <c r="B3255" s="50" t="s">
        <v>8</v>
      </c>
      <c r="C3255" s="50" t="s">
        <v>445</v>
      </c>
      <c r="D3255" s="50" t="s">
        <v>259</v>
      </c>
      <c r="E3255" s="50">
        <v>0</v>
      </c>
      <c r="F3255" s="51">
        <v>0.25957884207600745</v>
      </c>
      <c r="G3255" s="51" t="str">
        <v>宗 2022/08/31 (水)
平日夜間</v>
      </c>
    </row>
    <row r="3256" spans="1:7" ht="16.149999999999999" x14ac:dyDescent="0.7">
      <c r="A3256" s="49">
        <v>44772.901280624996</v>
      </c>
      <c r="B3256" s="50" t="s">
        <v>10</v>
      </c>
      <c r="C3256" s="50" t="s">
        <v>406</v>
      </c>
      <c r="D3256" s="50" t="s">
        <v>259</v>
      </c>
      <c r="E3256" s="50">
        <v>0</v>
      </c>
      <c r="F3256" s="51">
        <v>0.65544288667910267</v>
      </c>
      <c r="G3256" s="51" t="str">
        <v>福井 2022/08/01 (月)
平日夜間</v>
      </c>
    </row>
    <row r="3257" spans="1:7" ht="16.149999999999999" x14ac:dyDescent="0.7">
      <c r="A3257" s="49">
        <v>44772.901280624996</v>
      </c>
      <c r="B3257" s="50" t="s">
        <v>10</v>
      </c>
      <c r="C3257" s="50" t="s">
        <v>407</v>
      </c>
      <c r="D3257" s="50" t="s">
        <v>259</v>
      </c>
      <c r="E3257" s="50">
        <v>0</v>
      </c>
      <c r="F3257" s="51">
        <v>0.74149087305246275</v>
      </c>
      <c r="G3257" s="51" t="str">
        <v>福井 2022/08/02 (火)
平日夜間</v>
      </c>
    </row>
    <row r="3258" spans="1:7" ht="16.149999999999999" x14ac:dyDescent="0.7">
      <c r="A3258" s="49">
        <v>44772.901280624996</v>
      </c>
      <c r="B3258" s="50" t="s">
        <v>10</v>
      </c>
      <c r="C3258" s="50" t="s">
        <v>408</v>
      </c>
      <c r="D3258" s="50" t="s">
        <v>259</v>
      </c>
      <c r="E3258" s="50">
        <v>0</v>
      </c>
      <c r="F3258" s="51">
        <v>0.26533429043364243</v>
      </c>
      <c r="G3258" s="51" t="str">
        <v>福井 2022/08/03 (水)
平日夜間</v>
      </c>
    </row>
    <row r="3259" spans="1:7" ht="16.149999999999999" x14ac:dyDescent="0.7">
      <c r="A3259" s="49">
        <v>44772.901280624996</v>
      </c>
      <c r="B3259" s="50" t="s">
        <v>10</v>
      </c>
      <c r="C3259" s="50" t="s">
        <v>409</v>
      </c>
      <c r="D3259" s="50" t="s">
        <v>259</v>
      </c>
      <c r="E3259" s="50">
        <v>0</v>
      </c>
      <c r="F3259" s="51">
        <v>1.3267635068279882E-2</v>
      </c>
      <c r="G3259" s="51" t="str">
        <v>福井 2022/08/04 (木)
平日夜間</v>
      </c>
    </row>
    <row r="3260" spans="1:7" ht="16.149999999999999" x14ac:dyDescent="0.7">
      <c r="A3260" s="49">
        <v>44772.901280624996</v>
      </c>
      <c r="B3260" s="50" t="s">
        <v>10</v>
      </c>
      <c r="C3260" s="50" t="s">
        <v>410</v>
      </c>
      <c r="D3260" s="50" t="s">
        <v>259</v>
      </c>
      <c r="E3260" s="50">
        <v>0</v>
      </c>
      <c r="F3260" s="51">
        <v>0.89940317287637761</v>
      </c>
      <c r="G3260" s="51" t="str">
        <v>福井 2022/08/05 (金)
平日夜間</v>
      </c>
    </row>
    <row r="3261" spans="1:7" ht="16.149999999999999" x14ac:dyDescent="0.7">
      <c r="A3261" s="49">
        <v>44772.901280624996</v>
      </c>
      <c r="B3261" s="50" t="s">
        <v>10</v>
      </c>
      <c r="C3261" s="50" t="s">
        <v>411</v>
      </c>
      <c r="D3261" s="50" t="s">
        <v>263</v>
      </c>
      <c r="E3261" s="50">
        <v>0</v>
      </c>
      <c r="F3261" s="51">
        <v>0.27832539477628426</v>
      </c>
      <c r="G3261" s="51" t="str">
        <v>福井 2022/08/06 (土)
休日午前</v>
      </c>
    </row>
    <row r="3262" spans="1:7" ht="16.149999999999999" x14ac:dyDescent="0.7">
      <c r="A3262" s="49">
        <v>44772.901280624996</v>
      </c>
      <c r="B3262" s="50" t="s">
        <v>10</v>
      </c>
      <c r="C3262" s="50" t="s">
        <v>412</v>
      </c>
      <c r="D3262" s="50" t="s">
        <v>261</v>
      </c>
      <c r="E3262" s="50">
        <v>0</v>
      </c>
      <c r="F3262" s="51">
        <v>0.81591957138032178</v>
      </c>
      <c r="G3262" s="51" t="str">
        <v>福井 2022/08/06 (土)
休日午後</v>
      </c>
    </row>
    <row r="3263" spans="1:7" ht="16.149999999999999" x14ac:dyDescent="0.7">
      <c r="A3263" s="49">
        <v>44772.901280624996</v>
      </c>
      <c r="B3263" s="50" t="s">
        <v>10</v>
      </c>
      <c r="C3263" s="50" t="s">
        <v>413</v>
      </c>
      <c r="D3263" s="50" t="s">
        <v>263</v>
      </c>
      <c r="E3263" s="50">
        <v>-1</v>
      </c>
      <c r="F3263" s="51">
        <v>-6.3603464470967541E-2</v>
      </c>
      <c r="G3263" s="51" t="str">
        <v>福井 2022/08/07 (日)
休日午前</v>
      </c>
    </row>
    <row r="3264" spans="1:7" ht="16.149999999999999" x14ac:dyDescent="0.7">
      <c r="A3264" s="49">
        <v>44772.901280624996</v>
      </c>
      <c r="B3264" s="50" t="s">
        <v>10</v>
      </c>
      <c r="C3264" s="50" t="s">
        <v>414</v>
      </c>
      <c r="D3264" s="50" t="s">
        <v>261</v>
      </c>
      <c r="E3264" s="50">
        <v>-1</v>
      </c>
      <c r="F3264" s="51">
        <v>-0.93951020381807471</v>
      </c>
      <c r="G3264" s="51" t="str">
        <v>福井 2022/08/07 (日)
休日午後</v>
      </c>
    </row>
    <row r="3265" spans="1:7" ht="16.149999999999999" x14ac:dyDescent="0.7">
      <c r="A3265" s="49">
        <v>44772.901280624996</v>
      </c>
      <c r="B3265" s="50" t="s">
        <v>10</v>
      </c>
      <c r="C3265" s="50" t="s">
        <v>415</v>
      </c>
      <c r="D3265" s="50" t="s">
        <v>259</v>
      </c>
      <c r="E3265" s="50">
        <v>2</v>
      </c>
      <c r="F3265" s="51">
        <v>2.847529079874608</v>
      </c>
      <c r="G3265" s="51" t="str">
        <v>福井 2022/08/08 (月)
平日夜間</v>
      </c>
    </row>
    <row r="3266" spans="1:7" ht="16.149999999999999" x14ac:dyDescent="0.7">
      <c r="A3266" s="49">
        <v>44772.901280624996</v>
      </c>
      <c r="B3266" s="50" t="s">
        <v>10</v>
      </c>
      <c r="C3266" s="50" t="s">
        <v>416</v>
      </c>
      <c r="D3266" s="50" t="s">
        <v>259</v>
      </c>
      <c r="E3266" s="50">
        <v>0</v>
      </c>
      <c r="F3266" s="51">
        <v>0.28769786570969447</v>
      </c>
      <c r="G3266" s="51" t="str">
        <v>福井 2022/08/09 (火)
平日夜間</v>
      </c>
    </row>
    <row r="3267" spans="1:7" ht="16.149999999999999" x14ac:dyDescent="0.7">
      <c r="A3267" s="49">
        <v>44772.901280624996</v>
      </c>
      <c r="B3267" s="50" t="s">
        <v>10</v>
      </c>
      <c r="C3267" s="50" t="s">
        <v>417</v>
      </c>
      <c r="D3267" s="50" t="s">
        <v>259</v>
      </c>
      <c r="E3267" s="50">
        <v>0</v>
      </c>
      <c r="F3267" s="51">
        <v>0.5444827201759761</v>
      </c>
      <c r="G3267" s="51" t="str">
        <v>福井 2022/08/10 (水)
平日夜間</v>
      </c>
    </row>
    <row r="3268" spans="1:7" ht="16.149999999999999" x14ac:dyDescent="0.7">
      <c r="A3268" s="49">
        <v>44772.901280624996</v>
      </c>
      <c r="B3268" s="50" t="s">
        <v>10</v>
      </c>
      <c r="C3268" s="50" t="s">
        <v>418</v>
      </c>
      <c r="D3268" s="50" t="s">
        <v>263</v>
      </c>
      <c r="E3268" s="50">
        <v>0</v>
      </c>
      <c r="F3268" s="51">
        <v>0.91903903033366485</v>
      </c>
      <c r="G3268" s="51" t="str">
        <v>福井 2022/08/11 (木)
休日午前</v>
      </c>
    </row>
    <row r="3269" spans="1:7" ht="16.149999999999999" x14ac:dyDescent="0.7">
      <c r="A3269" s="49">
        <v>44772.901280624996</v>
      </c>
      <c r="B3269" s="50" t="s">
        <v>10</v>
      </c>
      <c r="C3269" s="50" t="s">
        <v>419</v>
      </c>
      <c r="D3269" s="50" t="s">
        <v>261</v>
      </c>
      <c r="E3269" s="50">
        <v>0</v>
      </c>
      <c r="F3269" s="51">
        <v>4.2276193838351572E-2</v>
      </c>
      <c r="G3269" s="51" t="str">
        <v>福井 2022/08/11 (木)
休日午後</v>
      </c>
    </row>
    <row r="3270" spans="1:7" ht="16.149999999999999" x14ac:dyDescent="0.7">
      <c r="A3270" s="49">
        <v>44772.901280624996</v>
      </c>
      <c r="B3270" s="50" t="s">
        <v>10</v>
      </c>
      <c r="C3270" s="50" t="s">
        <v>420</v>
      </c>
      <c r="D3270" s="50" t="s">
        <v>259</v>
      </c>
      <c r="E3270" s="50">
        <v>-1</v>
      </c>
      <c r="F3270" s="51">
        <v>-0.4522997822444057</v>
      </c>
      <c r="G3270" s="51" t="str">
        <v>福井 2022/08/12 (金)
平日夜間</v>
      </c>
    </row>
    <row r="3271" spans="1:7" ht="16.149999999999999" x14ac:dyDescent="0.7">
      <c r="A3271" s="49">
        <v>44772.901280624996</v>
      </c>
      <c r="B3271" s="50" t="s">
        <v>10</v>
      </c>
      <c r="C3271" s="50" t="s">
        <v>421</v>
      </c>
      <c r="D3271" s="50" t="s">
        <v>263</v>
      </c>
      <c r="E3271" s="50">
        <v>0</v>
      </c>
      <c r="F3271" s="51">
        <v>0.60627283054140957</v>
      </c>
      <c r="G3271" s="51" t="str">
        <v>福井 2022/08/13 (土)
休日午前</v>
      </c>
    </row>
    <row r="3272" spans="1:7" ht="16.149999999999999" x14ac:dyDescent="0.7">
      <c r="A3272" s="49">
        <v>44772.901280624996</v>
      </c>
      <c r="B3272" s="50" t="s">
        <v>10</v>
      </c>
      <c r="C3272" s="50" t="s">
        <v>422</v>
      </c>
      <c r="D3272" s="50" t="s">
        <v>261</v>
      </c>
      <c r="E3272" s="50">
        <v>2</v>
      </c>
      <c r="F3272" s="51">
        <v>2.5012292374488139</v>
      </c>
      <c r="G3272" s="51" t="str">
        <v>福井 2022/08/13 (土)
休日午後</v>
      </c>
    </row>
    <row r="3273" spans="1:7" ht="16.149999999999999" x14ac:dyDescent="0.7">
      <c r="A3273" s="49">
        <v>44772.901280624996</v>
      </c>
      <c r="B3273" s="50" t="s">
        <v>10</v>
      </c>
      <c r="C3273" s="50" t="s">
        <v>423</v>
      </c>
      <c r="D3273" s="50" t="s">
        <v>263</v>
      </c>
      <c r="E3273" s="50">
        <v>-1</v>
      </c>
      <c r="F3273" s="51">
        <v>-0.19609667795763275</v>
      </c>
      <c r="G3273" s="51" t="str">
        <v>福井 2022/08/14 (日)
休日午前</v>
      </c>
    </row>
    <row r="3274" spans="1:7" ht="16.149999999999999" x14ac:dyDescent="0.7">
      <c r="A3274" s="49">
        <v>44772.901280624996</v>
      </c>
      <c r="B3274" s="50" t="s">
        <v>10</v>
      </c>
      <c r="C3274" s="50" t="s">
        <v>424</v>
      </c>
      <c r="D3274" s="50" t="s">
        <v>261</v>
      </c>
      <c r="E3274" s="50">
        <v>-1</v>
      </c>
      <c r="F3274" s="51">
        <v>-0.27285051731037724</v>
      </c>
      <c r="G3274" s="51" t="str">
        <v>福井 2022/08/14 (日)
休日午後</v>
      </c>
    </row>
    <row r="3275" spans="1:7" ht="16.149999999999999" x14ac:dyDescent="0.7">
      <c r="A3275" s="49">
        <v>44772.901280624996</v>
      </c>
      <c r="B3275" s="50" t="s">
        <v>10</v>
      </c>
      <c r="C3275" s="50" t="s">
        <v>425</v>
      </c>
      <c r="D3275" s="50" t="s">
        <v>259</v>
      </c>
      <c r="E3275" s="50">
        <v>0</v>
      </c>
      <c r="F3275" s="51">
        <v>0.62827787885184838</v>
      </c>
      <c r="G3275" s="51" t="str">
        <v>福井 2022/08/15 (月)
平日夜間</v>
      </c>
    </row>
    <row r="3276" spans="1:7" ht="16.149999999999999" x14ac:dyDescent="0.7">
      <c r="A3276" s="49">
        <v>44772.901280624996</v>
      </c>
      <c r="B3276" s="50" t="s">
        <v>10</v>
      </c>
      <c r="C3276" s="50" t="s">
        <v>426</v>
      </c>
      <c r="D3276" s="50" t="s">
        <v>259</v>
      </c>
      <c r="E3276" s="50">
        <v>0</v>
      </c>
      <c r="F3276" s="51">
        <v>0.4613680154663895</v>
      </c>
      <c r="G3276" s="51" t="str">
        <v>福井 2022/08/16 (火)
平日夜間</v>
      </c>
    </row>
    <row r="3277" spans="1:7" ht="16.149999999999999" x14ac:dyDescent="0.7">
      <c r="A3277" s="49">
        <v>44772.901280624996</v>
      </c>
      <c r="B3277" s="50" t="s">
        <v>10</v>
      </c>
      <c r="C3277" s="50" t="s">
        <v>427</v>
      </c>
      <c r="D3277" s="50" t="s">
        <v>259</v>
      </c>
      <c r="E3277" s="50">
        <v>0</v>
      </c>
      <c r="F3277" s="51">
        <v>0.68514364663700866</v>
      </c>
      <c r="G3277" s="51" t="str">
        <v>福井 2022/08/17 (水)
平日夜間</v>
      </c>
    </row>
    <row r="3278" spans="1:7" ht="16.149999999999999" x14ac:dyDescent="0.7">
      <c r="A3278" s="49">
        <v>44772.901280624996</v>
      </c>
      <c r="B3278" s="50" t="s">
        <v>10</v>
      </c>
      <c r="C3278" s="50" t="s">
        <v>428</v>
      </c>
      <c r="D3278" s="50" t="s">
        <v>259</v>
      </c>
      <c r="E3278" s="50">
        <v>0</v>
      </c>
      <c r="F3278" s="51">
        <v>0.52177946125924279</v>
      </c>
      <c r="G3278" s="51" t="str">
        <v>福井 2022/08/18 (木)
平日夜間</v>
      </c>
    </row>
    <row r="3279" spans="1:7" ht="16.149999999999999" x14ac:dyDescent="0.7">
      <c r="A3279" s="49">
        <v>44772.901280624996</v>
      </c>
      <c r="B3279" s="50" t="s">
        <v>10</v>
      </c>
      <c r="C3279" s="50" t="s">
        <v>429</v>
      </c>
      <c r="D3279" s="50" t="s">
        <v>259</v>
      </c>
      <c r="E3279" s="50">
        <v>-1</v>
      </c>
      <c r="F3279" s="51">
        <v>-0.35187917243833033</v>
      </c>
      <c r="G3279" s="51" t="str">
        <v>福井 2022/08/19 (金)
平日夜間</v>
      </c>
    </row>
    <row r="3280" spans="1:7" ht="16.149999999999999" x14ac:dyDescent="0.7">
      <c r="A3280" s="49">
        <v>44772.901280624996</v>
      </c>
      <c r="B3280" s="50" t="s">
        <v>10</v>
      </c>
      <c r="C3280" s="50" t="s">
        <v>430</v>
      </c>
      <c r="D3280" s="50" t="s">
        <v>263</v>
      </c>
      <c r="E3280" s="50">
        <v>-1</v>
      </c>
      <c r="F3280" s="51">
        <v>-0.65343457797829352</v>
      </c>
      <c r="G3280" s="51" t="str">
        <v>福井 2022/08/20 (土)
休日午前</v>
      </c>
    </row>
    <row r="3281" spans="1:7" ht="16.149999999999999" x14ac:dyDescent="0.7">
      <c r="A3281" s="49">
        <v>44772.901280624996</v>
      </c>
      <c r="B3281" s="50" t="s">
        <v>10</v>
      </c>
      <c r="C3281" s="50" t="s">
        <v>431</v>
      </c>
      <c r="D3281" s="50" t="s">
        <v>261</v>
      </c>
      <c r="E3281" s="50">
        <v>-1</v>
      </c>
      <c r="F3281" s="51">
        <v>-0.179449893831922</v>
      </c>
      <c r="G3281" s="51" t="str">
        <v>福井 2022/08/20 (土)
休日午後</v>
      </c>
    </row>
    <row r="3282" spans="1:7" ht="16.149999999999999" x14ac:dyDescent="0.7">
      <c r="A3282" s="49">
        <v>44772.901280624996</v>
      </c>
      <c r="B3282" s="50" t="s">
        <v>10</v>
      </c>
      <c r="C3282" s="50" t="s">
        <v>432</v>
      </c>
      <c r="D3282" s="50" t="s">
        <v>263</v>
      </c>
      <c r="E3282" s="50">
        <v>-1</v>
      </c>
      <c r="F3282" s="51">
        <v>-0.57939161308667053</v>
      </c>
      <c r="G3282" s="51" t="str">
        <v>福井 2022/08/21 (日)
休日午前</v>
      </c>
    </row>
    <row r="3283" spans="1:7" ht="16.149999999999999" x14ac:dyDescent="0.7">
      <c r="A3283" s="49">
        <v>44772.901280624996</v>
      </c>
      <c r="B3283" s="50" t="s">
        <v>10</v>
      </c>
      <c r="C3283" s="50" t="s">
        <v>433</v>
      </c>
      <c r="D3283" s="50" t="s">
        <v>261</v>
      </c>
      <c r="E3283" s="50">
        <v>-1</v>
      </c>
      <c r="F3283" s="51">
        <v>-0.28260802569966414</v>
      </c>
      <c r="G3283" s="51" t="str">
        <v>福井 2022/08/21 (日)
休日午後</v>
      </c>
    </row>
    <row r="3284" spans="1:7" ht="16.149999999999999" x14ac:dyDescent="0.7">
      <c r="A3284" s="49">
        <v>44772.901280624996</v>
      </c>
      <c r="B3284" s="50" t="s">
        <v>10</v>
      </c>
      <c r="C3284" s="50" t="s">
        <v>434</v>
      </c>
      <c r="D3284" s="50" t="s">
        <v>259</v>
      </c>
      <c r="E3284" s="50">
        <v>0</v>
      </c>
      <c r="F3284" s="51">
        <v>0.25702030853340418</v>
      </c>
      <c r="G3284" s="51" t="str">
        <v>福井 2022/08/22 (月)
平日夜間</v>
      </c>
    </row>
    <row r="3285" spans="1:7" ht="16.149999999999999" x14ac:dyDescent="0.7">
      <c r="A3285" s="49">
        <v>44772.901280624996</v>
      </c>
      <c r="B3285" s="50" t="s">
        <v>10</v>
      </c>
      <c r="C3285" s="50" t="s">
        <v>435</v>
      </c>
      <c r="D3285" s="50" t="s">
        <v>259</v>
      </c>
      <c r="E3285" s="50">
        <v>0</v>
      </c>
      <c r="F3285" s="51">
        <v>0.18623886712560767</v>
      </c>
      <c r="G3285" s="51" t="str">
        <v>福井 2022/08/23 (火)
平日夜間</v>
      </c>
    </row>
    <row r="3286" spans="1:7" ht="16.149999999999999" x14ac:dyDescent="0.7">
      <c r="A3286" s="49">
        <v>44772.901280624996</v>
      </c>
      <c r="B3286" s="50" t="s">
        <v>10</v>
      </c>
      <c r="C3286" s="50" t="s">
        <v>436</v>
      </c>
      <c r="D3286" s="50" t="s">
        <v>259</v>
      </c>
      <c r="E3286" s="50">
        <v>0</v>
      </c>
      <c r="F3286" s="51">
        <v>0.97023470234164644</v>
      </c>
      <c r="G3286" s="51" t="str">
        <v>福井 2022/08/24 (水)
平日夜間</v>
      </c>
    </row>
    <row r="3287" spans="1:7" ht="16.149999999999999" x14ac:dyDescent="0.7">
      <c r="A3287" s="49">
        <v>44772.901280624996</v>
      </c>
      <c r="B3287" s="50" t="s">
        <v>10</v>
      </c>
      <c r="C3287" s="50" t="s">
        <v>437</v>
      </c>
      <c r="D3287" s="50" t="s">
        <v>259</v>
      </c>
      <c r="E3287" s="50">
        <v>0</v>
      </c>
      <c r="F3287" s="51">
        <v>0.76920355258148287</v>
      </c>
      <c r="G3287" s="51" t="str">
        <v>福井 2022/08/25 (木)
平日夜間</v>
      </c>
    </row>
    <row r="3288" spans="1:7" ht="16.149999999999999" x14ac:dyDescent="0.7">
      <c r="A3288" s="49">
        <v>44772.901280624996</v>
      </c>
      <c r="B3288" s="50" t="s">
        <v>10</v>
      </c>
      <c r="C3288" s="50" t="s">
        <v>438</v>
      </c>
      <c r="D3288" s="50" t="s">
        <v>259</v>
      </c>
      <c r="E3288" s="50">
        <v>0</v>
      </c>
      <c r="F3288" s="51">
        <v>0.80188118748583714</v>
      </c>
      <c r="G3288" s="51" t="str">
        <v>福井 2022/08/26 (金)
平日夜間</v>
      </c>
    </row>
    <row r="3289" spans="1:7" ht="16.149999999999999" x14ac:dyDescent="0.7">
      <c r="A3289" s="49">
        <v>44772.901280624996</v>
      </c>
      <c r="B3289" s="50" t="s">
        <v>10</v>
      </c>
      <c r="C3289" s="50" t="s">
        <v>439</v>
      </c>
      <c r="D3289" s="50" t="s">
        <v>263</v>
      </c>
      <c r="E3289" s="50">
        <v>0</v>
      </c>
      <c r="F3289" s="51">
        <v>0.75173411230789133</v>
      </c>
      <c r="G3289" s="51" t="str">
        <v>福井 2022/08/27 (土)
休日午前</v>
      </c>
    </row>
    <row r="3290" spans="1:7" ht="16.149999999999999" x14ac:dyDescent="0.7">
      <c r="A3290" s="49">
        <v>44772.901280624996</v>
      </c>
      <c r="B3290" s="50" t="s">
        <v>10</v>
      </c>
      <c r="C3290" s="50" t="s">
        <v>440</v>
      </c>
      <c r="D3290" s="50" t="s">
        <v>261</v>
      </c>
      <c r="E3290" s="50">
        <v>0</v>
      </c>
      <c r="F3290" s="51">
        <v>0.69572493393696977</v>
      </c>
      <c r="G3290" s="51" t="str">
        <v>福井 2022/08/27 (土)
休日午後</v>
      </c>
    </row>
    <row r="3291" spans="1:7" ht="16.149999999999999" x14ac:dyDescent="0.7">
      <c r="A3291" s="49">
        <v>44772.901280624996</v>
      </c>
      <c r="B3291" s="50" t="s">
        <v>10</v>
      </c>
      <c r="C3291" s="50" t="s">
        <v>441</v>
      </c>
      <c r="D3291" s="50" t="s">
        <v>263</v>
      </c>
      <c r="E3291" s="50">
        <v>-1</v>
      </c>
      <c r="F3291" s="51">
        <v>-5.4835973487805223E-2</v>
      </c>
      <c r="G3291" s="51" t="str">
        <v>福井 2022/08/28 (日)
休日午前</v>
      </c>
    </row>
    <row r="3292" spans="1:7" ht="16.149999999999999" x14ac:dyDescent="0.7">
      <c r="A3292" s="49">
        <v>44772.901280624996</v>
      </c>
      <c r="B3292" s="50" t="s">
        <v>10</v>
      </c>
      <c r="C3292" s="50" t="s">
        <v>442</v>
      </c>
      <c r="D3292" s="50" t="s">
        <v>261</v>
      </c>
      <c r="E3292" s="50">
        <v>-1</v>
      </c>
      <c r="F3292" s="51">
        <v>-0.91971727117189706</v>
      </c>
      <c r="G3292" s="51" t="str">
        <v>福井 2022/08/28 (日)
休日午後</v>
      </c>
    </row>
    <row r="3293" spans="1:7" ht="16.149999999999999" x14ac:dyDescent="0.7">
      <c r="A3293" s="49">
        <v>44772.901280624996</v>
      </c>
      <c r="B3293" s="50" t="s">
        <v>10</v>
      </c>
      <c r="C3293" s="50" t="s">
        <v>443</v>
      </c>
      <c r="D3293" s="50" t="s">
        <v>259</v>
      </c>
      <c r="E3293" s="50">
        <v>0</v>
      </c>
      <c r="F3293" s="51">
        <v>0.24490950805418255</v>
      </c>
      <c r="G3293" s="51" t="str">
        <v>福井 2022/08/29 (月)
平日夜間</v>
      </c>
    </row>
    <row r="3294" spans="1:7" ht="16.149999999999999" x14ac:dyDescent="0.7">
      <c r="A3294" s="49">
        <v>44772.901280624996</v>
      </c>
      <c r="B3294" s="50" t="s">
        <v>10</v>
      </c>
      <c r="C3294" s="50" t="s">
        <v>444</v>
      </c>
      <c r="D3294" s="50" t="s">
        <v>259</v>
      </c>
      <c r="E3294" s="50">
        <v>0</v>
      </c>
      <c r="F3294" s="51">
        <v>0.8986115214438084</v>
      </c>
      <c r="G3294" s="51" t="str">
        <v>福井 2022/08/30 (火)
平日夜間</v>
      </c>
    </row>
    <row r="3295" spans="1:7" ht="16.149999999999999" x14ac:dyDescent="0.7">
      <c r="A3295" s="49">
        <v>44772.901280624996</v>
      </c>
      <c r="B3295" s="50" t="s">
        <v>10</v>
      </c>
      <c r="C3295" s="50" t="s">
        <v>445</v>
      </c>
      <c r="D3295" s="50" t="s">
        <v>259</v>
      </c>
      <c r="E3295" s="50">
        <v>0</v>
      </c>
      <c r="F3295" s="51">
        <v>0.27404899828521989</v>
      </c>
      <c r="G3295" s="51" t="str">
        <v>福井 2022/08/31 (水)
平日夜間</v>
      </c>
    </row>
    <row r="3296" spans="1:7" ht="16.149999999999999" x14ac:dyDescent="0.7">
      <c r="A3296" s="49">
        <v>44775.417013564816</v>
      </c>
      <c r="B3296" s="50" t="s">
        <v>29</v>
      </c>
      <c r="C3296" s="50" t="s">
        <v>406</v>
      </c>
      <c r="D3296" s="50" t="s">
        <v>259</v>
      </c>
      <c r="E3296" s="50">
        <v>0</v>
      </c>
      <c r="F3296" s="51">
        <v>0.88242574912649596</v>
      </c>
      <c r="G3296" s="51" t="str">
        <v>福里 2022/08/01 (月)
平日夜間</v>
      </c>
    </row>
    <row r="3297" spans="1:7" ht="16.149999999999999" x14ac:dyDescent="0.7">
      <c r="A3297" s="49">
        <v>44775.417013564816</v>
      </c>
      <c r="B3297" s="50" t="s">
        <v>29</v>
      </c>
      <c r="C3297" s="50" t="s">
        <v>407</v>
      </c>
      <c r="D3297" s="50" t="s">
        <v>259</v>
      </c>
      <c r="E3297" s="50">
        <v>0</v>
      </c>
      <c r="F3297" s="51">
        <v>0.72202248657115775</v>
      </c>
      <c r="G3297" s="51" t="str">
        <v>福里 2022/08/02 (火)
平日夜間</v>
      </c>
    </row>
    <row r="3298" spans="1:7" ht="16.149999999999999" x14ac:dyDescent="0.7">
      <c r="A3298" s="49">
        <v>44775.417013564816</v>
      </c>
      <c r="B3298" s="50" t="s">
        <v>29</v>
      </c>
      <c r="C3298" s="50" t="s">
        <v>408</v>
      </c>
      <c r="D3298" s="50" t="s">
        <v>259</v>
      </c>
      <c r="E3298" s="50">
        <v>0</v>
      </c>
      <c r="F3298" s="51">
        <v>0.68992744837289299</v>
      </c>
      <c r="G3298" s="51" t="str">
        <v>福里 2022/08/03 (水)
平日夜間</v>
      </c>
    </row>
    <row r="3299" spans="1:7" ht="16.149999999999999" x14ac:dyDescent="0.7">
      <c r="A3299" s="49">
        <v>44775.417013564816</v>
      </c>
      <c r="B3299" s="50" t="s">
        <v>29</v>
      </c>
      <c r="C3299" s="50" t="s">
        <v>409</v>
      </c>
      <c r="D3299" s="50" t="s">
        <v>259</v>
      </c>
      <c r="E3299" s="50">
        <v>0</v>
      </c>
      <c r="F3299" s="51">
        <v>0.74869605521221771</v>
      </c>
      <c r="G3299" s="51" t="str">
        <v>福里 2022/08/04 (木)
平日夜間</v>
      </c>
    </row>
    <row r="3300" spans="1:7" ht="16.149999999999999" x14ac:dyDescent="0.7">
      <c r="A3300" s="49">
        <v>44775.417013564816</v>
      </c>
      <c r="B3300" s="50" t="s">
        <v>29</v>
      </c>
      <c r="C3300" s="50" t="s">
        <v>410</v>
      </c>
      <c r="D3300" s="50" t="s">
        <v>259</v>
      </c>
      <c r="E3300" s="50">
        <v>0</v>
      </c>
      <c r="F3300" s="51">
        <v>0.31465999769005526</v>
      </c>
      <c r="G3300" s="51" t="str">
        <v>福里 2022/08/05 (金)
平日夜間</v>
      </c>
    </row>
    <row r="3301" spans="1:7" ht="16.149999999999999" x14ac:dyDescent="0.7">
      <c r="A3301" s="49">
        <v>44775.417013564816</v>
      </c>
      <c r="B3301" s="50" t="s">
        <v>29</v>
      </c>
      <c r="C3301" s="50" t="s">
        <v>411</v>
      </c>
      <c r="D3301" s="50" t="s">
        <v>263</v>
      </c>
      <c r="E3301" s="50">
        <v>0</v>
      </c>
      <c r="F3301" s="51">
        <v>0.81625631443124402</v>
      </c>
      <c r="G3301" s="51" t="str">
        <v>福里 2022/08/06 (土)
休日午前</v>
      </c>
    </row>
    <row r="3302" spans="1:7" ht="16.149999999999999" x14ac:dyDescent="0.7">
      <c r="A3302" s="49">
        <v>44775.417013564816</v>
      </c>
      <c r="B3302" s="50" t="s">
        <v>29</v>
      </c>
      <c r="C3302" s="50" t="s">
        <v>412</v>
      </c>
      <c r="D3302" s="50" t="s">
        <v>261</v>
      </c>
      <c r="E3302" s="50">
        <v>-1</v>
      </c>
      <c r="F3302" s="51">
        <v>-0.18795987237127809</v>
      </c>
      <c r="G3302" s="51" t="str">
        <v>福里 2022/08/06 (土)
休日午後</v>
      </c>
    </row>
    <row r="3303" spans="1:7" ht="16.149999999999999" x14ac:dyDescent="0.7">
      <c r="A3303" s="49">
        <v>44775.417013564816</v>
      </c>
      <c r="B3303" s="50" t="s">
        <v>29</v>
      </c>
      <c r="C3303" s="50" t="s">
        <v>413</v>
      </c>
      <c r="D3303" s="50" t="s">
        <v>263</v>
      </c>
      <c r="E3303" s="50">
        <v>0</v>
      </c>
      <c r="F3303" s="51">
        <v>0.34323040060199461</v>
      </c>
      <c r="G3303" s="51" t="str">
        <v>福里 2022/08/07 (日)
休日午前</v>
      </c>
    </row>
    <row r="3304" spans="1:7" ht="16.149999999999999" x14ac:dyDescent="0.7">
      <c r="A3304" s="49">
        <v>44775.417013564816</v>
      </c>
      <c r="B3304" s="50" t="s">
        <v>29</v>
      </c>
      <c r="C3304" s="50" t="s">
        <v>414</v>
      </c>
      <c r="D3304" s="50" t="s">
        <v>261</v>
      </c>
      <c r="E3304" s="50">
        <v>-1</v>
      </c>
      <c r="F3304" s="51">
        <v>-0.18452938972259458</v>
      </c>
      <c r="G3304" s="51" t="str">
        <v>福里 2022/08/07 (日)
休日午後</v>
      </c>
    </row>
    <row r="3305" spans="1:7" ht="16.149999999999999" x14ac:dyDescent="0.7">
      <c r="A3305" s="49">
        <v>44775.417013564816</v>
      </c>
      <c r="B3305" s="50" t="s">
        <v>29</v>
      </c>
      <c r="C3305" s="50" t="s">
        <v>415</v>
      </c>
      <c r="D3305" s="50" t="s">
        <v>259</v>
      </c>
      <c r="E3305" s="50">
        <v>-1</v>
      </c>
      <c r="F3305" s="51">
        <v>-0.59383548754435034</v>
      </c>
      <c r="G3305" s="51" t="str">
        <v>福里 2022/08/08 (月)
平日夜間</v>
      </c>
    </row>
    <row r="3306" spans="1:7" ht="16.149999999999999" x14ac:dyDescent="0.7">
      <c r="A3306" s="49">
        <v>44775.417013564816</v>
      </c>
      <c r="B3306" s="50" t="s">
        <v>29</v>
      </c>
      <c r="C3306" s="50" t="s">
        <v>416</v>
      </c>
      <c r="D3306" s="50" t="s">
        <v>259</v>
      </c>
      <c r="E3306" s="50">
        <v>-1</v>
      </c>
      <c r="F3306" s="51">
        <v>-0.72429085444981078</v>
      </c>
      <c r="G3306" s="51" t="str">
        <v>福里 2022/08/09 (火)
平日夜間</v>
      </c>
    </row>
    <row r="3307" spans="1:7" ht="16.149999999999999" x14ac:dyDescent="0.7">
      <c r="A3307" s="49">
        <v>44775.417013564816</v>
      </c>
      <c r="B3307" s="50" t="s">
        <v>29</v>
      </c>
      <c r="C3307" s="50" t="s">
        <v>417</v>
      </c>
      <c r="D3307" s="50" t="s">
        <v>259</v>
      </c>
      <c r="E3307" s="50">
        <v>-1</v>
      </c>
      <c r="F3307" s="51">
        <v>-0.28400581043786377</v>
      </c>
      <c r="G3307" s="51" t="str">
        <v>福里 2022/08/10 (水)
平日夜間</v>
      </c>
    </row>
    <row r="3308" spans="1:7" ht="16.149999999999999" x14ac:dyDescent="0.7">
      <c r="A3308" s="49">
        <v>44775.417013564816</v>
      </c>
      <c r="B3308" s="50" t="s">
        <v>29</v>
      </c>
      <c r="C3308" s="50" t="s">
        <v>418</v>
      </c>
      <c r="D3308" s="50" t="s">
        <v>263</v>
      </c>
      <c r="E3308" s="50">
        <v>0</v>
      </c>
      <c r="F3308" s="51">
        <v>0.30823788010354347</v>
      </c>
      <c r="G3308" s="51" t="str">
        <v>福里 2022/08/11 (木)
休日午前</v>
      </c>
    </row>
    <row r="3309" spans="1:7" ht="16.149999999999999" x14ac:dyDescent="0.7">
      <c r="A3309" s="49">
        <v>44775.417013564816</v>
      </c>
      <c r="B3309" s="50" t="s">
        <v>29</v>
      </c>
      <c r="C3309" s="50" t="s">
        <v>419</v>
      </c>
      <c r="D3309" s="50" t="s">
        <v>261</v>
      </c>
      <c r="E3309" s="50">
        <v>-1</v>
      </c>
      <c r="F3309" s="51">
        <v>-0.98656618835990617</v>
      </c>
      <c r="G3309" s="51" t="str">
        <v>福里 2022/08/11 (木)
休日午後</v>
      </c>
    </row>
    <row r="3310" spans="1:7" ht="16.149999999999999" x14ac:dyDescent="0.7">
      <c r="A3310" s="49">
        <v>44775.417013564816</v>
      </c>
      <c r="B3310" s="50" t="s">
        <v>29</v>
      </c>
      <c r="C3310" s="50" t="s">
        <v>420</v>
      </c>
      <c r="D3310" s="50" t="s">
        <v>259</v>
      </c>
      <c r="E3310" s="50">
        <v>-1</v>
      </c>
      <c r="F3310" s="51">
        <v>-0.16239850411168222</v>
      </c>
      <c r="G3310" s="51" t="str">
        <v>福里 2022/08/12 (金)
平日夜間</v>
      </c>
    </row>
    <row r="3311" spans="1:7" ht="16.149999999999999" x14ac:dyDescent="0.7">
      <c r="A3311" s="49">
        <v>44775.417013564816</v>
      </c>
      <c r="B3311" s="50" t="s">
        <v>29</v>
      </c>
      <c r="C3311" s="50" t="s">
        <v>421</v>
      </c>
      <c r="D3311" s="50" t="s">
        <v>263</v>
      </c>
      <c r="E3311" s="50">
        <v>-1</v>
      </c>
      <c r="F3311" s="51">
        <v>-0.89553358422689744</v>
      </c>
      <c r="G3311" s="51" t="str">
        <v>福里 2022/08/13 (土)
休日午前</v>
      </c>
    </row>
    <row r="3312" spans="1:7" ht="16.149999999999999" x14ac:dyDescent="0.7">
      <c r="A3312" s="49">
        <v>44775.417013564816</v>
      </c>
      <c r="B3312" s="50" t="s">
        <v>29</v>
      </c>
      <c r="C3312" s="50" t="s">
        <v>422</v>
      </c>
      <c r="D3312" s="50" t="s">
        <v>261</v>
      </c>
      <c r="E3312" s="50">
        <v>-1</v>
      </c>
      <c r="F3312" s="51">
        <v>-6.3626153676363373E-2</v>
      </c>
      <c r="G3312" s="51" t="str">
        <v>福里 2022/08/13 (土)
休日午後</v>
      </c>
    </row>
    <row r="3313" spans="1:7" ht="16.149999999999999" x14ac:dyDescent="0.7">
      <c r="A3313" s="49">
        <v>44775.417013564816</v>
      </c>
      <c r="B3313" s="50" t="s">
        <v>29</v>
      </c>
      <c r="C3313" s="50" t="s">
        <v>423</v>
      </c>
      <c r="D3313" s="50" t="s">
        <v>263</v>
      </c>
      <c r="E3313" s="50">
        <v>-1</v>
      </c>
      <c r="F3313" s="51">
        <v>-0.88425041331762566</v>
      </c>
      <c r="G3313" s="51" t="str">
        <v>福里 2022/08/14 (日)
休日午前</v>
      </c>
    </row>
    <row r="3314" spans="1:7" ht="16.149999999999999" x14ac:dyDescent="0.7">
      <c r="A3314" s="49">
        <v>44775.417013564816</v>
      </c>
      <c r="B3314" s="50" t="s">
        <v>29</v>
      </c>
      <c r="C3314" s="50" t="s">
        <v>424</v>
      </c>
      <c r="D3314" s="50" t="s">
        <v>261</v>
      </c>
      <c r="E3314" s="50">
        <v>-1</v>
      </c>
      <c r="F3314" s="51">
        <v>-3.440612444958191E-3</v>
      </c>
      <c r="G3314" s="51" t="str">
        <v>福里 2022/08/14 (日)
休日午後</v>
      </c>
    </row>
    <row r="3315" spans="1:7" ht="16.149999999999999" x14ac:dyDescent="0.7">
      <c r="A3315" s="49">
        <v>44775.417013564816</v>
      </c>
      <c r="B3315" s="50" t="s">
        <v>29</v>
      </c>
      <c r="C3315" s="50" t="s">
        <v>425</v>
      </c>
      <c r="D3315" s="50" t="s">
        <v>259</v>
      </c>
      <c r="E3315" s="50">
        <v>-1</v>
      </c>
      <c r="F3315" s="51">
        <v>-0.44446916294610306</v>
      </c>
      <c r="G3315" s="51" t="str">
        <v>福里 2022/08/15 (月)
平日夜間</v>
      </c>
    </row>
    <row r="3316" spans="1:7" ht="16.149999999999999" x14ac:dyDescent="0.7">
      <c r="A3316" s="49">
        <v>44775.417013564816</v>
      </c>
      <c r="B3316" s="50" t="s">
        <v>29</v>
      </c>
      <c r="C3316" s="50" t="s">
        <v>426</v>
      </c>
      <c r="D3316" s="50" t="s">
        <v>259</v>
      </c>
      <c r="E3316" s="50">
        <v>0</v>
      </c>
      <c r="F3316" s="51">
        <v>0.9432174565141298</v>
      </c>
      <c r="G3316" s="51" t="str">
        <v>福里 2022/08/16 (火)
平日夜間</v>
      </c>
    </row>
    <row r="3317" spans="1:7" ht="16.149999999999999" x14ac:dyDescent="0.7">
      <c r="A3317" s="49">
        <v>44775.417013564816</v>
      </c>
      <c r="B3317" s="50" t="s">
        <v>29</v>
      </c>
      <c r="C3317" s="50" t="s">
        <v>427</v>
      </c>
      <c r="D3317" s="50" t="s">
        <v>259</v>
      </c>
      <c r="E3317" s="50">
        <v>0</v>
      </c>
      <c r="F3317" s="51">
        <v>0.29831638332642374</v>
      </c>
      <c r="G3317" s="51" t="str">
        <v>福里 2022/08/17 (水)
平日夜間</v>
      </c>
    </row>
    <row r="3318" spans="1:7" ht="16.149999999999999" x14ac:dyDescent="0.7">
      <c r="A3318" s="49">
        <v>44775.417013564816</v>
      </c>
      <c r="B3318" s="50" t="s">
        <v>29</v>
      </c>
      <c r="C3318" s="50" t="s">
        <v>428</v>
      </c>
      <c r="D3318" s="50" t="s">
        <v>259</v>
      </c>
      <c r="E3318" s="50">
        <v>0</v>
      </c>
      <c r="F3318" s="51">
        <v>0.73103094382579958</v>
      </c>
      <c r="G3318" s="51" t="str">
        <v>福里 2022/08/18 (木)
平日夜間</v>
      </c>
    </row>
    <row r="3319" spans="1:7" ht="16.149999999999999" x14ac:dyDescent="0.7">
      <c r="A3319" s="49">
        <v>44775.417013564816</v>
      </c>
      <c r="B3319" s="50" t="s">
        <v>29</v>
      </c>
      <c r="C3319" s="50" t="s">
        <v>429</v>
      </c>
      <c r="D3319" s="50" t="s">
        <v>259</v>
      </c>
      <c r="E3319" s="50">
        <v>0</v>
      </c>
      <c r="F3319" s="51">
        <v>0.36148913760616108</v>
      </c>
      <c r="G3319" s="51" t="str">
        <v>福里 2022/08/19 (金)
平日夜間</v>
      </c>
    </row>
    <row r="3320" spans="1:7" ht="16.149999999999999" x14ac:dyDescent="0.7">
      <c r="A3320" s="49">
        <v>44775.417013564816</v>
      </c>
      <c r="B3320" s="50" t="s">
        <v>29</v>
      </c>
      <c r="C3320" s="50" t="s">
        <v>430</v>
      </c>
      <c r="D3320" s="50" t="s">
        <v>263</v>
      </c>
      <c r="E3320" s="50">
        <v>0</v>
      </c>
      <c r="F3320" s="51">
        <v>0.65570130965019824</v>
      </c>
      <c r="G3320" s="51" t="str">
        <v>福里 2022/08/20 (土)
休日午前</v>
      </c>
    </row>
    <row r="3321" spans="1:7" ht="16.149999999999999" x14ac:dyDescent="0.7">
      <c r="A3321" s="49">
        <v>44775.417013564816</v>
      </c>
      <c r="B3321" s="50" t="s">
        <v>29</v>
      </c>
      <c r="C3321" s="50" t="s">
        <v>431</v>
      </c>
      <c r="D3321" s="50" t="s">
        <v>261</v>
      </c>
      <c r="E3321" s="50">
        <v>0</v>
      </c>
      <c r="F3321" s="51">
        <v>0.57378165876002996</v>
      </c>
      <c r="G3321" s="51" t="str">
        <v>福里 2022/08/20 (土)
休日午後</v>
      </c>
    </row>
    <row r="3322" spans="1:7" ht="16.149999999999999" x14ac:dyDescent="0.7">
      <c r="A3322" s="49">
        <v>44775.417013564816</v>
      </c>
      <c r="B3322" s="50" t="s">
        <v>29</v>
      </c>
      <c r="C3322" s="50" t="s">
        <v>432</v>
      </c>
      <c r="D3322" s="50" t="s">
        <v>263</v>
      </c>
      <c r="E3322" s="50">
        <v>-1</v>
      </c>
      <c r="F3322" s="51">
        <v>-0.30877929655868375</v>
      </c>
      <c r="G3322" s="51" t="str">
        <v>福里 2022/08/21 (日)
休日午前</v>
      </c>
    </row>
    <row r="3323" spans="1:7" ht="16.149999999999999" x14ac:dyDescent="0.7">
      <c r="A3323" s="49">
        <v>44775.417013564816</v>
      </c>
      <c r="B3323" s="50" t="s">
        <v>29</v>
      </c>
      <c r="C3323" s="50" t="s">
        <v>433</v>
      </c>
      <c r="D3323" s="50" t="s">
        <v>261</v>
      </c>
      <c r="E3323" s="50">
        <v>-1</v>
      </c>
      <c r="F3323" s="51">
        <v>-0.9453065190155554</v>
      </c>
      <c r="G3323" s="51" t="str">
        <v>福里 2022/08/21 (日)
休日午後</v>
      </c>
    </row>
    <row r="3324" spans="1:7" ht="16.149999999999999" x14ac:dyDescent="0.7">
      <c r="A3324" s="49">
        <v>44775.417013564816</v>
      </c>
      <c r="B3324" s="50" t="s">
        <v>29</v>
      </c>
      <c r="C3324" s="50" t="s">
        <v>434</v>
      </c>
      <c r="D3324" s="50" t="s">
        <v>259</v>
      </c>
      <c r="E3324" s="50">
        <v>0</v>
      </c>
      <c r="F3324" s="51">
        <v>0.45939729148974862</v>
      </c>
      <c r="G3324" s="51" t="str">
        <v>福里 2022/08/22 (月)
平日夜間</v>
      </c>
    </row>
    <row r="3325" spans="1:7" ht="16.149999999999999" x14ac:dyDescent="0.7">
      <c r="A3325" s="49">
        <v>44775.417013564816</v>
      </c>
      <c r="B3325" s="50" t="s">
        <v>29</v>
      </c>
      <c r="C3325" s="50" t="s">
        <v>435</v>
      </c>
      <c r="D3325" s="50" t="s">
        <v>259</v>
      </c>
      <c r="E3325" s="50">
        <v>0</v>
      </c>
      <c r="F3325" s="51">
        <v>0.77943298037960584</v>
      </c>
      <c r="G3325" s="51" t="str">
        <v>福里 2022/08/23 (火)
平日夜間</v>
      </c>
    </row>
    <row r="3326" spans="1:7" ht="16.149999999999999" x14ac:dyDescent="0.7">
      <c r="A3326" s="49">
        <v>44775.417013564816</v>
      </c>
      <c r="B3326" s="50" t="s">
        <v>29</v>
      </c>
      <c r="C3326" s="50" t="s">
        <v>436</v>
      </c>
      <c r="D3326" s="50" t="s">
        <v>259</v>
      </c>
      <c r="E3326" s="50">
        <v>0</v>
      </c>
      <c r="F3326" s="51">
        <v>0.35637735256788972</v>
      </c>
      <c r="G3326" s="51" t="str">
        <v>福里 2022/08/24 (水)
平日夜間</v>
      </c>
    </row>
    <row r="3327" spans="1:7" ht="16.149999999999999" x14ac:dyDescent="0.7">
      <c r="A3327" s="49">
        <v>44775.417013564816</v>
      </c>
      <c r="B3327" s="50" t="s">
        <v>29</v>
      </c>
      <c r="C3327" s="50" t="s">
        <v>437</v>
      </c>
      <c r="D3327" s="50" t="s">
        <v>259</v>
      </c>
      <c r="E3327" s="50">
        <v>0</v>
      </c>
      <c r="F3327" s="51">
        <v>0.27957044315328483</v>
      </c>
      <c r="G3327" s="51" t="str">
        <v>福里 2022/08/25 (木)
平日夜間</v>
      </c>
    </row>
    <row r="3328" spans="1:7" ht="16.149999999999999" x14ac:dyDescent="0.7">
      <c r="A3328" s="49">
        <v>44775.417013564816</v>
      </c>
      <c r="B3328" s="50" t="s">
        <v>29</v>
      </c>
      <c r="C3328" s="50" t="s">
        <v>438</v>
      </c>
      <c r="D3328" s="50" t="s">
        <v>259</v>
      </c>
      <c r="E3328" s="50">
        <v>-1</v>
      </c>
      <c r="F3328" s="51">
        <v>-0.60588974118945194</v>
      </c>
      <c r="G3328" s="51" t="str">
        <v>福里 2022/08/26 (金)
平日夜間</v>
      </c>
    </row>
    <row r="3329" spans="1:7" ht="16.149999999999999" x14ac:dyDescent="0.7">
      <c r="A3329" s="49">
        <v>44775.417013564816</v>
      </c>
      <c r="B3329" s="50" t="s">
        <v>29</v>
      </c>
      <c r="C3329" s="50" t="s">
        <v>439</v>
      </c>
      <c r="D3329" s="50" t="s">
        <v>263</v>
      </c>
      <c r="E3329" s="50">
        <v>-1</v>
      </c>
      <c r="F3329" s="51">
        <v>-0.27274112713308929</v>
      </c>
      <c r="G3329" s="51" t="str">
        <v>福里 2022/08/27 (土)
休日午前</v>
      </c>
    </row>
    <row r="3330" spans="1:7" ht="16.149999999999999" x14ac:dyDescent="0.7">
      <c r="A3330" s="49">
        <v>44775.417013564816</v>
      </c>
      <c r="B3330" s="50" t="s">
        <v>29</v>
      </c>
      <c r="C3330" s="50" t="s">
        <v>440</v>
      </c>
      <c r="D3330" s="50" t="s">
        <v>261</v>
      </c>
      <c r="E3330" s="50">
        <v>-1</v>
      </c>
      <c r="F3330" s="51">
        <v>-0.85715067649947607</v>
      </c>
      <c r="G3330" s="51" t="str">
        <v>福里 2022/08/27 (土)
休日午後</v>
      </c>
    </row>
    <row r="3331" spans="1:7" ht="16.149999999999999" x14ac:dyDescent="0.7">
      <c r="A3331" s="49">
        <v>44775.417013564816</v>
      </c>
      <c r="B3331" s="50" t="s">
        <v>29</v>
      </c>
      <c r="C3331" s="50" t="s">
        <v>441</v>
      </c>
      <c r="D3331" s="50" t="s">
        <v>263</v>
      </c>
      <c r="E3331" s="50">
        <v>-1</v>
      </c>
      <c r="F3331" s="51">
        <v>-0.52047516196391297</v>
      </c>
      <c r="G3331" s="51" t="str">
        <v>福里 2022/08/28 (日)
休日午前</v>
      </c>
    </row>
    <row r="3332" spans="1:7" ht="16.149999999999999" x14ac:dyDescent="0.7">
      <c r="A3332" s="49">
        <v>44775.417013564816</v>
      </c>
      <c r="B3332" s="50" t="s">
        <v>29</v>
      </c>
      <c r="C3332" s="50" t="s">
        <v>442</v>
      </c>
      <c r="D3332" s="50" t="s">
        <v>261</v>
      </c>
      <c r="E3332" s="50">
        <v>-1</v>
      </c>
      <c r="F3332" s="51">
        <v>-0.91089030699335471</v>
      </c>
      <c r="G3332" s="51" t="str">
        <v>福里 2022/08/28 (日)
休日午後</v>
      </c>
    </row>
    <row r="3333" spans="1:7" ht="16.149999999999999" x14ac:dyDescent="0.7">
      <c r="A3333" s="49">
        <v>44775.417013564816</v>
      </c>
      <c r="B3333" s="50" t="s">
        <v>29</v>
      </c>
      <c r="C3333" s="50" t="s">
        <v>443</v>
      </c>
      <c r="D3333" s="50" t="s">
        <v>259</v>
      </c>
      <c r="E3333" s="50">
        <v>0</v>
      </c>
      <c r="F3333" s="51">
        <v>0.21992472757311488</v>
      </c>
      <c r="G3333" s="51" t="str">
        <v>福里 2022/08/29 (月)
平日夜間</v>
      </c>
    </row>
    <row r="3334" spans="1:7" ht="16.149999999999999" x14ac:dyDescent="0.7">
      <c r="A3334" s="49">
        <v>44775.417013564816</v>
      </c>
      <c r="B3334" s="50" t="s">
        <v>29</v>
      </c>
      <c r="C3334" s="50" t="s">
        <v>444</v>
      </c>
      <c r="D3334" s="50" t="s">
        <v>259</v>
      </c>
      <c r="E3334" s="50">
        <v>0</v>
      </c>
      <c r="F3334" s="51">
        <v>0.68289452805972273</v>
      </c>
      <c r="G3334" s="51" t="str">
        <v>福里 2022/08/30 (火)
平日夜間</v>
      </c>
    </row>
    <row r="3335" spans="1:7" ht="16.149999999999999" x14ac:dyDescent="0.7">
      <c r="A3335" s="49">
        <v>44775.417013564816</v>
      </c>
      <c r="B3335" s="50" t="s">
        <v>29</v>
      </c>
      <c r="C3335" s="50" t="s">
        <v>445</v>
      </c>
      <c r="D3335" s="50" t="s">
        <v>259</v>
      </c>
      <c r="E3335" s="50">
        <v>0</v>
      </c>
      <c r="F3335" s="51">
        <v>0.47483467267074575</v>
      </c>
      <c r="G3335" s="51" t="str">
        <v>福里 2022/08/31 (水)
平日夜間</v>
      </c>
    </row>
    <row r="3336" spans="1:7" ht="16.149999999999999" x14ac:dyDescent="0.7">
      <c r="A3336" s="49">
        <v>44798.718096192126</v>
      </c>
      <c r="B3336" s="50" t="s">
        <v>31</v>
      </c>
      <c r="C3336" s="50" t="s">
        <v>446</v>
      </c>
      <c r="D3336" s="50" t="s">
        <v>259</v>
      </c>
      <c r="E3336" s="50">
        <v>-1</v>
      </c>
      <c r="F3336" s="51">
        <v>-0.37624321056765986</v>
      </c>
      <c r="G3336" s="51" t="str">
        <v>湯川 2022/09/01 (木)
平日夜間</v>
      </c>
    </row>
    <row r="3337" spans="1:7" ht="16.149999999999999" x14ac:dyDescent="0.7">
      <c r="A3337" s="49">
        <v>44798.718096192126</v>
      </c>
      <c r="B3337" s="50" t="s">
        <v>31</v>
      </c>
      <c r="C3337" s="50" t="s">
        <v>447</v>
      </c>
      <c r="D3337" s="50" t="s">
        <v>259</v>
      </c>
      <c r="E3337" s="50">
        <v>-1</v>
      </c>
      <c r="F3337" s="51">
        <v>-0.84366188879664072</v>
      </c>
      <c r="G3337" s="51" t="str">
        <v>湯川 2022/09/02 (金)
平日夜間</v>
      </c>
    </row>
    <row r="3338" spans="1:7" ht="16.149999999999999" x14ac:dyDescent="0.7">
      <c r="A3338" s="49">
        <v>44798.718096192126</v>
      </c>
      <c r="B3338" s="50" t="s">
        <v>31</v>
      </c>
      <c r="C3338" s="50" t="s">
        <v>448</v>
      </c>
      <c r="D3338" s="50" t="s">
        <v>263</v>
      </c>
      <c r="E3338" s="50">
        <v>-1</v>
      </c>
      <c r="F3338" s="51">
        <v>-0.12200887900123325</v>
      </c>
      <c r="G3338" s="51" t="str">
        <v>湯川 2022/09/03 (土)
休日午前</v>
      </c>
    </row>
    <row r="3339" spans="1:7" ht="16.149999999999999" x14ac:dyDescent="0.7">
      <c r="A3339" s="49">
        <v>44798.718096192126</v>
      </c>
      <c r="B3339" s="50" t="s">
        <v>31</v>
      </c>
      <c r="C3339" s="50" t="s">
        <v>449</v>
      </c>
      <c r="D3339" s="50" t="s">
        <v>261</v>
      </c>
      <c r="E3339" s="50">
        <v>-1</v>
      </c>
      <c r="F3339" s="51">
        <v>-0.3669850328935782</v>
      </c>
      <c r="G3339" s="51" t="str">
        <v>湯川 2022/09/03 (土)
休日午後</v>
      </c>
    </row>
    <row r="3340" spans="1:7" ht="16.149999999999999" x14ac:dyDescent="0.7">
      <c r="A3340" s="49">
        <v>44798.718096192126</v>
      </c>
      <c r="B3340" s="50" t="s">
        <v>31</v>
      </c>
      <c r="C3340" s="50" t="s">
        <v>450</v>
      </c>
      <c r="D3340" s="50" t="s">
        <v>263</v>
      </c>
      <c r="E3340" s="50">
        <v>-1</v>
      </c>
      <c r="F3340" s="51">
        <v>-0.1158755269778422</v>
      </c>
      <c r="G3340" s="51" t="str">
        <v>湯川 2022/09/04 (日)
休日午前</v>
      </c>
    </row>
    <row r="3341" spans="1:7" ht="16.149999999999999" x14ac:dyDescent="0.7">
      <c r="A3341" s="49">
        <v>44798.718096192126</v>
      </c>
      <c r="B3341" s="50" t="s">
        <v>31</v>
      </c>
      <c r="C3341" s="50" t="s">
        <v>451</v>
      </c>
      <c r="D3341" s="50" t="s">
        <v>261</v>
      </c>
      <c r="E3341" s="50">
        <v>-1</v>
      </c>
      <c r="F3341" s="51">
        <v>-0.81021160595009167</v>
      </c>
      <c r="G3341" s="51" t="str">
        <v>湯川 2022/09/04 (日)
休日午後</v>
      </c>
    </row>
    <row r="3342" spans="1:7" ht="16.149999999999999" x14ac:dyDescent="0.7">
      <c r="A3342" s="49">
        <v>44798.718096192126</v>
      </c>
      <c r="B3342" s="50" t="s">
        <v>31</v>
      </c>
      <c r="C3342" s="50" t="s">
        <v>452</v>
      </c>
      <c r="D3342" s="50" t="s">
        <v>259</v>
      </c>
      <c r="E3342" s="50">
        <v>0</v>
      </c>
      <c r="F3342" s="51">
        <v>0.15299379356101728</v>
      </c>
      <c r="G3342" s="51" t="str">
        <v>湯川 2022/09/05 (月)
平日夜間</v>
      </c>
    </row>
    <row r="3343" spans="1:7" ht="16.149999999999999" x14ac:dyDescent="0.7">
      <c r="A3343" s="49">
        <v>44798.718096192126</v>
      </c>
      <c r="B3343" s="50" t="s">
        <v>31</v>
      </c>
      <c r="C3343" s="50" t="s">
        <v>453</v>
      </c>
      <c r="D3343" s="50" t="s">
        <v>259</v>
      </c>
      <c r="E3343" s="50">
        <v>-1</v>
      </c>
      <c r="F3343" s="51">
        <v>-0.74113305379716765</v>
      </c>
      <c r="G3343" s="51" t="str">
        <v>湯川 2022/09/06 (火)
平日夜間</v>
      </c>
    </row>
    <row r="3344" spans="1:7" ht="16.149999999999999" x14ac:dyDescent="0.7">
      <c r="A3344" s="49">
        <v>44798.718096192126</v>
      </c>
      <c r="B3344" s="50" t="s">
        <v>31</v>
      </c>
      <c r="C3344" s="50" t="s">
        <v>454</v>
      </c>
      <c r="D3344" s="50" t="s">
        <v>259</v>
      </c>
      <c r="E3344" s="50">
        <v>0</v>
      </c>
      <c r="F3344" s="51">
        <v>0.47320414907217301</v>
      </c>
      <c r="G3344" s="51" t="str">
        <v>湯川 2022/09/07 (水)
平日夜間</v>
      </c>
    </row>
    <row r="3345" spans="1:7" ht="16.149999999999999" x14ac:dyDescent="0.7">
      <c r="A3345" s="49">
        <v>44798.718096192126</v>
      </c>
      <c r="B3345" s="50" t="s">
        <v>31</v>
      </c>
      <c r="C3345" s="50" t="s">
        <v>455</v>
      </c>
      <c r="D3345" s="50" t="s">
        <v>259</v>
      </c>
      <c r="E3345" s="50">
        <v>0</v>
      </c>
      <c r="F3345" s="51">
        <v>0.22549748554021121</v>
      </c>
      <c r="G3345" s="51" t="str">
        <v>湯川 2022/09/08 (木)
平日夜間</v>
      </c>
    </row>
    <row r="3346" spans="1:7" ht="16.149999999999999" x14ac:dyDescent="0.7">
      <c r="A3346" s="49">
        <v>44798.718096192126</v>
      </c>
      <c r="B3346" s="50" t="s">
        <v>31</v>
      </c>
      <c r="C3346" s="50" t="s">
        <v>456</v>
      </c>
      <c r="D3346" s="50" t="s">
        <v>259</v>
      </c>
      <c r="E3346" s="50">
        <v>0</v>
      </c>
      <c r="F3346" s="51">
        <v>0.73097467223280099</v>
      </c>
      <c r="G3346" s="51" t="str">
        <v>湯川 2022/09/09 (金)
平日夜間</v>
      </c>
    </row>
    <row r="3347" spans="1:7" ht="16.149999999999999" x14ac:dyDescent="0.7">
      <c r="A3347" s="49">
        <v>44798.718096192126</v>
      </c>
      <c r="B3347" s="50" t="s">
        <v>31</v>
      </c>
      <c r="C3347" s="50" t="s">
        <v>457</v>
      </c>
      <c r="D3347" s="50" t="s">
        <v>263</v>
      </c>
      <c r="E3347" s="50">
        <v>0</v>
      </c>
      <c r="F3347" s="51">
        <v>0.84981648395250975</v>
      </c>
      <c r="G3347" s="51" t="str">
        <v>湯川 2022/09/10 (土)
休日午前</v>
      </c>
    </row>
    <row r="3348" spans="1:7" ht="16.149999999999999" x14ac:dyDescent="0.7">
      <c r="A3348" s="49">
        <v>44798.718096192126</v>
      </c>
      <c r="B3348" s="50" t="s">
        <v>31</v>
      </c>
      <c r="C3348" s="50" t="s">
        <v>458</v>
      </c>
      <c r="D3348" s="50" t="s">
        <v>261</v>
      </c>
      <c r="E3348" s="50">
        <v>0</v>
      </c>
      <c r="F3348" s="51">
        <v>0.63078150331854221</v>
      </c>
      <c r="G3348" s="51" t="str">
        <v>湯川 2022/09/10 (土)
休日午後</v>
      </c>
    </row>
    <row r="3349" spans="1:7" ht="16.149999999999999" x14ac:dyDescent="0.7">
      <c r="A3349" s="49">
        <v>44798.718096192126</v>
      </c>
      <c r="B3349" s="50" t="s">
        <v>31</v>
      </c>
      <c r="C3349" s="50" t="s">
        <v>459</v>
      </c>
      <c r="D3349" s="50" t="s">
        <v>263</v>
      </c>
      <c r="E3349" s="50">
        <v>-1</v>
      </c>
      <c r="F3349" s="51">
        <v>-0.88153941620085408</v>
      </c>
      <c r="G3349" s="51" t="str">
        <v>湯川 2022/09/11 (日)
休日午前</v>
      </c>
    </row>
    <row r="3350" spans="1:7" ht="16.149999999999999" x14ac:dyDescent="0.7">
      <c r="A3350" s="49">
        <v>44798.718096192126</v>
      </c>
      <c r="B3350" s="50" t="s">
        <v>31</v>
      </c>
      <c r="C3350" s="50" t="s">
        <v>460</v>
      </c>
      <c r="D3350" s="50" t="s">
        <v>261</v>
      </c>
      <c r="E3350" s="50">
        <v>-1</v>
      </c>
      <c r="F3350" s="51">
        <v>-0.96670082598643825</v>
      </c>
      <c r="G3350" s="51" t="str">
        <v>湯川 2022/09/11 (日)
休日午後</v>
      </c>
    </row>
    <row r="3351" spans="1:7" ht="16.149999999999999" x14ac:dyDescent="0.7">
      <c r="A3351" s="49">
        <v>44798.718096192126</v>
      </c>
      <c r="B3351" s="50" t="s">
        <v>31</v>
      </c>
      <c r="C3351" s="50" t="s">
        <v>461</v>
      </c>
      <c r="D3351" s="50" t="s">
        <v>259</v>
      </c>
      <c r="E3351" s="50">
        <v>-1</v>
      </c>
      <c r="F3351" s="51">
        <v>-0.38385110561147084</v>
      </c>
      <c r="G3351" s="51" t="str">
        <v>湯川 2022/09/12 (月)
平日夜間</v>
      </c>
    </row>
    <row r="3352" spans="1:7" ht="16.149999999999999" x14ac:dyDescent="0.7">
      <c r="A3352" s="49">
        <v>44798.718096192126</v>
      </c>
      <c r="B3352" s="50" t="s">
        <v>31</v>
      </c>
      <c r="C3352" s="50" t="s">
        <v>462</v>
      </c>
      <c r="D3352" s="50" t="s">
        <v>259</v>
      </c>
      <c r="E3352" s="50">
        <v>0</v>
      </c>
      <c r="F3352" s="51">
        <v>0.19686873599144072</v>
      </c>
      <c r="G3352" s="51" t="str">
        <v>湯川 2022/09/13 (火)
平日夜間</v>
      </c>
    </row>
    <row r="3353" spans="1:7" ht="16.149999999999999" x14ac:dyDescent="0.7">
      <c r="A3353" s="49">
        <v>44798.718096192126</v>
      </c>
      <c r="B3353" s="50" t="s">
        <v>31</v>
      </c>
      <c r="C3353" s="50" t="s">
        <v>463</v>
      </c>
      <c r="D3353" s="50" t="s">
        <v>259</v>
      </c>
      <c r="E3353" s="50">
        <v>0</v>
      </c>
      <c r="F3353" s="51">
        <v>0.95881692816922048</v>
      </c>
      <c r="G3353" s="51" t="str">
        <v>湯川 2022/09/14 (水)
平日夜間</v>
      </c>
    </row>
    <row r="3354" spans="1:7" ht="16.149999999999999" x14ac:dyDescent="0.7">
      <c r="A3354" s="49">
        <v>44798.718096192126</v>
      </c>
      <c r="B3354" s="50" t="s">
        <v>31</v>
      </c>
      <c r="C3354" s="50" t="s">
        <v>464</v>
      </c>
      <c r="D3354" s="50" t="s">
        <v>259</v>
      </c>
      <c r="E3354" s="50">
        <v>0</v>
      </c>
      <c r="F3354" s="51">
        <v>8.5254409706322365E-2</v>
      </c>
      <c r="G3354" s="51" t="str">
        <v>湯川 2022/09/15 (木)
平日夜間</v>
      </c>
    </row>
    <row r="3355" spans="1:7" ht="16.149999999999999" x14ac:dyDescent="0.7">
      <c r="A3355" s="49">
        <v>44798.718096192126</v>
      </c>
      <c r="B3355" s="50" t="s">
        <v>31</v>
      </c>
      <c r="C3355" s="50" t="s">
        <v>465</v>
      </c>
      <c r="D3355" s="50" t="s">
        <v>259</v>
      </c>
      <c r="E3355" s="50">
        <v>0</v>
      </c>
      <c r="F3355" s="51">
        <v>0.3562371412191836</v>
      </c>
      <c r="G3355" s="51" t="str">
        <v>湯川 2022/09/16 (金)
平日夜間</v>
      </c>
    </row>
    <row r="3356" spans="1:7" ht="16.149999999999999" x14ac:dyDescent="0.7">
      <c r="A3356" s="49">
        <v>44798.718096192126</v>
      </c>
      <c r="B3356" s="50" t="s">
        <v>31</v>
      </c>
      <c r="C3356" s="50" t="s">
        <v>466</v>
      </c>
      <c r="D3356" s="50" t="s">
        <v>263</v>
      </c>
      <c r="E3356" s="50">
        <v>0</v>
      </c>
      <c r="F3356" s="51">
        <v>0.33829618640416115</v>
      </c>
      <c r="G3356" s="51" t="str">
        <v>湯川 2022/09/17 (土)
休日午前</v>
      </c>
    </row>
    <row r="3357" spans="1:7" ht="16.149999999999999" x14ac:dyDescent="0.7">
      <c r="A3357" s="49">
        <v>44798.718096192126</v>
      </c>
      <c r="B3357" s="50" t="s">
        <v>31</v>
      </c>
      <c r="C3357" s="50" t="s">
        <v>467</v>
      </c>
      <c r="D3357" s="50" t="s">
        <v>261</v>
      </c>
      <c r="E3357" s="50">
        <v>-1</v>
      </c>
      <c r="F3357" s="51">
        <v>-0.41853337295067172</v>
      </c>
      <c r="G3357" s="51" t="str">
        <v>湯川 2022/09/17 (土)
休日午後</v>
      </c>
    </row>
    <row r="3358" spans="1:7" ht="16.149999999999999" x14ac:dyDescent="0.7">
      <c r="A3358" s="49">
        <v>44798.718096192126</v>
      </c>
      <c r="B3358" s="50" t="s">
        <v>31</v>
      </c>
      <c r="C3358" s="50" t="s">
        <v>468</v>
      </c>
      <c r="D3358" s="50" t="s">
        <v>263</v>
      </c>
      <c r="E3358" s="50">
        <v>-1</v>
      </c>
      <c r="F3358" s="51">
        <v>-0.69299786684908971</v>
      </c>
      <c r="G3358" s="51" t="str">
        <v>湯川 2022/09/18 (日)
休日午前</v>
      </c>
    </row>
    <row r="3359" spans="1:7" ht="16.149999999999999" x14ac:dyDescent="0.7">
      <c r="A3359" s="49">
        <v>44798.718096192126</v>
      </c>
      <c r="B3359" s="50" t="s">
        <v>31</v>
      </c>
      <c r="C3359" s="50" t="s">
        <v>469</v>
      </c>
      <c r="D3359" s="50" t="s">
        <v>261</v>
      </c>
      <c r="E3359" s="50">
        <v>-1</v>
      </c>
      <c r="F3359" s="51">
        <v>-0.63189512284364424</v>
      </c>
      <c r="G3359" s="51" t="str">
        <v>湯川 2022/09/18 (日)
休日午後</v>
      </c>
    </row>
    <row r="3360" spans="1:7" ht="16.149999999999999" x14ac:dyDescent="0.7">
      <c r="A3360" s="49">
        <v>44798.718096192126</v>
      </c>
      <c r="B3360" s="50" t="s">
        <v>31</v>
      </c>
      <c r="C3360" s="50" t="s">
        <v>470</v>
      </c>
      <c r="D3360" s="50" t="s">
        <v>263</v>
      </c>
      <c r="E3360" s="50">
        <v>-1</v>
      </c>
      <c r="F3360" s="51">
        <v>-0.81444987693328019</v>
      </c>
      <c r="G3360" s="51" t="str">
        <v>湯川 2022/09/19 (月)
休日午前</v>
      </c>
    </row>
    <row r="3361" spans="1:7" ht="16.149999999999999" x14ac:dyDescent="0.7">
      <c r="A3361" s="49">
        <v>44798.718096192126</v>
      </c>
      <c r="B3361" s="50" t="s">
        <v>31</v>
      </c>
      <c r="C3361" s="50" t="s">
        <v>471</v>
      </c>
      <c r="D3361" s="50" t="s">
        <v>261</v>
      </c>
      <c r="E3361" s="50">
        <v>-1</v>
      </c>
      <c r="F3361" s="51">
        <v>-0.30599096413332827</v>
      </c>
      <c r="G3361" s="51" t="str">
        <v>湯川 2022/09/19 (月)
休日午後</v>
      </c>
    </row>
    <row r="3362" spans="1:7" ht="16.149999999999999" x14ac:dyDescent="0.7">
      <c r="A3362" s="49">
        <v>44798.718096192126</v>
      </c>
      <c r="B3362" s="50" t="s">
        <v>31</v>
      </c>
      <c r="C3362" s="50" t="s">
        <v>472</v>
      </c>
      <c r="D3362" s="50" t="s">
        <v>259</v>
      </c>
      <c r="E3362" s="50">
        <v>-1</v>
      </c>
      <c r="F3362" s="51">
        <v>-0.81936863805605054</v>
      </c>
      <c r="G3362" s="51" t="str">
        <v>湯川 2022/09/20 (火)
平日夜間</v>
      </c>
    </row>
    <row r="3363" spans="1:7" ht="16.149999999999999" x14ac:dyDescent="0.7">
      <c r="A3363" s="49">
        <v>44798.718096192126</v>
      </c>
      <c r="B3363" s="50" t="s">
        <v>31</v>
      </c>
      <c r="C3363" s="50" t="s">
        <v>473</v>
      </c>
      <c r="D3363" s="50" t="s">
        <v>259</v>
      </c>
      <c r="E3363" s="50">
        <v>-1</v>
      </c>
      <c r="F3363" s="51">
        <v>-0.52149153970730633</v>
      </c>
      <c r="G3363" s="51" t="str">
        <v>湯川 2022/09/21 (水)
平日夜間</v>
      </c>
    </row>
    <row r="3364" spans="1:7" ht="16.149999999999999" x14ac:dyDescent="0.7">
      <c r="A3364" s="49">
        <v>44798.718096192126</v>
      </c>
      <c r="B3364" s="50" t="s">
        <v>31</v>
      </c>
      <c r="C3364" s="50" t="s">
        <v>474</v>
      </c>
      <c r="D3364" s="50" t="s">
        <v>259</v>
      </c>
      <c r="E3364" s="50">
        <v>-1</v>
      </c>
      <c r="F3364" s="51">
        <v>-0.68797193670726653</v>
      </c>
      <c r="G3364" s="51" t="str">
        <v>湯川 2022/09/22 (木)
平日夜間</v>
      </c>
    </row>
    <row r="3365" spans="1:7" ht="16.149999999999999" x14ac:dyDescent="0.7">
      <c r="A3365" s="49">
        <v>44798.718096192126</v>
      </c>
      <c r="B3365" s="50" t="s">
        <v>31</v>
      </c>
      <c r="C3365" s="50" t="s">
        <v>475</v>
      </c>
      <c r="D3365" s="50" t="s">
        <v>263</v>
      </c>
      <c r="E3365" s="50">
        <v>-1</v>
      </c>
      <c r="F3365" s="51">
        <v>-0.34526818152143335</v>
      </c>
      <c r="G3365" s="51" t="str">
        <v>湯川 2022/09/23 (金)
休日午前</v>
      </c>
    </row>
    <row r="3366" spans="1:7" ht="16.149999999999999" x14ac:dyDescent="0.7">
      <c r="A3366" s="49">
        <v>44798.718096192126</v>
      </c>
      <c r="B3366" s="50" t="s">
        <v>31</v>
      </c>
      <c r="C3366" s="50" t="s">
        <v>476</v>
      </c>
      <c r="D3366" s="50" t="s">
        <v>261</v>
      </c>
      <c r="E3366" s="50">
        <v>-1</v>
      </c>
      <c r="F3366" s="51">
        <v>-0.37010404037349387</v>
      </c>
      <c r="G3366" s="51" t="str">
        <v>湯川 2022/09/23 (金)
休日午後</v>
      </c>
    </row>
    <row r="3367" spans="1:7" ht="16.149999999999999" x14ac:dyDescent="0.7">
      <c r="A3367" s="49">
        <v>44798.718096192126</v>
      </c>
      <c r="B3367" s="50" t="s">
        <v>31</v>
      </c>
      <c r="C3367" s="50" t="s">
        <v>477</v>
      </c>
      <c r="D3367" s="50" t="s">
        <v>263</v>
      </c>
      <c r="E3367" s="50">
        <v>-1</v>
      </c>
      <c r="F3367" s="51">
        <v>-0.50439757480567948</v>
      </c>
      <c r="G3367" s="51" t="str">
        <v>湯川 2022/09/24 (土)
休日午前</v>
      </c>
    </row>
    <row r="3368" spans="1:7" ht="16.149999999999999" x14ac:dyDescent="0.7">
      <c r="A3368" s="49">
        <v>44798.718096192126</v>
      </c>
      <c r="B3368" s="50" t="s">
        <v>31</v>
      </c>
      <c r="C3368" s="50" t="s">
        <v>478</v>
      </c>
      <c r="D3368" s="50" t="s">
        <v>261</v>
      </c>
      <c r="E3368" s="50">
        <v>-1</v>
      </c>
      <c r="F3368" s="51">
        <v>-0.70264416024840726</v>
      </c>
      <c r="G3368" s="51" t="str">
        <v>湯川 2022/09/24 (土)
休日午後</v>
      </c>
    </row>
    <row r="3369" spans="1:7" ht="16.149999999999999" x14ac:dyDescent="0.7">
      <c r="A3369" s="49">
        <v>44798.718096192126</v>
      </c>
      <c r="B3369" s="50" t="s">
        <v>31</v>
      </c>
      <c r="C3369" s="50" t="s">
        <v>479</v>
      </c>
      <c r="D3369" s="50" t="s">
        <v>263</v>
      </c>
      <c r="E3369" s="50">
        <v>-1</v>
      </c>
      <c r="F3369" s="51">
        <v>-0.38546935488972189</v>
      </c>
      <c r="G3369" s="51" t="str">
        <v>湯川 2022/09/25 (日)
休日午前</v>
      </c>
    </row>
    <row r="3370" spans="1:7" ht="16.149999999999999" x14ac:dyDescent="0.7">
      <c r="A3370" s="49">
        <v>44798.718096192126</v>
      </c>
      <c r="B3370" s="50" t="s">
        <v>31</v>
      </c>
      <c r="C3370" s="50" t="s">
        <v>480</v>
      </c>
      <c r="D3370" s="50" t="s">
        <v>261</v>
      </c>
      <c r="E3370" s="50">
        <v>-1</v>
      </c>
      <c r="F3370" s="51">
        <v>-0.99302270238824986</v>
      </c>
      <c r="G3370" s="51" t="str">
        <v>湯川 2022/09/25 (日)
休日午後</v>
      </c>
    </row>
    <row r="3371" spans="1:7" ht="16.149999999999999" x14ac:dyDescent="0.7">
      <c r="A3371" s="49">
        <v>44798.718096192126</v>
      </c>
      <c r="B3371" s="50" t="s">
        <v>31</v>
      </c>
      <c r="C3371" s="50" t="s">
        <v>481</v>
      </c>
      <c r="D3371" s="50" t="s">
        <v>259</v>
      </c>
      <c r="E3371" s="50">
        <v>-1</v>
      </c>
      <c r="F3371" s="51">
        <v>-7.9706732648032075E-2</v>
      </c>
      <c r="G3371" s="51" t="str">
        <v>湯川 2022/09/26 (月)
平日夜間</v>
      </c>
    </row>
    <row r="3372" spans="1:7" ht="16.149999999999999" x14ac:dyDescent="0.7">
      <c r="A3372" s="49">
        <v>44798.718096192126</v>
      </c>
      <c r="B3372" s="50" t="s">
        <v>31</v>
      </c>
      <c r="C3372" s="50" t="s">
        <v>482</v>
      </c>
      <c r="D3372" s="50" t="s">
        <v>259</v>
      </c>
      <c r="E3372" s="50">
        <v>-1</v>
      </c>
      <c r="F3372" s="51">
        <v>-0.48613269167675432</v>
      </c>
      <c r="G3372" s="51" t="str">
        <v>湯川 2022/09/27 (火)
平日夜間</v>
      </c>
    </row>
    <row r="3373" spans="1:7" ht="16.149999999999999" x14ac:dyDescent="0.7">
      <c r="A3373" s="49">
        <v>44798.718096192126</v>
      </c>
      <c r="B3373" s="50" t="s">
        <v>31</v>
      </c>
      <c r="C3373" s="50" t="s">
        <v>483</v>
      </c>
      <c r="D3373" s="50" t="s">
        <v>259</v>
      </c>
      <c r="E3373" s="50">
        <v>-1</v>
      </c>
      <c r="F3373" s="51">
        <v>-0.97583551042219496</v>
      </c>
      <c r="G3373" s="51" t="str">
        <v>湯川 2022/09/28 (水)
平日夜間</v>
      </c>
    </row>
    <row r="3374" spans="1:7" ht="16.149999999999999" x14ac:dyDescent="0.7">
      <c r="A3374" s="49">
        <v>44798.718096192126</v>
      </c>
      <c r="B3374" s="50" t="s">
        <v>31</v>
      </c>
      <c r="C3374" s="50" t="s">
        <v>484</v>
      </c>
      <c r="D3374" s="50" t="s">
        <v>259</v>
      </c>
      <c r="E3374" s="50">
        <v>-1</v>
      </c>
      <c r="F3374" s="51">
        <v>-0.50351631886834158</v>
      </c>
      <c r="G3374" s="51" t="str">
        <v>湯川 2022/09/29 (木)
平日夜間</v>
      </c>
    </row>
    <row r="3375" spans="1:7" ht="16.149999999999999" x14ac:dyDescent="0.7">
      <c r="A3375" s="49">
        <v>44798.718096192126</v>
      </c>
      <c r="B3375" s="50" t="s">
        <v>31</v>
      </c>
      <c r="C3375" s="50" t="s">
        <v>485</v>
      </c>
      <c r="D3375" s="50" t="s">
        <v>259</v>
      </c>
      <c r="E3375" s="50">
        <v>-1</v>
      </c>
      <c r="F3375" s="51">
        <v>-0.77508339256343706</v>
      </c>
      <c r="G3375" s="51" t="str">
        <v>湯川 2022/09/30 (金)
平日夜間</v>
      </c>
    </row>
    <row r="3376" spans="1:7" ht="16.149999999999999" x14ac:dyDescent="0.7">
      <c r="A3376" s="49">
        <v>44798.731331932868</v>
      </c>
      <c r="B3376" s="50" t="s">
        <v>18</v>
      </c>
      <c r="C3376" s="50" t="s">
        <v>446</v>
      </c>
      <c r="D3376" s="50" t="s">
        <v>259</v>
      </c>
      <c r="E3376" s="50">
        <v>-1</v>
      </c>
      <c r="F3376" s="51">
        <v>-0.69270486990126479</v>
      </c>
      <c r="G3376" s="51" t="str">
        <v>中瀬 2022/09/01 (木)
平日夜間</v>
      </c>
    </row>
    <row r="3377" spans="1:7" ht="16.149999999999999" x14ac:dyDescent="0.7">
      <c r="A3377" s="49">
        <v>44798.731331932868</v>
      </c>
      <c r="B3377" s="50" t="s">
        <v>18</v>
      </c>
      <c r="C3377" s="50" t="s">
        <v>447</v>
      </c>
      <c r="D3377" s="50" t="s">
        <v>259</v>
      </c>
      <c r="E3377" s="50">
        <v>-1</v>
      </c>
      <c r="F3377" s="51">
        <v>-0.12655184610320314</v>
      </c>
      <c r="G3377" s="51" t="str">
        <v>中瀬 2022/09/02 (金)
平日夜間</v>
      </c>
    </row>
    <row r="3378" spans="1:7" ht="16.149999999999999" x14ac:dyDescent="0.7">
      <c r="A3378" s="49">
        <v>44798.731331932868</v>
      </c>
      <c r="B3378" s="50" t="s">
        <v>18</v>
      </c>
      <c r="C3378" s="50" t="s">
        <v>448</v>
      </c>
      <c r="D3378" s="50" t="s">
        <v>263</v>
      </c>
      <c r="E3378" s="50">
        <v>-1</v>
      </c>
      <c r="F3378" s="51">
        <v>-0.46225594328740249</v>
      </c>
      <c r="G3378" s="51" t="str">
        <v>中瀬 2022/09/03 (土)
休日午前</v>
      </c>
    </row>
    <row r="3379" spans="1:7" ht="16.149999999999999" x14ac:dyDescent="0.7">
      <c r="A3379" s="49">
        <v>44798.731331932868</v>
      </c>
      <c r="B3379" s="50" t="s">
        <v>18</v>
      </c>
      <c r="C3379" s="50" t="s">
        <v>449</v>
      </c>
      <c r="D3379" s="50" t="s">
        <v>261</v>
      </c>
      <c r="E3379" s="50">
        <v>-1</v>
      </c>
      <c r="F3379" s="51">
        <v>-0.72743021512566863</v>
      </c>
      <c r="G3379" s="51" t="str">
        <v>中瀬 2022/09/03 (土)
休日午後</v>
      </c>
    </row>
    <row r="3380" spans="1:7" ht="16.149999999999999" x14ac:dyDescent="0.7">
      <c r="A3380" s="49">
        <v>44798.731331932868</v>
      </c>
      <c r="B3380" s="50" t="s">
        <v>18</v>
      </c>
      <c r="C3380" s="50" t="s">
        <v>450</v>
      </c>
      <c r="D3380" s="50" t="s">
        <v>263</v>
      </c>
      <c r="E3380" s="50">
        <v>-1</v>
      </c>
      <c r="F3380" s="51">
        <v>-0.66438190940643693</v>
      </c>
      <c r="G3380" s="51" t="str">
        <v>中瀬 2022/09/04 (日)
休日午前</v>
      </c>
    </row>
    <row r="3381" spans="1:7" ht="16.149999999999999" x14ac:dyDescent="0.7">
      <c r="A3381" s="49">
        <v>44798.731331932868</v>
      </c>
      <c r="B3381" s="50" t="s">
        <v>18</v>
      </c>
      <c r="C3381" s="50" t="s">
        <v>451</v>
      </c>
      <c r="D3381" s="50" t="s">
        <v>261</v>
      </c>
      <c r="E3381" s="50">
        <v>-1</v>
      </c>
      <c r="F3381" s="51">
        <v>-0.73075028287400046</v>
      </c>
      <c r="G3381" s="51" t="str">
        <v>中瀬 2022/09/04 (日)
休日午後</v>
      </c>
    </row>
    <row r="3382" spans="1:7" ht="16.149999999999999" x14ac:dyDescent="0.7">
      <c r="A3382" s="49">
        <v>44798.731331932868</v>
      </c>
      <c r="B3382" s="50" t="s">
        <v>18</v>
      </c>
      <c r="C3382" s="50" t="s">
        <v>452</v>
      </c>
      <c r="D3382" s="50" t="s">
        <v>259</v>
      </c>
      <c r="E3382" s="50">
        <v>0</v>
      </c>
      <c r="F3382" s="51">
        <v>0.11774993647538468</v>
      </c>
      <c r="G3382" s="51" t="str">
        <v>中瀬 2022/09/05 (月)
平日夜間</v>
      </c>
    </row>
    <row r="3383" spans="1:7" ht="16.149999999999999" x14ac:dyDescent="0.7">
      <c r="A3383" s="49">
        <v>44798.731331932868</v>
      </c>
      <c r="B3383" s="50" t="s">
        <v>18</v>
      </c>
      <c r="C3383" s="50" t="s">
        <v>453</v>
      </c>
      <c r="D3383" s="50" t="s">
        <v>259</v>
      </c>
      <c r="E3383" s="50">
        <v>0</v>
      </c>
      <c r="F3383" s="51">
        <v>0.73066602729807117</v>
      </c>
      <c r="G3383" s="51" t="str">
        <v>中瀬 2022/09/06 (火)
平日夜間</v>
      </c>
    </row>
    <row r="3384" spans="1:7" ht="16.149999999999999" x14ac:dyDescent="0.7">
      <c r="A3384" s="49">
        <v>44798.731331932868</v>
      </c>
      <c r="B3384" s="50" t="s">
        <v>18</v>
      </c>
      <c r="C3384" s="50" t="s">
        <v>454</v>
      </c>
      <c r="D3384" s="50" t="s">
        <v>259</v>
      </c>
      <c r="E3384" s="50">
        <v>0</v>
      </c>
      <c r="F3384" s="51">
        <v>0.67887103971245777</v>
      </c>
      <c r="G3384" s="51" t="str">
        <v>中瀬 2022/09/07 (水)
平日夜間</v>
      </c>
    </row>
    <row r="3385" spans="1:7" ht="16.149999999999999" x14ac:dyDescent="0.7">
      <c r="A3385" s="49">
        <v>44798.731331932868</v>
      </c>
      <c r="B3385" s="50" t="s">
        <v>18</v>
      </c>
      <c r="C3385" s="50" t="s">
        <v>455</v>
      </c>
      <c r="D3385" s="50" t="s">
        <v>259</v>
      </c>
      <c r="E3385" s="50">
        <v>0</v>
      </c>
      <c r="F3385" s="51">
        <v>0.2660253433798816</v>
      </c>
      <c r="G3385" s="51" t="str">
        <v>中瀬 2022/09/08 (木)
平日夜間</v>
      </c>
    </row>
    <row r="3386" spans="1:7" ht="16.149999999999999" x14ac:dyDescent="0.7">
      <c r="A3386" s="49">
        <v>44798.731331932868</v>
      </c>
      <c r="B3386" s="50" t="s">
        <v>18</v>
      </c>
      <c r="C3386" s="50" t="s">
        <v>456</v>
      </c>
      <c r="D3386" s="50" t="s">
        <v>259</v>
      </c>
      <c r="E3386" s="50">
        <v>0</v>
      </c>
      <c r="F3386" s="51">
        <v>5.3594337966256234E-2</v>
      </c>
      <c r="G3386" s="51" t="str">
        <v>中瀬 2022/09/09 (金)
平日夜間</v>
      </c>
    </row>
    <row r="3387" spans="1:7" ht="16.149999999999999" x14ac:dyDescent="0.7">
      <c r="A3387" s="49">
        <v>44798.731331932868</v>
      </c>
      <c r="B3387" s="50" t="s">
        <v>18</v>
      </c>
      <c r="C3387" s="50" t="s">
        <v>457</v>
      </c>
      <c r="D3387" s="50" t="s">
        <v>263</v>
      </c>
      <c r="E3387" s="50">
        <v>0</v>
      </c>
      <c r="F3387" s="51">
        <v>7.5369758024273148E-2</v>
      </c>
      <c r="G3387" s="51" t="str">
        <v>中瀬 2022/09/10 (土)
休日午前</v>
      </c>
    </row>
    <row r="3388" spans="1:7" ht="16.149999999999999" x14ac:dyDescent="0.7">
      <c r="A3388" s="49">
        <v>44798.731331932868</v>
      </c>
      <c r="B3388" s="50" t="s">
        <v>18</v>
      </c>
      <c r="C3388" s="50" t="s">
        <v>458</v>
      </c>
      <c r="D3388" s="50" t="s">
        <v>261</v>
      </c>
      <c r="E3388" s="50">
        <v>-1</v>
      </c>
      <c r="F3388" s="51">
        <v>-0.26755003377379238</v>
      </c>
      <c r="G3388" s="51" t="str">
        <v>中瀬 2022/09/10 (土)
休日午後</v>
      </c>
    </row>
    <row r="3389" spans="1:7" ht="16.149999999999999" x14ac:dyDescent="0.7">
      <c r="A3389" s="49">
        <v>44798.731331932868</v>
      </c>
      <c r="B3389" s="50" t="s">
        <v>18</v>
      </c>
      <c r="C3389" s="50" t="s">
        <v>459</v>
      </c>
      <c r="D3389" s="50" t="s">
        <v>263</v>
      </c>
      <c r="E3389" s="50">
        <v>-1</v>
      </c>
      <c r="F3389" s="51">
        <v>-0.30371509727166668</v>
      </c>
      <c r="G3389" s="51" t="str">
        <v>中瀬 2022/09/11 (日)
休日午前</v>
      </c>
    </row>
    <row r="3390" spans="1:7" ht="16.149999999999999" x14ac:dyDescent="0.7">
      <c r="A3390" s="49">
        <v>44798.731331932868</v>
      </c>
      <c r="B3390" s="50" t="s">
        <v>18</v>
      </c>
      <c r="C3390" s="50" t="s">
        <v>460</v>
      </c>
      <c r="D3390" s="50" t="s">
        <v>261</v>
      </c>
      <c r="E3390" s="50">
        <v>-1</v>
      </c>
      <c r="F3390" s="51">
        <v>-0.37596469070070793</v>
      </c>
      <c r="G3390" s="51" t="str">
        <v>中瀬 2022/09/11 (日)
休日午後</v>
      </c>
    </row>
    <row r="3391" spans="1:7" ht="16.149999999999999" x14ac:dyDescent="0.7">
      <c r="A3391" s="49">
        <v>44798.731331932868</v>
      </c>
      <c r="B3391" s="50" t="s">
        <v>18</v>
      </c>
      <c r="C3391" s="50" t="s">
        <v>461</v>
      </c>
      <c r="D3391" s="50" t="s">
        <v>259</v>
      </c>
      <c r="E3391" s="50">
        <v>0</v>
      </c>
      <c r="F3391" s="51">
        <v>2.0946163982114019E-2</v>
      </c>
      <c r="G3391" s="51" t="str">
        <v>中瀬 2022/09/12 (月)
平日夜間</v>
      </c>
    </row>
    <row r="3392" spans="1:7" ht="16.149999999999999" x14ac:dyDescent="0.7">
      <c r="A3392" s="49">
        <v>44798.731331932868</v>
      </c>
      <c r="B3392" s="50" t="s">
        <v>18</v>
      </c>
      <c r="C3392" s="50" t="s">
        <v>462</v>
      </c>
      <c r="D3392" s="50" t="s">
        <v>259</v>
      </c>
      <c r="E3392" s="50">
        <v>0</v>
      </c>
      <c r="F3392" s="51">
        <v>0.87655383114523566</v>
      </c>
      <c r="G3392" s="51" t="str">
        <v>中瀬 2022/09/13 (火)
平日夜間</v>
      </c>
    </row>
    <row r="3393" spans="1:7" ht="16.149999999999999" x14ac:dyDescent="0.7">
      <c r="A3393" s="49">
        <v>44798.731331932868</v>
      </c>
      <c r="B3393" s="50" t="s">
        <v>18</v>
      </c>
      <c r="C3393" s="50" t="s">
        <v>463</v>
      </c>
      <c r="D3393" s="50" t="s">
        <v>259</v>
      </c>
      <c r="E3393" s="50">
        <v>0</v>
      </c>
      <c r="F3393" s="51">
        <v>2.1935686768413731E-2</v>
      </c>
      <c r="G3393" s="51" t="str">
        <v>中瀬 2022/09/14 (水)
平日夜間</v>
      </c>
    </row>
    <row r="3394" spans="1:7" ht="16.149999999999999" x14ac:dyDescent="0.7">
      <c r="A3394" s="49">
        <v>44798.731331932868</v>
      </c>
      <c r="B3394" s="50" t="s">
        <v>18</v>
      </c>
      <c r="C3394" s="50" t="s">
        <v>464</v>
      </c>
      <c r="D3394" s="50" t="s">
        <v>259</v>
      </c>
      <c r="E3394" s="50">
        <v>-1</v>
      </c>
      <c r="F3394" s="51">
        <v>-0.47332961709631838</v>
      </c>
      <c r="G3394" s="51" t="str">
        <v>中瀬 2022/09/15 (木)
平日夜間</v>
      </c>
    </row>
    <row r="3395" spans="1:7" ht="16.149999999999999" x14ac:dyDescent="0.7">
      <c r="A3395" s="49">
        <v>44798.731331932868</v>
      </c>
      <c r="B3395" s="50" t="s">
        <v>18</v>
      </c>
      <c r="C3395" s="50" t="s">
        <v>465</v>
      </c>
      <c r="D3395" s="50" t="s">
        <v>259</v>
      </c>
      <c r="E3395" s="50">
        <v>0</v>
      </c>
      <c r="F3395" s="51">
        <v>0.48852467455798965</v>
      </c>
      <c r="G3395" s="51" t="str">
        <v>中瀬 2022/09/16 (金)
平日夜間</v>
      </c>
    </row>
    <row r="3396" spans="1:7" ht="16.149999999999999" x14ac:dyDescent="0.7">
      <c r="A3396" s="49">
        <v>44798.731331932868</v>
      </c>
      <c r="B3396" s="50" t="s">
        <v>18</v>
      </c>
      <c r="C3396" s="50" t="s">
        <v>466</v>
      </c>
      <c r="D3396" s="50" t="s">
        <v>263</v>
      </c>
      <c r="E3396" s="50">
        <v>-1</v>
      </c>
      <c r="F3396" s="51">
        <v>-6.4910402175251569E-2</v>
      </c>
      <c r="G3396" s="51" t="str">
        <v>中瀬 2022/09/17 (土)
休日午前</v>
      </c>
    </row>
    <row r="3397" spans="1:7" ht="16.149999999999999" x14ac:dyDescent="0.7">
      <c r="A3397" s="49">
        <v>44798.731331932868</v>
      </c>
      <c r="B3397" s="50" t="s">
        <v>18</v>
      </c>
      <c r="C3397" s="50" t="s">
        <v>467</v>
      </c>
      <c r="D3397" s="50" t="s">
        <v>261</v>
      </c>
      <c r="E3397" s="50">
        <v>-1</v>
      </c>
      <c r="F3397" s="51">
        <v>-0.32557091173145647</v>
      </c>
      <c r="G3397" s="51" t="str">
        <v>中瀬 2022/09/17 (土)
休日午後</v>
      </c>
    </row>
    <row r="3398" spans="1:7" ht="16.149999999999999" x14ac:dyDescent="0.7">
      <c r="A3398" s="49">
        <v>44798.731331932868</v>
      </c>
      <c r="B3398" s="50" t="s">
        <v>18</v>
      </c>
      <c r="C3398" s="50" t="s">
        <v>468</v>
      </c>
      <c r="D3398" s="50" t="s">
        <v>263</v>
      </c>
      <c r="E3398" s="50">
        <v>-1</v>
      </c>
      <c r="F3398" s="51">
        <v>-0.85213799489608766</v>
      </c>
      <c r="G3398" s="51" t="str">
        <v>中瀬 2022/09/18 (日)
休日午前</v>
      </c>
    </row>
    <row r="3399" spans="1:7" ht="16.149999999999999" x14ac:dyDescent="0.7">
      <c r="A3399" s="49">
        <v>44798.731331932868</v>
      </c>
      <c r="B3399" s="50" t="s">
        <v>18</v>
      </c>
      <c r="C3399" s="50" t="s">
        <v>469</v>
      </c>
      <c r="D3399" s="50" t="s">
        <v>261</v>
      </c>
      <c r="E3399" s="50">
        <v>-1</v>
      </c>
      <c r="F3399" s="51">
        <v>-0.80533662780343152</v>
      </c>
      <c r="G3399" s="51" t="str">
        <v>中瀬 2022/09/18 (日)
休日午後</v>
      </c>
    </row>
    <row r="3400" spans="1:7" ht="16.149999999999999" x14ac:dyDescent="0.7">
      <c r="A3400" s="49">
        <v>44798.731331932868</v>
      </c>
      <c r="B3400" s="50" t="s">
        <v>18</v>
      </c>
      <c r="C3400" s="50" t="s">
        <v>470</v>
      </c>
      <c r="D3400" s="50" t="s">
        <v>263</v>
      </c>
      <c r="E3400" s="50">
        <v>2</v>
      </c>
      <c r="F3400" s="51">
        <v>2.3573634994447383</v>
      </c>
      <c r="G3400" s="51" t="str">
        <v>中瀬 2022/09/19 (月)
休日午前</v>
      </c>
    </row>
    <row r="3401" spans="1:7" ht="16.149999999999999" x14ac:dyDescent="0.7">
      <c r="A3401" s="49">
        <v>44798.731331932868</v>
      </c>
      <c r="B3401" s="50" t="s">
        <v>18</v>
      </c>
      <c r="C3401" s="50" t="s">
        <v>471</v>
      </c>
      <c r="D3401" s="50" t="s">
        <v>261</v>
      </c>
      <c r="E3401" s="50">
        <v>-1</v>
      </c>
      <c r="F3401" s="51">
        <v>-0.61747347783933493</v>
      </c>
      <c r="G3401" s="51" t="str">
        <v>中瀬 2022/09/19 (月)
休日午後</v>
      </c>
    </row>
    <row r="3402" spans="1:7" ht="16.149999999999999" x14ac:dyDescent="0.7">
      <c r="A3402" s="49">
        <v>44798.731331932868</v>
      </c>
      <c r="B3402" s="50" t="s">
        <v>18</v>
      </c>
      <c r="C3402" s="50" t="s">
        <v>472</v>
      </c>
      <c r="D3402" s="50" t="s">
        <v>259</v>
      </c>
      <c r="E3402" s="50">
        <v>-1</v>
      </c>
      <c r="F3402" s="51">
        <v>-0.82938241155912373</v>
      </c>
      <c r="G3402" s="51" t="str">
        <v>中瀬 2022/09/20 (火)
平日夜間</v>
      </c>
    </row>
    <row r="3403" spans="1:7" ht="16.149999999999999" x14ac:dyDescent="0.7">
      <c r="A3403" s="49">
        <v>44798.731331932868</v>
      </c>
      <c r="B3403" s="50" t="s">
        <v>18</v>
      </c>
      <c r="C3403" s="50" t="s">
        <v>473</v>
      </c>
      <c r="D3403" s="50" t="s">
        <v>259</v>
      </c>
      <c r="E3403" s="50">
        <v>-1</v>
      </c>
      <c r="F3403" s="51">
        <v>-0.83116824856470939</v>
      </c>
      <c r="G3403" s="51" t="str">
        <v>中瀬 2022/09/21 (水)
平日夜間</v>
      </c>
    </row>
    <row r="3404" spans="1:7" ht="16.149999999999999" x14ac:dyDescent="0.7">
      <c r="A3404" s="49">
        <v>44798.731331932868</v>
      </c>
      <c r="B3404" s="50" t="s">
        <v>18</v>
      </c>
      <c r="C3404" s="50" t="s">
        <v>474</v>
      </c>
      <c r="D3404" s="50" t="s">
        <v>259</v>
      </c>
      <c r="E3404" s="50">
        <v>0</v>
      </c>
      <c r="F3404" s="51">
        <v>0.71271833352810021</v>
      </c>
      <c r="G3404" s="51" t="str">
        <v>中瀬 2022/09/22 (木)
平日夜間</v>
      </c>
    </row>
    <row r="3405" spans="1:7" ht="16.149999999999999" x14ac:dyDescent="0.7">
      <c r="A3405" s="49">
        <v>44798.731331932868</v>
      </c>
      <c r="B3405" s="50" t="s">
        <v>18</v>
      </c>
      <c r="C3405" s="50" t="s">
        <v>475</v>
      </c>
      <c r="D3405" s="50" t="s">
        <v>263</v>
      </c>
      <c r="E3405" s="50">
        <v>0</v>
      </c>
      <c r="F3405" s="51">
        <v>0.76398424750378235</v>
      </c>
      <c r="G3405" s="51" t="str">
        <v>中瀬 2022/09/23 (金)
休日午前</v>
      </c>
    </row>
    <row r="3406" spans="1:7" ht="16.149999999999999" x14ac:dyDescent="0.7">
      <c r="A3406" s="49">
        <v>44798.731331932868</v>
      </c>
      <c r="B3406" s="50" t="s">
        <v>18</v>
      </c>
      <c r="C3406" s="50" t="s">
        <v>476</v>
      </c>
      <c r="D3406" s="50" t="s">
        <v>261</v>
      </c>
      <c r="E3406" s="50">
        <v>0</v>
      </c>
      <c r="F3406" s="51">
        <v>0.25735201873093749</v>
      </c>
      <c r="G3406" s="51" t="str">
        <v>中瀬 2022/09/23 (金)
休日午後</v>
      </c>
    </row>
    <row r="3407" spans="1:7" ht="16.149999999999999" x14ac:dyDescent="0.7">
      <c r="A3407" s="49">
        <v>44798.731331932868</v>
      </c>
      <c r="B3407" s="50" t="s">
        <v>18</v>
      </c>
      <c r="C3407" s="50" t="s">
        <v>477</v>
      </c>
      <c r="D3407" s="50" t="s">
        <v>263</v>
      </c>
      <c r="E3407" s="50">
        <v>0</v>
      </c>
      <c r="F3407" s="51">
        <v>0.79865304287782646</v>
      </c>
      <c r="G3407" s="51" t="str">
        <v>中瀬 2022/09/24 (土)
休日午前</v>
      </c>
    </row>
    <row r="3408" spans="1:7" ht="16.149999999999999" x14ac:dyDescent="0.7">
      <c r="A3408" s="49">
        <v>44798.731331932868</v>
      </c>
      <c r="B3408" s="50" t="s">
        <v>18</v>
      </c>
      <c r="C3408" s="50" t="s">
        <v>478</v>
      </c>
      <c r="D3408" s="50" t="s">
        <v>261</v>
      </c>
      <c r="E3408" s="50">
        <v>0</v>
      </c>
      <c r="F3408" s="51">
        <v>0.36671123675088535</v>
      </c>
      <c r="G3408" s="51" t="str">
        <v>中瀬 2022/09/24 (土)
休日午後</v>
      </c>
    </row>
    <row r="3409" spans="1:7" ht="16.149999999999999" x14ac:dyDescent="0.7">
      <c r="A3409" s="49">
        <v>44798.731331932868</v>
      </c>
      <c r="B3409" s="50" t="s">
        <v>18</v>
      </c>
      <c r="C3409" s="50" t="s">
        <v>479</v>
      </c>
      <c r="D3409" s="50" t="s">
        <v>263</v>
      </c>
      <c r="E3409" s="50">
        <v>-1</v>
      </c>
      <c r="F3409" s="51">
        <v>-0.31971642388981825</v>
      </c>
      <c r="G3409" s="51" t="str">
        <v>中瀬 2022/09/25 (日)
休日午前</v>
      </c>
    </row>
    <row r="3410" spans="1:7" ht="16.149999999999999" x14ac:dyDescent="0.7">
      <c r="A3410" s="49">
        <v>44798.731331932868</v>
      </c>
      <c r="B3410" s="50" t="s">
        <v>18</v>
      </c>
      <c r="C3410" s="50" t="s">
        <v>480</v>
      </c>
      <c r="D3410" s="50" t="s">
        <v>261</v>
      </c>
      <c r="E3410" s="50">
        <v>-1</v>
      </c>
      <c r="F3410" s="51">
        <v>-0.88835454763571575</v>
      </c>
      <c r="G3410" s="51" t="str">
        <v>中瀬 2022/09/25 (日)
休日午後</v>
      </c>
    </row>
    <row r="3411" spans="1:7" ht="16.149999999999999" x14ac:dyDescent="0.7">
      <c r="A3411" s="49">
        <v>44798.731331932868</v>
      </c>
      <c r="B3411" s="50" t="s">
        <v>18</v>
      </c>
      <c r="C3411" s="50" t="s">
        <v>481</v>
      </c>
      <c r="D3411" s="50" t="s">
        <v>259</v>
      </c>
      <c r="E3411" s="50">
        <v>0</v>
      </c>
      <c r="F3411" s="51">
        <v>0.74850607531990132</v>
      </c>
      <c r="G3411" s="51" t="str">
        <v>中瀬 2022/09/26 (月)
平日夜間</v>
      </c>
    </row>
    <row r="3412" spans="1:7" ht="16.149999999999999" x14ac:dyDescent="0.7">
      <c r="A3412" s="49">
        <v>44798.731331932868</v>
      </c>
      <c r="B3412" s="50" t="s">
        <v>18</v>
      </c>
      <c r="C3412" s="50" t="s">
        <v>482</v>
      </c>
      <c r="D3412" s="50" t="s">
        <v>259</v>
      </c>
      <c r="E3412" s="50">
        <v>0</v>
      </c>
      <c r="F3412" s="51">
        <v>0.28488801973601396</v>
      </c>
      <c r="G3412" s="51" t="str">
        <v>中瀬 2022/09/27 (火)
平日夜間</v>
      </c>
    </row>
    <row r="3413" spans="1:7" ht="16.149999999999999" x14ac:dyDescent="0.7">
      <c r="A3413" s="49">
        <v>44798.731331932868</v>
      </c>
      <c r="B3413" s="50" t="s">
        <v>18</v>
      </c>
      <c r="C3413" s="50" t="s">
        <v>483</v>
      </c>
      <c r="D3413" s="50" t="s">
        <v>259</v>
      </c>
      <c r="E3413" s="50">
        <v>0</v>
      </c>
      <c r="F3413" s="51">
        <v>0.13289544985565116</v>
      </c>
      <c r="G3413" s="51" t="str">
        <v>中瀬 2022/09/28 (水)
平日夜間</v>
      </c>
    </row>
    <row r="3414" spans="1:7" ht="16.149999999999999" x14ac:dyDescent="0.7">
      <c r="A3414" s="49">
        <v>44798.731331932868</v>
      </c>
      <c r="B3414" s="50" t="s">
        <v>18</v>
      </c>
      <c r="C3414" s="50" t="s">
        <v>484</v>
      </c>
      <c r="D3414" s="50" t="s">
        <v>259</v>
      </c>
      <c r="E3414" s="50">
        <v>0</v>
      </c>
      <c r="F3414" s="51">
        <v>0.1774074172165252</v>
      </c>
      <c r="G3414" s="51" t="str">
        <v>中瀬 2022/09/29 (木)
平日夜間</v>
      </c>
    </row>
    <row r="3415" spans="1:7" ht="16.149999999999999" x14ac:dyDescent="0.7">
      <c r="A3415" s="49">
        <v>44798.731331932868</v>
      </c>
      <c r="B3415" s="50" t="s">
        <v>18</v>
      </c>
      <c r="C3415" s="50" t="s">
        <v>485</v>
      </c>
      <c r="D3415" s="50" t="s">
        <v>259</v>
      </c>
      <c r="E3415" s="50">
        <v>-1</v>
      </c>
      <c r="F3415" s="51">
        <v>-0.61017162509199174</v>
      </c>
      <c r="G3415" s="51" t="str">
        <v>中瀬 2022/09/30 (金)
平日夜間</v>
      </c>
    </row>
    <row r="3416" spans="1:7" ht="16.149999999999999" x14ac:dyDescent="0.7">
      <c r="A3416" s="49">
        <v>44798.731331932868</v>
      </c>
      <c r="B3416" s="50" t="s">
        <v>5</v>
      </c>
      <c r="C3416" s="50" t="s">
        <v>485</v>
      </c>
      <c r="D3416" s="50" t="s">
        <v>259</v>
      </c>
      <c r="E3416" s="50">
        <v>-1</v>
      </c>
      <c r="F3416" s="51">
        <v>-0.61017162509199174</v>
      </c>
      <c r="G3416" s="51" t="str">
        <v>勝俣 2022/09/30 (金)
平日夜間</v>
      </c>
    </row>
    <row r="3417" spans="1:7" ht="16.149999999999999" x14ac:dyDescent="0.7">
      <c r="A3417" s="49">
        <v>44798.731331932868</v>
      </c>
      <c r="B3417" s="50" t="s">
        <v>12</v>
      </c>
      <c r="C3417" s="50" t="s">
        <v>485</v>
      </c>
      <c r="D3417" s="50" t="s">
        <v>259</v>
      </c>
      <c r="E3417" s="50">
        <v>-1</v>
      </c>
      <c r="F3417" s="51">
        <v>-0.61017162509199174</v>
      </c>
      <c r="G3417" s="51" t="str">
        <v>林哲 2022/09/30 (金)
平日夜間</v>
      </c>
    </row>
    <row r="3418" spans="1:7" ht="16.149999999999999" x14ac:dyDescent="0.7">
      <c r="A3418" s="49">
        <v>44799.404426030094</v>
      </c>
      <c r="B3418" s="50" t="s">
        <v>5</v>
      </c>
      <c r="C3418" s="50" t="s">
        <v>446</v>
      </c>
      <c r="D3418" s="50" t="s">
        <v>259</v>
      </c>
      <c r="E3418" s="50">
        <v>0</v>
      </c>
      <c r="F3418" s="51">
        <v>0.98195143367013138</v>
      </c>
      <c r="G3418" s="51" t="str">
        <v>勝俣 2022/09/01 (木)
平日夜間</v>
      </c>
    </row>
    <row r="3419" spans="1:7" ht="16.149999999999999" x14ac:dyDescent="0.7">
      <c r="A3419" s="49">
        <v>44799.404426030094</v>
      </c>
      <c r="B3419" s="50" t="s">
        <v>5</v>
      </c>
      <c r="C3419" s="50" t="s">
        <v>447</v>
      </c>
      <c r="D3419" s="50" t="s">
        <v>259</v>
      </c>
      <c r="E3419" s="50">
        <v>0</v>
      </c>
      <c r="F3419" s="51">
        <v>0.94262129864867039</v>
      </c>
      <c r="G3419" s="51" t="str">
        <v>勝俣 2022/09/02 (金)
平日夜間</v>
      </c>
    </row>
    <row r="3420" spans="1:7" ht="16.149999999999999" x14ac:dyDescent="0.7">
      <c r="A3420" s="49">
        <v>44799.404426030094</v>
      </c>
      <c r="B3420" s="50" t="s">
        <v>5</v>
      </c>
      <c r="C3420" s="50" t="s">
        <v>448</v>
      </c>
      <c r="D3420" s="50" t="s">
        <v>263</v>
      </c>
      <c r="E3420" s="50">
        <v>0</v>
      </c>
      <c r="F3420" s="51">
        <v>0.45013659869921474</v>
      </c>
      <c r="G3420" s="51" t="str">
        <v>勝俣 2022/09/03 (土)
休日午前</v>
      </c>
    </row>
    <row r="3421" spans="1:7" ht="16.149999999999999" x14ac:dyDescent="0.7">
      <c r="A3421" s="49">
        <v>44799.404426030094</v>
      </c>
      <c r="B3421" s="50" t="s">
        <v>5</v>
      </c>
      <c r="C3421" s="50" t="s">
        <v>449</v>
      </c>
      <c r="D3421" s="50" t="s">
        <v>261</v>
      </c>
      <c r="E3421" s="50">
        <v>0</v>
      </c>
      <c r="F3421" s="51">
        <v>0.37157951175336223</v>
      </c>
      <c r="G3421" s="51" t="str">
        <v>勝俣 2022/09/03 (土)
休日午後</v>
      </c>
    </row>
    <row r="3422" spans="1:7" ht="16.149999999999999" x14ac:dyDescent="0.7">
      <c r="A3422" s="49">
        <v>44799.404426030094</v>
      </c>
      <c r="B3422" s="50" t="s">
        <v>5</v>
      </c>
      <c r="C3422" s="50" t="s">
        <v>450</v>
      </c>
      <c r="D3422" s="50" t="s">
        <v>263</v>
      </c>
      <c r="E3422" s="50">
        <v>0</v>
      </c>
      <c r="F3422" s="51">
        <v>0.45876256810620908</v>
      </c>
      <c r="G3422" s="51" t="str">
        <v>勝俣 2022/09/04 (日)
休日午前</v>
      </c>
    </row>
    <row r="3423" spans="1:7" ht="16.149999999999999" x14ac:dyDescent="0.7">
      <c r="A3423" s="49">
        <v>44799.404426030094</v>
      </c>
      <c r="B3423" s="50" t="s">
        <v>5</v>
      </c>
      <c r="C3423" s="50" t="s">
        <v>451</v>
      </c>
      <c r="D3423" s="50" t="s">
        <v>261</v>
      </c>
      <c r="E3423" s="50">
        <v>0</v>
      </c>
      <c r="F3423" s="51">
        <v>0.27716927817191794</v>
      </c>
      <c r="G3423" s="51" t="str">
        <v>勝俣 2022/09/04 (日)
休日午後</v>
      </c>
    </row>
    <row r="3424" spans="1:7" ht="16.149999999999999" x14ac:dyDescent="0.7">
      <c r="A3424" s="49">
        <v>44799.404426030094</v>
      </c>
      <c r="B3424" s="50" t="s">
        <v>5</v>
      </c>
      <c r="C3424" s="50" t="s">
        <v>452</v>
      </c>
      <c r="D3424" s="50" t="s">
        <v>259</v>
      </c>
      <c r="E3424" s="50">
        <v>0</v>
      </c>
      <c r="F3424" s="51">
        <v>0.48286000271270635</v>
      </c>
      <c r="G3424" s="51" t="str">
        <v>勝俣 2022/09/05 (月)
平日夜間</v>
      </c>
    </row>
    <row r="3425" spans="1:7" ht="16.149999999999999" x14ac:dyDescent="0.7">
      <c r="A3425" s="49">
        <v>44799.404426030094</v>
      </c>
      <c r="B3425" s="50" t="s">
        <v>5</v>
      </c>
      <c r="C3425" s="50" t="s">
        <v>453</v>
      </c>
      <c r="D3425" s="50" t="s">
        <v>259</v>
      </c>
      <c r="E3425" s="50">
        <v>0</v>
      </c>
      <c r="F3425" s="51">
        <v>0.70291478121727358</v>
      </c>
      <c r="G3425" s="51" t="str">
        <v>勝俣 2022/09/06 (火)
平日夜間</v>
      </c>
    </row>
    <row r="3426" spans="1:7" ht="16.149999999999999" x14ac:dyDescent="0.7">
      <c r="A3426" s="49">
        <v>44799.404426030094</v>
      </c>
      <c r="B3426" s="50" t="s">
        <v>5</v>
      </c>
      <c r="C3426" s="50" t="s">
        <v>454</v>
      </c>
      <c r="D3426" s="50" t="s">
        <v>259</v>
      </c>
      <c r="E3426" s="50">
        <v>0</v>
      </c>
      <c r="F3426" s="51">
        <v>0.15656290970658171</v>
      </c>
      <c r="G3426" s="51" t="str">
        <v>勝俣 2022/09/07 (水)
平日夜間</v>
      </c>
    </row>
    <row r="3427" spans="1:7" ht="16.149999999999999" x14ac:dyDescent="0.7">
      <c r="A3427" s="49">
        <v>44799.404426030094</v>
      </c>
      <c r="B3427" s="50" t="s">
        <v>5</v>
      </c>
      <c r="C3427" s="50" t="s">
        <v>455</v>
      </c>
      <c r="D3427" s="50" t="s">
        <v>259</v>
      </c>
      <c r="E3427" s="50">
        <v>0</v>
      </c>
      <c r="F3427" s="51">
        <v>0.33599517396432588</v>
      </c>
      <c r="G3427" s="51" t="str">
        <v>勝俣 2022/09/08 (木)
平日夜間</v>
      </c>
    </row>
    <row r="3428" spans="1:7" ht="16.149999999999999" x14ac:dyDescent="0.7">
      <c r="A3428" s="49">
        <v>44799.404426030094</v>
      </c>
      <c r="B3428" s="50" t="s">
        <v>5</v>
      </c>
      <c r="C3428" s="50" t="s">
        <v>456</v>
      </c>
      <c r="D3428" s="50" t="s">
        <v>259</v>
      </c>
      <c r="E3428" s="50">
        <v>0</v>
      </c>
      <c r="F3428" s="51">
        <v>0.44509554649756455</v>
      </c>
      <c r="G3428" s="51" t="str">
        <v>勝俣 2022/09/09 (金)
平日夜間</v>
      </c>
    </row>
    <row r="3429" spans="1:7" ht="16.149999999999999" x14ac:dyDescent="0.7">
      <c r="A3429" s="49">
        <v>44799.404426030094</v>
      </c>
      <c r="B3429" s="50" t="s">
        <v>5</v>
      </c>
      <c r="C3429" s="50" t="s">
        <v>457</v>
      </c>
      <c r="D3429" s="50" t="s">
        <v>263</v>
      </c>
      <c r="E3429" s="50">
        <v>0</v>
      </c>
      <c r="F3429" s="51">
        <v>0.29201882202257479</v>
      </c>
      <c r="G3429" s="51" t="str">
        <v>勝俣 2022/09/10 (土)
休日午前</v>
      </c>
    </row>
    <row r="3430" spans="1:7" ht="16.149999999999999" x14ac:dyDescent="0.7">
      <c r="A3430" s="49">
        <v>44799.404426030094</v>
      </c>
      <c r="B3430" s="50" t="s">
        <v>5</v>
      </c>
      <c r="C3430" s="50" t="s">
        <v>458</v>
      </c>
      <c r="D3430" s="50" t="s">
        <v>261</v>
      </c>
      <c r="E3430" s="50">
        <v>0</v>
      </c>
      <c r="F3430" s="51">
        <v>0.39091281552595047</v>
      </c>
      <c r="G3430" s="51" t="str">
        <v>勝俣 2022/09/10 (土)
休日午後</v>
      </c>
    </row>
    <row r="3431" spans="1:7" ht="16.149999999999999" x14ac:dyDescent="0.7">
      <c r="A3431" s="49">
        <v>44799.404426030094</v>
      </c>
      <c r="B3431" s="50" t="s">
        <v>5</v>
      </c>
      <c r="C3431" s="50" t="s">
        <v>459</v>
      </c>
      <c r="D3431" s="50" t="s">
        <v>263</v>
      </c>
      <c r="E3431" s="50">
        <v>0</v>
      </c>
      <c r="F3431" s="51">
        <v>0.35070412935746709</v>
      </c>
      <c r="G3431" s="51" t="str">
        <v>勝俣 2022/09/11 (日)
休日午前</v>
      </c>
    </row>
    <row r="3432" spans="1:7" ht="16.149999999999999" x14ac:dyDescent="0.7">
      <c r="A3432" s="49">
        <v>44799.404426030094</v>
      </c>
      <c r="B3432" s="50" t="s">
        <v>5</v>
      </c>
      <c r="C3432" s="50" t="s">
        <v>460</v>
      </c>
      <c r="D3432" s="50" t="s">
        <v>261</v>
      </c>
      <c r="E3432" s="50">
        <v>0</v>
      </c>
      <c r="F3432" s="51">
        <v>8.1571359748757066E-2</v>
      </c>
      <c r="G3432" s="51" t="str">
        <v>勝俣 2022/09/11 (日)
休日午後</v>
      </c>
    </row>
    <row r="3433" spans="1:7" ht="16.149999999999999" x14ac:dyDescent="0.7">
      <c r="A3433" s="49">
        <v>44799.404426030094</v>
      </c>
      <c r="B3433" s="50" t="s">
        <v>5</v>
      </c>
      <c r="C3433" s="50" t="s">
        <v>461</v>
      </c>
      <c r="D3433" s="50" t="s">
        <v>259</v>
      </c>
      <c r="E3433" s="50">
        <v>0</v>
      </c>
      <c r="F3433" s="51">
        <v>0.32917584170827818</v>
      </c>
      <c r="G3433" s="51" t="str">
        <v>勝俣 2022/09/12 (月)
平日夜間</v>
      </c>
    </row>
    <row r="3434" spans="1:7" ht="16.149999999999999" x14ac:dyDescent="0.7">
      <c r="A3434" s="49">
        <v>44799.404426030094</v>
      </c>
      <c r="B3434" s="50" t="s">
        <v>5</v>
      </c>
      <c r="C3434" s="50" t="s">
        <v>462</v>
      </c>
      <c r="D3434" s="50" t="s">
        <v>259</v>
      </c>
      <c r="E3434" s="50">
        <v>0</v>
      </c>
      <c r="F3434" s="51">
        <v>0.15136020169786168</v>
      </c>
      <c r="G3434" s="51" t="str">
        <v>勝俣 2022/09/13 (火)
平日夜間</v>
      </c>
    </row>
    <row r="3435" spans="1:7" ht="16.149999999999999" x14ac:dyDescent="0.7">
      <c r="A3435" s="49">
        <v>44799.404426030094</v>
      </c>
      <c r="B3435" s="50" t="s">
        <v>5</v>
      </c>
      <c r="C3435" s="50" t="s">
        <v>463</v>
      </c>
      <c r="D3435" s="50" t="s">
        <v>259</v>
      </c>
      <c r="E3435" s="50">
        <v>0</v>
      </c>
      <c r="F3435" s="51">
        <v>0.24865034844857137</v>
      </c>
      <c r="G3435" s="51" t="str">
        <v>勝俣 2022/09/14 (水)
平日夜間</v>
      </c>
    </row>
    <row r="3436" spans="1:7" ht="16.149999999999999" x14ac:dyDescent="0.7">
      <c r="A3436" s="49">
        <v>44799.404426030094</v>
      </c>
      <c r="B3436" s="50" t="s">
        <v>5</v>
      </c>
      <c r="C3436" s="50" t="s">
        <v>464</v>
      </c>
      <c r="D3436" s="50" t="s">
        <v>259</v>
      </c>
      <c r="E3436" s="50">
        <v>0</v>
      </c>
      <c r="F3436" s="51">
        <v>0.92047166206621389</v>
      </c>
      <c r="G3436" s="51" t="str">
        <v>勝俣 2022/09/15 (木)
平日夜間</v>
      </c>
    </row>
    <row r="3437" spans="1:7" ht="16.149999999999999" x14ac:dyDescent="0.7">
      <c r="A3437" s="49">
        <v>44799.404426030094</v>
      </c>
      <c r="B3437" s="50" t="s">
        <v>5</v>
      </c>
      <c r="C3437" s="50" t="s">
        <v>465</v>
      </c>
      <c r="D3437" s="50" t="s">
        <v>259</v>
      </c>
      <c r="E3437" s="50">
        <v>0</v>
      </c>
      <c r="F3437" s="51">
        <v>0.51201419116249203</v>
      </c>
      <c r="G3437" s="51" t="str">
        <v>勝俣 2022/09/16 (金)
平日夜間</v>
      </c>
    </row>
    <row r="3438" spans="1:7" ht="16.149999999999999" x14ac:dyDescent="0.7">
      <c r="A3438" s="49">
        <v>44799.404426030094</v>
      </c>
      <c r="B3438" s="50" t="s">
        <v>5</v>
      </c>
      <c r="C3438" s="50" t="s">
        <v>466</v>
      </c>
      <c r="D3438" s="50" t="s">
        <v>263</v>
      </c>
      <c r="E3438" s="50">
        <v>0</v>
      </c>
      <c r="F3438" s="51">
        <v>0.32210114354227848</v>
      </c>
      <c r="G3438" s="51" t="str">
        <v>勝俣 2022/09/17 (土)
休日午前</v>
      </c>
    </row>
    <row r="3439" spans="1:7" ht="16.149999999999999" x14ac:dyDescent="0.7">
      <c r="A3439" s="49">
        <v>44799.404426030094</v>
      </c>
      <c r="B3439" s="50" t="s">
        <v>5</v>
      </c>
      <c r="C3439" s="50" t="s">
        <v>467</v>
      </c>
      <c r="D3439" s="50" t="s">
        <v>261</v>
      </c>
      <c r="E3439" s="50">
        <v>0</v>
      </c>
      <c r="F3439" s="51">
        <v>0.72018997800536977</v>
      </c>
      <c r="G3439" s="51" t="str">
        <v>勝俣 2022/09/17 (土)
休日午後</v>
      </c>
    </row>
    <row r="3440" spans="1:7" ht="16.149999999999999" x14ac:dyDescent="0.7">
      <c r="A3440" s="49">
        <v>44799.404426030094</v>
      </c>
      <c r="B3440" s="50" t="s">
        <v>5</v>
      </c>
      <c r="C3440" s="50" t="s">
        <v>468</v>
      </c>
      <c r="D3440" s="50" t="s">
        <v>263</v>
      </c>
      <c r="E3440" s="50">
        <v>0</v>
      </c>
      <c r="F3440" s="51">
        <v>0.69340865111764427</v>
      </c>
      <c r="G3440" s="51" t="str">
        <v>勝俣 2022/09/18 (日)
休日午前</v>
      </c>
    </row>
    <row r="3441" spans="1:7" ht="16.149999999999999" x14ac:dyDescent="0.7">
      <c r="A3441" s="49">
        <v>44799.404426030094</v>
      </c>
      <c r="B3441" s="50" t="s">
        <v>5</v>
      </c>
      <c r="C3441" s="50" t="s">
        <v>469</v>
      </c>
      <c r="D3441" s="50" t="s">
        <v>261</v>
      </c>
      <c r="E3441" s="50">
        <v>0</v>
      </c>
      <c r="F3441" s="51">
        <v>0.80430731374227915</v>
      </c>
      <c r="G3441" s="51" t="str">
        <v>勝俣 2022/09/18 (日)
休日午後</v>
      </c>
    </row>
    <row r="3442" spans="1:7" ht="16.149999999999999" x14ac:dyDescent="0.7">
      <c r="A3442" s="49">
        <v>44799.404426030094</v>
      </c>
      <c r="B3442" s="50" t="s">
        <v>5</v>
      </c>
      <c r="C3442" s="50" t="s">
        <v>470</v>
      </c>
      <c r="D3442" s="50" t="s">
        <v>263</v>
      </c>
      <c r="E3442" s="50">
        <v>0</v>
      </c>
      <c r="F3442" s="51">
        <v>0.44986916301184809</v>
      </c>
      <c r="G3442" s="51" t="str">
        <v>勝俣 2022/09/19 (月)
休日午前</v>
      </c>
    </row>
    <row r="3443" spans="1:7" ht="16.149999999999999" x14ac:dyDescent="0.7">
      <c r="A3443" s="49">
        <v>44799.404426030094</v>
      </c>
      <c r="B3443" s="50" t="s">
        <v>5</v>
      </c>
      <c r="C3443" s="50" t="s">
        <v>471</v>
      </c>
      <c r="D3443" s="50" t="s">
        <v>261</v>
      </c>
      <c r="E3443" s="50">
        <v>0</v>
      </c>
      <c r="F3443" s="51">
        <v>0.32867061110695217</v>
      </c>
      <c r="G3443" s="51" t="str">
        <v>勝俣 2022/09/19 (月)
休日午後</v>
      </c>
    </row>
    <row r="3444" spans="1:7" ht="16.149999999999999" x14ac:dyDescent="0.7">
      <c r="A3444" s="49">
        <v>44799.404426030094</v>
      </c>
      <c r="B3444" s="50" t="s">
        <v>5</v>
      </c>
      <c r="C3444" s="50" t="s">
        <v>472</v>
      </c>
      <c r="D3444" s="50" t="s">
        <v>259</v>
      </c>
      <c r="E3444" s="50">
        <v>0</v>
      </c>
      <c r="F3444" s="51">
        <v>0.2727131111786647</v>
      </c>
      <c r="G3444" s="51" t="str">
        <v>勝俣 2022/09/20 (火)
平日夜間</v>
      </c>
    </row>
    <row r="3445" spans="1:7" ht="16.149999999999999" x14ac:dyDescent="0.7">
      <c r="A3445" s="49">
        <v>44799.404426030094</v>
      </c>
      <c r="B3445" s="50" t="s">
        <v>5</v>
      </c>
      <c r="C3445" s="50" t="s">
        <v>473</v>
      </c>
      <c r="D3445" s="50" t="s">
        <v>259</v>
      </c>
      <c r="E3445" s="50">
        <v>0</v>
      </c>
      <c r="F3445" s="51">
        <v>0.27097694048633025</v>
      </c>
      <c r="G3445" s="51" t="str">
        <v>勝俣 2022/09/21 (水)
平日夜間</v>
      </c>
    </row>
    <row r="3446" spans="1:7" ht="16.149999999999999" x14ac:dyDescent="0.7">
      <c r="A3446" s="49">
        <v>44799.404426030094</v>
      </c>
      <c r="B3446" s="50" t="s">
        <v>5</v>
      </c>
      <c r="C3446" s="50" t="s">
        <v>474</v>
      </c>
      <c r="D3446" s="50" t="s">
        <v>259</v>
      </c>
      <c r="E3446" s="50">
        <v>0</v>
      </c>
      <c r="F3446" s="51">
        <v>0.2673209034275934</v>
      </c>
      <c r="G3446" s="51" t="str">
        <v>勝俣 2022/09/22 (木)
平日夜間</v>
      </c>
    </row>
    <row r="3447" spans="1:7" ht="16.149999999999999" x14ac:dyDescent="0.7">
      <c r="A3447" s="49">
        <v>44799.404426030094</v>
      </c>
      <c r="B3447" s="50" t="s">
        <v>5</v>
      </c>
      <c r="C3447" s="50" t="s">
        <v>475</v>
      </c>
      <c r="D3447" s="50" t="s">
        <v>263</v>
      </c>
      <c r="E3447" s="50">
        <v>0</v>
      </c>
      <c r="F3447" s="51">
        <v>0.77200278852321791</v>
      </c>
      <c r="G3447" s="51" t="str">
        <v>勝俣 2022/09/23 (金)
休日午前</v>
      </c>
    </row>
    <row r="3448" spans="1:7" ht="16.149999999999999" x14ac:dyDescent="0.7">
      <c r="A3448" s="49">
        <v>44799.404426030094</v>
      </c>
      <c r="B3448" s="50" t="s">
        <v>5</v>
      </c>
      <c r="C3448" s="50" t="s">
        <v>476</v>
      </c>
      <c r="D3448" s="50" t="s">
        <v>261</v>
      </c>
      <c r="E3448" s="50">
        <v>0</v>
      </c>
      <c r="F3448" s="51">
        <v>0.88752608139922318</v>
      </c>
      <c r="G3448" s="51" t="str">
        <v>勝俣 2022/09/23 (金)
休日午後</v>
      </c>
    </row>
    <row r="3449" spans="1:7" ht="16.149999999999999" x14ac:dyDescent="0.7">
      <c r="A3449" s="49">
        <v>44799.404426030094</v>
      </c>
      <c r="B3449" s="50" t="s">
        <v>5</v>
      </c>
      <c r="C3449" s="50" t="s">
        <v>477</v>
      </c>
      <c r="D3449" s="50" t="s">
        <v>263</v>
      </c>
      <c r="E3449" s="50">
        <v>0</v>
      </c>
      <c r="F3449" s="51">
        <v>0.49671594507120553</v>
      </c>
      <c r="G3449" s="51" t="str">
        <v>勝俣 2022/09/24 (土)
休日午前</v>
      </c>
    </row>
    <row r="3450" spans="1:7" ht="16.149999999999999" x14ac:dyDescent="0.7">
      <c r="A3450" s="49">
        <v>44799.404426030094</v>
      </c>
      <c r="B3450" s="50" t="s">
        <v>5</v>
      </c>
      <c r="C3450" s="50" t="s">
        <v>478</v>
      </c>
      <c r="D3450" s="50" t="s">
        <v>261</v>
      </c>
      <c r="E3450" s="50">
        <v>0</v>
      </c>
      <c r="F3450" s="51">
        <v>0.89582544252460083</v>
      </c>
      <c r="G3450" s="51" t="str">
        <v>勝俣 2022/09/24 (土)
休日午後</v>
      </c>
    </row>
    <row r="3451" spans="1:7" ht="16.149999999999999" x14ac:dyDescent="0.7">
      <c r="A3451" s="49">
        <v>44799.404426030094</v>
      </c>
      <c r="B3451" s="50" t="s">
        <v>5</v>
      </c>
      <c r="C3451" s="50" t="s">
        <v>479</v>
      </c>
      <c r="D3451" s="50" t="s">
        <v>263</v>
      </c>
      <c r="E3451" s="50">
        <v>0</v>
      </c>
      <c r="F3451" s="51">
        <v>0.90747671675535191</v>
      </c>
      <c r="G3451" s="51" t="str">
        <v>勝俣 2022/09/25 (日)
休日午前</v>
      </c>
    </row>
    <row r="3452" spans="1:7" ht="16.149999999999999" x14ac:dyDescent="0.7">
      <c r="A3452" s="49">
        <v>44799.404426030094</v>
      </c>
      <c r="B3452" s="50" t="s">
        <v>5</v>
      </c>
      <c r="C3452" s="50" t="s">
        <v>480</v>
      </c>
      <c r="D3452" s="50" t="s">
        <v>261</v>
      </c>
      <c r="E3452" s="50">
        <v>0</v>
      </c>
      <c r="F3452" s="51">
        <v>0.37155310162535238</v>
      </c>
      <c r="G3452" s="51" t="str">
        <v>勝俣 2022/09/25 (日)
休日午後</v>
      </c>
    </row>
    <row r="3453" spans="1:7" ht="16.149999999999999" x14ac:dyDescent="0.7">
      <c r="A3453" s="49">
        <v>44799.404426030094</v>
      </c>
      <c r="B3453" s="50" t="s">
        <v>5</v>
      </c>
      <c r="C3453" s="50" t="s">
        <v>481</v>
      </c>
      <c r="D3453" s="50" t="s">
        <v>259</v>
      </c>
      <c r="E3453" s="50">
        <v>0</v>
      </c>
      <c r="F3453" s="51">
        <v>0.15000612342720965</v>
      </c>
      <c r="G3453" s="51" t="str">
        <v>勝俣 2022/09/26 (月)
平日夜間</v>
      </c>
    </row>
    <row r="3454" spans="1:7" ht="16.149999999999999" x14ac:dyDescent="0.7">
      <c r="A3454" s="49">
        <v>44799.404426030094</v>
      </c>
      <c r="B3454" s="50" t="s">
        <v>5</v>
      </c>
      <c r="C3454" s="50" t="s">
        <v>482</v>
      </c>
      <c r="D3454" s="50" t="s">
        <v>259</v>
      </c>
      <c r="E3454" s="50">
        <v>0</v>
      </c>
      <c r="F3454" s="51">
        <v>0.18604652157288792</v>
      </c>
      <c r="G3454" s="51" t="str">
        <v>勝俣 2022/09/27 (火)
平日夜間</v>
      </c>
    </row>
    <row r="3455" spans="1:7" ht="16.149999999999999" x14ac:dyDescent="0.7">
      <c r="A3455" s="49">
        <v>44799.404426030094</v>
      </c>
      <c r="B3455" s="50" t="s">
        <v>5</v>
      </c>
      <c r="C3455" s="50" t="s">
        <v>483</v>
      </c>
      <c r="D3455" s="50" t="s">
        <v>259</v>
      </c>
      <c r="E3455" s="50">
        <v>0</v>
      </c>
      <c r="F3455" s="51">
        <v>6.5185797150571378E-2</v>
      </c>
      <c r="G3455" s="51" t="str">
        <v>勝俣 2022/09/28 (水)
平日夜間</v>
      </c>
    </row>
    <row r="3456" spans="1:7" ht="16.149999999999999" x14ac:dyDescent="0.7">
      <c r="A3456" s="49">
        <v>44799.404426030094</v>
      </c>
      <c r="B3456" s="50" t="s">
        <v>5</v>
      </c>
      <c r="C3456" s="50" t="s">
        <v>484</v>
      </c>
      <c r="D3456" s="50" t="s">
        <v>259</v>
      </c>
      <c r="E3456" s="50">
        <v>0</v>
      </c>
      <c r="F3456" s="51">
        <v>0.95319411674451615</v>
      </c>
      <c r="G3456" s="51" t="str">
        <v>勝俣 2022/09/29 (木)
平日夜間</v>
      </c>
    </row>
    <row r="3457" spans="1:7" ht="16.149999999999999" x14ac:dyDescent="0.7">
      <c r="A3457" s="49">
        <v>44799.404426030094</v>
      </c>
      <c r="B3457" s="50" t="s">
        <v>5</v>
      </c>
      <c r="C3457" s="50" t="s">
        <v>485</v>
      </c>
      <c r="D3457" s="50" t="s">
        <v>259</v>
      </c>
      <c r="E3457" s="50">
        <v>0</v>
      </c>
      <c r="F3457" s="51">
        <v>0.88987350812057131</v>
      </c>
      <c r="G3457" s="51" t="str">
        <v>勝俣 2022/09/30 (金)
平日夜間</v>
      </c>
    </row>
    <row r="3458" spans="1:7" ht="16.149999999999999" x14ac:dyDescent="0.7">
      <c r="A3458" s="49">
        <v>44799.411219687499</v>
      </c>
      <c r="B3458" s="50" t="s">
        <v>127</v>
      </c>
      <c r="C3458" s="50" t="s">
        <v>446</v>
      </c>
      <c r="D3458" s="50" t="s">
        <v>259</v>
      </c>
      <c r="E3458" s="50">
        <v>-1</v>
      </c>
      <c r="F3458" s="51">
        <v>-0.68236239619499561</v>
      </c>
      <c r="G3458" s="51" t="str">
        <v>稲葉 2022/09/01 (木)
平日夜間</v>
      </c>
    </row>
    <row r="3459" spans="1:7" ht="16.149999999999999" x14ac:dyDescent="0.7">
      <c r="A3459" s="49">
        <v>44799.411219687499</v>
      </c>
      <c r="B3459" s="50" t="s">
        <v>127</v>
      </c>
      <c r="C3459" s="50" t="s">
        <v>447</v>
      </c>
      <c r="D3459" s="50" t="s">
        <v>259</v>
      </c>
      <c r="E3459" s="50">
        <v>0</v>
      </c>
      <c r="F3459" s="51">
        <v>0.75313732939315026</v>
      </c>
      <c r="G3459" s="51" t="str">
        <v>稲葉 2022/09/02 (金)
平日夜間</v>
      </c>
    </row>
    <row r="3460" spans="1:7" ht="16.149999999999999" x14ac:dyDescent="0.7">
      <c r="A3460" s="49">
        <v>44799.411219687499</v>
      </c>
      <c r="B3460" s="50" t="s">
        <v>127</v>
      </c>
      <c r="C3460" s="50" t="s">
        <v>448</v>
      </c>
      <c r="D3460" s="50" t="s">
        <v>263</v>
      </c>
      <c r="E3460" s="50">
        <v>0</v>
      </c>
      <c r="F3460" s="51">
        <v>0.76724425981137223</v>
      </c>
      <c r="G3460" s="51" t="str">
        <v>稲葉 2022/09/03 (土)
休日午前</v>
      </c>
    </row>
    <row r="3461" spans="1:7" ht="16.149999999999999" x14ac:dyDescent="0.7">
      <c r="A3461" s="49">
        <v>44799.411219687499</v>
      </c>
      <c r="B3461" s="50" t="s">
        <v>127</v>
      </c>
      <c r="C3461" s="50" t="s">
        <v>449</v>
      </c>
      <c r="D3461" s="50" t="s">
        <v>261</v>
      </c>
      <c r="E3461" s="50">
        <v>0</v>
      </c>
      <c r="F3461" s="51">
        <v>0.56899018076149055</v>
      </c>
      <c r="G3461" s="51" t="str">
        <v>稲葉 2022/09/03 (土)
休日午後</v>
      </c>
    </row>
    <row r="3462" spans="1:7" ht="16.149999999999999" x14ac:dyDescent="0.7">
      <c r="A3462" s="49">
        <v>44799.411219687499</v>
      </c>
      <c r="B3462" s="50" t="s">
        <v>127</v>
      </c>
      <c r="C3462" s="50" t="s">
        <v>450</v>
      </c>
      <c r="D3462" s="50" t="s">
        <v>263</v>
      </c>
      <c r="E3462" s="50">
        <v>0</v>
      </c>
      <c r="F3462" s="51">
        <v>0.51332424146372735</v>
      </c>
      <c r="G3462" s="51" t="str">
        <v>稲葉 2022/09/04 (日)
休日午前</v>
      </c>
    </row>
    <row r="3463" spans="1:7" ht="16.149999999999999" x14ac:dyDescent="0.7">
      <c r="A3463" s="49">
        <v>44799.411219687499</v>
      </c>
      <c r="B3463" s="50" t="s">
        <v>127</v>
      </c>
      <c r="C3463" s="50" t="s">
        <v>451</v>
      </c>
      <c r="D3463" s="50" t="s">
        <v>261</v>
      </c>
      <c r="E3463" s="50">
        <v>0</v>
      </c>
      <c r="F3463" s="51">
        <v>0.16224637407972642</v>
      </c>
      <c r="G3463" s="51" t="str">
        <v>稲葉 2022/09/04 (日)
休日午後</v>
      </c>
    </row>
    <row r="3464" spans="1:7" ht="16.149999999999999" x14ac:dyDescent="0.7">
      <c r="A3464" s="49">
        <v>44799.411219687499</v>
      </c>
      <c r="B3464" s="50" t="s">
        <v>127</v>
      </c>
      <c r="C3464" s="50" t="s">
        <v>452</v>
      </c>
      <c r="D3464" s="50" t="s">
        <v>259</v>
      </c>
      <c r="E3464" s="50">
        <v>0</v>
      </c>
      <c r="F3464" s="51">
        <v>0.86090331828325106</v>
      </c>
      <c r="G3464" s="51" t="str">
        <v>稲葉 2022/09/05 (月)
平日夜間</v>
      </c>
    </row>
    <row r="3465" spans="1:7" ht="16.149999999999999" x14ac:dyDescent="0.7">
      <c r="A3465" s="49">
        <v>44799.411219687499</v>
      </c>
      <c r="B3465" s="50" t="s">
        <v>127</v>
      </c>
      <c r="C3465" s="50" t="s">
        <v>453</v>
      </c>
      <c r="D3465" s="50" t="s">
        <v>259</v>
      </c>
      <c r="E3465" s="50">
        <v>0</v>
      </c>
      <c r="F3465" s="51">
        <v>0.94556570424936348</v>
      </c>
      <c r="G3465" s="51" t="str">
        <v>稲葉 2022/09/06 (火)
平日夜間</v>
      </c>
    </row>
    <row r="3466" spans="1:7" ht="16.149999999999999" x14ac:dyDescent="0.7">
      <c r="A3466" s="49">
        <v>44799.411219687499</v>
      </c>
      <c r="B3466" s="50" t="s">
        <v>127</v>
      </c>
      <c r="C3466" s="50" t="s">
        <v>454</v>
      </c>
      <c r="D3466" s="50" t="s">
        <v>259</v>
      </c>
      <c r="E3466" s="50">
        <v>0</v>
      </c>
      <c r="F3466" s="51">
        <v>0.83062827345686729</v>
      </c>
      <c r="G3466" s="51" t="str">
        <v>稲葉 2022/09/07 (水)
平日夜間</v>
      </c>
    </row>
    <row r="3467" spans="1:7" ht="16.149999999999999" x14ac:dyDescent="0.7">
      <c r="A3467" s="49">
        <v>44799.411219687499</v>
      </c>
      <c r="B3467" s="50" t="s">
        <v>127</v>
      </c>
      <c r="C3467" s="50" t="s">
        <v>455</v>
      </c>
      <c r="D3467" s="50" t="s">
        <v>259</v>
      </c>
      <c r="E3467" s="50">
        <v>0</v>
      </c>
      <c r="F3467" s="51">
        <v>0.21603346707978721</v>
      </c>
      <c r="G3467" s="51" t="str">
        <v>稲葉 2022/09/08 (木)
平日夜間</v>
      </c>
    </row>
    <row r="3468" spans="1:7" ht="16.149999999999999" x14ac:dyDescent="0.7">
      <c r="A3468" s="49">
        <v>44799.411219687499</v>
      </c>
      <c r="B3468" s="50" t="s">
        <v>127</v>
      </c>
      <c r="C3468" s="50" t="s">
        <v>456</v>
      </c>
      <c r="D3468" s="50" t="s">
        <v>259</v>
      </c>
      <c r="E3468" s="50">
        <v>0</v>
      </c>
      <c r="F3468" s="51">
        <v>0.80294635071982468</v>
      </c>
      <c r="G3468" s="51" t="str">
        <v>稲葉 2022/09/09 (金)
平日夜間</v>
      </c>
    </row>
    <row r="3469" spans="1:7" ht="16.149999999999999" x14ac:dyDescent="0.7">
      <c r="A3469" s="49">
        <v>44799.411219687499</v>
      </c>
      <c r="B3469" s="50" t="s">
        <v>127</v>
      </c>
      <c r="C3469" s="50" t="s">
        <v>457</v>
      </c>
      <c r="D3469" s="50" t="s">
        <v>263</v>
      </c>
      <c r="E3469" s="50">
        <v>0</v>
      </c>
      <c r="F3469" s="51">
        <v>0.77599385213381789</v>
      </c>
      <c r="G3469" s="51" t="str">
        <v>稲葉 2022/09/10 (土)
休日午前</v>
      </c>
    </row>
    <row r="3470" spans="1:7" ht="16.149999999999999" x14ac:dyDescent="0.7">
      <c r="A3470" s="49">
        <v>44799.411219687499</v>
      </c>
      <c r="B3470" s="50" t="s">
        <v>127</v>
      </c>
      <c r="C3470" s="50" t="s">
        <v>458</v>
      </c>
      <c r="D3470" s="50" t="s">
        <v>261</v>
      </c>
      <c r="E3470" s="50">
        <v>0</v>
      </c>
      <c r="F3470" s="51">
        <v>0.79778585167122196</v>
      </c>
      <c r="G3470" s="51" t="str">
        <v>稲葉 2022/09/10 (土)
休日午後</v>
      </c>
    </row>
    <row r="3471" spans="1:7" ht="16.149999999999999" x14ac:dyDescent="0.7">
      <c r="A3471" s="49">
        <v>44799.411219687499</v>
      </c>
      <c r="B3471" s="50" t="s">
        <v>127</v>
      </c>
      <c r="C3471" s="50" t="s">
        <v>459</v>
      </c>
      <c r="D3471" s="50" t="s">
        <v>263</v>
      </c>
      <c r="E3471" s="50">
        <v>0</v>
      </c>
      <c r="F3471" s="51">
        <v>0.51987988480486225</v>
      </c>
      <c r="G3471" s="51" t="str">
        <v>稲葉 2022/09/11 (日)
休日午前</v>
      </c>
    </row>
    <row r="3472" spans="1:7" ht="16.149999999999999" x14ac:dyDescent="0.7">
      <c r="A3472" s="49">
        <v>44799.411219687499</v>
      </c>
      <c r="B3472" s="50" t="s">
        <v>127</v>
      </c>
      <c r="C3472" s="50" t="s">
        <v>460</v>
      </c>
      <c r="D3472" s="50" t="s">
        <v>261</v>
      </c>
      <c r="E3472" s="50">
        <v>0</v>
      </c>
      <c r="F3472" s="51">
        <v>0.85994548584891839</v>
      </c>
      <c r="G3472" s="51" t="str">
        <v>稲葉 2022/09/11 (日)
休日午後</v>
      </c>
    </row>
    <row r="3473" spans="1:7" ht="16.149999999999999" x14ac:dyDescent="0.7">
      <c r="A3473" s="49">
        <v>44799.411219687499</v>
      </c>
      <c r="B3473" s="50" t="s">
        <v>127</v>
      </c>
      <c r="C3473" s="50" t="s">
        <v>461</v>
      </c>
      <c r="D3473" s="50" t="s">
        <v>259</v>
      </c>
      <c r="E3473" s="50">
        <v>0</v>
      </c>
      <c r="F3473" s="51">
        <v>7.2617923674443086E-2</v>
      </c>
      <c r="G3473" s="51" t="str">
        <v>稲葉 2022/09/12 (月)
平日夜間</v>
      </c>
    </row>
    <row r="3474" spans="1:7" ht="16.149999999999999" x14ac:dyDescent="0.7">
      <c r="A3474" s="49">
        <v>44799.411219687499</v>
      </c>
      <c r="B3474" s="50" t="s">
        <v>127</v>
      </c>
      <c r="C3474" s="50" t="s">
        <v>462</v>
      </c>
      <c r="D3474" s="50" t="s">
        <v>259</v>
      </c>
      <c r="E3474" s="50">
        <v>0</v>
      </c>
      <c r="F3474" s="51">
        <v>0.28571552391569743</v>
      </c>
      <c r="G3474" s="51" t="str">
        <v>稲葉 2022/09/13 (火)
平日夜間</v>
      </c>
    </row>
    <row r="3475" spans="1:7" ht="16.149999999999999" x14ac:dyDescent="0.7">
      <c r="A3475" s="49">
        <v>44799.411219687499</v>
      </c>
      <c r="B3475" s="50" t="s">
        <v>127</v>
      </c>
      <c r="C3475" s="50" t="s">
        <v>463</v>
      </c>
      <c r="D3475" s="50" t="s">
        <v>259</v>
      </c>
      <c r="E3475" s="50">
        <v>0</v>
      </c>
      <c r="F3475" s="51">
        <v>0.56040439976861456</v>
      </c>
      <c r="G3475" s="51" t="str">
        <v>稲葉 2022/09/14 (水)
平日夜間</v>
      </c>
    </row>
    <row r="3476" spans="1:7" ht="16.149999999999999" x14ac:dyDescent="0.7">
      <c r="A3476" s="49">
        <v>44799.411219687499</v>
      </c>
      <c r="B3476" s="50" t="s">
        <v>127</v>
      </c>
      <c r="C3476" s="50" t="s">
        <v>464</v>
      </c>
      <c r="D3476" s="50" t="s">
        <v>259</v>
      </c>
      <c r="E3476" s="50">
        <v>0</v>
      </c>
      <c r="F3476" s="51">
        <v>3.8018442650341822E-2</v>
      </c>
      <c r="G3476" s="51" t="str">
        <v>稲葉 2022/09/15 (木)
平日夜間</v>
      </c>
    </row>
    <row r="3477" spans="1:7" ht="16.149999999999999" x14ac:dyDescent="0.7">
      <c r="A3477" s="49">
        <v>44799.411219687499</v>
      </c>
      <c r="B3477" s="50" t="s">
        <v>127</v>
      </c>
      <c r="C3477" s="50" t="s">
        <v>465</v>
      </c>
      <c r="D3477" s="50" t="s">
        <v>259</v>
      </c>
      <c r="E3477" s="50">
        <v>0</v>
      </c>
      <c r="F3477" s="51">
        <v>0.64046599214075495</v>
      </c>
      <c r="G3477" s="51" t="str">
        <v>稲葉 2022/09/16 (金)
平日夜間</v>
      </c>
    </row>
    <row r="3478" spans="1:7" ht="16.149999999999999" x14ac:dyDescent="0.7">
      <c r="A3478" s="49">
        <v>44799.411219687499</v>
      </c>
      <c r="B3478" s="50" t="s">
        <v>127</v>
      </c>
      <c r="C3478" s="50" t="s">
        <v>466</v>
      </c>
      <c r="D3478" s="50" t="s">
        <v>263</v>
      </c>
      <c r="E3478" s="50">
        <v>0</v>
      </c>
      <c r="F3478" s="51">
        <v>0.34627186642881624</v>
      </c>
      <c r="G3478" s="51" t="str">
        <v>稲葉 2022/09/17 (土)
休日午前</v>
      </c>
    </row>
    <row r="3479" spans="1:7" ht="16.149999999999999" x14ac:dyDescent="0.7">
      <c r="A3479" s="49">
        <v>44799.411219687499</v>
      </c>
      <c r="B3479" s="50" t="s">
        <v>127</v>
      </c>
      <c r="C3479" s="50" t="s">
        <v>467</v>
      </c>
      <c r="D3479" s="50" t="s">
        <v>261</v>
      </c>
      <c r="E3479" s="50">
        <v>0</v>
      </c>
      <c r="F3479" s="51">
        <v>0.52089279798672483</v>
      </c>
      <c r="G3479" s="51" t="str">
        <v>稲葉 2022/09/17 (土)
休日午後</v>
      </c>
    </row>
    <row r="3480" spans="1:7" ht="16.149999999999999" x14ac:dyDescent="0.7">
      <c r="A3480" s="49">
        <v>44799.411219687499</v>
      </c>
      <c r="B3480" s="50" t="s">
        <v>127</v>
      </c>
      <c r="C3480" s="50" t="s">
        <v>468</v>
      </c>
      <c r="D3480" s="50" t="s">
        <v>263</v>
      </c>
      <c r="E3480" s="50">
        <v>-1</v>
      </c>
      <c r="F3480" s="51">
        <v>-0.33128697108469995</v>
      </c>
      <c r="G3480" s="51" t="str">
        <v>稲葉 2022/09/18 (日)
休日午前</v>
      </c>
    </row>
    <row r="3481" spans="1:7" ht="16.149999999999999" x14ac:dyDescent="0.7">
      <c r="A3481" s="49">
        <v>44799.411219687499</v>
      </c>
      <c r="B3481" s="50" t="s">
        <v>127</v>
      </c>
      <c r="C3481" s="50" t="s">
        <v>469</v>
      </c>
      <c r="D3481" s="50" t="s">
        <v>261</v>
      </c>
      <c r="E3481" s="50">
        <v>-1</v>
      </c>
      <c r="F3481" s="51">
        <v>-0.1780442018019035</v>
      </c>
      <c r="G3481" s="51" t="str">
        <v>稲葉 2022/09/18 (日)
休日午後</v>
      </c>
    </row>
    <row r="3482" spans="1:7" ht="16.149999999999999" x14ac:dyDescent="0.7">
      <c r="A3482" s="49">
        <v>44799.411219687499</v>
      </c>
      <c r="B3482" s="50" t="s">
        <v>127</v>
      </c>
      <c r="C3482" s="50" t="s">
        <v>470</v>
      </c>
      <c r="D3482" s="50" t="s">
        <v>263</v>
      </c>
      <c r="E3482" s="50">
        <v>1</v>
      </c>
      <c r="F3482" s="51">
        <v>1.8538639116115461</v>
      </c>
      <c r="G3482" s="51" t="str">
        <v>稲葉 2022/09/19 (月)
休日午前</v>
      </c>
    </row>
    <row r="3483" spans="1:7" ht="16.149999999999999" x14ac:dyDescent="0.7">
      <c r="A3483" s="49">
        <v>44799.411219687499</v>
      </c>
      <c r="B3483" s="50" t="s">
        <v>127</v>
      </c>
      <c r="C3483" s="50" t="s">
        <v>471</v>
      </c>
      <c r="D3483" s="50" t="s">
        <v>261</v>
      </c>
      <c r="E3483" s="50">
        <v>-1</v>
      </c>
      <c r="F3483" s="51">
        <v>-0.34304408690668931</v>
      </c>
      <c r="G3483" s="51" t="str">
        <v>稲葉 2022/09/19 (月)
休日午後</v>
      </c>
    </row>
    <row r="3484" spans="1:7" ht="16.149999999999999" x14ac:dyDescent="0.7">
      <c r="A3484" s="49">
        <v>44799.411219687499</v>
      </c>
      <c r="B3484" s="50" t="s">
        <v>127</v>
      </c>
      <c r="C3484" s="50" t="s">
        <v>472</v>
      </c>
      <c r="D3484" s="50" t="s">
        <v>259</v>
      </c>
      <c r="E3484" s="50">
        <v>0</v>
      </c>
      <c r="F3484" s="51">
        <v>0.29813387939459113</v>
      </c>
      <c r="G3484" s="51" t="str">
        <v>稲葉 2022/09/20 (火)
平日夜間</v>
      </c>
    </row>
    <row r="3485" spans="1:7" ht="16.149999999999999" x14ac:dyDescent="0.7">
      <c r="A3485" s="49">
        <v>44799.411219687499</v>
      </c>
      <c r="B3485" s="50" t="s">
        <v>127</v>
      </c>
      <c r="C3485" s="50" t="s">
        <v>473</v>
      </c>
      <c r="D3485" s="50" t="s">
        <v>259</v>
      </c>
      <c r="E3485" s="50">
        <v>0</v>
      </c>
      <c r="F3485" s="51">
        <v>6.7206020133830924E-2</v>
      </c>
      <c r="G3485" s="51" t="str">
        <v>稲葉 2022/09/21 (水)
平日夜間</v>
      </c>
    </row>
    <row r="3486" spans="1:7" ht="16.149999999999999" x14ac:dyDescent="0.7">
      <c r="A3486" s="49">
        <v>44799.411219687499</v>
      </c>
      <c r="B3486" s="50" t="s">
        <v>127</v>
      </c>
      <c r="C3486" s="50" t="s">
        <v>474</v>
      </c>
      <c r="D3486" s="50" t="s">
        <v>259</v>
      </c>
      <c r="E3486" s="50">
        <v>0</v>
      </c>
      <c r="F3486" s="51">
        <v>0.64690708787649109</v>
      </c>
      <c r="G3486" s="51" t="str">
        <v>稲葉 2022/09/22 (木)
平日夜間</v>
      </c>
    </row>
    <row r="3487" spans="1:7" ht="16.149999999999999" x14ac:dyDescent="0.7">
      <c r="A3487" s="49">
        <v>44799.411219687499</v>
      </c>
      <c r="B3487" s="50" t="s">
        <v>127</v>
      </c>
      <c r="C3487" s="50" t="s">
        <v>475</v>
      </c>
      <c r="D3487" s="50" t="s">
        <v>263</v>
      </c>
      <c r="E3487" s="50">
        <v>0</v>
      </c>
      <c r="F3487" s="51">
        <v>8.5830882814684095E-2</v>
      </c>
      <c r="G3487" s="51" t="str">
        <v>稲葉 2022/09/23 (金)
休日午前</v>
      </c>
    </row>
    <row r="3488" spans="1:7" ht="16.149999999999999" x14ac:dyDescent="0.7">
      <c r="A3488" s="49">
        <v>44799.411219687499</v>
      </c>
      <c r="B3488" s="50" t="s">
        <v>127</v>
      </c>
      <c r="C3488" s="50" t="s">
        <v>476</v>
      </c>
      <c r="D3488" s="50" t="s">
        <v>261</v>
      </c>
      <c r="E3488" s="50">
        <v>0</v>
      </c>
      <c r="F3488" s="51">
        <v>0.84039108793006023</v>
      </c>
      <c r="G3488" s="51" t="str">
        <v>稲葉 2022/09/23 (金)
休日午後</v>
      </c>
    </row>
    <row r="3489" spans="1:7" ht="16.149999999999999" x14ac:dyDescent="0.7">
      <c r="A3489" s="49">
        <v>44799.411219687499</v>
      </c>
      <c r="B3489" s="50" t="s">
        <v>127</v>
      </c>
      <c r="C3489" s="50" t="s">
        <v>477</v>
      </c>
      <c r="D3489" s="50" t="s">
        <v>263</v>
      </c>
      <c r="E3489" s="50">
        <v>0</v>
      </c>
      <c r="F3489" s="51">
        <v>0.39085431715235752</v>
      </c>
      <c r="G3489" s="51" t="str">
        <v>稲葉 2022/09/24 (土)
休日午前</v>
      </c>
    </row>
    <row r="3490" spans="1:7" ht="16.149999999999999" x14ac:dyDescent="0.7">
      <c r="A3490" s="49">
        <v>44799.411219687499</v>
      </c>
      <c r="B3490" s="50" t="s">
        <v>127</v>
      </c>
      <c r="C3490" s="50" t="s">
        <v>478</v>
      </c>
      <c r="D3490" s="50" t="s">
        <v>261</v>
      </c>
      <c r="E3490" s="50">
        <v>0</v>
      </c>
      <c r="F3490" s="51">
        <v>0.64450730002668966</v>
      </c>
      <c r="G3490" s="51" t="str">
        <v>稲葉 2022/09/24 (土)
休日午後</v>
      </c>
    </row>
    <row r="3491" spans="1:7" ht="16.149999999999999" x14ac:dyDescent="0.7">
      <c r="A3491" s="49">
        <v>44799.411219687499</v>
      </c>
      <c r="B3491" s="50" t="s">
        <v>127</v>
      </c>
      <c r="C3491" s="50" t="s">
        <v>479</v>
      </c>
      <c r="D3491" s="50" t="s">
        <v>263</v>
      </c>
      <c r="E3491" s="50">
        <v>0</v>
      </c>
      <c r="F3491" s="51">
        <v>6.2658168832659289E-2</v>
      </c>
      <c r="G3491" s="51" t="str">
        <v>稲葉 2022/09/25 (日)
休日午前</v>
      </c>
    </row>
    <row r="3492" spans="1:7" ht="16.149999999999999" x14ac:dyDescent="0.7">
      <c r="A3492" s="49">
        <v>44799.411219687499</v>
      </c>
      <c r="B3492" s="50" t="s">
        <v>127</v>
      </c>
      <c r="C3492" s="50" t="s">
        <v>480</v>
      </c>
      <c r="D3492" s="50" t="s">
        <v>261</v>
      </c>
      <c r="E3492" s="50">
        <v>0</v>
      </c>
      <c r="F3492" s="51">
        <v>0.76069479728276046</v>
      </c>
      <c r="G3492" s="51" t="str">
        <v>稲葉 2022/09/25 (日)
休日午後</v>
      </c>
    </row>
    <row r="3493" spans="1:7" ht="16.149999999999999" x14ac:dyDescent="0.7">
      <c r="A3493" s="49">
        <v>44799.411219687499</v>
      </c>
      <c r="B3493" s="50" t="s">
        <v>127</v>
      </c>
      <c r="C3493" s="50" t="s">
        <v>481</v>
      </c>
      <c r="D3493" s="50" t="s">
        <v>259</v>
      </c>
      <c r="E3493" s="50">
        <v>0</v>
      </c>
      <c r="F3493" s="51">
        <v>0.61094836090669502</v>
      </c>
      <c r="G3493" s="51" t="str">
        <v>稲葉 2022/09/26 (月)
平日夜間</v>
      </c>
    </row>
    <row r="3494" spans="1:7" ht="16.149999999999999" x14ac:dyDescent="0.7">
      <c r="A3494" s="49">
        <v>44799.411219687499</v>
      </c>
      <c r="B3494" s="50" t="s">
        <v>127</v>
      </c>
      <c r="C3494" s="50" t="s">
        <v>482</v>
      </c>
      <c r="D3494" s="50" t="s">
        <v>259</v>
      </c>
      <c r="E3494" s="50">
        <v>2</v>
      </c>
      <c r="F3494" s="51">
        <v>2.6289250850003096</v>
      </c>
      <c r="G3494" s="51" t="str">
        <v>稲葉 2022/09/27 (火)
平日夜間</v>
      </c>
    </row>
    <row r="3495" spans="1:7" ht="16.149999999999999" x14ac:dyDescent="0.7">
      <c r="A3495" s="49">
        <v>44799.411219687499</v>
      </c>
      <c r="B3495" s="50" t="s">
        <v>127</v>
      </c>
      <c r="C3495" s="50" t="s">
        <v>483</v>
      </c>
      <c r="D3495" s="50" t="s">
        <v>259</v>
      </c>
      <c r="E3495" s="50">
        <v>0</v>
      </c>
      <c r="F3495" s="51">
        <v>0.40962604700230054</v>
      </c>
      <c r="G3495" s="51" t="str">
        <v>稲葉 2022/09/28 (水)
平日夜間</v>
      </c>
    </row>
    <row r="3496" spans="1:7" ht="16.149999999999999" x14ac:dyDescent="0.7">
      <c r="A3496" s="49">
        <v>44799.411219687499</v>
      </c>
      <c r="B3496" s="50" t="s">
        <v>127</v>
      </c>
      <c r="C3496" s="50" t="s">
        <v>484</v>
      </c>
      <c r="D3496" s="50" t="s">
        <v>259</v>
      </c>
      <c r="E3496" s="50">
        <v>0</v>
      </c>
      <c r="F3496" s="51">
        <v>0.77843154156896133</v>
      </c>
      <c r="G3496" s="51" t="str">
        <v>稲葉 2022/09/29 (木)
平日夜間</v>
      </c>
    </row>
    <row r="3497" spans="1:7" ht="16.149999999999999" x14ac:dyDescent="0.7">
      <c r="A3497" s="49">
        <v>44799.411219687499</v>
      </c>
      <c r="B3497" s="50" t="s">
        <v>127</v>
      </c>
      <c r="C3497" s="50" t="s">
        <v>485</v>
      </c>
      <c r="D3497" s="50" t="s">
        <v>259</v>
      </c>
      <c r="E3497" s="50">
        <v>-1</v>
      </c>
      <c r="F3497" s="51">
        <v>-0.45685134615343514</v>
      </c>
      <c r="G3497" s="51" t="str">
        <v>稲葉 2022/09/30 (金)
平日夜間</v>
      </c>
    </row>
    <row r="3498" spans="1:7" ht="16.149999999999999" x14ac:dyDescent="0.7">
      <c r="A3498" s="49">
        <v>44799.511380393524</v>
      </c>
      <c r="B3498" s="50" t="s">
        <v>4</v>
      </c>
      <c r="C3498" s="50" t="s">
        <v>446</v>
      </c>
      <c r="D3498" s="50" t="s">
        <v>259</v>
      </c>
      <c r="E3498" s="50">
        <v>0</v>
      </c>
      <c r="F3498" s="51">
        <v>0.13539794604426514</v>
      </c>
      <c r="G3498" s="51" t="str">
        <v>井上 2022/09/01 (木)
平日夜間</v>
      </c>
    </row>
    <row r="3499" spans="1:7" ht="16.149999999999999" x14ac:dyDescent="0.7">
      <c r="A3499" s="49">
        <v>44799.511380393524</v>
      </c>
      <c r="B3499" s="50" t="s">
        <v>4</v>
      </c>
      <c r="C3499" s="50" t="s">
        <v>447</v>
      </c>
      <c r="D3499" s="50" t="s">
        <v>259</v>
      </c>
      <c r="E3499" s="50">
        <v>-1</v>
      </c>
      <c r="F3499" s="51">
        <v>-0.77494821049274898</v>
      </c>
      <c r="G3499" s="51" t="str">
        <v>井上 2022/09/02 (金)
平日夜間</v>
      </c>
    </row>
    <row r="3500" spans="1:7" ht="16.149999999999999" x14ac:dyDescent="0.7">
      <c r="A3500" s="49">
        <v>44799.511380393524</v>
      </c>
      <c r="B3500" s="50" t="s">
        <v>4</v>
      </c>
      <c r="C3500" s="50" t="s">
        <v>448</v>
      </c>
      <c r="D3500" s="50" t="s">
        <v>263</v>
      </c>
      <c r="E3500" s="50">
        <v>-1</v>
      </c>
      <c r="F3500" s="51">
        <v>-0.6549632235513061</v>
      </c>
      <c r="G3500" s="51" t="str">
        <v>井上 2022/09/03 (土)
休日午前</v>
      </c>
    </row>
    <row r="3501" spans="1:7" ht="16.149999999999999" x14ac:dyDescent="0.7">
      <c r="A3501" s="49">
        <v>44799.511380393524</v>
      </c>
      <c r="B3501" s="50" t="s">
        <v>4</v>
      </c>
      <c r="C3501" s="50" t="s">
        <v>449</v>
      </c>
      <c r="D3501" s="50" t="s">
        <v>261</v>
      </c>
      <c r="E3501" s="50">
        <v>-1</v>
      </c>
      <c r="F3501" s="51">
        <v>-0.98380620501509419</v>
      </c>
      <c r="G3501" s="51" t="str">
        <v>井上 2022/09/03 (土)
休日午後</v>
      </c>
    </row>
    <row r="3502" spans="1:7" ht="16.149999999999999" x14ac:dyDescent="0.7">
      <c r="A3502" s="49">
        <v>44799.511380393524</v>
      </c>
      <c r="B3502" s="50" t="s">
        <v>4</v>
      </c>
      <c r="C3502" s="50" t="s">
        <v>450</v>
      </c>
      <c r="D3502" s="50" t="s">
        <v>263</v>
      </c>
      <c r="E3502" s="50">
        <v>-1</v>
      </c>
      <c r="F3502" s="51">
        <v>-0.97295744967869702</v>
      </c>
      <c r="G3502" s="51" t="str">
        <v>井上 2022/09/04 (日)
休日午前</v>
      </c>
    </row>
    <row r="3503" spans="1:7" ht="16.149999999999999" x14ac:dyDescent="0.7">
      <c r="A3503" s="49">
        <v>44799.511380393524</v>
      </c>
      <c r="B3503" s="50" t="s">
        <v>4</v>
      </c>
      <c r="C3503" s="50" t="s">
        <v>451</v>
      </c>
      <c r="D3503" s="50" t="s">
        <v>261</v>
      </c>
      <c r="E3503" s="50">
        <v>-1</v>
      </c>
      <c r="F3503" s="51">
        <v>-0.13286341763582765</v>
      </c>
      <c r="G3503" s="51" t="str">
        <v>井上 2022/09/04 (日)
休日午後</v>
      </c>
    </row>
    <row r="3504" spans="1:7" ht="16.149999999999999" x14ac:dyDescent="0.7">
      <c r="A3504" s="49">
        <v>44799.511380393524</v>
      </c>
      <c r="B3504" s="50" t="s">
        <v>4</v>
      </c>
      <c r="C3504" s="50" t="s">
        <v>452</v>
      </c>
      <c r="D3504" s="50" t="s">
        <v>259</v>
      </c>
      <c r="E3504" s="50">
        <v>0</v>
      </c>
      <c r="F3504" s="51">
        <v>0.646384059644179</v>
      </c>
      <c r="G3504" s="51" t="str">
        <v>井上 2022/09/05 (月)
平日夜間</v>
      </c>
    </row>
    <row r="3505" spans="1:7" ht="16.149999999999999" x14ac:dyDescent="0.7">
      <c r="A3505" s="49">
        <v>44799.511380393524</v>
      </c>
      <c r="B3505" s="50" t="s">
        <v>4</v>
      </c>
      <c r="C3505" s="50" t="s">
        <v>453</v>
      </c>
      <c r="D3505" s="50" t="s">
        <v>259</v>
      </c>
      <c r="E3505" s="50">
        <v>-1</v>
      </c>
      <c r="F3505" s="51">
        <v>-0.53888940133287244</v>
      </c>
      <c r="G3505" s="51" t="str">
        <v>井上 2022/09/06 (火)
平日夜間</v>
      </c>
    </row>
    <row r="3506" spans="1:7" ht="16.149999999999999" x14ac:dyDescent="0.7">
      <c r="A3506" s="49">
        <v>44799.511380393524</v>
      </c>
      <c r="B3506" s="50" t="s">
        <v>4</v>
      </c>
      <c r="C3506" s="50" t="s">
        <v>454</v>
      </c>
      <c r="D3506" s="50" t="s">
        <v>259</v>
      </c>
      <c r="E3506" s="50">
        <v>0</v>
      </c>
      <c r="F3506" s="51">
        <v>0.88308980380032498</v>
      </c>
      <c r="G3506" s="51" t="str">
        <v>井上 2022/09/07 (水)
平日夜間</v>
      </c>
    </row>
    <row r="3507" spans="1:7" ht="16.149999999999999" x14ac:dyDescent="0.7">
      <c r="A3507" s="49">
        <v>44799.511380393524</v>
      </c>
      <c r="B3507" s="50" t="s">
        <v>4</v>
      </c>
      <c r="C3507" s="50" t="s">
        <v>455</v>
      </c>
      <c r="D3507" s="50" t="s">
        <v>259</v>
      </c>
      <c r="E3507" s="50">
        <v>-1</v>
      </c>
      <c r="F3507" s="51">
        <v>-0.97354929761008147</v>
      </c>
      <c r="G3507" s="51" t="str">
        <v>井上 2022/09/08 (木)
平日夜間</v>
      </c>
    </row>
    <row r="3508" spans="1:7" ht="16.149999999999999" x14ac:dyDescent="0.7">
      <c r="A3508" s="49">
        <v>44799.511380393524</v>
      </c>
      <c r="B3508" s="50" t="s">
        <v>4</v>
      </c>
      <c r="C3508" s="50" t="s">
        <v>456</v>
      </c>
      <c r="D3508" s="50" t="s">
        <v>259</v>
      </c>
      <c r="E3508" s="50">
        <v>0</v>
      </c>
      <c r="F3508" s="51">
        <v>0.4359620266115074</v>
      </c>
      <c r="G3508" s="51" t="str">
        <v>井上 2022/09/09 (金)
平日夜間</v>
      </c>
    </row>
    <row r="3509" spans="1:7" ht="16.149999999999999" x14ac:dyDescent="0.7">
      <c r="A3509" s="49">
        <v>44799.511380393524</v>
      </c>
      <c r="B3509" s="50" t="s">
        <v>4</v>
      </c>
      <c r="C3509" s="50" t="s">
        <v>457</v>
      </c>
      <c r="D3509" s="50" t="s">
        <v>263</v>
      </c>
      <c r="E3509" s="50">
        <v>0</v>
      </c>
      <c r="F3509" s="51">
        <v>0.18091455430489156</v>
      </c>
      <c r="G3509" s="51" t="str">
        <v>井上 2022/09/10 (土)
休日午前</v>
      </c>
    </row>
    <row r="3510" spans="1:7" ht="16.149999999999999" x14ac:dyDescent="0.7">
      <c r="A3510" s="49">
        <v>44799.511380393524</v>
      </c>
      <c r="B3510" s="50" t="s">
        <v>4</v>
      </c>
      <c r="C3510" s="50" t="s">
        <v>458</v>
      </c>
      <c r="D3510" s="50" t="s">
        <v>261</v>
      </c>
      <c r="E3510" s="50">
        <v>0</v>
      </c>
      <c r="F3510" s="51">
        <v>0.61955545810690738</v>
      </c>
      <c r="G3510" s="51" t="str">
        <v>井上 2022/09/10 (土)
休日午後</v>
      </c>
    </row>
    <row r="3511" spans="1:7" ht="16.149999999999999" x14ac:dyDescent="0.7">
      <c r="A3511" s="49">
        <v>44799.511380393524</v>
      </c>
      <c r="B3511" s="50" t="s">
        <v>4</v>
      </c>
      <c r="C3511" s="50" t="s">
        <v>459</v>
      </c>
      <c r="D3511" s="50" t="s">
        <v>263</v>
      </c>
      <c r="E3511" s="50">
        <v>-1</v>
      </c>
      <c r="F3511" s="51">
        <v>-0.24998242371251278</v>
      </c>
      <c r="G3511" s="51" t="str">
        <v>井上 2022/09/11 (日)
休日午前</v>
      </c>
    </row>
    <row r="3512" spans="1:7" ht="16.149999999999999" x14ac:dyDescent="0.7">
      <c r="A3512" s="49">
        <v>44799.511380393524</v>
      </c>
      <c r="B3512" s="50" t="s">
        <v>4</v>
      </c>
      <c r="C3512" s="50" t="s">
        <v>460</v>
      </c>
      <c r="D3512" s="50" t="s">
        <v>261</v>
      </c>
      <c r="E3512" s="50">
        <v>-1</v>
      </c>
      <c r="F3512" s="51">
        <v>-0.2152308716967537</v>
      </c>
      <c r="G3512" s="51" t="str">
        <v>井上 2022/09/11 (日)
休日午後</v>
      </c>
    </row>
    <row r="3513" spans="1:7" ht="16.149999999999999" x14ac:dyDescent="0.7">
      <c r="A3513" s="49">
        <v>44799.511380393524</v>
      </c>
      <c r="B3513" s="50" t="s">
        <v>4</v>
      </c>
      <c r="C3513" s="50" t="s">
        <v>461</v>
      </c>
      <c r="D3513" s="50" t="s">
        <v>259</v>
      </c>
      <c r="E3513" s="50">
        <v>0</v>
      </c>
      <c r="F3513" s="51">
        <v>7.214587108961279E-4</v>
      </c>
      <c r="G3513" s="51" t="str">
        <v>井上 2022/09/12 (月)
平日夜間</v>
      </c>
    </row>
    <row r="3514" spans="1:7" ht="16.149999999999999" x14ac:dyDescent="0.7">
      <c r="A3514" s="49">
        <v>44799.511380393524</v>
      </c>
      <c r="B3514" s="50" t="s">
        <v>4</v>
      </c>
      <c r="C3514" s="50" t="s">
        <v>462</v>
      </c>
      <c r="D3514" s="50" t="s">
        <v>259</v>
      </c>
      <c r="E3514" s="50">
        <v>-1</v>
      </c>
      <c r="F3514" s="51">
        <v>-0.40497215809190856</v>
      </c>
      <c r="G3514" s="51" t="str">
        <v>井上 2022/09/13 (火)
平日夜間</v>
      </c>
    </row>
    <row r="3515" spans="1:7" ht="16.149999999999999" x14ac:dyDescent="0.7">
      <c r="A3515" s="49">
        <v>44799.511380393524</v>
      </c>
      <c r="B3515" s="50" t="s">
        <v>4</v>
      </c>
      <c r="C3515" s="50" t="s">
        <v>463</v>
      </c>
      <c r="D3515" s="50" t="s">
        <v>259</v>
      </c>
      <c r="E3515" s="50">
        <v>0</v>
      </c>
      <c r="F3515" s="51">
        <v>3.6531396746152689E-2</v>
      </c>
      <c r="G3515" s="51" t="str">
        <v>井上 2022/09/14 (水)
平日夜間</v>
      </c>
    </row>
    <row r="3516" spans="1:7" ht="16.149999999999999" x14ac:dyDescent="0.7">
      <c r="A3516" s="49">
        <v>44799.511380393524</v>
      </c>
      <c r="B3516" s="50" t="s">
        <v>4</v>
      </c>
      <c r="C3516" s="50" t="s">
        <v>464</v>
      </c>
      <c r="D3516" s="50" t="s">
        <v>259</v>
      </c>
      <c r="E3516" s="50">
        <v>-1</v>
      </c>
      <c r="F3516" s="51">
        <v>-0.61038220547910615</v>
      </c>
      <c r="G3516" s="51" t="str">
        <v>井上 2022/09/15 (木)
平日夜間</v>
      </c>
    </row>
    <row r="3517" spans="1:7" ht="16.149999999999999" x14ac:dyDescent="0.7">
      <c r="A3517" s="49">
        <v>44799.511380393524</v>
      </c>
      <c r="B3517" s="50" t="s">
        <v>4</v>
      </c>
      <c r="C3517" s="50" t="s">
        <v>465</v>
      </c>
      <c r="D3517" s="50" t="s">
        <v>259</v>
      </c>
      <c r="E3517" s="50">
        <v>0</v>
      </c>
      <c r="F3517" s="51">
        <v>0.32644572549570117</v>
      </c>
      <c r="G3517" s="51" t="str">
        <v>井上 2022/09/16 (金)
平日夜間</v>
      </c>
    </row>
    <row r="3518" spans="1:7" ht="16.149999999999999" x14ac:dyDescent="0.7">
      <c r="A3518" s="49">
        <v>44799.511380393524</v>
      </c>
      <c r="B3518" s="50" t="s">
        <v>4</v>
      </c>
      <c r="C3518" s="50" t="s">
        <v>466</v>
      </c>
      <c r="D3518" s="50" t="s">
        <v>263</v>
      </c>
      <c r="E3518" s="50">
        <v>-1</v>
      </c>
      <c r="F3518" s="51">
        <v>-6.2698498428445104E-2</v>
      </c>
      <c r="G3518" s="51" t="str">
        <v>井上 2022/09/17 (土)
休日午前</v>
      </c>
    </row>
    <row r="3519" spans="1:7" ht="16.149999999999999" x14ac:dyDescent="0.7">
      <c r="A3519" s="49">
        <v>44799.511380393524</v>
      </c>
      <c r="B3519" s="50" t="s">
        <v>4</v>
      </c>
      <c r="C3519" s="50" t="s">
        <v>467</v>
      </c>
      <c r="D3519" s="50" t="s">
        <v>261</v>
      </c>
      <c r="E3519" s="50">
        <v>-1</v>
      </c>
      <c r="F3519" s="51">
        <v>-0.38012789059461127</v>
      </c>
      <c r="G3519" s="51" t="str">
        <v>井上 2022/09/17 (土)
休日午後</v>
      </c>
    </row>
    <row r="3520" spans="1:7" ht="16.149999999999999" x14ac:dyDescent="0.7">
      <c r="A3520" s="49">
        <v>44799.511380393524</v>
      </c>
      <c r="B3520" s="50" t="s">
        <v>4</v>
      </c>
      <c r="C3520" s="50" t="s">
        <v>468</v>
      </c>
      <c r="D3520" s="50" t="s">
        <v>263</v>
      </c>
      <c r="E3520" s="50">
        <v>0</v>
      </c>
      <c r="F3520" s="51">
        <v>0.47682738830264793</v>
      </c>
      <c r="G3520" s="51" t="str">
        <v>井上 2022/09/18 (日)
休日午前</v>
      </c>
    </row>
    <row r="3521" spans="1:7" ht="16.149999999999999" x14ac:dyDescent="0.7">
      <c r="A3521" s="49">
        <v>44799.511380393524</v>
      </c>
      <c r="B3521" s="50" t="s">
        <v>4</v>
      </c>
      <c r="C3521" s="50" t="s">
        <v>469</v>
      </c>
      <c r="D3521" s="50" t="s">
        <v>261</v>
      </c>
      <c r="E3521" s="50">
        <v>0</v>
      </c>
      <c r="F3521" s="51">
        <v>9.5707060789311793E-3</v>
      </c>
      <c r="G3521" s="51" t="str">
        <v>井上 2022/09/18 (日)
休日午後</v>
      </c>
    </row>
    <row r="3522" spans="1:7" ht="16.149999999999999" x14ac:dyDescent="0.7">
      <c r="A3522" s="49">
        <v>44799.511380393524</v>
      </c>
      <c r="B3522" s="50" t="s">
        <v>4</v>
      </c>
      <c r="C3522" s="50" t="s">
        <v>470</v>
      </c>
      <c r="D3522" s="50" t="s">
        <v>263</v>
      </c>
      <c r="E3522" s="50">
        <v>0</v>
      </c>
      <c r="F3522" s="51">
        <v>0.10535495104490988</v>
      </c>
      <c r="G3522" s="51" t="str">
        <v>井上 2022/09/19 (月)
休日午前</v>
      </c>
    </row>
    <row r="3523" spans="1:7" ht="16.149999999999999" x14ac:dyDescent="0.7">
      <c r="A3523" s="49">
        <v>44799.511380393524</v>
      </c>
      <c r="B3523" s="50" t="s">
        <v>4</v>
      </c>
      <c r="C3523" s="50" t="s">
        <v>471</v>
      </c>
      <c r="D3523" s="50" t="s">
        <v>261</v>
      </c>
      <c r="E3523" s="50">
        <v>-1</v>
      </c>
      <c r="F3523" s="51">
        <v>-0.93467664336873679</v>
      </c>
      <c r="G3523" s="51" t="str">
        <v>井上 2022/09/19 (月)
休日午後</v>
      </c>
    </row>
    <row r="3524" spans="1:7" ht="16.149999999999999" x14ac:dyDescent="0.7">
      <c r="A3524" s="49">
        <v>44799.511380393524</v>
      </c>
      <c r="B3524" s="50" t="s">
        <v>4</v>
      </c>
      <c r="C3524" s="50" t="s">
        <v>472</v>
      </c>
      <c r="D3524" s="50" t="s">
        <v>259</v>
      </c>
      <c r="E3524" s="50">
        <v>-1</v>
      </c>
      <c r="F3524" s="51">
        <v>-0.50730521028031395</v>
      </c>
      <c r="G3524" s="51" t="str">
        <v>井上 2022/09/20 (火)
平日夜間</v>
      </c>
    </row>
    <row r="3525" spans="1:7" ht="16.149999999999999" x14ac:dyDescent="0.7">
      <c r="A3525" s="49">
        <v>44799.511380393524</v>
      </c>
      <c r="B3525" s="50" t="s">
        <v>4</v>
      </c>
      <c r="C3525" s="50" t="s">
        <v>473</v>
      </c>
      <c r="D3525" s="50" t="s">
        <v>259</v>
      </c>
      <c r="E3525" s="50">
        <v>-1</v>
      </c>
      <c r="F3525" s="51">
        <v>-0.93173581367270719</v>
      </c>
      <c r="G3525" s="51" t="str">
        <v>井上 2022/09/21 (水)
平日夜間</v>
      </c>
    </row>
    <row r="3526" spans="1:7" ht="16.149999999999999" x14ac:dyDescent="0.7">
      <c r="A3526" s="49">
        <v>44799.511380393524</v>
      </c>
      <c r="B3526" s="50" t="s">
        <v>4</v>
      </c>
      <c r="C3526" s="50" t="s">
        <v>474</v>
      </c>
      <c r="D3526" s="50" t="s">
        <v>259</v>
      </c>
      <c r="E3526" s="50">
        <v>-1</v>
      </c>
      <c r="F3526" s="51">
        <v>-0.6294761665586901</v>
      </c>
      <c r="G3526" s="51" t="str">
        <v>井上 2022/09/22 (木)
平日夜間</v>
      </c>
    </row>
    <row r="3527" spans="1:7" ht="16.149999999999999" x14ac:dyDescent="0.7">
      <c r="A3527" s="49">
        <v>44799.511380393524</v>
      </c>
      <c r="B3527" s="50" t="s">
        <v>4</v>
      </c>
      <c r="C3527" s="50" t="s">
        <v>475</v>
      </c>
      <c r="D3527" s="50" t="s">
        <v>263</v>
      </c>
      <c r="E3527" s="50">
        <v>-1</v>
      </c>
      <c r="F3527" s="51">
        <v>-0.39609624947083732</v>
      </c>
      <c r="G3527" s="51" t="str">
        <v>井上 2022/09/23 (金)
休日午前</v>
      </c>
    </row>
    <row r="3528" spans="1:7" ht="16.149999999999999" x14ac:dyDescent="0.7">
      <c r="A3528" s="49">
        <v>44799.511380393524</v>
      </c>
      <c r="B3528" s="50" t="s">
        <v>4</v>
      </c>
      <c r="C3528" s="50" t="s">
        <v>476</v>
      </c>
      <c r="D3528" s="50" t="s">
        <v>261</v>
      </c>
      <c r="E3528" s="50">
        <v>-1</v>
      </c>
      <c r="F3528" s="51">
        <v>-0.43825599013167005</v>
      </c>
      <c r="G3528" s="51" t="str">
        <v>井上 2022/09/23 (金)
休日午後</v>
      </c>
    </row>
    <row r="3529" spans="1:7" ht="16.149999999999999" x14ac:dyDescent="0.7">
      <c r="A3529" s="49">
        <v>44799.511380393524</v>
      </c>
      <c r="B3529" s="50" t="s">
        <v>4</v>
      </c>
      <c r="C3529" s="50" t="s">
        <v>477</v>
      </c>
      <c r="D3529" s="50" t="s">
        <v>263</v>
      </c>
      <c r="E3529" s="50">
        <v>-1</v>
      </c>
      <c r="F3529" s="51">
        <v>-5.898274216167132E-2</v>
      </c>
      <c r="G3529" s="51" t="str">
        <v>井上 2022/09/24 (土)
休日午前</v>
      </c>
    </row>
    <row r="3530" spans="1:7" ht="16.149999999999999" x14ac:dyDescent="0.7">
      <c r="A3530" s="49">
        <v>44799.511380393524</v>
      </c>
      <c r="B3530" s="50" t="s">
        <v>4</v>
      </c>
      <c r="C3530" s="50" t="s">
        <v>478</v>
      </c>
      <c r="D3530" s="50" t="s">
        <v>261</v>
      </c>
      <c r="E3530" s="50">
        <v>-1</v>
      </c>
      <c r="F3530" s="51">
        <v>-0.94256729557831376</v>
      </c>
      <c r="G3530" s="51" t="str">
        <v>井上 2022/09/24 (土)
休日午後</v>
      </c>
    </row>
    <row r="3531" spans="1:7" ht="16.149999999999999" x14ac:dyDescent="0.7">
      <c r="A3531" s="49">
        <v>44799.511380393524</v>
      </c>
      <c r="B3531" s="50" t="s">
        <v>4</v>
      </c>
      <c r="C3531" s="50" t="s">
        <v>479</v>
      </c>
      <c r="D3531" s="50" t="s">
        <v>263</v>
      </c>
      <c r="E3531" s="50">
        <v>-1</v>
      </c>
      <c r="F3531" s="51">
        <v>-0.58498995545404031</v>
      </c>
      <c r="G3531" s="51" t="str">
        <v>井上 2022/09/25 (日)
休日午前</v>
      </c>
    </row>
    <row r="3532" spans="1:7" ht="16.149999999999999" x14ac:dyDescent="0.7">
      <c r="A3532" s="49">
        <v>44799.511380393524</v>
      </c>
      <c r="B3532" s="50" t="s">
        <v>4</v>
      </c>
      <c r="C3532" s="50" t="s">
        <v>480</v>
      </c>
      <c r="D3532" s="50" t="s">
        <v>261</v>
      </c>
      <c r="E3532" s="50">
        <v>-1</v>
      </c>
      <c r="F3532" s="51">
        <v>-0.67434642099433995</v>
      </c>
      <c r="G3532" s="51" t="str">
        <v>井上 2022/09/25 (日)
休日午後</v>
      </c>
    </row>
    <row r="3533" spans="1:7" ht="16.149999999999999" x14ac:dyDescent="0.7">
      <c r="A3533" s="49">
        <v>44799.511380393524</v>
      </c>
      <c r="B3533" s="50" t="s">
        <v>4</v>
      </c>
      <c r="C3533" s="50" t="s">
        <v>481</v>
      </c>
      <c r="D3533" s="50" t="s">
        <v>259</v>
      </c>
      <c r="E3533" s="50">
        <v>-1</v>
      </c>
      <c r="F3533" s="51">
        <v>-0.67743010262349523</v>
      </c>
      <c r="G3533" s="51" t="str">
        <v>井上 2022/09/26 (月)
平日夜間</v>
      </c>
    </row>
    <row r="3534" spans="1:7" ht="16.149999999999999" x14ac:dyDescent="0.7">
      <c r="A3534" s="49">
        <v>44799.511380393524</v>
      </c>
      <c r="B3534" s="50" t="s">
        <v>4</v>
      </c>
      <c r="C3534" s="50" t="s">
        <v>482</v>
      </c>
      <c r="D3534" s="50" t="s">
        <v>259</v>
      </c>
      <c r="E3534" s="50">
        <v>-1</v>
      </c>
      <c r="F3534" s="51">
        <v>-0.95071207856407858</v>
      </c>
      <c r="G3534" s="51" t="str">
        <v>井上 2022/09/27 (火)
平日夜間</v>
      </c>
    </row>
    <row r="3535" spans="1:7" ht="16.149999999999999" x14ac:dyDescent="0.7">
      <c r="A3535" s="49">
        <v>44799.511380393524</v>
      </c>
      <c r="B3535" s="50" t="s">
        <v>4</v>
      </c>
      <c r="C3535" s="50" t="s">
        <v>483</v>
      </c>
      <c r="D3535" s="50" t="s">
        <v>259</v>
      </c>
      <c r="E3535" s="50">
        <v>0</v>
      </c>
      <c r="F3535" s="51">
        <v>0.22930030745659025</v>
      </c>
      <c r="G3535" s="51" t="str">
        <v>井上 2022/09/28 (水)
平日夜間</v>
      </c>
    </row>
    <row r="3536" spans="1:7" ht="16.149999999999999" x14ac:dyDescent="0.7">
      <c r="A3536" s="49">
        <v>44799.511380393524</v>
      </c>
      <c r="B3536" s="50" t="s">
        <v>4</v>
      </c>
      <c r="C3536" s="50" t="s">
        <v>484</v>
      </c>
      <c r="D3536" s="50" t="s">
        <v>259</v>
      </c>
      <c r="E3536" s="50">
        <v>-1</v>
      </c>
      <c r="F3536" s="51">
        <v>-0.20147311955028457</v>
      </c>
      <c r="G3536" s="51" t="str">
        <v>井上 2022/09/29 (木)
平日夜間</v>
      </c>
    </row>
    <row r="3537" spans="1:7" ht="16.149999999999999" x14ac:dyDescent="0.7">
      <c r="A3537" s="49">
        <v>44799.511380393524</v>
      </c>
      <c r="B3537" s="50" t="s">
        <v>4</v>
      </c>
      <c r="C3537" s="50" t="s">
        <v>485</v>
      </c>
      <c r="D3537" s="50" t="s">
        <v>259</v>
      </c>
      <c r="E3537" s="50">
        <v>0</v>
      </c>
      <c r="F3537" s="51">
        <v>0.43568058001907639</v>
      </c>
      <c r="G3537" s="51" t="str">
        <v>井上 2022/09/30 (金)
平日夜間</v>
      </c>
    </row>
    <row r="3538" spans="1:7" ht="16.149999999999999" x14ac:dyDescent="0.7">
      <c r="A3538" s="49">
        <v>44799.892204571763</v>
      </c>
      <c r="B3538" s="50" t="s">
        <v>30</v>
      </c>
      <c r="C3538" s="50" t="s">
        <v>446</v>
      </c>
      <c r="D3538" s="50" t="s">
        <v>259</v>
      </c>
      <c r="E3538" s="50">
        <v>-1</v>
      </c>
      <c r="F3538" s="51">
        <v>-0.54146790570618641</v>
      </c>
      <c r="G3538" s="51" t="str">
        <v>柴山 2022/09/01 (木)
平日夜間</v>
      </c>
    </row>
    <row r="3539" spans="1:7" ht="16.149999999999999" x14ac:dyDescent="0.7">
      <c r="A3539" s="49">
        <v>44799.892204571763</v>
      </c>
      <c r="B3539" s="50" t="s">
        <v>30</v>
      </c>
      <c r="C3539" s="50" t="s">
        <v>447</v>
      </c>
      <c r="D3539" s="50" t="s">
        <v>259</v>
      </c>
      <c r="E3539" s="50">
        <v>-1</v>
      </c>
      <c r="F3539" s="51">
        <v>-0.96048204802886916</v>
      </c>
      <c r="G3539" s="51" t="str">
        <v>柴山 2022/09/02 (金)
平日夜間</v>
      </c>
    </row>
    <row r="3540" spans="1:7" ht="16.149999999999999" x14ac:dyDescent="0.7">
      <c r="A3540" s="49">
        <v>44799.892204571763</v>
      </c>
      <c r="B3540" s="50" t="s">
        <v>30</v>
      </c>
      <c r="C3540" s="50" t="s">
        <v>448</v>
      </c>
      <c r="D3540" s="50" t="s">
        <v>263</v>
      </c>
      <c r="E3540" s="50">
        <v>-1</v>
      </c>
      <c r="F3540" s="51">
        <v>-8.426218243682837E-2</v>
      </c>
      <c r="G3540" s="51" t="str">
        <v>柴山 2022/09/03 (土)
休日午前</v>
      </c>
    </row>
    <row r="3541" spans="1:7" ht="16.149999999999999" x14ac:dyDescent="0.7">
      <c r="A3541" s="49">
        <v>44799.892204571763</v>
      </c>
      <c r="B3541" s="50" t="s">
        <v>30</v>
      </c>
      <c r="C3541" s="50" t="s">
        <v>449</v>
      </c>
      <c r="D3541" s="50" t="s">
        <v>261</v>
      </c>
      <c r="E3541" s="50">
        <v>-1</v>
      </c>
      <c r="F3541" s="51">
        <v>-0.8109477981527411</v>
      </c>
      <c r="G3541" s="51" t="str">
        <v>柴山 2022/09/03 (土)
休日午後</v>
      </c>
    </row>
    <row r="3542" spans="1:7" ht="16.149999999999999" x14ac:dyDescent="0.7">
      <c r="A3542" s="49">
        <v>44799.892204571763</v>
      </c>
      <c r="B3542" s="50" t="s">
        <v>30</v>
      </c>
      <c r="C3542" s="50" t="s">
        <v>450</v>
      </c>
      <c r="D3542" s="50" t="s">
        <v>263</v>
      </c>
      <c r="E3542" s="50">
        <v>-1</v>
      </c>
      <c r="F3542" s="51">
        <v>-0.79979480370688583</v>
      </c>
      <c r="G3542" s="51" t="str">
        <v>柴山 2022/09/04 (日)
休日午前</v>
      </c>
    </row>
    <row r="3543" spans="1:7" ht="16.149999999999999" x14ac:dyDescent="0.7">
      <c r="A3543" s="49">
        <v>44799.892204571763</v>
      </c>
      <c r="B3543" s="50" t="s">
        <v>30</v>
      </c>
      <c r="C3543" s="50" t="s">
        <v>451</v>
      </c>
      <c r="D3543" s="50" t="s">
        <v>261</v>
      </c>
      <c r="E3543" s="50">
        <v>-1</v>
      </c>
      <c r="F3543" s="51">
        <v>-0.23726919274612324</v>
      </c>
      <c r="G3543" s="51" t="str">
        <v>柴山 2022/09/04 (日)
休日午後</v>
      </c>
    </row>
    <row r="3544" spans="1:7" ht="16.149999999999999" x14ac:dyDescent="0.7">
      <c r="A3544" s="49">
        <v>44799.892204571763</v>
      </c>
      <c r="B3544" s="50" t="s">
        <v>30</v>
      </c>
      <c r="C3544" s="50" t="s">
        <v>452</v>
      </c>
      <c r="D3544" s="50" t="s">
        <v>259</v>
      </c>
      <c r="E3544" s="50">
        <v>-1</v>
      </c>
      <c r="F3544" s="51">
        <v>-0.38008255572567351</v>
      </c>
      <c r="G3544" s="51" t="str">
        <v>柴山 2022/09/05 (月)
平日夜間</v>
      </c>
    </row>
    <row r="3545" spans="1:7" ht="16.149999999999999" x14ac:dyDescent="0.7">
      <c r="A3545" s="49">
        <v>44799.892204571763</v>
      </c>
      <c r="B3545" s="50" t="s">
        <v>30</v>
      </c>
      <c r="C3545" s="50" t="s">
        <v>453</v>
      </c>
      <c r="D3545" s="50" t="s">
        <v>259</v>
      </c>
      <c r="E3545" s="50">
        <v>-1</v>
      </c>
      <c r="F3545" s="51">
        <v>-0.80751414005074662</v>
      </c>
      <c r="G3545" s="51" t="str">
        <v>柴山 2022/09/06 (火)
平日夜間</v>
      </c>
    </row>
    <row r="3546" spans="1:7" ht="16.149999999999999" x14ac:dyDescent="0.7">
      <c r="A3546" s="49">
        <v>44799.892204571763</v>
      </c>
      <c r="B3546" s="50" t="s">
        <v>30</v>
      </c>
      <c r="C3546" s="50" t="s">
        <v>454</v>
      </c>
      <c r="D3546" s="50" t="s">
        <v>259</v>
      </c>
      <c r="E3546" s="50">
        <v>-1</v>
      </c>
      <c r="F3546" s="51">
        <v>-0.10228868846735839</v>
      </c>
      <c r="G3546" s="51" t="str">
        <v>柴山 2022/09/07 (水)
平日夜間</v>
      </c>
    </row>
    <row r="3547" spans="1:7" ht="16.149999999999999" x14ac:dyDescent="0.7">
      <c r="A3547" s="49">
        <v>44799.892204571763</v>
      </c>
      <c r="B3547" s="50" t="s">
        <v>30</v>
      </c>
      <c r="C3547" s="50" t="s">
        <v>455</v>
      </c>
      <c r="D3547" s="50" t="s">
        <v>259</v>
      </c>
      <c r="E3547" s="50">
        <v>-1</v>
      </c>
      <c r="F3547" s="51">
        <v>-0.26956541164872139</v>
      </c>
      <c r="G3547" s="51" t="str">
        <v>柴山 2022/09/08 (木)
平日夜間</v>
      </c>
    </row>
    <row r="3548" spans="1:7" ht="16.149999999999999" x14ac:dyDescent="0.7">
      <c r="A3548" s="49">
        <v>44799.892204571763</v>
      </c>
      <c r="B3548" s="50" t="s">
        <v>30</v>
      </c>
      <c r="C3548" s="50" t="s">
        <v>456</v>
      </c>
      <c r="D3548" s="50" t="s">
        <v>259</v>
      </c>
      <c r="E3548" s="50">
        <v>-1</v>
      </c>
      <c r="F3548" s="51">
        <v>-0.67182790712362905</v>
      </c>
      <c r="G3548" s="51" t="str">
        <v>柴山 2022/09/09 (金)
平日夜間</v>
      </c>
    </row>
    <row r="3549" spans="1:7" ht="16.149999999999999" x14ac:dyDescent="0.7">
      <c r="A3549" s="49">
        <v>44799.892204571763</v>
      </c>
      <c r="B3549" s="50" t="s">
        <v>30</v>
      </c>
      <c r="C3549" s="50" t="s">
        <v>457</v>
      </c>
      <c r="D3549" s="50" t="s">
        <v>263</v>
      </c>
      <c r="E3549" s="50">
        <v>-1</v>
      </c>
      <c r="F3549" s="51">
        <v>-0.22612414840459438</v>
      </c>
      <c r="G3549" s="51" t="str">
        <v>柴山 2022/09/10 (土)
休日午前</v>
      </c>
    </row>
    <row r="3550" spans="1:7" ht="16.149999999999999" x14ac:dyDescent="0.7">
      <c r="A3550" s="49">
        <v>44799.892204571763</v>
      </c>
      <c r="B3550" s="50" t="s">
        <v>30</v>
      </c>
      <c r="C3550" s="50" t="s">
        <v>458</v>
      </c>
      <c r="D3550" s="50" t="s">
        <v>261</v>
      </c>
      <c r="E3550" s="50">
        <v>-1</v>
      </c>
      <c r="F3550" s="51">
        <v>-0.25895080730968001</v>
      </c>
      <c r="G3550" s="51" t="str">
        <v>柴山 2022/09/10 (土)
休日午後</v>
      </c>
    </row>
    <row r="3551" spans="1:7" ht="16.149999999999999" x14ac:dyDescent="0.7">
      <c r="A3551" s="49">
        <v>44799.892204571763</v>
      </c>
      <c r="B3551" s="50" t="s">
        <v>30</v>
      </c>
      <c r="C3551" s="50" t="s">
        <v>459</v>
      </c>
      <c r="D3551" s="50" t="s">
        <v>263</v>
      </c>
      <c r="E3551" s="50">
        <v>-1</v>
      </c>
      <c r="F3551" s="51">
        <v>-0.81793340053619557</v>
      </c>
      <c r="G3551" s="51" t="str">
        <v>柴山 2022/09/11 (日)
休日午前</v>
      </c>
    </row>
    <row r="3552" spans="1:7" ht="16.149999999999999" x14ac:dyDescent="0.7">
      <c r="A3552" s="49">
        <v>44799.892204571763</v>
      </c>
      <c r="B3552" s="50" t="s">
        <v>30</v>
      </c>
      <c r="C3552" s="50" t="s">
        <v>460</v>
      </c>
      <c r="D3552" s="50" t="s">
        <v>261</v>
      </c>
      <c r="E3552" s="50">
        <v>-1</v>
      </c>
      <c r="F3552" s="51">
        <v>-0.44065223814744092</v>
      </c>
      <c r="G3552" s="51" t="str">
        <v>柴山 2022/09/11 (日)
休日午後</v>
      </c>
    </row>
    <row r="3553" spans="1:7" ht="16.149999999999999" x14ac:dyDescent="0.7">
      <c r="A3553" s="49">
        <v>44799.892204571763</v>
      </c>
      <c r="B3553" s="50" t="s">
        <v>30</v>
      </c>
      <c r="C3553" s="50" t="s">
        <v>461</v>
      </c>
      <c r="D3553" s="50" t="s">
        <v>259</v>
      </c>
      <c r="E3553" s="50">
        <v>-1</v>
      </c>
      <c r="F3553" s="51">
        <v>-0.34027480646716102</v>
      </c>
      <c r="G3553" s="51" t="str">
        <v>柴山 2022/09/12 (月)
平日夜間</v>
      </c>
    </row>
    <row r="3554" spans="1:7" ht="16.149999999999999" x14ac:dyDescent="0.7">
      <c r="A3554" s="49">
        <v>44799.892204571763</v>
      </c>
      <c r="B3554" s="50" t="s">
        <v>30</v>
      </c>
      <c r="C3554" s="50" t="s">
        <v>462</v>
      </c>
      <c r="D3554" s="50" t="s">
        <v>259</v>
      </c>
      <c r="E3554" s="50">
        <v>0</v>
      </c>
      <c r="F3554" s="51">
        <v>0.47222547195540665</v>
      </c>
      <c r="G3554" s="51" t="str">
        <v>柴山 2022/09/13 (火)
平日夜間</v>
      </c>
    </row>
    <row r="3555" spans="1:7" ht="16.149999999999999" x14ac:dyDescent="0.7">
      <c r="A3555" s="49">
        <v>44799.892204571763</v>
      </c>
      <c r="B3555" s="50" t="s">
        <v>30</v>
      </c>
      <c r="C3555" s="50" t="s">
        <v>463</v>
      </c>
      <c r="D3555" s="50" t="s">
        <v>259</v>
      </c>
      <c r="E3555" s="50">
        <v>0</v>
      </c>
      <c r="F3555" s="51">
        <v>5.3532942060378952E-2</v>
      </c>
      <c r="G3555" s="51" t="str">
        <v>柴山 2022/09/14 (水)
平日夜間</v>
      </c>
    </row>
    <row r="3556" spans="1:7" ht="16.149999999999999" x14ac:dyDescent="0.7">
      <c r="A3556" s="49">
        <v>44799.892204571763</v>
      </c>
      <c r="B3556" s="50" t="s">
        <v>30</v>
      </c>
      <c r="C3556" s="50" t="s">
        <v>464</v>
      </c>
      <c r="D3556" s="50" t="s">
        <v>259</v>
      </c>
      <c r="E3556" s="50">
        <v>0</v>
      </c>
      <c r="F3556" s="51">
        <v>0.38060844886085121</v>
      </c>
      <c r="G3556" s="51" t="str">
        <v>柴山 2022/09/15 (木)
平日夜間</v>
      </c>
    </row>
    <row r="3557" spans="1:7" ht="16.149999999999999" x14ac:dyDescent="0.7">
      <c r="A3557" s="49">
        <v>44799.892204571763</v>
      </c>
      <c r="B3557" s="50" t="s">
        <v>30</v>
      </c>
      <c r="C3557" s="50" t="s">
        <v>465</v>
      </c>
      <c r="D3557" s="50" t="s">
        <v>259</v>
      </c>
      <c r="E3557" s="50">
        <v>-1</v>
      </c>
      <c r="F3557" s="51">
        <v>-7.2121083120543439E-2</v>
      </c>
      <c r="G3557" s="51" t="str">
        <v>柴山 2022/09/16 (金)
平日夜間</v>
      </c>
    </row>
    <row r="3558" spans="1:7" ht="16.149999999999999" x14ac:dyDescent="0.7">
      <c r="A3558" s="49">
        <v>44799.892204571763</v>
      </c>
      <c r="B3558" s="50" t="s">
        <v>30</v>
      </c>
      <c r="C3558" s="50" t="s">
        <v>466</v>
      </c>
      <c r="D3558" s="50" t="s">
        <v>263</v>
      </c>
      <c r="E3558" s="50">
        <v>-1</v>
      </c>
      <c r="F3558" s="51">
        <v>-0.74750187421700098</v>
      </c>
      <c r="G3558" s="51" t="str">
        <v>柴山 2022/09/17 (土)
休日午前</v>
      </c>
    </row>
    <row r="3559" spans="1:7" ht="16.149999999999999" x14ac:dyDescent="0.7">
      <c r="A3559" s="49">
        <v>44799.892204571763</v>
      </c>
      <c r="B3559" s="50" t="s">
        <v>30</v>
      </c>
      <c r="C3559" s="50" t="s">
        <v>467</v>
      </c>
      <c r="D3559" s="50" t="s">
        <v>261</v>
      </c>
      <c r="E3559" s="50">
        <v>-1</v>
      </c>
      <c r="F3559" s="51">
        <v>-0.76065092513565546</v>
      </c>
      <c r="G3559" s="51" t="str">
        <v>柴山 2022/09/17 (土)
休日午後</v>
      </c>
    </row>
    <row r="3560" spans="1:7" ht="16.149999999999999" x14ac:dyDescent="0.7">
      <c r="A3560" s="49">
        <v>44799.892204571763</v>
      </c>
      <c r="B3560" s="50" t="s">
        <v>30</v>
      </c>
      <c r="C3560" s="50" t="s">
        <v>468</v>
      </c>
      <c r="D3560" s="50" t="s">
        <v>263</v>
      </c>
      <c r="E3560" s="50">
        <v>-1</v>
      </c>
      <c r="F3560" s="51">
        <v>-0.46631658567449352</v>
      </c>
      <c r="G3560" s="51" t="str">
        <v>柴山 2022/09/18 (日)
休日午前</v>
      </c>
    </row>
    <row r="3561" spans="1:7" ht="16.149999999999999" x14ac:dyDescent="0.7">
      <c r="A3561" s="49">
        <v>44799.892204571763</v>
      </c>
      <c r="B3561" s="50" t="s">
        <v>30</v>
      </c>
      <c r="C3561" s="50" t="s">
        <v>469</v>
      </c>
      <c r="D3561" s="50" t="s">
        <v>261</v>
      </c>
      <c r="E3561" s="50">
        <v>-1</v>
      </c>
      <c r="F3561" s="51">
        <v>-0.19711119294374457</v>
      </c>
      <c r="G3561" s="51" t="str">
        <v>柴山 2022/09/18 (日)
休日午後</v>
      </c>
    </row>
    <row r="3562" spans="1:7" ht="16.149999999999999" x14ac:dyDescent="0.7">
      <c r="A3562" s="49">
        <v>44799.892204571763</v>
      </c>
      <c r="B3562" s="50" t="s">
        <v>30</v>
      </c>
      <c r="C3562" s="50" t="s">
        <v>470</v>
      </c>
      <c r="D3562" s="50" t="s">
        <v>263</v>
      </c>
      <c r="E3562" s="50">
        <v>-1</v>
      </c>
      <c r="F3562" s="51">
        <v>-0.35871674062509573</v>
      </c>
      <c r="G3562" s="51" t="str">
        <v>柴山 2022/09/19 (月)
休日午前</v>
      </c>
    </row>
    <row r="3563" spans="1:7" ht="16.149999999999999" x14ac:dyDescent="0.7">
      <c r="A3563" s="49">
        <v>44799.892204571763</v>
      </c>
      <c r="B3563" s="50" t="s">
        <v>30</v>
      </c>
      <c r="C3563" s="50" t="s">
        <v>471</v>
      </c>
      <c r="D3563" s="50" t="s">
        <v>261</v>
      </c>
      <c r="E3563" s="50">
        <v>-1</v>
      </c>
      <c r="F3563" s="51">
        <v>-0.43618393225331276</v>
      </c>
      <c r="G3563" s="51" t="str">
        <v>柴山 2022/09/19 (月)
休日午後</v>
      </c>
    </row>
    <row r="3564" spans="1:7" ht="16.149999999999999" x14ac:dyDescent="0.7">
      <c r="A3564" s="49">
        <v>44799.892204571763</v>
      </c>
      <c r="B3564" s="50" t="s">
        <v>30</v>
      </c>
      <c r="C3564" s="50" t="s">
        <v>472</v>
      </c>
      <c r="D3564" s="50" t="s">
        <v>259</v>
      </c>
      <c r="E3564" s="50">
        <v>0</v>
      </c>
      <c r="F3564" s="51">
        <v>0.57396860726769727</v>
      </c>
      <c r="G3564" s="51" t="str">
        <v>柴山 2022/09/20 (火)
平日夜間</v>
      </c>
    </row>
    <row r="3565" spans="1:7" ht="16.149999999999999" x14ac:dyDescent="0.7">
      <c r="A3565" s="49">
        <v>44799.892204571763</v>
      </c>
      <c r="B3565" s="50" t="s">
        <v>30</v>
      </c>
      <c r="C3565" s="50" t="s">
        <v>473</v>
      </c>
      <c r="D3565" s="50" t="s">
        <v>259</v>
      </c>
      <c r="E3565" s="50">
        <v>0</v>
      </c>
      <c r="F3565" s="51">
        <v>0.18064191030709931</v>
      </c>
      <c r="G3565" s="51" t="str">
        <v>柴山 2022/09/21 (水)
平日夜間</v>
      </c>
    </row>
    <row r="3566" spans="1:7" ht="16.149999999999999" x14ac:dyDescent="0.7">
      <c r="A3566" s="49">
        <v>44799.892204571763</v>
      </c>
      <c r="B3566" s="50" t="s">
        <v>30</v>
      </c>
      <c r="C3566" s="50" t="s">
        <v>474</v>
      </c>
      <c r="D3566" s="50" t="s">
        <v>259</v>
      </c>
      <c r="E3566" s="50">
        <v>0</v>
      </c>
      <c r="F3566" s="51">
        <v>0.3673277957577219</v>
      </c>
      <c r="G3566" s="51" t="str">
        <v>柴山 2022/09/22 (木)
平日夜間</v>
      </c>
    </row>
    <row r="3567" spans="1:7" ht="16.149999999999999" x14ac:dyDescent="0.7">
      <c r="A3567" s="49">
        <v>44799.892204571763</v>
      </c>
      <c r="B3567" s="50" t="s">
        <v>30</v>
      </c>
      <c r="C3567" s="50" t="s">
        <v>475</v>
      </c>
      <c r="D3567" s="50" t="s">
        <v>263</v>
      </c>
      <c r="E3567" s="50">
        <v>0</v>
      </c>
      <c r="F3567" s="51">
        <v>0.17714063703638172</v>
      </c>
      <c r="G3567" s="51" t="str">
        <v>柴山 2022/09/23 (金)
休日午前</v>
      </c>
    </row>
    <row r="3568" spans="1:7" ht="16.149999999999999" x14ac:dyDescent="0.7">
      <c r="A3568" s="49">
        <v>44799.892204571763</v>
      </c>
      <c r="B3568" s="50" t="s">
        <v>30</v>
      </c>
      <c r="C3568" s="50" t="s">
        <v>476</v>
      </c>
      <c r="D3568" s="50" t="s">
        <v>261</v>
      </c>
      <c r="E3568" s="50">
        <v>0</v>
      </c>
      <c r="F3568" s="51">
        <v>0.23513606906998241</v>
      </c>
      <c r="G3568" s="51" t="str">
        <v>柴山 2022/09/23 (金)
休日午後</v>
      </c>
    </row>
    <row r="3569" spans="1:7" ht="16.149999999999999" x14ac:dyDescent="0.7">
      <c r="A3569" s="49">
        <v>44799.892204571763</v>
      </c>
      <c r="B3569" s="50" t="s">
        <v>30</v>
      </c>
      <c r="C3569" s="50" t="s">
        <v>477</v>
      </c>
      <c r="D3569" s="50" t="s">
        <v>263</v>
      </c>
      <c r="E3569" s="50">
        <v>0</v>
      </c>
      <c r="F3569" s="51">
        <v>5.8189883619822247E-2</v>
      </c>
      <c r="G3569" s="51" t="str">
        <v>柴山 2022/09/24 (土)
休日午前</v>
      </c>
    </row>
    <row r="3570" spans="1:7" ht="16.149999999999999" x14ac:dyDescent="0.7">
      <c r="A3570" s="49">
        <v>44799.892204571763</v>
      </c>
      <c r="B3570" s="50" t="s">
        <v>30</v>
      </c>
      <c r="C3570" s="50" t="s">
        <v>478</v>
      </c>
      <c r="D3570" s="50" t="s">
        <v>261</v>
      </c>
      <c r="E3570" s="50">
        <v>-1</v>
      </c>
      <c r="F3570" s="51">
        <v>-0.81501041466427226</v>
      </c>
      <c r="G3570" s="51" t="str">
        <v>柴山 2022/09/24 (土)
休日午後</v>
      </c>
    </row>
    <row r="3571" spans="1:7" ht="16.149999999999999" x14ac:dyDescent="0.7">
      <c r="A3571" s="49">
        <v>44799.892204571763</v>
      </c>
      <c r="B3571" s="50" t="s">
        <v>30</v>
      </c>
      <c r="C3571" s="50" t="s">
        <v>479</v>
      </c>
      <c r="D3571" s="50" t="s">
        <v>263</v>
      </c>
      <c r="E3571" s="50">
        <v>0</v>
      </c>
      <c r="F3571" s="51">
        <v>0.34252577557553976</v>
      </c>
      <c r="G3571" s="51" t="str">
        <v>柴山 2022/09/25 (日)
休日午前</v>
      </c>
    </row>
    <row r="3572" spans="1:7" ht="16.149999999999999" x14ac:dyDescent="0.7">
      <c r="A3572" s="49">
        <v>44799.892204571763</v>
      </c>
      <c r="B3572" s="50" t="s">
        <v>30</v>
      </c>
      <c r="C3572" s="50" t="s">
        <v>480</v>
      </c>
      <c r="D3572" s="50" t="s">
        <v>261</v>
      </c>
      <c r="E3572" s="50">
        <v>-1</v>
      </c>
      <c r="F3572" s="51">
        <v>-0.37791479765204317</v>
      </c>
      <c r="G3572" s="51" t="str">
        <v>柴山 2022/09/25 (日)
休日午後</v>
      </c>
    </row>
    <row r="3573" spans="1:7" ht="16.149999999999999" x14ac:dyDescent="0.7">
      <c r="A3573" s="49">
        <v>44799.892204571763</v>
      </c>
      <c r="B3573" s="50" t="s">
        <v>30</v>
      </c>
      <c r="C3573" s="50" t="s">
        <v>481</v>
      </c>
      <c r="D3573" s="50" t="s">
        <v>259</v>
      </c>
      <c r="E3573" s="50">
        <v>0</v>
      </c>
      <c r="F3573" s="51">
        <v>0.18351410612671315</v>
      </c>
      <c r="G3573" s="51" t="str">
        <v>柴山 2022/09/26 (月)
平日夜間</v>
      </c>
    </row>
    <row r="3574" spans="1:7" ht="16.149999999999999" x14ac:dyDescent="0.7">
      <c r="A3574" s="49">
        <v>44799.892204571763</v>
      </c>
      <c r="B3574" s="50" t="s">
        <v>30</v>
      </c>
      <c r="C3574" s="50" t="s">
        <v>482</v>
      </c>
      <c r="D3574" s="50" t="s">
        <v>259</v>
      </c>
      <c r="E3574" s="50">
        <v>2</v>
      </c>
      <c r="F3574" s="51">
        <v>2.9772404784271789</v>
      </c>
      <c r="G3574" s="51" t="str">
        <v>柴山 2022/09/27 (火)
平日夜間</v>
      </c>
    </row>
    <row r="3575" spans="1:7" ht="16.149999999999999" x14ac:dyDescent="0.7">
      <c r="A3575" s="49">
        <v>44799.892204571763</v>
      </c>
      <c r="B3575" s="50" t="s">
        <v>30</v>
      </c>
      <c r="C3575" s="50" t="s">
        <v>483</v>
      </c>
      <c r="D3575" s="50" t="s">
        <v>259</v>
      </c>
      <c r="E3575" s="50">
        <v>0</v>
      </c>
      <c r="F3575" s="51">
        <v>0.10002682232442739</v>
      </c>
      <c r="G3575" s="51" t="str">
        <v>柴山 2022/09/28 (水)
平日夜間</v>
      </c>
    </row>
    <row r="3576" spans="1:7" ht="16.149999999999999" x14ac:dyDescent="0.7">
      <c r="A3576" s="49">
        <v>44799.892204571763</v>
      </c>
      <c r="B3576" s="50" t="s">
        <v>30</v>
      </c>
      <c r="C3576" s="50" t="s">
        <v>484</v>
      </c>
      <c r="D3576" s="50" t="s">
        <v>259</v>
      </c>
      <c r="E3576" s="50">
        <v>0</v>
      </c>
      <c r="F3576" s="51">
        <v>0.34030982324077086</v>
      </c>
      <c r="G3576" s="51" t="str">
        <v>柴山 2022/09/29 (木)
平日夜間</v>
      </c>
    </row>
    <row r="3577" spans="1:7" ht="16.149999999999999" x14ac:dyDescent="0.7">
      <c r="A3577" s="49">
        <v>44799.892204571763</v>
      </c>
      <c r="B3577" s="50" t="s">
        <v>30</v>
      </c>
      <c r="C3577" s="50" t="s">
        <v>485</v>
      </c>
      <c r="D3577" s="50" t="s">
        <v>259</v>
      </c>
      <c r="E3577" s="50">
        <v>-1</v>
      </c>
      <c r="F3577" s="51">
        <v>-0.8658127277741452</v>
      </c>
      <c r="G3577" s="51" t="str">
        <v>柴山 2022/09/30 (金)
平日夜間</v>
      </c>
    </row>
    <row r="3578" spans="1:7" ht="16.149999999999999" x14ac:dyDescent="0.7">
      <c r="A3578" s="49">
        <v>44800.037198969905</v>
      </c>
      <c r="B3578" s="50" t="s">
        <v>126</v>
      </c>
      <c r="C3578" s="50" t="s">
        <v>446</v>
      </c>
      <c r="D3578" s="50" t="s">
        <v>259</v>
      </c>
      <c r="E3578" s="50">
        <v>0</v>
      </c>
      <c r="F3578" s="51">
        <v>0.46605418480252903</v>
      </c>
      <c r="G3578" s="51" t="str">
        <v>鈴木 2022/09/01 (木)
平日夜間</v>
      </c>
    </row>
    <row r="3579" spans="1:7" ht="16.149999999999999" x14ac:dyDescent="0.7">
      <c r="A3579" s="49">
        <v>44800.037198969905</v>
      </c>
      <c r="B3579" s="50" t="s">
        <v>126</v>
      </c>
      <c r="C3579" s="50" t="s">
        <v>447</v>
      </c>
      <c r="D3579" s="50" t="s">
        <v>259</v>
      </c>
      <c r="E3579" s="50">
        <v>0</v>
      </c>
      <c r="F3579" s="51">
        <v>0.34369939678016048</v>
      </c>
      <c r="G3579" s="51" t="str">
        <v>鈴木 2022/09/02 (金)
平日夜間</v>
      </c>
    </row>
    <row r="3580" spans="1:7" ht="16.149999999999999" x14ac:dyDescent="0.7">
      <c r="A3580" s="49">
        <v>44800.037198969905</v>
      </c>
      <c r="B3580" s="50" t="s">
        <v>126</v>
      </c>
      <c r="C3580" s="50" t="s">
        <v>448</v>
      </c>
      <c r="D3580" s="50" t="s">
        <v>263</v>
      </c>
      <c r="E3580" s="50">
        <v>0</v>
      </c>
      <c r="F3580" s="51">
        <v>0.90949926171581819</v>
      </c>
      <c r="G3580" s="51" t="str">
        <v>鈴木 2022/09/03 (土)
休日午前</v>
      </c>
    </row>
    <row r="3581" spans="1:7" ht="16.149999999999999" x14ac:dyDescent="0.7">
      <c r="A3581" s="49">
        <v>44800.037198969905</v>
      </c>
      <c r="B3581" s="50" t="s">
        <v>126</v>
      </c>
      <c r="C3581" s="50" t="s">
        <v>449</v>
      </c>
      <c r="D3581" s="50" t="s">
        <v>261</v>
      </c>
      <c r="E3581" s="50">
        <v>0</v>
      </c>
      <c r="F3581" s="51">
        <v>0.25866687163941116</v>
      </c>
      <c r="G3581" s="51" t="str">
        <v>鈴木 2022/09/03 (土)
休日午後</v>
      </c>
    </row>
    <row r="3582" spans="1:7" ht="16.149999999999999" x14ac:dyDescent="0.7">
      <c r="A3582" s="49">
        <v>44800.037198969905</v>
      </c>
      <c r="B3582" s="50" t="s">
        <v>126</v>
      </c>
      <c r="C3582" s="50" t="s">
        <v>450</v>
      </c>
      <c r="D3582" s="50" t="s">
        <v>263</v>
      </c>
      <c r="E3582" s="50">
        <v>0</v>
      </c>
      <c r="F3582" s="51">
        <v>0.35272633316183222</v>
      </c>
      <c r="G3582" s="51" t="str">
        <v>鈴木 2022/09/04 (日)
休日午前</v>
      </c>
    </row>
    <row r="3583" spans="1:7" ht="16.149999999999999" x14ac:dyDescent="0.7">
      <c r="A3583" s="49">
        <v>44800.037198969905</v>
      </c>
      <c r="B3583" s="50" t="s">
        <v>126</v>
      </c>
      <c r="C3583" s="50" t="s">
        <v>451</v>
      </c>
      <c r="D3583" s="50" t="s">
        <v>261</v>
      </c>
      <c r="E3583" s="50">
        <v>0</v>
      </c>
      <c r="F3583" s="51">
        <v>0.30541710105243136</v>
      </c>
      <c r="G3583" s="51" t="str">
        <v>鈴木 2022/09/04 (日)
休日午後</v>
      </c>
    </row>
    <row r="3584" spans="1:7" ht="16.149999999999999" x14ac:dyDescent="0.7">
      <c r="A3584" s="49">
        <v>44800.037198969905</v>
      </c>
      <c r="B3584" s="50" t="s">
        <v>126</v>
      </c>
      <c r="C3584" s="50" t="s">
        <v>452</v>
      </c>
      <c r="D3584" s="50" t="s">
        <v>259</v>
      </c>
      <c r="E3584" s="50">
        <v>0</v>
      </c>
      <c r="F3584" s="51">
        <v>0.39113276463985991</v>
      </c>
      <c r="G3584" s="51" t="str">
        <v>鈴木 2022/09/05 (月)
平日夜間</v>
      </c>
    </row>
    <row r="3585" spans="1:7" ht="16.149999999999999" x14ac:dyDescent="0.7">
      <c r="A3585" s="49">
        <v>44800.037198969905</v>
      </c>
      <c r="B3585" s="50" t="s">
        <v>126</v>
      </c>
      <c r="C3585" s="50" t="s">
        <v>453</v>
      </c>
      <c r="D3585" s="50" t="s">
        <v>259</v>
      </c>
      <c r="E3585" s="50">
        <v>0</v>
      </c>
      <c r="F3585" s="51">
        <v>0.15819180125573462</v>
      </c>
      <c r="G3585" s="51" t="str">
        <v>鈴木 2022/09/06 (火)
平日夜間</v>
      </c>
    </row>
    <row r="3586" spans="1:7" ht="16.149999999999999" x14ac:dyDescent="0.7">
      <c r="A3586" s="49">
        <v>44800.037198969905</v>
      </c>
      <c r="B3586" s="50" t="s">
        <v>126</v>
      </c>
      <c r="C3586" s="50" t="s">
        <v>454</v>
      </c>
      <c r="D3586" s="50" t="s">
        <v>259</v>
      </c>
      <c r="E3586" s="50">
        <v>0</v>
      </c>
      <c r="F3586" s="51">
        <v>0.30243504103100882</v>
      </c>
      <c r="G3586" s="51" t="str">
        <v>鈴木 2022/09/07 (水)
平日夜間</v>
      </c>
    </row>
    <row r="3587" spans="1:7" ht="16.149999999999999" x14ac:dyDescent="0.7">
      <c r="A3587" s="49">
        <v>44800.037198969905</v>
      </c>
      <c r="B3587" s="50" t="s">
        <v>126</v>
      </c>
      <c r="C3587" s="50" t="s">
        <v>455</v>
      </c>
      <c r="D3587" s="50" t="s">
        <v>259</v>
      </c>
      <c r="E3587" s="50">
        <v>0</v>
      </c>
      <c r="F3587" s="51">
        <v>0.29469253792907146</v>
      </c>
      <c r="G3587" s="51" t="str">
        <v>鈴木 2022/09/08 (木)
平日夜間</v>
      </c>
    </row>
    <row r="3588" spans="1:7" ht="16.149999999999999" x14ac:dyDescent="0.7">
      <c r="A3588" s="49">
        <v>44800.037198969905</v>
      </c>
      <c r="B3588" s="50" t="s">
        <v>126</v>
      </c>
      <c r="C3588" s="50" t="s">
        <v>456</v>
      </c>
      <c r="D3588" s="50" t="s">
        <v>259</v>
      </c>
      <c r="E3588" s="50">
        <v>0</v>
      </c>
      <c r="F3588" s="51">
        <v>0.39647273877134737</v>
      </c>
      <c r="G3588" s="51" t="str">
        <v>鈴木 2022/09/09 (金)
平日夜間</v>
      </c>
    </row>
    <row r="3589" spans="1:7" ht="16.149999999999999" x14ac:dyDescent="0.7">
      <c r="A3589" s="49">
        <v>44800.037198969905</v>
      </c>
      <c r="B3589" s="50" t="s">
        <v>126</v>
      </c>
      <c r="C3589" s="50" t="s">
        <v>457</v>
      </c>
      <c r="D3589" s="50" t="s">
        <v>263</v>
      </c>
      <c r="E3589" s="50">
        <v>0</v>
      </c>
      <c r="F3589" s="51">
        <v>8.1445363740001664E-2</v>
      </c>
      <c r="G3589" s="51" t="str">
        <v>鈴木 2022/09/10 (土)
休日午前</v>
      </c>
    </row>
    <row r="3590" spans="1:7" ht="16.149999999999999" x14ac:dyDescent="0.7">
      <c r="A3590" s="49">
        <v>44800.037198969905</v>
      </c>
      <c r="B3590" s="50" t="s">
        <v>126</v>
      </c>
      <c r="C3590" s="50" t="s">
        <v>458</v>
      </c>
      <c r="D3590" s="50" t="s">
        <v>261</v>
      </c>
      <c r="E3590" s="50">
        <v>0</v>
      </c>
      <c r="F3590" s="51">
        <v>0.48760748536237819</v>
      </c>
      <c r="G3590" s="51" t="str">
        <v>鈴木 2022/09/10 (土)
休日午後</v>
      </c>
    </row>
    <row r="3591" spans="1:7" ht="16.149999999999999" x14ac:dyDescent="0.7">
      <c r="A3591" s="49">
        <v>44800.037198969905</v>
      </c>
      <c r="B3591" s="50" t="s">
        <v>126</v>
      </c>
      <c r="C3591" s="50" t="s">
        <v>459</v>
      </c>
      <c r="D3591" s="50" t="s">
        <v>263</v>
      </c>
      <c r="E3591" s="50">
        <v>0</v>
      </c>
      <c r="F3591" s="51">
        <v>0.73943136132068221</v>
      </c>
      <c r="G3591" s="51" t="str">
        <v>鈴木 2022/09/11 (日)
休日午前</v>
      </c>
    </row>
    <row r="3592" spans="1:7" ht="16.149999999999999" x14ac:dyDescent="0.7">
      <c r="A3592" s="49">
        <v>44800.037198969905</v>
      </c>
      <c r="B3592" s="50" t="s">
        <v>126</v>
      </c>
      <c r="C3592" s="50" t="s">
        <v>460</v>
      </c>
      <c r="D3592" s="50" t="s">
        <v>261</v>
      </c>
      <c r="E3592" s="50">
        <v>0</v>
      </c>
      <c r="F3592" s="51">
        <v>0.17080639774406237</v>
      </c>
      <c r="G3592" s="51" t="str">
        <v>鈴木 2022/09/11 (日)
休日午後</v>
      </c>
    </row>
    <row r="3593" spans="1:7" ht="16.149999999999999" x14ac:dyDescent="0.7">
      <c r="A3593" s="49">
        <v>44800.037198969905</v>
      </c>
      <c r="B3593" s="50" t="s">
        <v>126</v>
      </c>
      <c r="C3593" s="50" t="s">
        <v>461</v>
      </c>
      <c r="D3593" s="50" t="s">
        <v>259</v>
      </c>
      <c r="E3593" s="50">
        <v>0</v>
      </c>
      <c r="F3593" s="51">
        <v>0.4161400778589619</v>
      </c>
      <c r="G3593" s="51" t="str">
        <v>鈴木 2022/09/12 (月)
平日夜間</v>
      </c>
    </row>
    <row r="3594" spans="1:7" ht="16.149999999999999" x14ac:dyDescent="0.7">
      <c r="A3594" s="49">
        <v>44800.037198969905</v>
      </c>
      <c r="B3594" s="50" t="s">
        <v>126</v>
      </c>
      <c r="C3594" s="50" t="s">
        <v>462</v>
      </c>
      <c r="D3594" s="50" t="s">
        <v>259</v>
      </c>
      <c r="E3594" s="50">
        <v>0</v>
      </c>
      <c r="F3594" s="51">
        <v>0.55136558976615779</v>
      </c>
      <c r="G3594" s="51" t="str">
        <v>鈴木 2022/09/13 (火)
平日夜間</v>
      </c>
    </row>
    <row r="3595" spans="1:7" ht="16.149999999999999" x14ac:dyDescent="0.7">
      <c r="A3595" s="49">
        <v>44800.037198969905</v>
      </c>
      <c r="B3595" s="50" t="s">
        <v>126</v>
      </c>
      <c r="C3595" s="50" t="s">
        <v>463</v>
      </c>
      <c r="D3595" s="50" t="s">
        <v>259</v>
      </c>
      <c r="E3595" s="50">
        <v>0</v>
      </c>
      <c r="F3595" s="51">
        <v>0.89944529622894409</v>
      </c>
      <c r="G3595" s="51" t="str">
        <v>鈴木 2022/09/14 (水)
平日夜間</v>
      </c>
    </row>
    <row r="3596" spans="1:7" ht="16.149999999999999" x14ac:dyDescent="0.7">
      <c r="A3596" s="49">
        <v>44800.037198969905</v>
      </c>
      <c r="B3596" s="50" t="s">
        <v>126</v>
      </c>
      <c r="C3596" s="50" t="s">
        <v>464</v>
      </c>
      <c r="D3596" s="50" t="s">
        <v>259</v>
      </c>
      <c r="E3596" s="50">
        <v>0</v>
      </c>
      <c r="F3596" s="51">
        <v>0.97044176749964484</v>
      </c>
      <c r="G3596" s="51" t="str">
        <v>鈴木 2022/09/15 (木)
平日夜間</v>
      </c>
    </row>
    <row r="3597" spans="1:7" ht="16.149999999999999" x14ac:dyDescent="0.7">
      <c r="A3597" s="49">
        <v>44800.037198969905</v>
      </c>
      <c r="B3597" s="50" t="s">
        <v>126</v>
      </c>
      <c r="C3597" s="50" t="s">
        <v>465</v>
      </c>
      <c r="D3597" s="50" t="s">
        <v>259</v>
      </c>
      <c r="E3597" s="50">
        <v>0</v>
      </c>
      <c r="F3597" s="51">
        <v>5.1025041908631552E-2</v>
      </c>
      <c r="G3597" s="51" t="str">
        <v>鈴木 2022/09/16 (金)
平日夜間</v>
      </c>
    </row>
    <row r="3598" spans="1:7" ht="16.149999999999999" x14ac:dyDescent="0.7">
      <c r="A3598" s="49">
        <v>44800.037198969905</v>
      </c>
      <c r="B3598" s="50" t="s">
        <v>126</v>
      </c>
      <c r="C3598" s="50" t="s">
        <v>466</v>
      </c>
      <c r="D3598" s="50" t="s">
        <v>263</v>
      </c>
      <c r="E3598" s="50">
        <v>-1</v>
      </c>
      <c r="F3598" s="51">
        <v>-0.53164631010559527</v>
      </c>
      <c r="G3598" s="51" t="str">
        <v>鈴木 2022/09/17 (土)
休日午前</v>
      </c>
    </row>
    <row r="3599" spans="1:7" ht="16.149999999999999" x14ac:dyDescent="0.7">
      <c r="A3599" s="49">
        <v>44800.037198969905</v>
      </c>
      <c r="B3599" s="50" t="s">
        <v>126</v>
      </c>
      <c r="C3599" s="50" t="s">
        <v>467</v>
      </c>
      <c r="D3599" s="50" t="s">
        <v>261</v>
      </c>
      <c r="E3599" s="50">
        <v>-1</v>
      </c>
      <c r="F3599" s="51">
        <v>-0.83158608434873638</v>
      </c>
      <c r="G3599" s="51" t="str">
        <v>鈴木 2022/09/17 (土)
休日午後</v>
      </c>
    </row>
    <row r="3600" spans="1:7" ht="16.149999999999999" x14ac:dyDescent="0.7">
      <c r="A3600" s="49">
        <v>44800.037198969905</v>
      </c>
      <c r="B3600" s="50" t="s">
        <v>126</v>
      </c>
      <c r="C3600" s="50" t="s">
        <v>468</v>
      </c>
      <c r="D3600" s="50" t="s">
        <v>263</v>
      </c>
      <c r="E3600" s="50">
        <v>-1</v>
      </c>
      <c r="F3600" s="51">
        <v>-0.6023997994158945</v>
      </c>
      <c r="G3600" s="51" t="str">
        <v>鈴木 2022/09/18 (日)
休日午前</v>
      </c>
    </row>
    <row r="3601" spans="1:7" ht="16.149999999999999" x14ac:dyDescent="0.7">
      <c r="A3601" s="49">
        <v>44800.037198969905</v>
      </c>
      <c r="B3601" s="50" t="s">
        <v>126</v>
      </c>
      <c r="C3601" s="50" t="s">
        <v>469</v>
      </c>
      <c r="D3601" s="50" t="s">
        <v>261</v>
      </c>
      <c r="E3601" s="50">
        <v>-1</v>
      </c>
      <c r="F3601" s="51">
        <v>-0.62119779820746168</v>
      </c>
      <c r="G3601" s="51" t="str">
        <v>鈴木 2022/09/18 (日)
休日午後</v>
      </c>
    </row>
    <row r="3602" spans="1:7" ht="16.149999999999999" x14ac:dyDescent="0.7">
      <c r="A3602" s="49">
        <v>44800.037198969905</v>
      </c>
      <c r="B3602" s="50" t="s">
        <v>126</v>
      </c>
      <c r="C3602" s="50" t="s">
        <v>470</v>
      </c>
      <c r="D3602" s="50" t="s">
        <v>263</v>
      </c>
      <c r="E3602" s="50">
        <v>-1</v>
      </c>
      <c r="F3602" s="51">
        <v>-0.65029318783776047</v>
      </c>
      <c r="G3602" s="51" t="str">
        <v>鈴木 2022/09/19 (月)
休日午前</v>
      </c>
    </row>
    <row r="3603" spans="1:7" ht="16.149999999999999" x14ac:dyDescent="0.7">
      <c r="A3603" s="49">
        <v>44800.037198969905</v>
      </c>
      <c r="B3603" s="50" t="s">
        <v>126</v>
      </c>
      <c r="C3603" s="50" t="s">
        <v>471</v>
      </c>
      <c r="D3603" s="50" t="s">
        <v>261</v>
      </c>
      <c r="E3603" s="50">
        <v>-1</v>
      </c>
      <c r="F3603" s="51">
        <v>-0.62661142325449859</v>
      </c>
      <c r="G3603" s="51" t="str">
        <v>鈴木 2022/09/19 (月)
休日午後</v>
      </c>
    </row>
    <row r="3604" spans="1:7" ht="16.149999999999999" x14ac:dyDescent="0.7">
      <c r="A3604" s="49">
        <v>44800.037198969905</v>
      </c>
      <c r="B3604" s="50" t="s">
        <v>126</v>
      </c>
      <c r="C3604" s="50" t="s">
        <v>472</v>
      </c>
      <c r="D3604" s="50" t="s">
        <v>259</v>
      </c>
      <c r="E3604" s="50">
        <v>-1</v>
      </c>
      <c r="F3604" s="51">
        <v>-0.12718142877374672</v>
      </c>
      <c r="G3604" s="51" t="str">
        <v>鈴木 2022/09/20 (火)
平日夜間</v>
      </c>
    </row>
    <row r="3605" spans="1:7" ht="16.149999999999999" x14ac:dyDescent="0.7">
      <c r="A3605" s="49">
        <v>44800.037198969905</v>
      </c>
      <c r="B3605" s="50" t="s">
        <v>126</v>
      </c>
      <c r="C3605" s="50" t="s">
        <v>473</v>
      </c>
      <c r="D3605" s="50" t="s">
        <v>259</v>
      </c>
      <c r="E3605" s="50">
        <v>-1</v>
      </c>
      <c r="F3605" s="51">
        <v>-0.24449190424667422</v>
      </c>
      <c r="G3605" s="51" t="str">
        <v>鈴木 2022/09/21 (水)
平日夜間</v>
      </c>
    </row>
    <row r="3606" spans="1:7" ht="16.149999999999999" x14ac:dyDescent="0.7">
      <c r="A3606" s="49">
        <v>44800.037198969905</v>
      </c>
      <c r="B3606" s="50" t="s">
        <v>126</v>
      </c>
      <c r="C3606" s="50" t="s">
        <v>474</v>
      </c>
      <c r="D3606" s="50" t="s">
        <v>259</v>
      </c>
      <c r="E3606" s="50">
        <v>-1</v>
      </c>
      <c r="F3606" s="51">
        <v>-0.31526974526872631</v>
      </c>
      <c r="G3606" s="51" t="str">
        <v>鈴木 2022/09/22 (木)
平日夜間</v>
      </c>
    </row>
    <row r="3607" spans="1:7" ht="16.149999999999999" x14ac:dyDescent="0.7">
      <c r="A3607" s="49">
        <v>44800.037198969905</v>
      </c>
      <c r="B3607" s="50" t="s">
        <v>126</v>
      </c>
      <c r="C3607" s="50" t="s">
        <v>475</v>
      </c>
      <c r="D3607" s="50" t="s">
        <v>263</v>
      </c>
      <c r="E3607" s="50">
        <v>-1</v>
      </c>
      <c r="F3607" s="51">
        <v>-0.2794208720635436</v>
      </c>
      <c r="G3607" s="51" t="str">
        <v>鈴木 2022/09/23 (金)
休日午前</v>
      </c>
    </row>
    <row r="3608" spans="1:7" ht="16.149999999999999" x14ac:dyDescent="0.7">
      <c r="A3608" s="49">
        <v>44800.037198969905</v>
      </c>
      <c r="B3608" s="50" t="s">
        <v>126</v>
      </c>
      <c r="C3608" s="50" t="s">
        <v>476</v>
      </c>
      <c r="D3608" s="50" t="s">
        <v>261</v>
      </c>
      <c r="E3608" s="50">
        <v>-1</v>
      </c>
      <c r="F3608" s="51">
        <v>-0.47551124474322859</v>
      </c>
      <c r="G3608" s="51" t="str">
        <v>鈴木 2022/09/23 (金)
休日午後</v>
      </c>
    </row>
    <row r="3609" spans="1:7" ht="16.149999999999999" x14ac:dyDescent="0.7">
      <c r="A3609" s="49">
        <v>44800.037198969905</v>
      </c>
      <c r="B3609" s="50" t="s">
        <v>126</v>
      </c>
      <c r="C3609" s="50" t="s">
        <v>477</v>
      </c>
      <c r="D3609" s="50" t="s">
        <v>263</v>
      </c>
      <c r="E3609" s="50">
        <v>-1</v>
      </c>
      <c r="F3609" s="51">
        <v>-8.76126477358945E-2</v>
      </c>
      <c r="G3609" s="51" t="str">
        <v>鈴木 2022/09/24 (土)
休日午前</v>
      </c>
    </row>
    <row r="3610" spans="1:7" ht="16.149999999999999" x14ac:dyDescent="0.7">
      <c r="A3610" s="49">
        <v>44800.037198969905</v>
      </c>
      <c r="B3610" s="50" t="s">
        <v>126</v>
      </c>
      <c r="C3610" s="50" t="s">
        <v>478</v>
      </c>
      <c r="D3610" s="50" t="s">
        <v>261</v>
      </c>
      <c r="E3610" s="50">
        <v>-1</v>
      </c>
      <c r="F3610" s="51">
        <v>-0.94839973613254647</v>
      </c>
      <c r="G3610" s="51" t="str">
        <v>鈴木 2022/09/24 (土)
休日午後</v>
      </c>
    </row>
    <row r="3611" spans="1:7" ht="16.149999999999999" x14ac:dyDescent="0.7">
      <c r="A3611" s="49">
        <v>44800.037198969905</v>
      </c>
      <c r="B3611" s="50" t="s">
        <v>126</v>
      </c>
      <c r="C3611" s="50" t="s">
        <v>479</v>
      </c>
      <c r="D3611" s="50" t="s">
        <v>263</v>
      </c>
      <c r="E3611" s="50">
        <v>2</v>
      </c>
      <c r="F3611" s="51">
        <v>2.1970487641340282</v>
      </c>
      <c r="G3611" s="51" t="str">
        <v>鈴木 2022/09/25 (日)
休日午前</v>
      </c>
    </row>
    <row r="3612" spans="1:7" ht="16.149999999999999" x14ac:dyDescent="0.7">
      <c r="A3612" s="49">
        <v>44800.037198969905</v>
      </c>
      <c r="B3612" s="50" t="s">
        <v>126</v>
      </c>
      <c r="C3612" s="50" t="s">
        <v>480</v>
      </c>
      <c r="D3612" s="50" t="s">
        <v>261</v>
      </c>
      <c r="E3612" s="50">
        <v>2</v>
      </c>
      <c r="F3612" s="51">
        <v>2.5975892132844471</v>
      </c>
      <c r="G3612" s="51" t="str">
        <v>鈴木 2022/09/25 (日)
休日午後</v>
      </c>
    </row>
    <row r="3613" spans="1:7" ht="16.149999999999999" x14ac:dyDescent="0.7">
      <c r="A3613" s="49">
        <v>44800.037198969905</v>
      </c>
      <c r="B3613" s="50" t="s">
        <v>126</v>
      </c>
      <c r="C3613" s="50" t="s">
        <v>481</v>
      </c>
      <c r="D3613" s="50" t="s">
        <v>259</v>
      </c>
      <c r="E3613" s="50">
        <v>0</v>
      </c>
      <c r="F3613" s="51">
        <v>0.42304358201830916</v>
      </c>
      <c r="G3613" s="51" t="str">
        <v>鈴木 2022/09/26 (月)
平日夜間</v>
      </c>
    </row>
    <row r="3614" spans="1:7" ht="16.149999999999999" x14ac:dyDescent="0.7">
      <c r="A3614" s="49">
        <v>44800.037198969905</v>
      </c>
      <c r="B3614" s="50" t="s">
        <v>126</v>
      </c>
      <c r="C3614" s="50" t="s">
        <v>482</v>
      </c>
      <c r="D3614" s="50" t="s">
        <v>259</v>
      </c>
      <c r="E3614" s="50">
        <v>0</v>
      </c>
      <c r="F3614" s="51">
        <v>0.39395076801612294</v>
      </c>
      <c r="G3614" s="51" t="str">
        <v>鈴木 2022/09/27 (火)
平日夜間</v>
      </c>
    </row>
    <row r="3615" spans="1:7" ht="16.149999999999999" x14ac:dyDescent="0.7">
      <c r="A3615" s="49">
        <v>44800.037198969905</v>
      </c>
      <c r="B3615" s="50" t="s">
        <v>126</v>
      </c>
      <c r="C3615" s="50" t="s">
        <v>483</v>
      </c>
      <c r="D3615" s="50" t="s">
        <v>259</v>
      </c>
      <c r="E3615" s="50">
        <v>0</v>
      </c>
      <c r="F3615" s="51">
        <v>0.15632189836801103</v>
      </c>
      <c r="G3615" s="51" t="str">
        <v>鈴木 2022/09/28 (水)
平日夜間</v>
      </c>
    </row>
    <row r="3616" spans="1:7" ht="16.149999999999999" x14ac:dyDescent="0.7">
      <c r="A3616" s="49">
        <v>44800.037198969905</v>
      </c>
      <c r="B3616" s="50" t="s">
        <v>126</v>
      </c>
      <c r="C3616" s="50" t="s">
        <v>484</v>
      </c>
      <c r="D3616" s="50" t="s">
        <v>259</v>
      </c>
      <c r="E3616" s="50">
        <v>0</v>
      </c>
      <c r="F3616" s="51">
        <v>0.55249604660824403</v>
      </c>
      <c r="G3616" s="51" t="str">
        <v>鈴木 2022/09/29 (木)
平日夜間</v>
      </c>
    </row>
    <row r="3617" spans="1:7" ht="16.149999999999999" x14ac:dyDescent="0.7">
      <c r="A3617" s="49">
        <v>44800.037198969905</v>
      </c>
      <c r="B3617" s="50" t="s">
        <v>126</v>
      </c>
      <c r="C3617" s="50" t="s">
        <v>485</v>
      </c>
      <c r="D3617" s="50" t="s">
        <v>259</v>
      </c>
      <c r="E3617" s="50">
        <v>-1</v>
      </c>
      <c r="F3617" s="51">
        <v>-0.62155475952513362</v>
      </c>
      <c r="G3617" s="51" t="str">
        <v>鈴木 2022/09/30 (金)
平日夜間</v>
      </c>
    </row>
    <row r="3618" spans="1:7" ht="16.149999999999999" x14ac:dyDescent="0.7">
      <c r="A3618" s="49">
        <v>44800.410918692127</v>
      </c>
      <c r="B3618" s="50" t="s">
        <v>2</v>
      </c>
      <c r="C3618" s="50" t="s">
        <v>446</v>
      </c>
      <c r="D3618" s="50" t="s">
        <v>259</v>
      </c>
      <c r="E3618" s="50">
        <v>0</v>
      </c>
      <c r="F3618" s="51">
        <v>0.73341748571526511</v>
      </c>
      <c r="G3618" s="51" t="str">
        <v>伊藤 2022/09/01 (木)
平日夜間</v>
      </c>
    </row>
    <row r="3619" spans="1:7" ht="16.149999999999999" x14ac:dyDescent="0.7">
      <c r="A3619" s="49">
        <v>44800.410918692127</v>
      </c>
      <c r="B3619" s="50" t="s">
        <v>2</v>
      </c>
      <c r="C3619" s="50" t="s">
        <v>447</v>
      </c>
      <c r="D3619" s="50" t="s">
        <v>259</v>
      </c>
      <c r="E3619" s="50">
        <v>-1</v>
      </c>
      <c r="F3619" s="51">
        <v>-0.37526798144628848</v>
      </c>
      <c r="G3619" s="51" t="str">
        <v>伊藤 2022/09/02 (金)
平日夜間</v>
      </c>
    </row>
    <row r="3620" spans="1:7" ht="16.149999999999999" x14ac:dyDescent="0.7">
      <c r="A3620" s="49">
        <v>44800.410918692127</v>
      </c>
      <c r="B3620" s="50" t="s">
        <v>2</v>
      </c>
      <c r="C3620" s="50" t="s">
        <v>448</v>
      </c>
      <c r="D3620" s="50" t="s">
        <v>263</v>
      </c>
      <c r="E3620" s="50">
        <v>-1</v>
      </c>
      <c r="F3620" s="51">
        <v>-0.18476772838708455</v>
      </c>
      <c r="G3620" s="51" t="str">
        <v>伊藤 2022/09/03 (土)
休日午前</v>
      </c>
    </row>
    <row r="3621" spans="1:7" ht="16.149999999999999" x14ac:dyDescent="0.7">
      <c r="A3621" s="49">
        <v>44800.410918692127</v>
      </c>
      <c r="B3621" s="50" t="s">
        <v>2</v>
      </c>
      <c r="C3621" s="50" t="s">
        <v>449</v>
      </c>
      <c r="D3621" s="50" t="s">
        <v>261</v>
      </c>
      <c r="E3621" s="50">
        <v>-1</v>
      </c>
      <c r="F3621" s="51">
        <v>-0.42344917507297608</v>
      </c>
      <c r="G3621" s="51" t="str">
        <v>伊藤 2022/09/03 (土)
休日午後</v>
      </c>
    </row>
    <row r="3622" spans="1:7" ht="16.149999999999999" x14ac:dyDescent="0.7">
      <c r="A3622" s="49">
        <v>44800.410918692127</v>
      </c>
      <c r="B3622" s="50" t="s">
        <v>2</v>
      </c>
      <c r="C3622" s="50" t="s">
        <v>450</v>
      </c>
      <c r="D3622" s="50" t="s">
        <v>263</v>
      </c>
      <c r="E3622" s="50">
        <v>-1</v>
      </c>
      <c r="F3622" s="51">
        <v>-0.88482244389935727</v>
      </c>
      <c r="G3622" s="51" t="str">
        <v>伊藤 2022/09/04 (日)
休日午前</v>
      </c>
    </row>
    <row r="3623" spans="1:7" ht="16.149999999999999" x14ac:dyDescent="0.7">
      <c r="A3623" s="49">
        <v>44800.410918692127</v>
      </c>
      <c r="B3623" s="50" t="s">
        <v>2</v>
      </c>
      <c r="C3623" s="50" t="s">
        <v>451</v>
      </c>
      <c r="D3623" s="50" t="s">
        <v>261</v>
      </c>
      <c r="E3623" s="50">
        <v>-1</v>
      </c>
      <c r="F3623" s="51">
        <v>-0.41143130125302996</v>
      </c>
      <c r="G3623" s="51" t="str">
        <v>伊藤 2022/09/04 (日)
休日午後</v>
      </c>
    </row>
    <row r="3624" spans="1:7" ht="16.149999999999999" x14ac:dyDescent="0.7">
      <c r="A3624" s="49">
        <v>44800.410918692127</v>
      </c>
      <c r="B3624" s="50" t="s">
        <v>2</v>
      </c>
      <c r="C3624" s="50" t="s">
        <v>452</v>
      </c>
      <c r="D3624" s="50" t="s">
        <v>259</v>
      </c>
      <c r="E3624" s="50">
        <v>0</v>
      </c>
      <c r="F3624" s="51">
        <v>0.57564474295400769</v>
      </c>
      <c r="G3624" s="51" t="str">
        <v>伊藤 2022/09/05 (月)
平日夜間</v>
      </c>
    </row>
    <row r="3625" spans="1:7" ht="16.149999999999999" x14ac:dyDescent="0.7">
      <c r="A3625" s="49">
        <v>44800.410918692127</v>
      </c>
      <c r="B3625" s="50" t="s">
        <v>2</v>
      </c>
      <c r="C3625" s="50" t="s">
        <v>453</v>
      </c>
      <c r="D3625" s="50" t="s">
        <v>259</v>
      </c>
      <c r="E3625" s="50">
        <v>0</v>
      </c>
      <c r="F3625" s="51">
        <v>4.679847417715699E-2</v>
      </c>
      <c r="G3625" s="51" t="str">
        <v>伊藤 2022/09/06 (火)
平日夜間</v>
      </c>
    </row>
    <row r="3626" spans="1:7" ht="16.149999999999999" x14ac:dyDescent="0.7">
      <c r="A3626" s="49">
        <v>44800.410918692127</v>
      </c>
      <c r="B3626" s="50" t="s">
        <v>2</v>
      </c>
      <c r="C3626" s="50" t="s">
        <v>454</v>
      </c>
      <c r="D3626" s="50" t="s">
        <v>259</v>
      </c>
      <c r="E3626" s="50">
        <v>0</v>
      </c>
      <c r="F3626" s="51">
        <v>0.24216421197659477</v>
      </c>
      <c r="G3626" s="51" t="str">
        <v>伊藤 2022/09/07 (水)
平日夜間</v>
      </c>
    </row>
    <row r="3627" spans="1:7" ht="16.149999999999999" x14ac:dyDescent="0.7">
      <c r="A3627" s="49">
        <v>44800.410918692127</v>
      </c>
      <c r="B3627" s="50" t="s">
        <v>2</v>
      </c>
      <c r="C3627" s="50" t="s">
        <v>455</v>
      </c>
      <c r="D3627" s="50" t="s">
        <v>259</v>
      </c>
      <c r="E3627" s="50">
        <v>0</v>
      </c>
      <c r="F3627" s="51">
        <v>2.4768851849999995E-2</v>
      </c>
      <c r="G3627" s="51" t="str">
        <v>伊藤 2022/09/08 (木)
平日夜間</v>
      </c>
    </row>
    <row r="3628" spans="1:7" ht="16.149999999999999" x14ac:dyDescent="0.7">
      <c r="A3628" s="49">
        <v>44800.410918692127</v>
      </c>
      <c r="B3628" s="50" t="s">
        <v>2</v>
      </c>
      <c r="C3628" s="50" t="s">
        <v>456</v>
      </c>
      <c r="D3628" s="50" t="s">
        <v>259</v>
      </c>
      <c r="E3628" s="50">
        <v>-1</v>
      </c>
      <c r="F3628" s="51">
        <v>-0.84937952591607235</v>
      </c>
      <c r="G3628" s="51" t="str">
        <v>伊藤 2022/09/09 (金)
平日夜間</v>
      </c>
    </row>
    <row r="3629" spans="1:7" ht="16.149999999999999" x14ac:dyDescent="0.7">
      <c r="A3629" s="49">
        <v>44800.410918692127</v>
      </c>
      <c r="B3629" s="50" t="s">
        <v>2</v>
      </c>
      <c r="C3629" s="50" t="s">
        <v>457</v>
      </c>
      <c r="D3629" s="50" t="s">
        <v>263</v>
      </c>
      <c r="E3629" s="50">
        <v>-1</v>
      </c>
      <c r="F3629" s="51">
        <v>-0.31642108496584509</v>
      </c>
      <c r="G3629" s="51" t="str">
        <v>伊藤 2022/09/10 (土)
休日午前</v>
      </c>
    </row>
    <row r="3630" spans="1:7" ht="16.149999999999999" x14ac:dyDescent="0.7">
      <c r="A3630" s="49">
        <v>44800.410918692127</v>
      </c>
      <c r="B3630" s="50" t="s">
        <v>2</v>
      </c>
      <c r="C3630" s="50" t="s">
        <v>458</v>
      </c>
      <c r="D3630" s="50" t="s">
        <v>261</v>
      </c>
      <c r="E3630" s="50">
        <v>-1</v>
      </c>
      <c r="F3630" s="51">
        <v>-0.86392895381528678</v>
      </c>
      <c r="G3630" s="51" t="str">
        <v>伊藤 2022/09/10 (土)
休日午後</v>
      </c>
    </row>
    <row r="3631" spans="1:7" ht="16.149999999999999" x14ac:dyDescent="0.7">
      <c r="A3631" s="49">
        <v>44800.410918692127</v>
      </c>
      <c r="B3631" s="50" t="s">
        <v>2</v>
      </c>
      <c r="C3631" s="50" t="s">
        <v>459</v>
      </c>
      <c r="D3631" s="50" t="s">
        <v>263</v>
      </c>
      <c r="E3631" s="50">
        <v>0</v>
      </c>
      <c r="F3631" s="51">
        <v>0.28184423039100071</v>
      </c>
      <c r="G3631" s="51" t="str">
        <v>伊藤 2022/09/11 (日)
休日午前</v>
      </c>
    </row>
    <row r="3632" spans="1:7" ht="16.149999999999999" x14ac:dyDescent="0.7">
      <c r="A3632" s="49">
        <v>44800.410918692127</v>
      </c>
      <c r="B3632" s="50" t="s">
        <v>2</v>
      </c>
      <c r="C3632" s="50" t="s">
        <v>460</v>
      </c>
      <c r="D3632" s="50" t="s">
        <v>261</v>
      </c>
      <c r="E3632" s="50">
        <v>0</v>
      </c>
      <c r="F3632" s="51">
        <v>0.65944060782624225</v>
      </c>
      <c r="G3632" s="51" t="str">
        <v>伊藤 2022/09/11 (日)
休日午後</v>
      </c>
    </row>
    <row r="3633" spans="1:7" ht="16.149999999999999" x14ac:dyDescent="0.7">
      <c r="A3633" s="49">
        <v>44800.410918692127</v>
      </c>
      <c r="B3633" s="50" t="s">
        <v>2</v>
      </c>
      <c r="C3633" s="50" t="s">
        <v>461</v>
      </c>
      <c r="D3633" s="50" t="s">
        <v>259</v>
      </c>
      <c r="E3633" s="50">
        <v>0</v>
      </c>
      <c r="F3633" s="51">
        <v>8.5170860042763419E-2</v>
      </c>
      <c r="G3633" s="51" t="str">
        <v>伊藤 2022/09/12 (月)
平日夜間</v>
      </c>
    </row>
    <row r="3634" spans="1:7" ht="16.149999999999999" x14ac:dyDescent="0.7">
      <c r="A3634" s="49">
        <v>44800.410918692127</v>
      </c>
      <c r="B3634" s="50" t="s">
        <v>2</v>
      </c>
      <c r="C3634" s="50" t="s">
        <v>462</v>
      </c>
      <c r="D3634" s="50" t="s">
        <v>259</v>
      </c>
      <c r="E3634" s="50">
        <v>0</v>
      </c>
      <c r="F3634" s="51">
        <v>0.7013672658072847</v>
      </c>
      <c r="G3634" s="51" t="str">
        <v>伊藤 2022/09/13 (火)
平日夜間</v>
      </c>
    </row>
    <row r="3635" spans="1:7" ht="16.149999999999999" x14ac:dyDescent="0.7">
      <c r="A3635" s="49">
        <v>44800.410918692127</v>
      </c>
      <c r="B3635" s="50" t="s">
        <v>2</v>
      </c>
      <c r="C3635" s="50" t="s">
        <v>463</v>
      </c>
      <c r="D3635" s="50" t="s">
        <v>259</v>
      </c>
      <c r="E3635" s="50">
        <v>0</v>
      </c>
      <c r="F3635" s="51">
        <v>0.99527232001757882</v>
      </c>
      <c r="G3635" s="51" t="str">
        <v>伊藤 2022/09/14 (水)
平日夜間</v>
      </c>
    </row>
    <row r="3636" spans="1:7" ht="16.149999999999999" x14ac:dyDescent="0.7">
      <c r="A3636" s="49">
        <v>44800.410918692127</v>
      </c>
      <c r="B3636" s="50" t="s">
        <v>2</v>
      </c>
      <c r="C3636" s="50" t="s">
        <v>464</v>
      </c>
      <c r="D3636" s="50" t="s">
        <v>259</v>
      </c>
      <c r="E3636" s="50">
        <v>0</v>
      </c>
      <c r="F3636" s="51">
        <v>0.7326539711975204</v>
      </c>
      <c r="G3636" s="51" t="str">
        <v>伊藤 2022/09/15 (木)
平日夜間</v>
      </c>
    </row>
    <row r="3637" spans="1:7" ht="16.149999999999999" x14ac:dyDescent="0.7">
      <c r="A3637" s="49">
        <v>44800.410918692127</v>
      </c>
      <c r="B3637" s="50" t="s">
        <v>2</v>
      </c>
      <c r="C3637" s="50" t="s">
        <v>465</v>
      </c>
      <c r="D3637" s="50" t="s">
        <v>259</v>
      </c>
      <c r="E3637" s="50">
        <v>-1</v>
      </c>
      <c r="F3637" s="51">
        <v>-0.84631068906114804</v>
      </c>
      <c r="G3637" s="51" t="str">
        <v>伊藤 2022/09/16 (金)
平日夜間</v>
      </c>
    </row>
    <row r="3638" spans="1:7" ht="16.149999999999999" x14ac:dyDescent="0.7">
      <c r="A3638" s="49">
        <v>44800.410918692127</v>
      </c>
      <c r="B3638" s="50" t="s">
        <v>2</v>
      </c>
      <c r="C3638" s="50" t="s">
        <v>466</v>
      </c>
      <c r="D3638" s="50" t="s">
        <v>263</v>
      </c>
      <c r="E3638" s="50">
        <v>-1</v>
      </c>
      <c r="F3638" s="51">
        <v>-0.20689924439656782</v>
      </c>
      <c r="G3638" s="51" t="str">
        <v>伊藤 2022/09/17 (土)
休日午前</v>
      </c>
    </row>
    <row r="3639" spans="1:7" ht="16.149999999999999" x14ac:dyDescent="0.7">
      <c r="A3639" s="49">
        <v>44800.410918692127</v>
      </c>
      <c r="B3639" s="50" t="s">
        <v>2</v>
      </c>
      <c r="C3639" s="50" t="s">
        <v>467</v>
      </c>
      <c r="D3639" s="50" t="s">
        <v>261</v>
      </c>
      <c r="E3639" s="50">
        <v>-1</v>
      </c>
      <c r="F3639" s="51">
        <v>-0.1192461190914258</v>
      </c>
      <c r="G3639" s="51" t="str">
        <v>伊藤 2022/09/17 (土)
休日午後</v>
      </c>
    </row>
    <row r="3640" spans="1:7" ht="16.149999999999999" x14ac:dyDescent="0.7">
      <c r="A3640" s="49">
        <v>44800.410918692127</v>
      </c>
      <c r="B3640" s="50" t="s">
        <v>2</v>
      </c>
      <c r="C3640" s="50" t="s">
        <v>468</v>
      </c>
      <c r="D3640" s="50" t="s">
        <v>263</v>
      </c>
      <c r="E3640" s="50">
        <v>0</v>
      </c>
      <c r="F3640" s="51">
        <v>0.98024282627844217</v>
      </c>
      <c r="G3640" s="51" t="str">
        <v>伊藤 2022/09/18 (日)
休日午前</v>
      </c>
    </row>
    <row r="3641" spans="1:7" ht="16.149999999999999" x14ac:dyDescent="0.7">
      <c r="A3641" s="49">
        <v>44800.410918692127</v>
      </c>
      <c r="B3641" s="50" t="s">
        <v>2</v>
      </c>
      <c r="C3641" s="50" t="s">
        <v>469</v>
      </c>
      <c r="D3641" s="50" t="s">
        <v>261</v>
      </c>
      <c r="E3641" s="50">
        <v>0</v>
      </c>
      <c r="F3641" s="51">
        <v>0.13113596760747859</v>
      </c>
      <c r="G3641" s="51" t="str">
        <v>伊藤 2022/09/18 (日)
休日午後</v>
      </c>
    </row>
    <row r="3642" spans="1:7" ht="16.149999999999999" x14ac:dyDescent="0.7">
      <c r="A3642" s="49">
        <v>44800.410918692127</v>
      </c>
      <c r="B3642" s="50" t="s">
        <v>2</v>
      </c>
      <c r="C3642" s="50" t="s">
        <v>470</v>
      </c>
      <c r="D3642" s="50" t="s">
        <v>263</v>
      </c>
      <c r="E3642" s="50">
        <v>0</v>
      </c>
      <c r="F3642" s="51">
        <v>0.40406402762847238</v>
      </c>
      <c r="G3642" s="51" t="str">
        <v>伊藤 2022/09/19 (月)
休日午前</v>
      </c>
    </row>
    <row r="3643" spans="1:7" ht="16.149999999999999" x14ac:dyDescent="0.7">
      <c r="A3643" s="49">
        <v>44800.410918692127</v>
      </c>
      <c r="B3643" s="50" t="s">
        <v>2</v>
      </c>
      <c r="C3643" s="50" t="s">
        <v>471</v>
      </c>
      <c r="D3643" s="50" t="s">
        <v>261</v>
      </c>
      <c r="E3643" s="50">
        <v>2</v>
      </c>
      <c r="F3643" s="51">
        <v>2.6317479495637999</v>
      </c>
      <c r="G3643" s="51" t="str">
        <v>伊藤 2022/09/19 (月)
休日午後</v>
      </c>
    </row>
    <row r="3644" spans="1:7" ht="16.149999999999999" x14ac:dyDescent="0.7">
      <c r="A3644" s="49">
        <v>44800.410918692127</v>
      </c>
      <c r="B3644" s="50" t="s">
        <v>2</v>
      </c>
      <c r="C3644" s="50" t="s">
        <v>472</v>
      </c>
      <c r="D3644" s="50" t="s">
        <v>259</v>
      </c>
      <c r="E3644" s="50">
        <v>0</v>
      </c>
      <c r="F3644" s="51">
        <v>0.66331630154670851</v>
      </c>
      <c r="G3644" s="51" t="str">
        <v>伊藤 2022/09/20 (火)
平日夜間</v>
      </c>
    </row>
    <row r="3645" spans="1:7" ht="16.149999999999999" x14ac:dyDescent="0.7">
      <c r="A3645" s="49">
        <v>44800.410918692127</v>
      </c>
      <c r="B3645" s="50" t="s">
        <v>2</v>
      </c>
      <c r="C3645" s="50" t="s">
        <v>473</v>
      </c>
      <c r="D3645" s="50" t="s">
        <v>259</v>
      </c>
      <c r="E3645" s="50">
        <v>0</v>
      </c>
      <c r="F3645" s="51">
        <v>0.28610971630288518</v>
      </c>
      <c r="G3645" s="51" t="str">
        <v>伊藤 2022/09/21 (水)
平日夜間</v>
      </c>
    </row>
    <row r="3646" spans="1:7" ht="16.149999999999999" x14ac:dyDescent="0.7">
      <c r="A3646" s="49">
        <v>44800.410918692127</v>
      </c>
      <c r="B3646" s="50" t="s">
        <v>2</v>
      </c>
      <c r="C3646" s="50" t="s">
        <v>474</v>
      </c>
      <c r="D3646" s="50" t="s">
        <v>259</v>
      </c>
      <c r="E3646" s="50">
        <v>0</v>
      </c>
      <c r="F3646" s="51">
        <v>0.66912368486126628</v>
      </c>
      <c r="G3646" s="51" t="str">
        <v>伊藤 2022/09/22 (木)
平日夜間</v>
      </c>
    </row>
    <row r="3647" spans="1:7" ht="16.149999999999999" x14ac:dyDescent="0.7">
      <c r="A3647" s="49">
        <v>44800.410918692127</v>
      </c>
      <c r="B3647" s="50" t="s">
        <v>2</v>
      </c>
      <c r="C3647" s="50" t="s">
        <v>475</v>
      </c>
      <c r="D3647" s="50" t="s">
        <v>263</v>
      </c>
      <c r="E3647" s="50">
        <v>0</v>
      </c>
      <c r="F3647" s="51">
        <v>0.27331479243417989</v>
      </c>
      <c r="G3647" s="51" t="str">
        <v>伊藤 2022/09/23 (金)
休日午前</v>
      </c>
    </row>
    <row r="3648" spans="1:7" ht="16.149999999999999" x14ac:dyDescent="0.7">
      <c r="A3648" s="49">
        <v>44800.410918692127</v>
      </c>
      <c r="B3648" s="50" t="s">
        <v>2</v>
      </c>
      <c r="C3648" s="50" t="s">
        <v>476</v>
      </c>
      <c r="D3648" s="50" t="s">
        <v>261</v>
      </c>
      <c r="E3648" s="50">
        <v>-1</v>
      </c>
      <c r="F3648" s="51">
        <v>-0.59948318814628365</v>
      </c>
      <c r="G3648" s="51" t="str">
        <v>伊藤 2022/09/23 (金)
休日午後</v>
      </c>
    </row>
    <row r="3649" spans="1:7" ht="16.149999999999999" x14ac:dyDescent="0.7">
      <c r="A3649" s="49">
        <v>44800.410918692127</v>
      </c>
      <c r="B3649" s="50" t="s">
        <v>2</v>
      </c>
      <c r="C3649" s="50" t="s">
        <v>477</v>
      </c>
      <c r="D3649" s="50" t="s">
        <v>263</v>
      </c>
      <c r="E3649" s="50">
        <v>-1</v>
      </c>
      <c r="F3649" s="51">
        <v>-0.7033781518388682</v>
      </c>
      <c r="G3649" s="51" t="str">
        <v>伊藤 2022/09/24 (土)
休日午前</v>
      </c>
    </row>
    <row r="3650" spans="1:7" ht="16.149999999999999" x14ac:dyDescent="0.7">
      <c r="A3650" s="49">
        <v>44800.410918692127</v>
      </c>
      <c r="B3650" s="50" t="s">
        <v>2</v>
      </c>
      <c r="C3650" s="50" t="s">
        <v>478</v>
      </c>
      <c r="D3650" s="50" t="s">
        <v>261</v>
      </c>
      <c r="E3650" s="50">
        <v>-1</v>
      </c>
      <c r="F3650" s="51">
        <v>-0.74168104712217287</v>
      </c>
      <c r="G3650" s="51" t="str">
        <v>伊藤 2022/09/24 (土)
休日午後</v>
      </c>
    </row>
    <row r="3651" spans="1:7" ht="16.149999999999999" x14ac:dyDescent="0.7">
      <c r="A3651" s="49">
        <v>44800.410918692127</v>
      </c>
      <c r="B3651" s="50" t="s">
        <v>2</v>
      </c>
      <c r="C3651" s="50" t="s">
        <v>479</v>
      </c>
      <c r="D3651" s="50" t="s">
        <v>263</v>
      </c>
      <c r="E3651" s="50">
        <v>0</v>
      </c>
      <c r="F3651" s="51">
        <v>0.19573631688691173</v>
      </c>
      <c r="G3651" s="51" t="str">
        <v>伊藤 2022/09/25 (日)
休日午前</v>
      </c>
    </row>
    <row r="3652" spans="1:7" ht="16.149999999999999" x14ac:dyDescent="0.7">
      <c r="A3652" s="49">
        <v>44800.410918692127</v>
      </c>
      <c r="B3652" s="50" t="s">
        <v>2</v>
      </c>
      <c r="C3652" s="50" t="s">
        <v>480</v>
      </c>
      <c r="D3652" s="50" t="s">
        <v>261</v>
      </c>
      <c r="E3652" s="50">
        <v>0</v>
      </c>
      <c r="F3652" s="51">
        <v>0.79472407479221219</v>
      </c>
      <c r="G3652" s="51" t="str">
        <v>伊藤 2022/09/25 (日)
休日午後</v>
      </c>
    </row>
    <row r="3653" spans="1:7" ht="16.149999999999999" x14ac:dyDescent="0.7">
      <c r="A3653" s="49">
        <v>44800.410918692127</v>
      </c>
      <c r="B3653" s="50" t="s">
        <v>2</v>
      </c>
      <c r="C3653" s="50" t="s">
        <v>481</v>
      </c>
      <c r="D3653" s="50" t="s">
        <v>259</v>
      </c>
      <c r="E3653" s="50">
        <v>0</v>
      </c>
      <c r="F3653" s="51">
        <v>0.97880447096097711</v>
      </c>
      <c r="G3653" s="51" t="str">
        <v>伊藤 2022/09/26 (月)
平日夜間</v>
      </c>
    </row>
    <row r="3654" spans="1:7" ht="16.149999999999999" x14ac:dyDescent="0.7">
      <c r="A3654" s="49">
        <v>44800.410918692127</v>
      </c>
      <c r="B3654" s="50" t="s">
        <v>2</v>
      </c>
      <c r="C3654" s="50" t="s">
        <v>482</v>
      </c>
      <c r="D3654" s="50" t="s">
        <v>259</v>
      </c>
      <c r="E3654" s="50">
        <v>0</v>
      </c>
      <c r="F3654" s="51">
        <v>0.80671071978105324</v>
      </c>
      <c r="G3654" s="51" t="str">
        <v>伊藤 2022/09/27 (火)
平日夜間</v>
      </c>
    </row>
    <row r="3655" spans="1:7" ht="16.149999999999999" x14ac:dyDescent="0.7">
      <c r="A3655" s="49">
        <v>44800.410918692127</v>
      </c>
      <c r="B3655" s="50" t="s">
        <v>2</v>
      </c>
      <c r="C3655" s="50" t="s">
        <v>483</v>
      </c>
      <c r="D3655" s="50" t="s">
        <v>259</v>
      </c>
      <c r="E3655" s="50">
        <v>0</v>
      </c>
      <c r="F3655" s="51">
        <v>0.4927933561590927</v>
      </c>
      <c r="G3655" s="51" t="str">
        <v>伊藤 2022/09/28 (水)
平日夜間</v>
      </c>
    </row>
    <row r="3656" spans="1:7" ht="16.149999999999999" x14ac:dyDescent="0.7">
      <c r="A3656" s="49">
        <v>44800.410918692127</v>
      </c>
      <c r="B3656" s="50" t="s">
        <v>2</v>
      </c>
      <c r="C3656" s="50" t="s">
        <v>484</v>
      </c>
      <c r="D3656" s="50" t="s">
        <v>259</v>
      </c>
      <c r="E3656" s="50">
        <v>1</v>
      </c>
      <c r="F3656" s="51">
        <v>1.445651741096758</v>
      </c>
      <c r="G3656" s="51" t="str">
        <v>伊藤 2022/09/29 (木)
平日夜間</v>
      </c>
    </row>
    <row r="3657" spans="1:7" ht="16.149999999999999" x14ac:dyDescent="0.7">
      <c r="A3657" s="49">
        <v>44800.410918692127</v>
      </c>
      <c r="B3657" s="50" t="s">
        <v>2</v>
      </c>
      <c r="C3657" s="50" t="s">
        <v>485</v>
      </c>
      <c r="D3657" s="50" t="s">
        <v>259</v>
      </c>
      <c r="E3657" s="50">
        <v>2</v>
      </c>
      <c r="F3657" s="51">
        <v>2.4291246393305941</v>
      </c>
      <c r="G3657" s="51" t="str">
        <v>伊藤 2022/09/30 (金)
平日夜間</v>
      </c>
    </row>
    <row r="3658" spans="1:7" ht="16.149999999999999" x14ac:dyDescent="0.7">
      <c r="A3658" s="49">
        <v>44800.754796261579</v>
      </c>
      <c r="B3658" s="50" t="s">
        <v>13</v>
      </c>
      <c r="C3658" s="50" t="s">
        <v>446</v>
      </c>
      <c r="D3658" s="50" t="s">
        <v>259</v>
      </c>
      <c r="E3658" s="50">
        <v>0</v>
      </c>
      <c r="F3658" s="51">
        <v>8.8368481846055058E-2</v>
      </c>
      <c r="G3658" s="51" t="str">
        <v>新美 2022/09/01 (木)
平日夜間</v>
      </c>
    </row>
    <row r="3659" spans="1:7" ht="16.149999999999999" x14ac:dyDescent="0.7">
      <c r="A3659" s="49">
        <v>44800.754796261579</v>
      </c>
      <c r="B3659" s="50" t="s">
        <v>13</v>
      </c>
      <c r="C3659" s="50" t="s">
        <v>447</v>
      </c>
      <c r="D3659" s="50" t="s">
        <v>259</v>
      </c>
      <c r="E3659" s="50">
        <v>-1</v>
      </c>
      <c r="F3659" s="51">
        <v>-0.8717966033557154</v>
      </c>
      <c r="G3659" s="51" t="str">
        <v>新美 2022/09/02 (金)
平日夜間</v>
      </c>
    </row>
    <row r="3660" spans="1:7" ht="16.149999999999999" x14ac:dyDescent="0.7">
      <c r="A3660" s="49">
        <v>44800.754796261579</v>
      </c>
      <c r="B3660" s="50" t="s">
        <v>13</v>
      </c>
      <c r="C3660" s="50" t="s">
        <v>448</v>
      </c>
      <c r="D3660" s="50" t="s">
        <v>263</v>
      </c>
      <c r="E3660" s="50">
        <v>-1</v>
      </c>
      <c r="F3660" s="51">
        <v>-0.903202273633678</v>
      </c>
      <c r="G3660" s="51" t="str">
        <v>新美 2022/09/03 (土)
休日午前</v>
      </c>
    </row>
    <row r="3661" spans="1:7" ht="16.149999999999999" x14ac:dyDescent="0.7">
      <c r="A3661" s="49">
        <v>44800.754796261579</v>
      </c>
      <c r="B3661" s="50" t="s">
        <v>13</v>
      </c>
      <c r="C3661" s="50" t="s">
        <v>449</v>
      </c>
      <c r="D3661" s="50" t="s">
        <v>261</v>
      </c>
      <c r="E3661" s="50">
        <v>-1</v>
      </c>
      <c r="F3661" s="51">
        <v>-0.15342594651290042</v>
      </c>
      <c r="G3661" s="51" t="str">
        <v>新美 2022/09/03 (土)
休日午後</v>
      </c>
    </row>
    <row r="3662" spans="1:7" ht="16.149999999999999" x14ac:dyDescent="0.7">
      <c r="A3662" s="49">
        <v>44800.754796261579</v>
      </c>
      <c r="B3662" s="50" t="s">
        <v>13</v>
      </c>
      <c r="C3662" s="50" t="s">
        <v>450</v>
      </c>
      <c r="D3662" s="50" t="s">
        <v>263</v>
      </c>
      <c r="E3662" s="50">
        <v>-1</v>
      </c>
      <c r="F3662" s="51">
        <v>-0.58549038582075674</v>
      </c>
      <c r="G3662" s="51" t="str">
        <v>新美 2022/09/04 (日)
休日午前</v>
      </c>
    </row>
    <row r="3663" spans="1:7" ht="16.149999999999999" x14ac:dyDescent="0.7">
      <c r="A3663" s="49">
        <v>44800.754796261579</v>
      </c>
      <c r="B3663" s="50" t="s">
        <v>13</v>
      </c>
      <c r="C3663" s="50" t="s">
        <v>451</v>
      </c>
      <c r="D3663" s="50" t="s">
        <v>261</v>
      </c>
      <c r="E3663" s="50">
        <v>-1</v>
      </c>
      <c r="F3663" s="51">
        <v>-0.45550772837327957</v>
      </c>
      <c r="G3663" s="51" t="str">
        <v>新美 2022/09/04 (日)
休日午後</v>
      </c>
    </row>
    <row r="3664" spans="1:7" ht="16.149999999999999" x14ac:dyDescent="0.7">
      <c r="A3664" s="49">
        <v>44800.754796261579</v>
      </c>
      <c r="B3664" s="50" t="s">
        <v>13</v>
      </c>
      <c r="C3664" s="50" t="s">
        <v>452</v>
      </c>
      <c r="D3664" s="50" t="s">
        <v>259</v>
      </c>
      <c r="E3664" s="50">
        <v>-1</v>
      </c>
      <c r="F3664" s="51">
        <v>-0.68436924288874335</v>
      </c>
      <c r="G3664" s="51" t="str">
        <v>新美 2022/09/05 (月)
平日夜間</v>
      </c>
    </row>
    <row r="3665" spans="1:7" ht="16.149999999999999" x14ac:dyDescent="0.7">
      <c r="A3665" s="49">
        <v>44800.754796261579</v>
      </c>
      <c r="B3665" s="50" t="s">
        <v>13</v>
      </c>
      <c r="C3665" s="50" t="s">
        <v>453</v>
      </c>
      <c r="D3665" s="50" t="s">
        <v>259</v>
      </c>
      <c r="E3665" s="50">
        <v>-1</v>
      </c>
      <c r="F3665" s="51">
        <v>-0.32334715566044125</v>
      </c>
      <c r="G3665" s="51" t="str">
        <v>新美 2022/09/06 (火)
平日夜間</v>
      </c>
    </row>
    <row r="3666" spans="1:7" ht="16.149999999999999" x14ac:dyDescent="0.7">
      <c r="A3666" s="49">
        <v>44800.754796261579</v>
      </c>
      <c r="B3666" s="50" t="s">
        <v>13</v>
      </c>
      <c r="C3666" s="50" t="s">
        <v>454</v>
      </c>
      <c r="D3666" s="50" t="s">
        <v>259</v>
      </c>
      <c r="E3666" s="50">
        <v>-1</v>
      </c>
      <c r="F3666" s="51">
        <v>-0.8314404679349896</v>
      </c>
      <c r="G3666" s="51" t="str">
        <v>新美 2022/09/07 (水)
平日夜間</v>
      </c>
    </row>
    <row r="3667" spans="1:7" ht="16.149999999999999" x14ac:dyDescent="0.7">
      <c r="A3667" s="49">
        <v>44800.754796261579</v>
      </c>
      <c r="B3667" s="50" t="s">
        <v>13</v>
      </c>
      <c r="C3667" s="50" t="s">
        <v>455</v>
      </c>
      <c r="D3667" s="50" t="s">
        <v>259</v>
      </c>
      <c r="E3667" s="50">
        <v>0</v>
      </c>
      <c r="F3667" s="51">
        <v>5.7839457326702703E-2</v>
      </c>
      <c r="G3667" s="51" t="str">
        <v>新美 2022/09/08 (木)
平日夜間</v>
      </c>
    </row>
    <row r="3668" spans="1:7" ht="16.149999999999999" x14ac:dyDescent="0.7">
      <c r="A3668" s="49">
        <v>44800.754796261579</v>
      </c>
      <c r="B3668" s="50" t="s">
        <v>13</v>
      </c>
      <c r="C3668" s="50" t="s">
        <v>456</v>
      </c>
      <c r="D3668" s="50" t="s">
        <v>259</v>
      </c>
      <c r="E3668" s="50">
        <v>0</v>
      </c>
      <c r="F3668" s="51">
        <v>0.7177384581109536</v>
      </c>
      <c r="G3668" s="51" t="str">
        <v>新美 2022/09/09 (金)
平日夜間</v>
      </c>
    </row>
    <row r="3669" spans="1:7" ht="16.149999999999999" x14ac:dyDescent="0.7">
      <c r="A3669" s="49">
        <v>44800.754796261579</v>
      </c>
      <c r="B3669" s="50" t="s">
        <v>13</v>
      </c>
      <c r="C3669" s="50" t="s">
        <v>457</v>
      </c>
      <c r="D3669" s="50" t="s">
        <v>263</v>
      </c>
      <c r="E3669" s="50">
        <v>0</v>
      </c>
      <c r="F3669" s="51">
        <v>0.55183579968869467</v>
      </c>
      <c r="G3669" s="51" t="str">
        <v>新美 2022/09/10 (土)
休日午前</v>
      </c>
    </row>
    <row r="3670" spans="1:7" ht="16.149999999999999" x14ac:dyDescent="0.7">
      <c r="A3670" s="49">
        <v>44800.754796261579</v>
      </c>
      <c r="B3670" s="50" t="s">
        <v>13</v>
      </c>
      <c r="C3670" s="50" t="s">
        <v>458</v>
      </c>
      <c r="D3670" s="50" t="s">
        <v>261</v>
      </c>
      <c r="E3670" s="50">
        <v>0</v>
      </c>
      <c r="F3670" s="51">
        <v>0.37136023021914499</v>
      </c>
      <c r="G3670" s="51" t="str">
        <v>新美 2022/09/10 (土)
休日午後</v>
      </c>
    </row>
    <row r="3671" spans="1:7" ht="16.149999999999999" x14ac:dyDescent="0.7">
      <c r="A3671" s="49">
        <v>44800.754796261579</v>
      </c>
      <c r="B3671" s="50" t="s">
        <v>13</v>
      </c>
      <c r="C3671" s="50" t="s">
        <v>459</v>
      </c>
      <c r="D3671" s="50" t="s">
        <v>263</v>
      </c>
      <c r="E3671" s="50">
        <v>0</v>
      </c>
      <c r="F3671" s="51">
        <v>0.71135215661922269</v>
      </c>
      <c r="G3671" s="51" t="str">
        <v>新美 2022/09/11 (日)
休日午前</v>
      </c>
    </row>
    <row r="3672" spans="1:7" ht="16.149999999999999" x14ac:dyDescent="0.7">
      <c r="A3672" s="49">
        <v>44800.754796261579</v>
      </c>
      <c r="B3672" s="50" t="s">
        <v>13</v>
      </c>
      <c r="C3672" s="50" t="s">
        <v>460</v>
      </c>
      <c r="D3672" s="50" t="s">
        <v>261</v>
      </c>
      <c r="E3672" s="50">
        <v>0</v>
      </c>
      <c r="F3672" s="51">
        <v>0.79920269808396593</v>
      </c>
      <c r="G3672" s="51" t="str">
        <v>新美 2022/09/11 (日)
休日午後</v>
      </c>
    </row>
    <row r="3673" spans="1:7" ht="16.149999999999999" x14ac:dyDescent="0.7">
      <c r="A3673" s="49">
        <v>44800.754796261579</v>
      </c>
      <c r="B3673" s="50" t="s">
        <v>13</v>
      </c>
      <c r="C3673" s="50" t="s">
        <v>461</v>
      </c>
      <c r="D3673" s="50" t="s">
        <v>259</v>
      </c>
      <c r="E3673" s="50">
        <v>0</v>
      </c>
      <c r="F3673" s="51">
        <v>0.71849045782687715</v>
      </c>
      <c r="G3673" s="51" t="str">
        <v>新美 2022/09/12 (月)
平日夜間</v>
      </c>
    </row>
    <row r="3674" spans="1:7" ht="16.149999999999999" x14ac:dyDescent="0.7">
      <c r="A3674" s="49">
        <v>44800.754796261579</v>
      </c>
      <c r="B3674" s="50" t="s">
        <v>13</v>
      </c>
      <c r="C3674" s="50" t="s">
        <v>462</v>
      </c>
      <c r="D3674" s="50" t="s">
        <v>259</v>
      </c>
      <c r="E3674" s="50">
        <v>0</v>
      </c>
      <c r="F3674" s="51">
        <v>0.12771229249401683</v>
      </c>
      <c r="G3674" s="51" t="str">
        <v>新美 2022/09/13 (火)
平日夜間</v>
      </c>
    </row>
    <row r="3675" spans="1:7" ht="16.149999999999999" x14ac:dyDescent="0.7">
      <c r="A3675" s="49">
        <v>44800.754796261579</v>
      </c>
      <c r="B3675" s="50" t="s">
        <v>13</v>
      </c>
      <c r="C3675" s="50" t="s">
        <v>463</v>
      </c>
      <c r="D3675" s="50" t="s">
        <v>259</v>
      </c>
      <c r="E3675" s="50">
        <v>-1</v>
      </c>
      <c r="F3675" s="51">
        <v>-0.20103068843634575</v>
      </c>
      <c r="G3675" s="51" t="str">
        <v>新美 2022/09/14 (水)
平日夜間</v>
      </c>
    </row>
    <row r="3676" spans="1:7" ht="16.149999999999999" x14ac:dyDescent="0.7">
      <c r="A3676" s="49">
        <v>44800.754796261579</v>
      </c>
      <c r="B3676" s="50" t="s">
        <v>13</v>
      </c>
      <c r="C3676" s="50" t="s">
        <v>464</v>
      </c>
      <c r="D3676" s="50" t="s">
        <v>259</v>
      </c>
      <c r="E3676" s="50">
        <v>0</v>
      </c>
      <c r="F3676" s="51">
        <v>0.47400946420447809</v>
      </c>
      <c r="G3676" s="51" t="str">
        <v>新美 2022/09/15 (木)
平日夜間</v>
      </c>
    </row>
    <row r="3677" spans="1:7" ht="16.149999999999999" x14ac:dyDescent="0.7">
      <c r="A3677" s="49">
        <v>44800.754796261579</v>
      </c>
      <c r="B3677" s="50" t="s">
        <v>13</v>
      </c>
      <c r="C3677" s="50" t="s">
        <v>465</v>
      </c>
      <c r="D3677" s="50" t="s">
        <v>259</v>
      </c>
      <c r="E3677" s="50">
        <v>0</v>
      </c>
      <c r="F3677" s="51">
        <v>7.3968249951804843E-2</v>
      </c>
      <c r="G3677" s="51" t="str">
        <v>新美 2022/09/16 (金)
平日夜間</v>
      </c>
    </row>
    <row r="3678" spans="1:7" ht="16.149999999999999" x14ac:dyDescent="0.7">
      <c r="A3678" s="49">
        <v>44800.754796261579</v>
      </c>
      <c r="B3678" s="50" t="s">
        <v>13</v>
      </c>
      <c r="C3678" s="50" t="s">
        <v>466</v>
      </c>
      <c r="D3678" s="50" t="s">
        <v>263</v>
      </c>
      <c r="E3678" s="50">
        <v>0</v>
      </c>
      <c r="F3678" s="51">
        <v>1.0172535282701789E-2</v>
      </c>
      <c r="G3678" s="51" t="str">
        <v>新美 2022/09/17 (土)
休日午前</v>
      </c>
    </row>
    <row r="3679" spans="1:7" ht="16.149999999999999" x14ac:dyDescent="0.7">
      <c r="A3679" s="49">
        <v>44800.754796261579</v>
      </c>
      <c r="B3679" s="50" t="s">
        <v>13</v>
      </c>
      <c r="C3679" s="50" t="s">
        <v>467</v>
      </c>
      <c r="D3679" s="50" t="s">
        <v>261</v>
      </c>
      <c r="E3679" s="50">
        <v>0</v>
      </c>
      <c r="F3679" s="51">
        <v>4.3702019038800888E-2</v>
      </c>
      <c r="G3679" s="51" t="str">
        <v>新美 2022/09/17 (土)
休日午後</v>
      </c>
    </row>
    <row r="3680" spans="1:7" ht="16.149999999999999" x14ac:dyDescent="0.7">
      <c r="A3680" s="49">
        <v>44800.754796261579</v>
      </c>
      <c r="B3680" s="50" t="s">
        <v>13</v>
      </c>
      <c r="C3680" s="50" t="s">
        <v>468</v>
      </c>
      <c r="D3680" s="50" t="s">
        <v>263</v>
      </c>
      <c r="E3680" s="50">
        <v>0</v>
      </c>
      <c r="F3680" s="51">
        <v>0.89998161038887692</v>
      </c>
      <c r="G3680" s="51" t="str">
        <v>新美 2022/09/18 (日)
休日午前</v>
      </c>
    </row>
    <row r="3681" spans="1:7" ht="16.149999999999999" x14ac:dyDescent="0.7">
      <c r="A3681" s="49">
        <v>44800.754796261579</v>
      </c>
      <c r="B3681" s="50" t="s">
        <v>13</v>
      </c>
      <c r="C3681" s="50" t="s">
        <v>469</v>
      </c>
      <c r="D3681" s="50" t="s">
        <v>261</v>
      </c>
      <c r="E3681" s="50">
        <v>0</v>
      </c>
      <c r="F3681" s="51">
        <v>0.21310196623483635</v>
      </c>
      <c r="G3681" s="51" t="str">
        <v>新美 2022/09/18 (日)
休日午後</v>
      </c>
    </row>
    <row r="3682" spans="1:7" ht="16.149999999999999" x14ac:dyDescent="0.7">
      <c r="A3682" s="49">
        <v>44800.754796261579</v>
      </c>
      <c r="B3682" s="50" t="s">
        <v>13</v>
      </c>
      <c r="C3682" s="50" t="s">
        <v>470</v>
      </c>
      <c r="D3682" s="50" t="s">
        <v>263</v>
      </c>
      <c r="E3682" s="50">
        <v>0</v>
      </c>
      <c r="F3682" s="51">
        <v>0.91600790368100871</v>
      </c>
      <c r="G3682" s="51" t="str">
        <v>新美 2022/09/19 (月)
休日午前</v>
      </c>
    </row>
    <row r="3683" spans="1:7" ht="16.149999999999999" x14ac:dyDescent="0.7">
      <c r="A3683" s="49">
        <v>44800.754796261579</v>
      </c>
      <c r="B3683" s="50" t="s">
        <v>13</v>
      </c>
      <c r="C3683" s="50" t="s">
        <v>471</v>
      </c>
      <c r="D3683" s="50" t="s">
        <v>261</v>
      </c>
      <c r="E3683" s="50">
        <v>0</v>
      </c>
      <c r="F3683" s="51">
        <v>0.51207213099019966</v>
      </c>
      <c r="G3683" s="51" t="str">
        <v>新美 2022/09/19 (月)
休日午後</v>
      </c>
    </row>
    <row r="3684" spans="1:7" ht="16.149999999999999" x14ac:dyDescent="0.7">
      <c r="A3684" s="49">
        <v>44800.754796261579</v>
      </c>
      <c r="B3684" s="50" t="s">
        <v>13</v>
      </c>
      <c r="C3684" s="50" t="s">
        <v>472</v>
      </c>
      <c r="D3684" s="50" t="s">
        <v>259</v>
      </c>
      <c r="E3684" s="50">
        <v>0</v>
      </c>
      <c r="F3684" s="51">
        <v>0.63527772379516834</v>
      </c>
      <c r="G3684" s="51" t="str">
        <v>新美 2022/09/20 (火)
平日夜間</v>
      </c>
    </row>
    <row r="3685" spans="1:7" ht="16.149999999999999" x14ac:dyDescent="0.7">
      <c r="A3685" s="49">
        <v>44800.754796261579</v>
      </c>
      <c r="B3685" s="50" t="s">
        <v>13</v>
      </c>
      <c r="C3685" s="50" t="s">
        <v>473</v>
      </c>
      <c r="D3685" s="50" t="s">
        <v>259</v>
      </c>
      <c r="E3685" s="50">
        <v>-1</v>
      </c>
      <c r="F3685" s="51">
        <v>-0.76565192906028368</v>
      </c>
      <c r="G3685" s="51" t="str">
        <v>新美 2022/09/21 (水)
平日夜間</v>
      </c>
    </row>
    <row r="3686" spans="1:7" ht="16.149999999999999" x14ac:dyDescent="0.7">
      <c r="A3686" s="49">
        <v>44800.754796261579</v>
      </c>
      <c r="B3686" s="50" t="s">
        <v>13</v>
      </c>
      <c r="C3686" s="50" t="s">
        <v>474</v>
      </c>
      <c r="D3686" s="50" t="s">
        <v>259</v>
      </c>
      <c r="E3686" s="50">
        <v>-1</v>
      </c>
      <c r="F3686" s="51">
        <v>-0.46845828681238455</v>
      </c>
      <c r="G3686" s="51" t="str">
        <v>新美 2022/09/22 (木)
平日夜間</v>
      </c>
    </row>
    <row r="3687" spans="1:7" ht="16.149999999999999" x14ac:dyDescent="0.7">
      <c r="A3687" s="49">
        <v>44800.754796261579</v>
      </c>
      <c r="B3687" s="50" t="s">
        <v>13</v>
      </c>
      <c r="C3687" s="50" t="s">
        <v>475</v>
      </c>
      <c r="D3687" s="50" t="s">
        <v>263</v>
      </c>
      <c r="E3687" s="50">
        <v>-1</v>
      </c>
      <c r="F3687" s="51">
        <v>-0.49434647586899683</v>
      </c>
      <c r="G3687" s="51" t="str">
        <v>新美 2022/09/23 (金)
休日午前</v>
      </c>
    </row>
    <row r="3688" spans="1:7" ht="16.149999999999999" x14ac:dyDescent="0.7">
      <c r="A3688" s="49">
        <v>44800.754796261579</v>
      </c>
      <c r="B3688" s="50" t="s">
        <v>13</v>
      </c>
      <c r="C3688" s="50" t="s">
        <v>476</v>
      </c>
      <c r="D3688" s="50" t="s">
        <v>261</v>
      </c>
      <c r="E3688" s="50">
        <v>-1</v>
      </c>
      <c r="F3688" s="51">
        <v>-0.11723483697735304</v>
      </c>
      <c r="G3688" s="51" t="str">
        <v>新美 2022/09/23 (金)
休日午後</v>
      </c>
    </row>
    <row r="3689" spans="1:7" ht="16.149999999999999" x14ac:dyDescent="0.7">
      <c r="A3689" s="49">
        <v>44800.754796261579</v>
      </c>
      <c r="B3689" s="50" t="s">
        <v>13</v>
      </c>
      <c r="C3689" s="50" t="s">
        <v>477</v>
      </c>
      <c r="D3689" s="50" t="s">
        <v>263</v>
      </c>
      <c r="E3689" s="50">
        <v>-1</v>
      </c>
      <c r="F3689" s="51">
        <v>-0.11403292312585633</v>
      </c>
      <c r="G3689" s="51" t="str">
        <v>新美 2022/09/24 (土)
休日午前</v>
      </c>
    </row>
    <row r="3690" spans="1:7" ht="16.149999999999999" x14ac:dyDescent="0.7">
      <c r="A3690" s="49">
        <v>44800.754796261579</v>
      </c>
      <c r="B3690" s="50" t="s">
        <v>13</v>
      </c>
      <c r="C3690" s="50" t="s">
        <v>478</v>
      </c>
      <c r="D3690" s="50" t="s">
        <v>261</v>
      </c>
      <c r="E3690" s="50">
        <v>-1</v>
      </c>
      <c r="F3690" s="51">
        <v>-0.9648282480423136</v>
      </c>
      <c r="G3690" s="51" t="str">
        <v>新美 2022/09/24 (土)
休日午後</v>
      </c>
    </row>
    <row r="3691" spans="1:7" ht="16.149999999999999" x14ac:dyDescent="0.7">
      <c r="A3691" s="49">
        <v>44800.754796261579</v>
      </c>
      <c r="B3691" s="50" t="s">
        <v>13</v>
      </c>
      <c r="C3691" s="50" t="s">
        <v>479</v>
      </c>
      <c r="D3691" s="50" t="s">
        <v>263</v>
      </c>
      <c r="E3691" s="50">
        <v>0</v>
      </c>
      <c r="F3691" s="51">
        <v>0.68668976613328758</v>
      </c>
      <c r="G3691" s="51" t="str">
        <v>新美 2022/09/25 (日)
休日午前</v>
      </c>
    </row>
    <row r="3692" spans="1:7" ht="16.149999999999999" x14ac:dyDescent="0.7">
      <c r="A3692" s="49">
        <v>44800.754796261579</v>
      </c>
      <c r="B3692" s="50" t="s">
        <v>13</v>
      </c>
      <c r="C3692" s="50" t="s">
        <v>480</v>
      </c>
      <c r="D3692" s="50" t="s">
        <v>261</v>
      </c>
      <c r="E3692" s="50">
        <v>0</v>
      </c>
      <c r="F3692" s="51">
        <v>0.8798131085657086</v>
      </c>
      <c r="G3692" s="51" t="str">
        <v>新美 2022/09/25 (日)
休日午後</v>
      </c>
    </row>
    <row r="3693" spans="1:7" ht="16.149999999999999" x14ac:dyDescent="0.7">
      <c r="A3693" s="49">
        <v>44800.754796261579</v>
      </c>
      <c r="B3693" s="50" t="s">
        <v>13</v>
      </c>
      <c r="C3693" s="50" t="s">
        <v>481</v>
      </c>
      <c r="D3693" s="50" t="s">
        <v>259</v>
      </c>
      <c r="E3693" s="50">
        <v>-1</v>
      </c>
      <c r="F3693" s="51">
        <v>-0.51729354756564905</v>
      </c>
      <c r="G3693" s="51" t="str">
        <v>新美 2022/09/26 (月)
平日夜間</v>
      </c>
    </row>
    <row r="3694" spans="1:7" ht="16.149999999999999" x14ac:dyDescent="0.7">
      <c r="A3694" s="49">
        <v>44800.754796261579</v>
      </c>
      <c r="B3694" s="50" t="s">
        <v>13</v>
      </c>
      <c r="C3694" s="50" t="s">
        <v>482</v>
      </c>
      <c r="D3694" s="50" t="s">
        <v>259</v>
      </c>
      <c r="E3694" s="50">
        <v>0</v>
      </c>
      <c r="F3694" s="51">
        <v>0.95200615055939486</v>
      </c>
      <c r="G3694" s="51" t="str">
        <v>新美 2022/09/27 (火)
平日夜間</v>
      </c>
    </row>
    <row r="3695" spans="1:7" ht="16.149999999999999" x14ac:dyDescent="0.7">
      <c r="A3695" s="49">
        <v>44800.754796261579</v>
      </c>
      <c r="B3695" s="50" t="s">
        <v>13</v>
      </c>
      <c r="C3695" s="50" t="s">
        <v>483</v>
      </c>
      <c r="D3695" s="50" t="s">
        <v>259</v>
      </c>
      <c r="E3695" s="50">
        <v>-1</v>
      </c>
      <c r="F3695" s="51">
        <v>-0.12476546682034773</v>
      </c>
      <c r="G3695" s="51" t="str">
        <v>新美 2022/09/28 (水)
平日夜間</v>
      </c>
    </row>
    <row r="3696" spans="1:7" ht="16.149999999999999" x14ac:dyDescent="0.7">
      <c r="A3696" s="49">
        <v>44800.754796261579</v>
      </c>
      <c r="B3696" s="50" t="s">
        <v>13</v>
      </c>
      <c r="C3696" s="50" t="s">
        <v>484</v>
      </c>
      <c r="D3696" s="50" t="s">
        <v>259</v>
      </c>
      <c r="E3696" s="50">
        <v>-1</v>
      </c>
      <c r="F3696" s="51">
        <v>-0.73997779881543657</v>
      </c>
      <c r="G3696" s="51" t="str">
        <v>新美 2022/09/29 (木)
平日夜間</v>
      </c>
    </row>
    <row r="3697" spans="1:7" ht="16.149999999999999" x14ac:dyDescent="0.7">
      <c r="A3697" s="49">
        <v>44800.754796261579</v>
      </c>
      <c r="B3697" s="50" t="s">
        <v>13</v>
      </c>
      <c r="C3697" s="50" t="s">
        <v>485</v>
      </c>
      <c r="D3697" s="50" t="s">
        <v>259</v>
      </c>
      <c r="E3697" s="50">
        <v>0</v>
      </c>
      <c r="F3697" s="51">
        <v>8.8744485823854191E-2</v>
      </c>
      <c r="G3697" s="51" t="str">
        <v>新美 2022/09/30 (金)
平日夜間</v>
      </c>
    </row>
    <row r="3698" spans="1:7" ht="16.149999999999999" x14ac:dyDescent="0.7">
      <c r="A3698" s="49">
        <v>44800.75554085648</v>
      </c>
      <c r="B3698" s="50" t="s">
        <v>29</v>
      </c>
      <c r="C3698" s="50" t="s">
        <v>446</v>
      </c>
      <c r="D3698" s="50" t="s">
        <v>259</v>
      </c>
      <c r="E3698" s="50">
        <v>0</v>
      </c>
      <c r="F3698" s="51">
        <v>0.66110710489079794</v>
      </c>
      <c r="G3698" s="51" t="str">
        <v>福里 2022/09/01 (木)
平日夜間</v>
      </c>
    </row>
    <row r="3699" spans="1:7" ht="16.149999999999999" x14ac:dyDescent="0.7">
      <c r="A3699" s="49">
        <v>44800.75554085648</v>
      </c>
      <c r="B3699" s="50" t="s">
        <v>29</v>
      </c>
      <c r="C3699" s="50" t="s">
        <v>447</v>
      </c>
      <c r="D3699" s="50" t="s">
        <v>259</v>
      </c>
      <c r="E3699" s="50">
        <v>-1</v>
      </c>
      <c r="F3699" s="51">
        <v>-0.34647406101991196</v>
      </c>
      <c r="G3699" s="51" t="str">
        <v>福里 2022/09/02 (金)
平日夜間</v>
      </c>
    </row>
    <row r="3700" spans="1:7" ht="16.149999999999999" x14ac:dyDescent="0.7">
      <c r="A3700" s="49">
        <v>44800.75554085648</v>
      </c>
      <c r="B3700" s="50" t="s">
        <v>29</v>
      </c>
      <c r="C3700" s="50" t="s">
        <v>448</v>
      </c>
      <c r="D3700" s="50" t="s">
        <v>263</v>
      </c>
      <c r="E3700" s="50">
        <v>0</v>
      </c>
      <c r="F3700" s="51">
        <v>0.79016253549202964</v>
      </c>
      <c r="G3700" s="51" t="str">
        <v>福里 2022/09/03 (土)
休日午前</v>
      </c>
    </row>
    <row r="3701" spans="1:7" ht="16.149999999999999" x14ac:dyDescent="0.7">
      <c r="A3701" s="49">
        <v>44800.75554085648</v>
      </c>
      <c r="B3701" s="50" t="s">
        <v>29</v>
      </c>
      <c r="C3701" s="50" t="s">
        <v>449</v>
      </c>
      <c r="D3701" s="50" t="s">
        <v>261</v>
      </c>
      <c r="E3701" s="50">
        <v>-1</v>
      </c>
      <c r="F3701" s="51">
        <v>-0.94098742207613273</v>
      </c>
      <c r="G3701" s="51" t="str">
        <v>福里 2022/09/03 (土)
休日午後</v>
      </c>
    </row>
    <row r="3702" spans="1:7" ht="16.149999999999999" x14ac:dyDescent="0.7">
      <c r="A3702" s="49">
        <v>44800.75554085648</v>
      </c>
      <c r="B3702" s="50" t="s">
        <v>29</v>
      </c>
      <c r="C3702" s="50" t="s">
        <v>450</v>
      </c>
      <c r="D3702" s="50" t="s">
        <v>263</v>
      </c>
      <c r="E3702" s="50">
        <v>-1</v>
      </c>
      <c r="F3702" s="51">
        <v>-0.81053138253261614</v>
      </c>
      <c r="G3702" s="51" t="str">
        <v>福里 2022/09/04 (日)
休日午前</v>
      </c>
    </row>
    <row r="3703" spans="1:7" ht="16.149999999999999" x14ac:dyDescent="0.7">
      <c r="A3703" s="49">
        <v>44800.75554085648</v>
      </c>
      <c r="B3703" s="50" t="s">
        <v>29</v>
      </c>
      <c r="C3703" s="50" t="s">
        <v>451</v>
      </c>
      <c r="D3703" s="50" t="s">
        <v>261</v>
      </c>
      <c r="E3703" s="50">
        <v>-1</v>
      </c>
      <c r="F3703" s="51">
        <v>-0.29337149322971379</v>
      </c>
      <c r="G3703" s="51" t="str">
        <v>福里 2022/09/04 (日)
休日午後</v>
      </c>
    </row>
    <row r="3704" spans="1:7" ht="16.149999999999999" x14ac:dyDescent="0.7">
      <c r="A3704" s="49">
        <v>44800.75554085648</v>
      </c>
      <c r="B3704" s="50" t="s">
        <v>29</v>
      </c>
      <c r="C3704" s="50" t="s">
        <v>452</v>
      </c>
      <c r="D3704" s="50" t="s">
        <v>259</v>
      </c>
      <c r="E3704" s="50">
        <v>0</v>
      </c>
      <c r="F3704" s="51">
        <v>0.9965763667050429</v>
      </c>
      <c r="G3704" s="51" t="str">
        <v>福里 2022/09/05 (月)
平日夜間</v>
      </c>
    </row>
    <row r="3705" spans="1:7" ht="16.149999999999999" x14ac:dyDescent="0.7">
      <c r="A3705" s="49">
        <v>44800.75554085648</v>
      </c>
      <c r="B3705" s="50" t="s">
        <v>29</v>
      </c>
      <c r="C3705" s="50" t="s">
        <v>453</v>
      </c>
      <c r="D3705" s="50" t="s">
        <v>259</v>
      </c>
      <c r="E3705" s="50">
        <v>0</v>
      </c>
      <c r="F3705" s="51">
        <v>0.98263057343083382</v>
      </c>
      <c r="G3705" s="51" t="str">
        <v>福里 2022/09/06 (火)
平日夜間</v>
      </c>
    </row>
    <row r="3706" spans="1:7" ht="16.149999999999999" x14ac:dyDescent="0.7">
      <c r="A3706" s="49">
        <v>44800.75554085648</v>
      </c>
      <c r="B3706" s="50" t="s">
        <v>29</v>
      </c>
      <c r="C3706" s="50" t="s">
        <v>454</v>
      </c>
      <c r="D3706" s="50" t="s">
        <v>259</v>
      </c>
      <c r="E3706" s="50">
        <v>0</v>
      </c>
      <c r="F3706" s="51">
        <v>0.713509284997631</v>
      </c>
      <c r="G3706" s="51" t="str">
        <v>福里 2022/09/07 (水)
平日夜間</v>
      </c>
    </row>
    <row r="3707" spans="1:7" ht="16.149999999999999" x14ac:dyDescent="0.7">
      <c r="A3707" s="49">
        <v>44800.75554085648</v>
      </c>
      <c r="B3707" s="50" t="s">
        <v>29</v>
      </c>
      <c r="C3707" s="50" t="s">
        <v>455</v>
      </c>
      <c r="D3707" s="50" t="s">
        <v>259</v>
      </c>
      <c r="E3707" s="50">
        <v>0</v>
      </c>
      <c r="F3707" s="51">
        <v>0.2008519760821077</v>
      </c>
      <c r="G3707" s="51" t="str">
        <v>福里 2022/09/08 (木)
平日夜間</v>
      </c>
    </row>
    <row r="3708" spans="1:7" ht="16.149999999999999" x14ac:dyDescent="0.7">
      <c r="A3708" s="49">
        <v>44800.75554085648</v>
      </c>
      <c r="B3708" s="50" t="s">
        <v>29</v>
      </c>
      <c r="C3708" s="50" t="s">
        <v>456</v>
      </c>
      <c r="D3708" s="50" t="s">
        <v>259</v>
      </c>
      <c r="E3708" s="50">
        <v>0</v>
      </c>
      <c r="F3708" s="51">
        <v>0.4213515436830495</v>
      </c>
      <c r="G3708" s="51" t="str">
        <v>福里 2022/09/09 (金)
平日夜間</v>
      </c>
    </row>
    <row r="3709" spans="1:7" ht="16.149999999999999" x14ac:dyDescent="0.7">
      <c r="A3709" s="49">
        <v>44800.75554085648</v>
      </c>
      <c r="B3709" s="50" t="s">
        <v>29</v>
      </c>
      <c r="C3709" s="50" t="s">
        <v>457</v>
      </c>
      <c r="D3709" s="50" t="s">
        <v>263</v>
      </c>
      <c r="E3709" s="50">
        <v>-1</v>
      </c>
      <c r="F3709" s="51">
        <v>-0.3701245814862193</v>
      </c>
      <c r="G3709" s="51" t="str">
        <v>福里 2022/09/10 (土)
休日午前</v>
      </c>
    </row>
    <row r="3710" spans="1:7" ht="16.149999999999999" x14ac:dyDescent="0.7">
      <c r="A3710" s="49">
        <v>44800.75554085648</v>
      </c>
      <c r="B3710" s="50" t="s">
        <v>29</v>
      </c>
      <c r="C3710" s="50" t="s">
        <v>458</v>
      </c>
      <c r="D3710" s="50" t="s">
        <v>261</v>
      </c>
      <c r="E3710" s="50">
        <v>-1</v>
      </c>
      <c r="F3710" s="51">
        <v>-0.39714642580875781</v>
      </c>
      <c r="G3710" s="51" t="str">
        <v>福里 2022/09/10 (土)
休日午後</v>
      </c>
    </row>
    <row r="3711" spans="1:7" ht="16.149999999999999" x14ac:dyDescent="0.7">
      <c r="A3711" s="49">
        <v>44800.75554085648</v>
      </c>
      <c r="B3711" s="50" t="s">
        <v>29</v>
      </c>
      <c r="C3711" s="50" t="s">
        <v>459</v>
      </c>
      <c r="D3711" s="50" t="s">
        <v>263</v>
      </c>
      <c r="E3711" s="50">
        <v>-1</v>
      </c>
      <c r="F3711" s="51">
        <v>-0.88226721934780605</v>
      </c>
      <c r="G3711" s="51" t="str">
        <v>福里 2022/09/11 (日)
休日午前</v>
      </c>
    </row>
    <row r="3712" spans="1:7" ht="16.149999999999999" x14ac:dyDescent="0.7">
      <c r="A3712" s="49">
        <v>44800.75554085648</v>
      </c>
      <c r="B3712" s="50" t="s">
        <v>29</v>
      </c>
      <c r="C3712" s="50" t="s">
        <v>460</v>
      </c>
      <c r="D3712" s="50" t="s">
        <v>261</v>
      </c>
      <c r="E3712" s="50">
        <v>1</v>
      </c>
      <c r="F3712" s="51">
        <v>1.4921849935939742</v>
      </c>
      <c r="G3712" s="51" t="str">
        <v>福里 2022/09/11 (日)
休日午後</v>
      </c>
    </row>
    <row r="3713" spans="1:7" ht="16.149999999999999" x14ac:dyDescent="0.7">
      <c r="A3713" s="49">
        <v>44800.75554085648</v>
      </c>
      <c r="B3713" s="50" t="s">
        <v>29</v>
      </c>
      <c r="C3713" s="50" t="s">
        <v>461</v>
      </c>
      <c r="D3713" s="50" t="s">
        <v>259</v>
      </c>
      <c r="E3713" s="50">
        <v>-1</v>
      </c>
      <c r="F3713" s="51">
        <v>-0.16632500723084487</v>
      </c>
      <c r="G3713" s="51" t="str">
        <v>福里 2022/09/12 (月)
平日夜間</v>
      </c>
    </row>
    <row r="3714" spans="1:7" ht="16.149999999999999" x14ac:dyDescent="0.7">
      <c r="A3714" s="49">
        <v>44800.75554085648</v>
      </c>
      <c r="B3714" s="50" t="s">
        <v>29</v>
      </c>
      <c r="C3714" s="50" t="s">
        <v>462</v>
      </c>
      <c r="D3714" s="50" t="s">
        <v>259</v>
      </c>
      <c r="E3714" s="50">
        <v>0</v>
      </c>
      <c r="F3714" s="51">
        <v>0.41181382628674168</v>
      </c>
      <c r="G3714" s="51" t="str">
        <v>福里 2022/09/13 (火)
平日夜間</v>
      </c>
    </row>
    <row r="3715" spans="1:7" ht="16.149999999999999" x14ac:dyDescent="0.7">
      <c r="A3715" s="49">
        <v>44800.75554085648</v>
      </c>
      <c r="B3715" s="50" t="s">
        <v>29</v>
      </c>
      <c r="C3715" s="50" t="s">
        <v>463</v>
      </c>
      <c r="D3715" s="50" t="s">
        <v>259</v>
      </c>
      <c r="E3715" s="50">
        <v>0</v>
      </c>
      <c r="F3715" s="51">
        <v>6.6007098595162406E-2</v>
      </c>
      <c r="G3715" s="51" t="str">
        <v>福里 2022/09/14 (水)
平日夜間</v>
      </c>
    </row>
    <row r="3716" spans="1:7" ht="16.149999999999999" x14ac:dyDescent="0.7">
      <c r="A3716" s="49">
        <v>44800.75554085648</v>
      </c>
      <c r="B3716" s="50" t="s">
        <v>29</v>
      </c>
      <c r="C3716" s="50" t="s">
        <v>464</v>
      </c>
      <c r="D3716" s="50" t="s">
        <v>259</v>
      </c>
      <c r="E3716" s="50">
        <v>0</v>
      </c>
      <c r="F3716" s="51">
        <v>0.19716635902333146</v>
      </c>
      <c r="G3716" s="51" t="str">
        <v>福里 2022/09/15 (木)
平日夜間</v>
      </c>
    </row>
    <row r="3717" spans="1:7" ht="16.149999999999999" x14ac:dyDescent="0.7">
      <c r="A3717" s="49">
        <v>44800.75554085648</v>
      </c>
      <c r="B3717" s="50" t="s">
        <v>29</v>
      </c>
      <c r="C3717" s="50" t="s">
        <v>465</v>
      </c>
      <c r="D3717" s="50" t="s">
        <v>259</v>
      </c>
      <c r="E3717" s="50">
        <v>-1</v>
      </c>
      <c r="F3717" s="51">
        <v>-0.49782459341411012</v>
      </c>
      <c r="G3717" s="51" t="str">
        <v>福里 2022/09/16 (金)
平日夜間</v>
      </c>
    </row>
    <row r="3718" spans="1:7" ht="16.149999999999999" x14ac:dyDescent="0.7">
      <c r="A3718" s="49">
        <v>44800.75554085648</v>
      </c>
      <c r="B3718" s="50" t="s">
        <v>29</v>
      </c>
      <c r="C3718" s="50" t="s">
        <v>466</v>
      </c>
      <c r="D3718" s="50" t="s">
        <v>263</v>
      </c>
      <c r="E3718" s="50">
        <v>-1</v>
      </c>
      <c r="F3718" s="51">
        <v>-0.71891236816931769</v>
      </c>
      <c r="G3718" s="51" t="str">
        <v>福里 2022/09/17 (土)
休日午前</v>
      </c>
    </row>
    <row r="3719" spans="1:7" ht="16.149999999999999" x14ac:dyDescent="0.7">
      <c r="A3719" s="49">
        <v>44800.75554085648</v>
      </c>
      <c r="B3719" s="50" t="s">
        <v>29</v>
      </c>
      <c r="C3719" s="50" t="s">
        <v>467</v>
      </c>
      <c r="D3719" s="50" t="s">
        <v>261</v>
      </c>
      <c r="E3719" s="50">
        <v>-1</v>
      </c>
      <c r="F3719" s="51">
        <v>-7.5545886613900048E-2</v>
      </c>
      <c r="G3719" s="51" t="str">
        <v>福里 2022/09/17 (土)
休日午後</v>
      </c>
    </row>
    <row r="3720" spans="1:7" ht="16.149999999999999" x14ac:dyDescent="0.7">
      <c r="A3720" s="49">
        <v>44800.75554085648</v>
      </c>
      <c r="B3720" s="50" t="s">
        <v>29</v>
      </c>
      <c r="C3720" s="50" t="s">
        <v>468</v>
      </c>
      <c r="D3720" s="50" t="s">
        <v>263</v>
      </c>
      <c r="E3720" s="50">
        <v>-1</v>
      </c>
      <c r="F3720" s="51">
        <v>-0.18577379212882161</v>
      </c>
      <c r="G3720" s="51" t="str">
        <v>福里 2022/09/18 (日)
休日午前</v>
      </c>
    </row>
    <row r="3721" spans="1:7" ht="16.149999999999999" x14ac:dyDescent="0.7">
      <c r="A3721" s="49">
        <v>44800.75554085648</v>
      </c>
      <c r="B3721" s="50" t="s">
        <v>29</v>
      </c>
      <c r="C3721" s="50" t="s">
        <v>469</v>
      </c>
      <c r="D3721" s="50" t="s">
        <v>261</v>
      </c>
      <c r="E3721" s="50">
        <v>-1</v>
      </c>
      <c r="F3721" s="51">
        <v>-0.29257744096391103</v>
      </c>
      <c r="G3721" s="51" t="str">
        <v>福里 2022/09/18 (日)
休日午後</v>
      </c>
    </row>
    <row r="3722" spans="1:7" ht="16.149999999999999" x14ac:dyDescent="0.7">
      <c r="A3722" s="49">
        <v>44800.75554085648</v>
      </c>
      <c r="B3722" s="50" t="s">
        <v>29</v>
      </c>
      <c r="C3722" s="50" t="s">
        <v>470</v>
      </c>
      <c r="D3722" s="50" t="s">
        <v>263</v>
      </c>
      <c r="E3722" s="50">
        <v>-1</v>
      </c>
      <c r="F3722" s="51">
        <v>-0.46507013700898892</v>
      </c>
      <c r="G3722" s="51" t="str">
        <v>福里 2022/09/19 (月)
休日午前</v>
      </c>
    </row>
    <row r="3723" spans="1:7" ht="16.149999999999999" x14ac:dyDescent="0.7">
      <c r="A3723" s="49">
        <v>44800.75554085648</v>
      </c>
      <c r="B3723" s="50" t="s">
        <v>29</v>
      </c>
      <c r="C3723" s="50" t="s">
        <v>471</v>
      </c>
      <c r="D3723" s="50" t="s">
        <v>261</v>
      </c>
      <c r="E3723" s="50">
        <v>-1</v>
      </c>
      <c r="F3723" s="51">
        <v>-0.18230129185370636</v>
      </c>
      <c r="G3723" s="51" t="str">
        <v>福里 2022/09/19 (月)
休日午後</v>
      </c>
    </row>
    <row r="3724" spans="1:7" ht="16.149999999999999" x14ac:dyDescent="0.7">
      <c r="A3724" s="49">
        <v>44800.75554085648</v>
      </c>
      <c r="B3724" s="50" t="s">
        <v>29</v>
      </c>
      <c r="C3724" s="50" t="s">
        <v>472</v>
      </c>
      <c r="D3724" s="50" t="s">
        <v>259</v>
      </c>
      <c r="E3724" s="50">
        <v>0</v>
      </c>
      <c r="F3724" s="51">
        <v>0.24539034415704575</v>
      </c>
      <c r="G3724" s="51" t="str">
        <v>福里 2022/09/20 (火)
平日夜間</v>
      </c>
    </row>
    <row r="3725" spans="1:7" ht="16.149999999999999" x14ac:dyDescent="0.7">
      <c r="A3725" s="49">
        <v>44800.75554085648</v>
      </c>
      <c r="B3725" s="50" t="s">
        <v>29</v>
      </c>
      <c r="C3725" s="50" t="s">
        <v>473</v>
      </c>
      <c r="D3725" s="50" t="s">
        <v>259</v>
      </c>
      <c r="E3725" s="50">
        <v>0</v>
      </c>
      <c r="F3725" s="51">
        <v>0.30578382395284787</v>
      </c>
      <c r="G3725" s="51" t="str">
        <v>福里 2022/09/21 (水)
平日夜間</v>
      </c>
    </row>
    <row r="3726" spans="1:7" ht="16.149999999999999" x14ac:dyDescent="0.7">
      <c r="A3726" s="49">
        <v>44800.75554085648</v>
      </c>
      <c r="B3726" s="50" t="s">
        <v>29</v>
      </c>
      <c r="C3726" s="50" t="s">
        <v>474</v>
      </c>
      <c r="D3726" s="50" t="s">
        <v>259</v>
      </c>
      <c r="E3726" s="50">
        <v>0</v>
      </c>
      <c r="F3726" s="51">
        <v>0.40707982733219605</v>
      </c>
      <c r="G3726" s="51" t="str">
        <v>福里 2022/09/22 (木)
平日夜間</v>
      </c>
    </row>
    <row r="3727" spans="1:7" ht="16.149999999999999" x14ac:dyDescent="0.7">
      <c r="A3727" s="49">
        <v>44800.75554085648</v>
      </c>
      <c r="B3727" s="50" t="s">
        <v>29</v>
      </c>
      <c r="C3727" s="50" t="s">
        <v>475</v>
      </c>
      <c r="D3727" s="50" t="s">
        <v>263</v>
      </c>
      <c r="E3727" s="50">
        <v>-1</v>
      </c>
      <c r="F3727" s="51">
        <v>-0.93655881737499969</v>
      </c>
      <c r="G3727" s="51" t="str">
        <v>福里 2022/09/23 (金)
休日午前</v>
      </c>
    </row>
    <row r="3728" spans="1:7" ht="16.149999999999999" x14ac:dyDescent="0.7">
      <c r="A3728" s="49">
        <v>44800.75554085648</v>
      </c>
      <c r="B3728" s="50" t="s">
        <v>29</v>
      </c>
      <c r="C3728" s="50" t="s">
        <v>476</v>
      </c>
      <c r="D3728" s="50" t="s">
        <v>261</v>
      </c>
      <c r="E3728" s="50">
        <v>1</v>
      </c>
      <c r="F3728" s="51">
        <v>1.8485174929728678</v>
      </c>
      <c r="G3728" s="51" t="str">
        <v>福里 2022/09/23 (金)
休日午後</v>
      </c>
    </row>
    <row r="3729" spans="1:7" ht="16.149999999999999" x14ac:dyDescent="0.7">
      <c r="A3729" s="49">
        <v>44800.75554085648</v>
      </c>
      <c r="B3729" s="50" t="s">
        <v>29</v>
      </c>
      <c r="C3729" s="50" t="s">
        <v>477</v>
      </c>
      <c r="D3729" s="50" t="s">
        <v>263</v>
      </c>
      <c r="E3729" s="50">
        <v>-1</v>
      </c>
      <c r="F3729" s="51">
        <v>-0.19957995138622975</v>
      </c>
      <c r="G3729" s="51" t="str">
        <v>福里 2022/09/24 (土)
休日午前</v>
      </c>
    </row>
    <row r="3730" spans="1:7" ht="16.149999999999999" x14ac:dyDescent="0.7">
      <c r="A3730" s="49">
        <v>44800.75554085648</v>
      </c>
      <c r="B3730" s="50" t="s">
        <v>29</v>
      </c>
      <c r="C3730" s="50" t="s">
        <v>478</v>
      </c>
      <c r="D3730" s="50" t="s">
        <v>261</v>
      </c>
      <c r="E3730" s="50">
        <v>-1</v>
      </c>
      <c r="F3730" s="51">
        <v>-0.46101479410799118</v>
      </c>
      <c r="G3730" s="51" t="str">
        <v>福里 2022/09/24 (土)
休日午後</v>
      </c>
    </row>
    <row r="3731" spans="1:7" ht="16.149999999999999" x14ac:dyDescent="0.7">
      <c r="A3731" s="49">
        <v>44800.75554085648</v>
      </c>
      <c r="B3731" s="50" t="s">
        <v>29</v>
      </c>
      <c r="C3731" s="50" t="s">
        <v>479</v>
      </c>
      <c r="D3731" s="50" t="s">
        <v>263</v>
      </c>
      <c r="E3731" s="50">
        <v>-1</v>
      </c>
      <c r="F3731" s="51">
        <v>-5.8760796718012376E-2</v>
      </c>
      <c r="G3731" s="51" t="str">
        <v>福里 2022/09/25 (日)
休日午前</v>
      </c>
    </row>
    <row r="3732" spans="1:7" ht="16.149999999999999" x14ac:dyDescent="0.7">
      <c r="A3732" s="49">
        <v>44800.75554085648</v>
      </c>
      <c r="B3732" s="50" t="s">
        <v>29</v>
      </c>
      <c r="C3732" s="50" t="s">
        <v>480</v>
      </c>
      <c r="D3732" s="50" t="s">
        <v>261</v>
      </c>
      <c r="E3732" s="50">
        <v>-1</v>
      </c>
      <c r="F3732" s="51">
        <v>-6.3580836566652366E-3</v>
      </c>
      <c r="G3732" s="51" t="str">
        <v>福里 2022/09/25 (日)
休日午後</v>
      </c>
    </row>
    <row r="3733" spans="1:7" ht="16.149999999999999" x14ac:dyDescent="0.7">
      <c r="A3733" s="49">
        <v>44800.75554085648</v>
      </c>
      <c r="B3733" s="50" t="s">
        <v>29</v>
      </c>
      <c r="C3733" s="50" t="s">
        <v>481</v>
      </c>
      <c r="D3733" s="50" t="s">
        <v>259</v>
      </c>
      <c r="E3733" s="50">
        <v>-1</v>
      </c>
      <c r="F3733" s="51">
        <v>-8.6247813302273713E-2</v>
      </c>
      <c r="G3733" s="51" t="str">
        <v>福里 2022/09/26 (月)
平日夜間</v>
      </c>
    </row>
    <row r="3734" spans="1:7" ht="16.149999999999999" x14ac:dyDescent="0.7">
      <c r="A3734" s="49">
        <v>44800.75554085648</v>
      </c>
      <c r="B3734" s="50" t="s">
        <v>29</v>
      </c>
      <c r="C3734" s="50" t="s">
        <v>482</v>
      </c>
      <c r="D3734" s="50" t="s">
        <v>259</v>
      </c>
      <c r="E3734" s="50">
        <v>-1</v>
      </c>
      <c r="F3734" s="51">
        <v>-0.45063476492987276</v>
      </c>
      <c r="G3734" s="51" t="str">
        <v>福里 2022/09/27 (火)
平日夜間</v>
      </c>
    </row>
    <row r="3735" spans="1:7" ht="16.149999999999999" x14ac:dyDescent="0.7">
      <c r="A3735" s="49">
        <v>44800.75554085648</v>
      </c>
      <c r="B3735" s="50" t="s">
        <v>29</v>
      </c>
      <c r="C3735" s="50" t="s">
        <v>483</v>
      </c>
      <c r="D3735" s="50" t="s">
        <v>259</v>
      </c>
      <c r="E3735" s="50">
        <v>-1</v>
      </c>
      <c r="F3735" s="51">
        <v>-2.935581039392865E-2</v>
      </c>
      <c r="G3735" s="51" t="str">
        <v>福里 2022/09/28 (水)
平日夜間</v>
      </c>
    </row>
    <row r="3736" spans="1:7" ht="16.149999999999999" x14ac:dyDescent="0.7">
      <c r="A3736" s="49">
        <v>44800.75554085648</v>
      </c>
      <c r="B3736" s="50" t="s">
        <v>29</v>
      </c>
      <c r="C3736" s="50" t="s">
        <v>484</v>
      </c>
      <c r="D3736" s="50" t="s">
        <v>259</v>
      </c>
      <c r="E3736" s="50">
        <v>-1</v>
      </c>
      <c r="F3736" s="51">
        <v>-0.52413641798722033</v>
      </c>
      <c r="G3736" s="51" t="str">
        <v>福里 2022/09/29 (木)
平日夜間</v>
      </c>
    </row>
    <row r="3737" spans="1:7" ht="16.149999999999999" x14ac:dyDescent="0.7">
      <c r="A3737" s="49">
        <v>44800.75554085648</v>
      </c>
      <c r="B3737" s="50" t="s">
        <v>29</v>
      </c>
      <c r="C3737" s="50" t="s">
        <v>485</v>
      </c>
      <c r="D3737" s="50" t="s">
        <v>259</v>
      </c>
      <c r="E3737" s="50">
        <v>1</v>
      </c>
      <c r="F3737" s="51">
        <v>1.938541346190384</v>
      </c>
      <c r="G3737" s="51" t="str">
        <v>福里 2022/09/30 (金)
平日夜間</v>
      </c>
    </row>
    <row r="3738" spans="1:7" ht="16.149999999999999" x14ac:dyDescent="0.7">
      <c r="A3738" s="49">
        <v>44800.757370775464</v>
      </c>
      <c r="B3738" s="50" t="s">
        <v>17</v>
      </c>
      <c r="C3738" s="50" t="s">
        <v>446</v>
      </c>
      <c r="D3738" s="50" t="s">
        <v>259</v>
      </c>
      <c r="E3738" s="50">
        <v>-1</v>
      </c>
      <c r="F3738" s="51">
        <v>-0.17604729330366387</v>
      </c>
      <c r="G3738" s="51" t="str">
        <v>尾田 2022/09/01 (木)
平日夜間</v>
      </c>
    </row>
    <row r="3739" spans="1:7" ht="16.149999999999999" x14ac:dyDescent="0.7">
      <c r="A3739" s="49">
        <v>44800.757370775464</v>
      </c>
      <c r="B3739" s="50" t="s">
        <v>17</v>
      </c>
      <c r="C3739" s="50" t="s">
        <v>447</v>
      </c>
      <c r="D3739" s="50" t="s">
        <v>259</v>
      </c>
      <c r="E3739" s="50">
        <v>-1</v>
      </c>
      <c r="F3739" s="51">
        <v>-0.37887763393505569</v>
      </c>
      <c r="G3739" s="51" t="str">
        <v>尾田 2022/09/02 (金)
平日夜間</v>
      </c>
    </row>
    <row r="3740" spans="1:7" ht="16.149999999999999" x14ac:dyDescent="0.7">
      <c r="A3740" s="49">
        <v>44800.757370775464</v>
      </c>
      <c r="B3740" s="50" t="s">
        <v>17</v>
      </c>
      <c r="C3740" s="50" t="s">
        <v>448</v>
      </c>
      <c r="D3740" s="50" t="s">
        <v>263</v>
      </c>
      <c r="E3740" s="50">
        <v>-1</v>
      </c>
      <c r="F3740" s="51">
        <v>-0.58932922556608935</v>
      </c>
      <c r="G3740" s="51" t="str">
        <v>尾田 2022/09/03 (土)
休日午前</v>
      </c>
    </row>
    <row r="3741" spans="1:7" ht="16.149999999999999" x14ac:dyDescent="0.7">
      <c r="A3741" s="49">
        <v>44800.757370775464</v>
      </c>
      <c r="B3741" s="50" t="s">
        <v>17</v>
      </c>
      <c r="C3741" s="50" t="s">
        <v>449</v>
      </c>
      <c r="D3741" s="50" t="s">
        <v>261</v>
      </c>
      <c r="E3741" s="50">
        <v>-1</v>
      </c>
      <c r="F3741" s="51">
        <v>-4.7229883361770586E-2</v>
      </c>
      <c r="G3741" s="51" t="str">
        <v>尾田 2022/09/03 (土)
休日午後</v>
      </c>
    </row>
    <row r="3742" spans="1:7" ht="16.149999999999999" x14ac:dyDescent="0.7">
      <c r="A3742" s="49">
        <v>44800.757370775464</v>
      </c>
      <c r="B3742" s="50" t="s">
        <v>17</v>
      </c>
      <c r="C3742" s="50" t="s">
        <v>450</v>
      </c>
      <c r="D3742" s="50" t="s">
        <v>263</v>
      </c>
      <c r="E3742" s="50">
        <v>-1</v>
      </c>
      <c r="F3742" s="51">
        <v>-0.93073027792910046</v>
      </c>
      <c r="G3742" s="51" t="str">
        <v>尾田 2022/09/04 (日)
休日午前</v>
      </c>
    </row>
    <row r="3743" spans="1:7" ht="16.149999999999999" x14ac:dyDescent="0.7">
      <c r="A3743" s="49">
        <v>44800.757370775464</v>
      </c>
      <c r="B3743" s="50" t="s">
        <v>17</v>
      </c>
      <c r="C3743" s="50" t="s">
        <v>451</v>
      </c>
      <c r="D3743" s="50" t="s">
        <v>261</v>
      </c>
      <c r="E3743" s="50">
        <v>-1</v>
      </c>
      <c r="F3743" s="51">
        <v>-0.18478581920039749</v>
      </c>
      <c r="G3743" s="51" t="str">
        <v>尾田 2022/09/04 (日)
休日午後</v>
      </c>
    </row>
    <row r="3744" spans="1:7" ht="16.149999999999999" x14ac:dyDescent="0.7">
      <c r="A3744" s="49">
        <v>44800.757370775464</v>
      </c>
      <c r="B3744" s="50" t="s">
        <v>17</v>
      </c>
      <c r="C3744" s="50" t="s">
        <v>452</v>
      </c>
      <c r="D3744" s="50" t="s">
        <v>259</v>
      </c>
      <c r="E3744" s="50">
        <v>0</v>
      </c>
      <c r="F3744" s="51">
        <v>0.28804022479591262</v>
      </c>
      <c r="G3744" s="51" t="str">
        <v>尾田 2022/09/05 (月)
平日夜間</v>
      </c>
    </row>
    <row r="3745" spans="1:7" ht="16.149999999999999" x14ac:dyDescent="0.7">
      <c r="A3745" s="49">
        <v>44800.757370775464</v>
      </c>
      <c r="B3745" s="50" t="s">
        <v>17</v>
      </c>
      <c r="C3745" s="50" t="s">
        <v>453</v>
      </c>
      <c r="D3745" s="50" t="s">
        <v>259</v>
      </c>
      <c r="E3745" s="50">
        <v>0</v>
      </c>
      <c r="F3745" s="51">
        <v>0.16021128746654156</v>
      </c>
      <c r="G3745" s="51" t="str">
        <v>尾田 2022/09/06 (火)
平日夜間</v>
      </c>
    </row>
    <row r="3746" spans="1:7" ht="16.149999999999999" x14ac:dyDescent="0.7">
      <c r="A3746" s="49">
        <v>44800.757370775464</v>
      </c>
      <c r="B3746" s="50" t="s">
        <v>17</v>
      </c>
      <c r="C3746" s="50" t="s">
        <v>454</v>
      </c>
      <c r="D3746" s="50" t="s">
        <v>259</v>
      </c>
      <c r="E3746" s="50">
        <v>0</v>
      </c>
      <c r="F3746" s="51">
        <v>0.38198554584121869</v>
      </c>
      <c r="G3746" s="51" t="str">
        <v>尾田 2022/09/07 (水)
平日夜間</v>
      </c>
    </row>
    <row r="3747" spans="1:7" ht="16.149999999999999" x14ac:dyDescent="0.7">
      <c r="A3747" s="49">
        <v>44800.757370775464</v>
      </c>
      <c r="B3747" s="50" t="s">
        <v>17</v>
      </c>
      <c r="C3747" s="50" t="s">
        <v>455</v>
      </c>
      <c r="D3747" s="50" t="s">
        <v>259</v>
      </c>
      <c r="E3747" s="50">
        <v>-1</v>
      </c>
      <c r="F3747" s="51">
        <v>-0.48655142833890941</v>
      </c>
      <c r="G3747" s="51" t="str">
        <v>尾田 2022/09/08 (木)
平日夜間</v>
      </c>
    </row>
    <row r="3748" spans="1:7" ht="16.149999999999999" x14ac:dyDescent="0.7">
      <c r="A3748" s="49">
        <v>44800.757370775464</v>
      </c>
      <c r="B3748" s="50" t="s">
        <v>17</v>
      </c>
      <c r="C3748" s="50" t="s">
        <v>456</v>
      </c>
      <c r="D3748" s="50" t="s">
        <v>259</v>
      </c>
      <c r="E3748" s="50">
        <v>-1</v>
      </c>
      <c r="F3748" s="51">
        <v>-0.75487162337167524</v>
      </c>
      <c r="G3748" s="51" t="str">
        <v>尾田 2022/09/09 (金)
平日夜間</v>
      </c>
    </row>
    <row r="3749" spans="1:7" ht="16.149999999999999" x14ac:dyDescent="0.7">
      <c r="A3749" s="49">
        <v>44800.757370775464</v>
      </c>
      <c r="B3749" s="50" t="s">
        <v>17</v>
      </c>
      <c r="C3749" s="50" t="s">
        <v>457</v>
      </c>
      <c r="D3749" s="50" t="s">
        <v>263</v>
      </c>
      <c r="E3749" s="50">
        <v>-1</v>
      </c>
      <c r="F3749" s="51">
        <v>-0.45470592837616719</v>
      </c>
      <c r="G3749" s="51" t="str">
        <v>尾田 2022/09/10 (土)
休日午前</v>
      </c>
    </row>
    <row r="3750" spans="1:7" ht="16.149999999999999" x14ac:dyDescent="0.7">
      <c r="A3750" s="49">
        <v>44800.757370775464</v>
      </c>
      <c r="B3750" s="50" t="s">
        <v>17</v>
      </c>
      <c r="C3750" s="50" t="s">
        <v>458</v>
      </c>
      <c r="D3750" s="50" t="s">
        <v>261</v>
      </c>
      <c r="E3750" s="50">
        <v>-1</v>
      </c>
      <c r="F3750" s="51">
        <v>-1.2335146982651812E-2</v>
      </c>
      <c r="G3750" s="51" t="str">
        <v>尾田 2022/09/10 (土)
休日午後</v>
      </c>
    </row>
    <row r="3751" spans="1:7" ht="16.149999999999999" x14ac:dyDescent="0.7">
      <c r="A3751" s="49">
        <v>44800.757370775464</v>
      </c>
      <c r="B3751" s="50" t="s">
        <v>17</v>
      </c>
      <c r="C3751" s="50" t="s">
        <v>459</v>
      </c>
      <c r="D3751" s="50" t="s">
        <v>263</v>
      </c>
      <c r="E3751" s="50">
        <v>-1</v>
      </c>
      <c r="F3751" s="51">
        <v>-0.81162377844400235</v>
      </c>
      <c r="G3751" s="51" t="str">
        <v>尾田 2022/09/11 (日)
休日午前</v>
      </c>
    </row>
    <row r="3752" spans="1:7" ht="16.149999999999999" x14ac:dyDescent="0.7">
      <c r="A3752" s="49">
        <v>44800.757370775464</v>
      </c>
      <c r="B3752" s="50" t="s">
        <v>17</v>
      </c>
      <c r="C3752" s="50" t="s">
        <v>460</v>
      </c>
      <c r="D3752" s="50" t="s">
        <v>261</v>
      </c>
      <c r="E3752" s="50">
        <v>-1</v>
      </c>
      <c r="F3752" s="51">
        <v>-5.5460782190933644E-2</v>
      </c>
      <c r="G3752" s="51" t="str">
        <v>尾田 2022/09/11 (日)
休日午後</v>
      </c>
    </row>
    <row r="3753" spans="1:7" ht="16.149999999999999" x14ac:dyDescent="0.7">
      <c r="A3753" s="49">
        <v>44800.757370775464</v>
      </c>
      <c r="B3753" s="50" t="s">
        <v>17</v>
      </c>
      <c r="C3753" s="50" t="s">
        <v>461</v>
      </c>
      <c r="D3753" s="50" t="s">
        <v>259</v>
      </c>
      <c r="E3753" s="50">
        <v>0</v>
      </c>
      <c r="F3753" s="51">
        <v>0.35636253413176888</v>
      </c>
      <c r="G3753" s="51" t="str">
        <v>尾田 2022/09/12 (月)
平日夜間</v>
      </c>
    </row>
    <row r="3754" spans="1:7" ht="16.149999999999999" x14ac:dyDescent="0.7">
      <c r="A3754" s="49">
        <v>44800.757370775464</v>
      </c>
      <c r="B3754" s="50" t="s">
        <v>17</v>
      </c>
      <c r="C3754" s="50" t="s">
        <v>462</v>
      </c>
      <c r="D3754" s="50" t="s">
        <v>259</v>
      </c>
      <c r="E3754" s="50">
        <v>0</v>
      </c>
      <c r="F3754" s="51">
        <v>0.37049114153903262</v>
      </c>
      <c r="G3754" s="51" t="str">
        <v>尾田 2022/09/13 (火)
平日夜間</v>
      </c>
    </row>
    <row r="3755" spans="1:7" ht="16.149999999999999" x14ac:dyDescent="0.7">
      <c r="A3755" s="49">
        <v>44800.757370775464</v>
      </c>
      <c r="B3755" s="50" t="s">
        <v>17</v>
      </c>
      <c r="C3755" s="50" t="s">
        <v>463</v>
      </c>
      <c r="D3755" s="50" t="s">
        <v>259</v>
      </c>
      <c r="E3755" s="50">
        <v>0</v>
      </c>
      <c r="F3755" s="51">
        <v>6.0994510770386201E-2</v>
      </c>
      <c r="G3755" s="51" t="str">
        <v>尾田 2022/09/14 (水)
平日夜間</v>
      </c>
    </row>
    <row r="3756" spans="1:7" ht="16.149999999999999" x14ac:dyDescent="0.7">
      <c r="A3756" s="49">
        <v>44800.757370775464</v>
      </c>
      <c r="B3756" s="50" t="s">
        <v>17</v>
      </c>
      <c r="C3756" s="50" t="s">
        <v>464</v>
      </c>
      <c r="D3756" s="50" t="s">
        <v>259</v>
      </c>
      <c r="E3756" s="50">
        <v>-1</v>
      </c>
      <c r="F3756" s="51">
        <v>-0.14312260872669724</v>
      </c>
      <c r="G3756" s="51" t="str">
        <v>尾田 2022/09/15 (木)
平日夜間</v>
      </c>
    </row>
    <row r="3757" spans="1:7" ht="16.149999999999999" x14ac:dyDescent="0.7">
      <c r="A3757" s="49">
        <v>44800.757370775464</v>
      </c>
      <c r="B3757" s="50" t="s">
        <v>17</v>
      </c>
      <c r="C3757" s="50" t="s">
        <v>465</v>
      </c>
      <c r="D3757" s="50" t="s">
        <v>259</v>
      </c>
      <c r="E3757" s="50">
        <v>-1</v>
      </c>
      <c r="F3757" s="51">
        <v>-0.46732171037552983</v>
      </c>
      <c r="G3757" s="51" t="str">
        <v>尾田 2022/09/16 (金)
平日夜間</v>
      </c>
    </row>
    <row r="3758" spans="1:7" ht="16.149999999999999" x14ac:dyDescent="0.7">
      <c r="A3758" s="49">
        <v>44800.757370775464</v>
      </c>
      <c r="B3758" s="50" t="s">
        <v>17</v>
      </c>
      <c r="C3758" s="50" t="s">
        <v>466</v>
      </c>
      <c r="D3758" s="50" t="s">
        <v>263</v>
      </c>
      <c r="E3758" s="50">
        <v>-1</v>
      </c>
      <c r="F3758" s="51">
        <v>-0.17991572481530915</v>
      </c>
      <c r="G3758" s="51" t="str">
        <v>尾田 2022/09/17 (土)
休日午前</v>
      </c>
    </row>
    <row r="3759" spans="1:7" ht="16.149999999999999" x14ac:dyDescent="0.7">
      <c r="A3759" s="49">
        <v>44800.757370775464</v>
      </c>
      <c r="B3759" s="50" t="s">
        <v>17</v>
      </c>
      <c r="C3759" s="50" t="s">
        <v>467</v>
      </c>
      <c r="D3759" s="50" t="s">
        <v>261</v>
      </c>
      <c r="E3759" s="50">
        <v>-1</v>
      </c>
      <c r="F3759" s="51">
        <v>-8.1640875568778748E-2</v>
      </c>
      <c r="G3759" s="51" t="str">
        <v>尾田 2022/09/17 (土)
休日午後</v>
      </c>
    </row>
    <row r="3760" spans="1:7" ht="16.149999999999999" x14ac:dyDescent="0.7">
      <c r="A3760" s="49">
        <v>44800.757370775464</v>
      </c>
      <c r="B3760" s="50" t="s">
        <v>17</v>
      </c>
      <c r="C3760" s="50" t="s">
        <v>468</v>
      </c>
      <c r="D3760" s="50" t="s">
        <v>263</v>
      </c>
      <c r="E3760" s="50">
        <v>-1</v>
      </c>
      <c r="F3760" s="51">
        <v>-0.36338834834083333</v>
      </c>
      <c r="G3760" s="51" t="str">
        <v>尾田 2022/09/18 (日)
休日午前</v>
      </c>
    </row>
    <row r="3761" spans="1:7" ht="16.149999999999999" x14ac:dyDescent="0.7">
      <c r="A3761" s="49">
        <v>44800.757370775464</v>
      </c>
      <c r="B3761" s="50" t="s">
        <v>17</v>
      </c>
      <c r="C3761" s="50" t="s">
        <v>469</v>
      </c>
      <c r="D3761" s="50" t="s">
        <v>261</v>
      </c>
      <c r="E3761" s="50">
        <v>-1</v>
      </c>
      <c r="F3761" s="51">
        <v>-0.98171004033079567</v>
      </c>
      <c r="G3761" s="51" t="str">
        <v>尾田 2022/09/18 (日)
休日午後</v>
      </c>
    </row>
    <row r="3762" spans="1:7" ht="16.149999999999999" x14ac:dyDescent="0.7">
      <c r="A3762" s="49">
        <v>44800.757370775464</v>
      </c>
      <c r="B3762" s="50" t="s">
        <v>17</v>
      </c>
      <c r="C3762" s="50" t="s">
        <v>470</v>
      </c>
      <c r="D3762" s="50" t="s">
        <v>263</v>
      </c>
      <c r="E3762" s="50">
        <v>-1</v>
      </c>
      <c r="F3762" s="51">
        <v>-0.40137586024979321</v>
      </c>
      <c r="G3762" s="51" t="str">
        <v>尾田 2022/09/19 (月)
休日午前</v>
      </c>
    </row>
    <row r="3763" spans="1:7" ht="16.149999999999999" x14ac:dyDescent="0.7">
      <c r="A3763" s="49">
        <v>44800.757370775464</v>
      </c>
      <c r="B3763" s="50" t="s">
        <v>17</v>
      </c>
      <c r="C3763" s="50" t="s">
        <v>471</v>
      </c>
      <c r="D3763" s="50" t="s">
        <v>261</v>
      </c>
      <c r="E3763" s="50">
        <v>-1</v>
      </c>
      <c r="F3763" s="51">
        <v>-0.67231526298084843</v>
      </c>
      <c r="G3763" s="51" t="str">
        <v>尾田 2022/09/19 (月)
休日午後</v>
      </c>
    </row>
    <row r="3764" spans="1:7" ht="16.149999999999999" x14ac:dyDescent="0.7">
      <c r="A3764" s="49">
        <v>44800.757370775464</v>
      </c>
      <c r="B3764" s="50" t="s">
        <v>17</v>
      </c>
      <c r="C3764" s="50" t="s">
        <v>472</v>
      </c>
      <c r="D3764" s="50" t="s">
        <v>259</v>
      </c>
      <c r="E3764" s="50">
        <v>-1</v>
      </c>
      <c r="F3764" s="51">
        <v>-0.56132605924948176</v>
      </c>
      <c r="G3764" s="51" t="str">
        <v>尾田 2022/09/20 (火)
平日夜間</v>
      </c>
    </row>
    <row r="3765" spans="1:7" ht="16.149999999999999" x14ac:dyDescent="0.7">
      <c r="A3765" s="49">
        <v>44800.757370775464</v>
      </c>
      <c r="B3765" s="50" t="s">
        <v>17</v>
      </c>
      <c r="C3765" s="50" t="s">
        <v>473</v>
      </c>
      <c r="D3765" s="50" t="s">
        <v>259</v>
      </c>
      <c r="E3765" s="50">
        <v>0</v>
      </c>
      <c r="F3765" s="51">
        <v>0.24712635433473262</v>
      </c>
      <c r="G3765" s="51" t="str">
        <v>尾田 2022/09/21 (水)
平日夜間</v>
      </c>
    </row>
    <row r="3766" spans="1:7" ht="16.149999999999999" x14ac:dyDescent="0.7">
      <c r="A3766" s="49">
        <v>44800.757370775464</v>
      </c>
      <c r="B3766" s="50" t="s">
        <v>17</v>
      </c>
      <c r="C3766" s="50" t="s">
        <v>474</v>
      </c>
      <c r="D3766" s="50" t="s">
        <v>259</v>
      </c>
      <c r="E3766" s="50">
        <v>-1</v>
      </c>
      <c r="F3766" s="51">
        <v>-0.97390612511399643</v>
      </c>
      <c r="G3766" s="51" t="str">
        <v>尾田 2022/09/22 (木)
平日夜間</v>
      </c>
    </row>
    <row r="3767" spans="1:7" ht="16.149999999999999" x14ac:dyDescent="0.7">
      <c r="A3767" s="49">
        <v>44800.757370775464</v>
      </c>
      <c r="B3767" s="50" t="s">
        <v>17</v>
      </c>
      <c r="C3767" s="50" t="s">
        <v>475</v>
      </c>
      <c r="D3767" s="50" t="s">
        <v>263</v>
      </c>
      <c r="E3767" s="50">
        <v>-1</v>
      </c>
      <c r="F3767" s="51">
        <v>-0.60789163524793199</v>
      </c>
      <c r="G3767" s="51" t="str">
        <v>尾田 2022/09/23 (金)
休日午前</v>
      </c>
    </row>
    <row r="3768" spans="1:7" ht="16.149999999999999" x14ac:dyDescent="0.7">
      <c r="A3768" s="49">
        <v>44800.757370775464</v>
      </c>
      <c r="B3768" s="50" t="s">
        <v>17</v>
      </c>
      <c r="C3768" s="50" t="s">
        <v>476</v>
      </c>
      <c r="D3768" s="50" t="s">
        <v>261</v>
      </c>
      <c r="E3768" s="50">
        <v>-1</v>
      </c>
      <c r="F3768" s="51">
        <v>-0.85964962787498811</v>
      </c>
      <c r="G3768" s="51" t="str">
        <v>尾田 2022/09/23 (金)
休日午後</v>
      </c>
    </row>
    <row r="3769" spans="1:7" ht="16.149999999999999" x14ac:dyDescent="0.7">
      <c r="A3769" s="49">
        <v>44800.757370775464</v>
      </c>
      <c r="B3769" s="50" t="s">
        <v>17</v>
      </c>
      <c r="C3769" s="50" t="s">
        <v>477</v>
      </c>
      <c r="D3769" s="50" t="s">
        <v>263</v>
      </c>
      <c r="E3769" s="50">
        <v>-1</v>
      </c>
      <c r="F3769" s="51">
        <v>-9.0691961683684097E-2</v>
      </c>
      <c r="G3769" s="51" t="str">
        <v>尾田 2022/09/24 (土)
休日午前</v>
      </c>
    </row>
    <row r="3770" spans="1:7" ht="16.149999999999999" x14ac:dyDescent="0.7">
      <c r="A3770" s="49">
        <v>44800.757370775464</v>
      </c>
      <c r="B3770" s="50" t="s">
        <v>17</v>
      </c>
      <c r="C3770" s="50" t="s">
        <v>478</v>
      </c>
      <c r="D3770" s="50" t="s">
        <v>261</v>
      </c>
      <c r="E3770" s="50">
        <v>-1</v>
      </c>
      <c r="F3770" s="51">
        <v>-0.60456553934411406</v>
      </c>
      <c r="G3770" s="51" t="str">
        <v>尾田 2022/09/24 (土)
休日午後</v>
      </c>
    </row>
    <row r="3771" spans="1:7" ht="16.149999999999999" x14ac:dyDescent="0.7">
      <c r="A3771" s="49">
        <v>44800.757370775464</v>
      </c>
      <c r="B3771" s="50" t="s">
        <v>17</v>
      </c>
      <c r="C3771" s="50" t="s">
        <v>479</v>
      </c>
      <c r="D3771" s="50" t="s">
        <v>263</v>
      </c>
      <c r="E3771" s="50">
        <v>-1</v>
      </c>
      <c r="F3771" s="51">
        <v>-0.59718693283890056</v>
      </c>
      <c r="G3771" s="51" t="str">
        <v>尾田 2022/09/25 (日)
休日午前</v>
      </c>
    </row>
    <row r="3772" spans="1:7" ht="16.149999999999999" x14ac:dyDescent="0.7">
      <c r="A3772" s="49">
        <v>44800.757370775464</v>
      </c>
      <c r="B3772" s="50" t="s">
        <v>17</v>
      </c>
      <c r="C3772" s="50" t="s">
        <v>480</v>
      </c>
      <c r="D3772" s="50" t="s">
        <v>261</v>
      </c>
      <c r="E3772" s="50">
        <v>-1</v>
      </c>
      <c r="F3772" s="51">
        <v>-0.45715838259938435</v>
      </c>
      <c r="G3772" s="51" t="str">
        <v>尾田 2022/09/25 (日)
休日午後</v>
      </c>
    </row>
    <row r="3773" spans="1:7" ht="16.149999999999999" x14ac:dyDescent="0.7">
      <c r="A3773" s="49">
        <v>44800.757370775464</v>
      </c>
      <c r="B3773" s="50" t="s">
        <v>17</v>
      </c>
      <c r="C3773" s="50" t="s">
        <v>481</v>
      </c>
      <c r="D3773" s="50" t="s">
        <v>259</v>
      </c>
      <c r="E3773" s="50">
        <v>0</v>
      </c>
      <c r="F3773" s="51">
        <v>0.805212514379408</v>
      </c>
      <c r="G3773" s="51" t="str">
        <v>尾田 2022/09/26 (月)
平日夜間</v>
      </c>
    </row>
    <row r="3774" spans="1:7" ht="16.149999999999999" x14ac:dyDescent="0.7">
      <c r="A3774" s="49">
        <v>44800.757370775464</v>
      </c>
      <c r="B3774" s="50" t="s">
        <v>17</v>
      </c>
      <c r="C3774" s="50" t="s">
        <v>482</v>
      </c>
      <c r="D3774" s="50" t="s">
        <v>259</v>
      </c>
      <c r="E3774" s="50">
        <v>0</v>
      </c>
      <c r="F3774" s="51">
        <v>0.80104834296139482</v>
      </c>
      <c r="G3774" s="51" t="str">
        <v>尾田 2022/09/27 (火)
平日夜間</v>
      </c>
    </row>
    <row r="3775" spans="1:7" ht="16.149999999999999" x14ac:dyDescent="0.7">
      <c r="A3775" s="49">
        <v>44800.757370775464</v>
      </c>
      <c r="B3775" s="50" t="s">
        <v>17</v>
      </c>
      <c r="C3775" s="50" t="s">
        <v>483</v>
      </c>
      <c r="D3775" s="50" t="s">
        <v>259</v>
      </c>
      <c r="E3775" s="50">
        <v>0</v>
      </c>
      <c r="F3775" s="51">
        <v>0.60972519179105511</v>
      </c>
      <c r="G3775" s="51" t="str">
        <v>尾田 2022/09/28 (水)
平日夜間</v>
      </c>
    </row>
    <row r="3776" spans="1:7" ht="16.149999999999999" x14ac:dyDescent="0.7">
      <c r="A3776" s="49">
        <v>44800.757370775464</v>
      </c>
      <c r="B3776" s="50" t="s">
        <v>17</v>
      </c>
      <c r="C3776" s="50" t="s">
        <v>484</v>
      </c>
      <c r="D3776" s="50" t="s">
        <v>259</v>
      </c>
      <c r="E3776" s="50">
        <v>-1</v>
      </c>
      <c r="F3776" s="51">
        <v>-0.10540214739188603</v>
      </c>
      <c r="G3776" s="51" t="str">
        <v>尾田 2022/09/29 (木)
平日夜間</v>
      </c>
    </row>
    <row r="3777" spans="1:7" ht="16.149999999999999" x14ac:dyDescent="0.7">
      <c r="A3777" s="49">
        <v>44800.757370775464</v>
      </c>
      <c r="B3777" s="50" t="s">
        <v>17</v>
      </c>
      <c r="C3777" s="50" t="s">
        <v>485</v>
      </c>
      <c r="D3777" s="50" t="s">
        <v>259</v>
      </c>
      <c r="E3777" s="50">
        <v>-1</v>
      </c>
      <c r="F3777" s="51">
        <v>-0.98047655917265719</v>
      </c>
      <c r="G3777" s="51" t="str">
        <v>尾田 2022/09/30 (金)
平日夜間</v>
      </c>
    </row>
    <row r="3778" spans="1:7" ht="16.149999999999999" x14ac:dyDescent="0.7">
      <c r="A3778" s="49">
        <v>44800.760165949076</v>
      </c>
      <c r="B3778" s="50" t="s">
        <v>19</v>
      </c>
      <c r="C3778" s="50" t="s">
        <v>446</v>
      </c>
      <c r="D3778" s="50" t="s">
        <v>259</v>
      </c>
      <c r="E3778" s="50">
        <v>0</v>
      </c>
      <c r="F3778" s="51">
        <v>0.24119717188494971</v>
      </c>
      <c r="G3778" s="51" t="str">
        <v>佐藤 2022/09/01 (木)
平日夜間</v>
      </c>
    </row>
    <row r="3779" spans="1:7" ht="16.149999999999999" x14ac:dyDescent="0.7">
      <c r="A3779" s="49">
        <v>44800.760165949076</v>
      </c>
      <c r="B3779" s="50" t="s">
        <v>19</v>
      </c>
      <c r="C3779" s="50" t="s">
        <v>447</v>
      </c>
      <c r="D3779" s="50" t="s">
        <v>259</v>
      </c>
      <c r="E3779" s="50">
        <v>-1</v>
      </c>
      <c r="F3779" s="51">
        <v>-0.3672964935667935</v>
      </c>
      <c r="G3779" s="51" t="str">
        <v>佐藤 2022/09/02 (金)
平日夜間</v>
      </c>
    </row>
    <row r="3780" spans="1:7" ht="16.149999999999999" x14ac:dyDescent="0.7">
      <c r="A3780" s="49">
        <v>44800.760165949076</v>
      </c>
      <c r="B3780" s="50" t="s">
        <v>19</v>
      </c>
      <c r="C3780" s="50" t="s">
        <v>448</v>
      </c>
      <c r="D3780" s="50" t="s">
        <v>263</v>
      </c>
      <c r="E3780" s="50">
        <v>-1</v>
      </c>
      <c r="F3780" s="51">
        <v>-0.90978735155725987</v>
      </c>
      <c r="G3780" s="51" t="str">
        <v>佐藤 2022/09/03 (土)
休日午前</v>
      </c>
    </row>
    <row r="3781" spans="1:7" ht="16.149999999999999" x14ac:dyDescent="0.7">
      <c r="A3781" s="49">
        <v>44800.760165949076</v>
      </c>
      <c r="B3781" s="50" t="s">
        <v>19</v>
      </c>
      <c r="C3781" s="50" t="s">
        <v>449</v>
      </c>
      <c r="D3781" s="50" t="s">
        <v>261</v>
      </c>
      <c r="E3781" s="50">
        <v>-1</v>
      </c>
      <c r="F3781" s="51">
        <v>-6.0051766106201887E-2</v>
      </c>
      <c r="G3781" s="51" t="str">
        <v>佐藤 2022/09/03 (土)
休日午後</v>
      </c>
    </row>
    <row r="3782" spans="1:7" ht="16.149999999999999" x14ac:dyDescent="0.7">
      <c r="A3782" s="49">
        <v>44800.760165949076</v>
      </c>
      <c r="B3782" s="50" t="s">
        <v>19</v>
      </c>
      <c r="C3782" s="50" t="s">
        <v>450</v>
      </c>
      <c r="D3782" s="50" t="s">
        <v>263</v>
      </c>
      <c r="E3782" s="50">
        <v>-1</v>
      </c>
      <c r="F3782" s="51">
        <v>-0.19655976719799528</v>
      </c>
      <c r="G3782" s="51" t="str">
        <v>佐藤 2022/09/04 (日)
休日午前</v>
      </c>
    </row>
    <row r="3783" spans="1:7" ht="16.149999999999999" x14ac:dyDescent="0.7">
      <c r="A3783" s="49">
        <v>44800.760165949076</v>
      </c>
      <c r="B3783" s="50" t="s">
        <v>19</v>
      </c>
      <c r="C3783" s="50" t="s">
        <v>451</v>
      </c>
      <c r="D3783" s="50" t="s">
        <v>261</v>
      </c>
      <c r="E3783" s="50">
        <v>-1</v>
      </c>
      <c r="F3783" s="51">
        <v>-0.59855194585655025</v>
      </c>
      <c r="G3783" s="51" t="str">
        <v>佐藤 2022/09/04 (日)
休日午後</v>
      </c>
    </row>
    <row r="3784" spans="1:7" ht="16.149999999999999" x14ac:dyDescent="0.7">
      <c r="A3784" s="49">
        <v>44800.760165949076</v>
      </c>
      <c r="B3784" s="50" t="s">
        <v>19</v>
      </c>
      <c r="C3784" s="50" t="s">
        <v>452</v>
      </c>
      <c r="D3784" s="50" t="s">
        <v>259</v>
      </c>
      <c r="E3784" s="50">
        <v>-1</v>
      </c>
      <c r="F3784" s="51">
        <v>-0.71225847175407941</v>
      </c>
      <c r="G3784" s="51" t="str">
        <v>佐藤 2022/09/05 (月)
平日夜間</v>
      </c>
    </row>
    <row r="3785" spans="1:7" ht="16.149999999999999" x14ac:dyDescent="0.7">
      <c r="A3785" s="49">
        <v>44800.760165949076</v>
      </c>
      <c r="B3785" s="50" t="s">
        <v>19</v>
      </c>
      <c r="C3785" s="50" t="s">
        <v>453</v>
      </c>
      <c r="D3785" s="50" t="s">
        <v>259</v>
      </c>
      <c r="E3785" s="50">
        <v>-1</v>
      </c>
      <c r="F3785" s="51">
        <v>-0.51262696662106721</v>
      </c>
      <c r="G3785" s="51" t="str">
        <v>佐藤 2022/09/06 (火)
平日夜間</v>
      </c>
    </row>
    <row r="3786" spans="1:7" ht="16.149999999999999" x14ac:dyDescent="0.7">
      <c r="A3786" s="49">
        <v>44800.760165949076</v>
      </c>
      <c r="B3786" s="50" t="s">
        <v>19</v>
      </c>
      <c r="C3786" s="50" t="s">
        <v>454</v>
      </c>
      <c r="D3786" s="50" t="s">
        <v>259</v>
      </c>
      <c r="E3786" s="50">
        <v>-1</v>
      </c>
      <c r="F3786" s="51">
        <v>-0.58104641820404312</v>
      </c>
      <c r="G3786" s="51" t="str">
        <v>佐藤 2022/09/07 (水)
平日夜間</v>
      </c>
    </row>
    <row r="3787" spans="1:7" ht="16.149999999999999" x14ac:dyDescent="0.7">
      <c r="A3787" s="49">
        <v>44800.760165949076</v>
      </c>
      <c r="B3787" s="50" t="s">
        <v>19</v>
      </c>
      <c r="C3787" s="50" t="s">
        <v>455</v>
      </c>
      <c r="D3787" s="50" t="s">
        <v>259</v>
      </c>
      <c r="E3787" s="50">
        <v>0</v>
      </c>
      <c r="F3787" s="51">
        <v>0.66548642416031156</v>
      </c>
      <c r="G3787" s="51" t="str">
        <v>佐藤 2022/09/08 (木)
平日夜間</v>
      </c>
    </row>
    <row r="3788" spans="1:7" ht="16.149999999999999" x14ac:dyDescent="0.7">
      <c r="A3788" s="49">
        <v>44800.760165949076</v>
      </c>
      <c r="B3788" s="50" t="s">
        <v>19</v>
      </c>
      <c r="C3788" s="50" t="s">
        <v>456</v>
      </c>
      <c r="D3788" s="50" t="s">
        <v>259</v>
      </c>
      <c r="E3788" s="50">
        <v>-1</v>
      </c>
      <c r="F3788" s="51">
        <v>-4.408810023756593E-2</v>
      </c>
      <c r="G3788" s="51" t="str">
        <v>佐藤 2022/09/09 (金)
平日夜間</v>
      </c>
    </row>
    <row r="3789" spans="1:7" ht="16.149999999999999" x14ac:dyDescent="0.7">
      <c r="A3789" s="49">
        <v>44800.760165949076</v>
      </c>
      <c r="B3789" s="50" t="s">
        <v>19</v>
      </c>
      <c r="C3789" s="50" t="s">
        <v>457</v>
      </c>
      <c r="D3789" s="50" t="s">
        <v>263</v>
      </c>
      <c r="E3789" s="50">
        <v>1</v>
      </c>
      <c r="F3789" s="51">
        <v>1.908224906035167</v>
      </c>
      <c r="G3789" s="51" t="str">
        <v>佐藤 2022/09/10 (土)
休日午前</v>
      </c>
    </row>
    <row r="3790" spans="1:7" ht="16.149999999999999" x14ac:dyDescent="0.7">
      <c r="A3790" s="49">
        <v>44800.760165949076</v>
      </c>
      <c r="B3790" s="50" t="s">
        <v>19</v>
      </c>
      <c r="C3790" s="50" t="s">
        <v>458</v>
      </c>
      <c r="D3790" s="50" t="s">
        <v>261</v>
      </c>
      <c r="E3790" s="50">
        <v>0</v>
      </c>
      <c r="F3790" s="51">
        <v>0.56170339322861196</v>
      </c>
      <c r="G3790" s="51" t="str">
        <v>佐藤 2022/09/10 (土)
休日午後</v>
      </c>
    </row>
    <row r="3791" spans="1:7" ht="16.149999999999999" x14ac:dyDescent="0.7">
      <c r="A3791" s="49">
        <v>44800.760165949076</v>
      </c>
      <c r="B3791" s="50" t="s">
        <v>19</v>
      </c>
      <c r="C3791" s="50" t="s">
        <v>459</v>
      </c>
      <c r="D3791" s="50" t="s">
        <v>263</v>
      </c>
      <c r="E3791" s="50">
        <v>0</v>
      </c>
      <c r="F3791" s="51">
        <v>0.10925131884403916</v>
      </c>
      <c r="G3791" s="51" t="str">
        <v>佐藤 2022/09/11 (日)
休日午前</v>
      </c>
    </row>
    <row r="3792" spans="1:7" ht="16.149999999999999" x14ac:dyDescent="0.7">
      <c r="A3792" s="49">
        <v>44800.760165949076</v>
      </c>
      <c r="B3792" s="50" t="s">
        <v>19</v>
      </c>
      <c r="C3792" s="50" t="s">
        <v>460</v>
      </c>
      <c r="D3792" s="50" t="s">
        <v>261</v>
      </c>
      <c r="E3792" s="50">
        <v>0</v>
      </c>
      <c r="F3792" s="51">
        <v>0.42032754405033912</v>
      </c>
      <c r="G3792" s="51" t="str">
        <v>佐藤 2022/09/11 (日)
休日午後</v>
      </c>
    </row>
    <row r="3793" spans="1:7" ht="16.149999999999999" x14ac:dyDescent="0.7">
      <c r="A3793" s="49">
        <v>44800.760165949076</v>
      </c>
      <c r="B3793" s="50" t="s">
        <v>19</v>
      </c>
      <c r="C3793" s="50" t="s">
        <v>461</v>
      </c>
      <c r="D3793" s="50" t="s">
        <v>259</v>
      </c>
      <c r="E3793" s="50">
        <v>-1</v>
      </c>
      <c r="F3793" s="51">
        <v>-0.55098628875594247</v>
      </c>
      <c r="G3793" s="51" t="str">
        <v>佐藤 2022/09/12 (月)
平日夜間</v>
      </c>
    </row>
    <row r="3794" spans="1:7" ht="16.149999999999999" x14ac:dyDescent="0.7">
      <c r="A3794" s="49">
        <v>44800.760165949076</v>
      </c>
      <c r="B3794" s="50" t="s">
        <v>19</v>
      </c>
      <c r="C3794" s="50" t="s">
        <v>462</v>
      </c>
      <c r="D3794" s="50" t="s">
        <v>259</v>
      </c>
      <c r="E3794" s="50">
        <v>-1</v>
      </c>
      <c r="F3794" s="51">
        <v>-0.61644894101403036</v>
      </c>
      <c r="G3794" s="51" t="str">
        <v>佐藤 2022/09/13 (火)
平日夜間</v>
      </c>
    </row>
    <row r="3795" spans="1:7" ht="16.149999999999999" x14ac:dyDescent="0.7">
      <c r="A3795" s="49">
        <v>44800.760165949076</v>
      </c>
      <c r="B3795" s="50" t="s">
        <v>19</v>
      </c>
      <c r="C3795" s="50" t="s">
        <v>463</v>
      </c>
      <c r="D3795" s="50" t="s">
        <v>259</v>
      </c>
      <c r="E3795" s="50">
        <v>-1</v>
      </c>
      <c r="F3795" s="51">
        <v>-0.81039582179237768</v>
      </c>
      <c r="G3795" s="51" t="str">
        <v>佐藤 2022/09/14 (水)
平日夜間</v>
      </c>
    </row>
    <row r="3796" spans="1:7" ht="16.149999999999999" x14ac:dyDescent="0.7">
      <c r="A3796" s="49">
        <v>44800.760165949076</v>
      </c>
      <c r="B3796" s="50" t="s">
        <v>19</v>
      </c>
      <c r="C3796" s="50" t="s">
        <v>464</v>
      </c>
      <c r="D3796" s="50" t="s">
        <v>259</v>
      </c>
      <c r="E3796" s="50">
        <v>0</v>
      </c>
      <c r="F3796" s="51">
        <v>0.65863203729840381</v>
      </c>
      <c r="G3796" s="51" t="str">
        <v>佐藤 2022/09/15 (木)
平日夜間</v>
      </c>
    </row>
    <row r="3797" spans="1:7" ht="16.149999999999999" x14ac:dyDescent="0.7">
      <c r="A3797" s="49">
        <v>44800.760165949076</v>
      </c>
      <c r="B3797" s="50" t="s">
        <v>19</v>
      </c>
      <c r="C3797" s="50" t="s">
        <v>465</v>
      </c>
      <c r="D3797" s="50" t="s">
        <v>259</v>
      </c>
      <c r="E3797" s="50">
        <v>-1</v>
      </c>
      <c r="F3797" s="51">
        <v>-0.97979752847768498</v>
      </c>
      <c r="G3797" s="51" t="str">
        <v>佐藤 2022/09/16 (金)
平日夜間</v>
      </c>
    </row>
    <row r="3798" spans="1:7" ht="16.149999999999999" x14ac:dyDescent="0.7">
      <c r="A3798" s="49">
        <v>44800.760165949076</v>
      </c>
      <c r="B3798" s="50" t="s">
        <v>19</v>
      </c>
      <c r="C3798" s="50" t="s">
        <v>466</v>
      </c>
      <c r="D3798" s="50" t="s">
        <v>263</v>
      </c>
      <c r="E3798" s="50">
        <v>-1</v>
      </c>
      <c r="F3798" s="51">
        <v>-0.25583719312495967</v>
      </c>
      <c r="G3798" s="51" t="str">
        <v>佐藤 2022/09/17 (土)
休日午前</v>
      </c>
    </row>
    <row r="3799" spans="1:7" ht="16.149999999999999" x14ac:dyDescent="0.7">
      <c r="A3799" s="49">
        <v>44800.760165949076</v>
      </c>
      <c r="B3799" s="50" t="s">
        <v>19</v>
      </c>
      <c r="C3799" s="50" t="s">
        <v>467</v>
      </c>
      <c r="D3799" s="50" t="s">
        <v>261</v>
      </c>
      <c r="E3799" s="50">
        <v>-1</v>
      </c>
      <c r="F3799" s="51">
        <v>-0.87675408825475887</v>
      </c>
      <c r="G3799" s="51" t="str">
        <v>佐藤 2022/09/17 (土)
休日午後</v>
      </c>
    </row>
    <row r="3800" spans="1:7" ht="16.149999999999999" x14ac:dyDescent="0.7">
      <c r="A3800" s="49">
        <v>44800.760165949076</v>
      </c>
      <c r="B3800" s="50" t="s">
        <v>19</v>
      </c>
      <c r="C3800" s="50" t="s">
        <v>468</v>
      </c>
      <c r="D3800" s="50" t="s">
        <v>263</v>
      </c>
      <c r="E3800" s="50">
        <v>2</v>
      </c>
      <c r="F3800" s="51">
        <v>2.838347371467087</v>
      </c>
      <c r="G3800" s="51" t="str">
        <v>佐藤 2022/09/18 (日)
休日午前</v>
      </c>
    </row>
    <row r="3801" spans="1:7" ht="16.149999999999999" x14ac:dyDescent="0.7">
      <c r="A3801" s="49">
        <v>44800.760165949076</v>
      </c>
      <c r="B3801" s="50" t="s">
        <v>19</v>
      </c>
      <c r="C3801" s="50" t="s">
        <v>469</v>
      </c>
      <c r="D3801" s="50" t="s">
        <v>261</v>
      </c>
      <c r="E3801" s="50">
        <v>-1</v>
      </c>
      <c r="F3801" s="51">
        <v>-0.32447977084957946</v>
      </c>
      <c r="G3801" s="51" t="str">
        <v>佐藤 2022/09/18 (日)
休日午後</v>
      </c>
    </row>
    <row r="3802" spans="1:7" ht="16.149999999999999" x14ac:dyDescent="0.7">
      <c r="A3802" s="49">
        <v>44800.760165949076</v>
      </c>
      <c r="B3802" s="50" t="s">
        <v>19</v>
      </c>
      <c r="C3802" s="50" t="s">
        <v>470</v>
      </c>
      <c r="D3802" s="50" t="s">
        <v>263</v>
      </c>
      <c r="E3802" s="50">
        <v>-1</v>
      </c>
      <c r="F3802" s="51">
        <v>-0.95753461836246023</v>
      </c>
      <c r="G3802" s="51" t="str">
        <v>佐藤 2022/09/19 (月)
休日午前</v>
      </c>
    </row>
    <row r="3803" spans="1:7" ht="16.149999999999999" x14ac:dyDescent="0.7">
      <c r="A3803" s="49">
        <v>44800.760165949076</v>
      </c>
      <c r="B3803" s="50" t="s">
        <v>19</v>
      </c>
      <c r="C3803" s="50" t="s">
        <v>471</v>
      </c>
      <c r="D3803" s="50" t="s">
        <v>261</v>
      </c>
      <c r="E3803" s="50">
        <v>-1</v>
      </c>
      <c r="F3803" s="51">
        <v>-0.95959798414244513</v>
      </c>
      <c r="G3803" s="51" t="str">
        <v>佐藤 2022/09/19 (月)
休日午後</v>
      </c>
    </row>
    <row r="3804" spans="1:7" ht="16.149999999999999" x14ac:dyDescent="0.7">
      <c r="A3804" s="49">
        <v>44800.760165949076</v>
      </c>
      <c r="B3804" s="50" t="s">
        <v>19</v>
      </c>
      <c r="C3804" s="50" t="s">
        <v>472</v>
      </c>
      <c r="D3804" s="50" t="s">
        <v>259</v>
      </c>
      <c r="E3804" s="50">
        <v>0</v>
      </c>
      <c r="F3804" s="51">
        <v>0.35041074139791761</v>
      </c>
      <c r="G3804" s="51" t="str">
        <v>佐藤 2022/09/20 (火)
平日夜間</v>
      </c>
    </row>
    <row r="3805" spans="1:7" ht="16.149999999999999" x14ac:dyDescent="0.7">
      <c r="A3805" s="49">
        <v>44800.760165949076</v>
      </c>
      <c r="B3805" s="50" t="s">
        <v>19</v>
      </c>
      <c r="C3805" s="50" t="s">
        <v>473</v>
      </c>
      <c r="D3805" s="50" t="s">
        <v>259</v>
      </c>
      <c r="E3805" s="50">
        <v>0</v>
      </c>
      <c r="F3805" s="51">
        <v>0.13119154538185929</v>
      </c>
      <c r="G3805" s="51" t="str">
        <v>佐藤 2022/09/21 (水)
平日夜間</v>
      </c>
    </row>
    <row r="3806" spans="1:7" ht="16.149999999999999" x14ac:dyDescent="0.7">
      <c r="A3806" s="49">
        <v>44800.760165949076</v>
      </c>
      <c r="B3806" s="50" t="s">
        <v>19</v>
      </c>
      <c r="C3806" s="50" t="s">
        <v>474</v>
      </c>
      <c r="D3806" s="50" t="s">
        <v>259</v>
      </c>
      <c r="E3806" s="50">
        <v>-1</v>
      </c>
      <c r="F3806" s="51">
        <v>-0.95768780123486397</v>
      </c>
      <c r="G3806" s="51" t="str">
        <v>佐藤 2022/09/22 (木)
平日夜間</v>
      </c>
    </row>
    <row r="3807" spans="1:7" ht="16.149999999999999" x14ac:dyDescent="0.7">
      <c r="A3807" s="49">
        <v>44800.760165949076</v>
      </c>
      <c r="B3807" s="50" t="s">
        <v>19</v>
      </c>
      <c r="C3807" s="50" t="s">
        <v>475</v>
      </c>
      <c r="D3807" s="50" t="s">
        <v>263</v>
      </c>
      <c r="E3807" s="50">
        <v>-1</v>
      </c>
      <c r="F3807" s="51">
        <v>-0.80698429320122811</v>
      </c>
      <c r="G3807" s="51" t="str">
        <v>佐藤 2022/09/23 (金)
休日午前</v>
      </c>
    </row>
    <row r="3808" spans="1:7" ht="16.149999999999999" x14ac:dyDescent="0.7">
      <c r="A3808" s="49">
        <v>44800.760165949076</v>
      </c>
      <c r="B3808" s="50" t="s">
        <v>19</v>
      </c>
      <c r="C3808" s="50" t="s">
        <v>476</v>
      </c>
      <c r="D3808" s="50" t="s">
        <v>261</v>
      </c>
      <c r="E3808" s="50">
        <v>-1</v>
      </c>
      <c r="F3808" s="51">
        <v>-0.11412193185702302</v>
      </c>
      <c r="G3808" s="51" t="str">
        <v>佐藤 2022/09/23 (金)
休日午後</v>
      </c>
    </row>
    <row r="3809" spans="1:7" ht="16.149999999999999" x14ac:dyDescent="0.7">
      <c r="A3809" s="49">
        <v>44800.760165949076</v>
      </c>
      <c r="B3809" s="50" t="s">
        <v>19</v>
      </c>
      <c r="C3809" s="50" t="s">
        <v>477</v>
      </c>
      <c r="D3809" s="50" t="s">
        <v>263</v>
      </c>
      <c r="E3809" s="50">
        <v>-1</v>
      </c>
      <c r="F3809" s="51">
        <v>-0.17619943559580231</v>
      </c>
      <c r="G3809" s="51" t="str">
        <v>佐藤 2022/09/24 (土)
休日午前</v>
      </c>
    </row>
    <row r="3810" spans="1:7" ht="16.149999999999999" x14ac:dyDescent="0.7">
      <c r="A3810" s="49">
        <v>44800.760165949076</v>
      </c>
      <c r="B3810" s="50" t="s">
        <v>19</v>
      </c>
      <c r="C3810" s="50" t="s">
        <v>478</v>
      </c>
      <c r="D3810" s="50" t="s">
        <v>261</v>
      </c>
      <c r="E3810" s="50">
        <v>-1</v>
      </c>
      <c r="F3810" s="51">
        <v>-0.70716446877643069</v>
      </c>
      <c r="G3810" s="51" t="str">
        <v>佐藤 2022/09/24 (土)
休日午後</v>
      </c>
    </row>
    <row r="3811" spans="1:7" ht="16.149999999999999" x14ac:dyDescent="0.7">
      <c r="A3811" s="49">
        <v>44800.760165949076</v>
      </c>
      <c r="B3811" s="50" t="s">
        <v>19</v>
      </c>
      <c r="C3811" s="50" t="s">
        <v>479</v>
      </c>
      <c r="D3811" s="50" t="s">
        <v>263</v>
      </c>
      <c r="E3811" s="50">
        <v>-1</v>
      </c>
      <c r="F3811" s="51">
        <v>-0.32090303777138374</v>
      </c>
      <c r="G3811" s="51" t="str">
        <v>佐藤 2022/09/25 (日)
休日午前</v>
      </c>
    </row>
    <row r="3812" spans="1:7" ht="16.149999999999999" x14ac:dyDescent="0.7">
      <c r="A3812" s="49">
        <v>44800.760165949076</v>
      </c>
      <c r="B3812" s="50" t="s">
        <v>19</v>
      </c>
      <c r="C3812" s="50" t="s">
        <v>480</v>
      </c>
      <c r="D3812" s="50" t="s">
        <v>261</v>
      </c>
      <c r="E3812" s="50">
        <v>-1</v>
      </c>
      <c r="F3812" s="51">
        <v>-0.94572986159824568</v>
      </c>
      <c r="G3812" s="51" t="str">
        <v>佐藤 2022/09/25 (日)
休日午後</v>
      </c>
    </row>
    <row r="3813" spans="1:7" ht="16.149999999999999" x14ac:dyDescent="0.7">
      <c r="A3813" s="49">
        <v>44800.760165949076</v>
      </c>
      <c r="B3813" s="50" t="s">
        <v>19</v>
      </c>
      <c r="C3813" s="50" t="s">
        <v>481</v>
      </c>
      <c r="D3813" s="50" t="s">
        <v>259</v>
      </c>
      <c r="E3813" s="50">
        <v>-1</v>
      </c>
      <c r="F3813" s="51">
        <v>-0.62461808317176715</v>
      </c>
      <c r="G3813" s="51" t="str">
        <v>佐藤 2022/09/26 (月)
平日夜間</v>
      </c>
    </row>
    <row r="3814" spans="1:7" ht="16.149999999999999" x14ac:dyDescent="0.7">
      <c r="A3814" s="49">
        <v>44800.760165949076</v>
      </c>
      <c r="B3814" s="50" t="s">
        <v>19</v>
      </c>
      <c r="C3814" s="50" t="s">
        <v>482</v>
      </c>
      <c r="D3814" s="50" t="s">
        <v>259</v>
      </c>
      <c r="E3814" s="50">
        <v>0</v>
      </c>
      <c r="F3814" s="51">
        <v>0.267135162662135</v>
      </c>
      <c r="G3814" s="51" t="str">
        <v>佐藤 2022/09/27 (火)
平日夜間</v>
      </c>
    </row>
    <row r="3815" spans="1:7" ht="16.149999999999999" x14ac:dyDescent="0.7">
      <c r="A3815" s="49">
        <v>44800.760165949076</v>
      </c>
      <c r="B3815" s="50" t="s">
        <v>19</v>
      </c>
      <c r="C3815" s="50" t="s">
        <v>483</v>
      </c>
      <c r="D3815" s="50" t="s">
        <v>259</v>
      </c>
      <c r="E3815" s="50">
        <v>0</v>
      </c>
      <c r="F3815" s="51">
        <v>0.79823492846289068</v>
      </c>
      <c r="G3815" s="51" t="str">
        <v>佐藤 2022/09/28 (水)
平日夜間</v>
      </c>
    </row>
    <row r="3816" spans="1:7" ht="16.149999999999999" x14ac:dyDescent="0.7">
      <c r="A3816" s="49">
        <v>44800.760165949076</v>
      </c>
      <c r="B3816" s="50" t="s">
        <v>19</v>
      </c>
      <c r="C3816" s="50" t="s">
        <v>484</v>
      </c>
      <c r="D3816" s="50" t="s">
        <v>259</v>
      </c>
      <c r="E3816" s="50">
        <v>-1</v>
      </c>
      <c r="F3816" s="51">
        <v>-0.54862654408755174</v>
      </c>
      <c r="G3816" s="51" t="str">
        <v>佐藤 2022/09/29 (木)
平日夜間</v>
      </c>
    </row>
    <row r="3817" spans="1:7" ht="16.149999999999999" x14ac:dyDescent="0.7">
      <c r="A3817" s="49">
        <v>44800.760165949076</v>
      </c>
      <c r="B3817" s="50" t="s">
        <v>19</v>
      </c>
      <c r="C3817" s="50" t="s">
        <v>485</v>
      </c>
      <c r="D3817" s="50" t="s">
        <v>259</v>
      </c>
      <c r="E3817" s="50">
        <v>-1</v>
      </c>
      <c r="F3817" s="51">
        <v>-0.94944361450832071</v>
      </c>
      <c r="G3817" s="51" t="str">
        <v>佐藤 2022/09/30 (金)
平日夜間</v>
      </c>
    </row>
    <row r="3818" spans="1:7" ht="16.149999999999999" x14ac:dyDescent="0.7">
      <c r="A3818" s="49">
        <v>44800.770106909724</v>
      </c>
      <c r="B3818" s="50" t="s">
        <v>10</v>
      </c>
      <c r="C3818" s="50" t="s">
        <v>446</v>
      </c>
      <c r="D3818" s="50" t="s">
        <v>259</v>
      </c>
      <c r="E3818" s="50">
        <v>1</v>
      </c>
      <c r="F3818" s="51">
        <v>1.6468181029307836</v>
      </c>
      <c r="G3818" s="51" t="str">
        <v>福井 2022/09/01 (木)
平日夜間</v>
      </c>
    </row>
    <row r="3819" spans="1:7" ht="16.149999999999999" x14ac:dyDescent="0.7">
      <c r="A3819" s="49">
        <v>44800.770106909724</v>
      </c>
      <c r="B3819" s="50" t="s">
        <v>10</v>
      </c>
      <c r="C3819" s="50" t="s">
        <v>447</v>
      </c>
      <c r="D3819" s="50" t="s">
        <v>259</v>
      </c>
      <c r="E3819" s="50">
        <v>1</v>
      </c>
      <c r="F3819" s="51">
        <v>1.3419259636767922</v>
      </c>
      <c r="G3819" s="51" t="str">
        <v>福井 2022/09/02 (金)
平日夜間</v>
      </c>
    </row>
    <row r="3820" spans="1:7" ht="16.149999999999999" x14ac:dyDescent="0.7">
      <c r="A3820" s="49">
        <v>44800.770106909724</v>
      </c>
      <c r="B3820" s="50" t="s">
        <v>10</v>
      </c>
      <c r="C3820" s="50" t="s">
        <v>448</v>
      </c>
      <c r="D3820" s="50" t="s">
        <v>263</v>
      </c>
      <c r="E3820" s="50">
        <v>-1</v>
      </c>
      <c r="F3820" s="51">
        <v>-0.93594242516746551</v>
      </c>
      <c r="G3820" s="51" t="str">
        <v>福井 2022/09/03 (土)
休日午前</v>
      </c>
    </row>
    <row r="3821" spans="1:7" ht="16.149999999999999" x14ac:dyDescent="0.7">
      <c r="A3821" s="49">
        <v>44800.770106909724</v>
      </c>
      <c r="B3821" s="50" t="s">
        <v>10</v>
      </c>
      <c r="C3821" s="50" t="s">
        <v>449</v>
      </c>
      <c r="D3821" s="50" t="s">
        <v>261</v>
      </c>
      <c r="E3821" s="50">
        <v>2</v>
      </c>
      <c r="F3821" s="51">
        <v>2.9270052512846609</v>
      </c>
      <c r="G3821" s="51" t="str">
        <v>福井 2022/09/03 (土)
休日午後</v>
      </c>
    </row>
    <row r="3822" spans="1:7" ht="16.149999999999999" x14ac:dyDescent="0.7">
      <c r="A3822" s="49">
        <v>44800.770106909724</v>
      </c>
      <c r="B3822" s="50" t="s">
        <v>10</v>
      </c>
      <c r="C3822" s="50" t="s">
        <v>450</v>
      </c>
      <c r="D3822" s="50" t="s">
        <v>263</v>
      </c>
      <c r="E3822" s="50">
        <v>-1</v>
      </c>
      <c r="F3822" s="51">
        <v>-4.9947612917150108E-2</v>
      </c>
      <c r="G3822" s="51" t="str">
        <v>福井 2022/09/04 (日)
休日午前</v>
      </c>
    </row>
    <row r="3823" spans="1:7" ht="16.149999999999999" x14ac:dyDescent="0.7">
      <c r="A3823" s="49">
        <v>44800.770106909724</v>
      </c>
      <c r="B3823" s="50" t="s">
        <v>10</v>
      </c>
      <c r="C3823" s="50" t="s">
        <v>451</v>
      </c>
      <c r="D3823" s="50" t="s">
        <v>261</v>
      </c>
      <c r="E3823" s="50">
        <v>-1</v>
      </c>
      <c r="F3823" s="51">
        <v>-0.269152325813941</v>
      </c>
      <c r="G3823" s="51" t="str">
        <v>福井 2022/09/04 (日)
休日午後</v>
      </c>
    </row>
    <row r="3824" spans="1:7" ht="16.149999999999999" x14ac:dyDescent="0.7">
      <c r="A3824" s="49">
        <v>44800.770106909724</v>
      </c>
      <c r="B3824" s="50" t="s">
        <v>10</v>
      </c>
      <c r="C3824" s="50" t="s">
        <v>452</v>
      </c>
      <c r="D3824" s="50" t="s">
        <v>259</v>
      </c>
      <c r="E3824" s="50">
        <v>1</v>
      </c>
      <c r="F3824" s="51">
        <v>1.8502829752441576</v>
      </c>
      <c r="G3824" s="51" t="str">
        <v>福井 2022/09/05 (月)
平日夜間</v>
      </c>
    </row>
    <row r="3825" spans="1:7" ht="16.149999999999999" x14ac:dyDescent="0.7">
      <c r="A3825" s="49">
        <v>44800.770106909724</v>
      </c>
      <c r="B3825" s="50" t="s">
        <v>10</v>
      </c>
      <c r="C3825" s="50" t="s">
        <v>453</v>
      </c>
      <c r="D3825" s="50" t="s">
        <v>259</v>
      </c>
      <c r="E3825" s="50">
        <v>0</v>
      </c>
      <c r="F3825" s="51">
        <v>0.67202744574249063</v>
      </c>
      <c r="G3825" s="51" t="str">
        <v>福井 2022/09/06 (火)
平日夜間</v>
      </c>
    </row>
    <row r="3826" spans="1:7" ht="16.149999999999999" x14ac:dyDescent="0.7">
      <c r="A3826" s="49">
        <v>44800.770106909724</v>
      </c>
      <c r="B3826" s="50" t="s">
        <v>10</v>
      </c>
      <c r="C3826" s="50" t="s">
        <v>454</v>
      </c>
      <c r="D3826" s="50" t="s">
        <v>259</v>
      </c>
      <c r="E3826" s="50">
        <v>1</v>
      </c>
      <c r="F3826" s="51">
        <v>1.0791362979937595</v>
      </c>
      <c r="G3826" s="51" t="str">
        <v>福井 2022/09/07 (水)
平日夜間</v>
      </c>
    </row>
    <row r="3827" spans="1:7" ht="16.149999999999999" x14ac:dyDescent="0.7">
      <c r="A3827" s="49">
        <v>44800.770106909724</v>
      </c>
      <c r="B3827" s="50" t="s">
        <v>10</v>
      </c>
      <c r="C3827" s="50" t="s">
        <v>455</v>
      </c>
      <c r="D3827" s="50" t="s">
        <v>259</v>
      </c>
      <c r="E3827" s="50">
        <v>1</v>
      </c>
      <c r="F3827" s="51">
        <v>1.6874146571818707</v>
      </c>
      <c r="G3827" s="51" t="str">
        <v>福井 2022/09/08 (木)
平日夜間</v>
      </c>
    </row>
    <row r="3828" spans="1:7" ht="16.149999999999999" x14ac:dyDescent="0.7">
      <c r="A3828" s="49">
        <v>44800.770106909724</v>
      </c>
      <c r="B3828" s="50" t="s">
        <v>10</v>
      </c>
      <c r="C3828" s="50" t="s">
        <v>456</v>
      </c>
      <c r="D3828" s="50" t="s">
        <v>259</v>
      </c>
      <c r="E3828" s="50">
        <v>1</v>
      </c>
      <c r="F3828" s="51">
        <v>1.1998302380386578</v>
      </c>
      <c r="G3828" s="51" t="str">
        <v>福井 2022/09/09 (金)
平日夜間</v>
      </c>
    </row>
    <row r="3829" spans="1:7" ht="16.149999999999999" x14ac:dyDescent="0.7">
      <c r="A3829" s="49">
        <v>44800.770106909724</v>
      </c>
      <c r="B3829" s="50" t="s">
        <v>10</v>
      </c>
      <c r="C3829" s="50" t="s">
        <v>457</v>
      </c>
      <c r="D3829" s="50" t="s">
        <v>263</v>
      </c>
      <c r="E3829" s="50">
        <v>0</v>
      </c>
      <c r="F3829" s="51">
        <v>0.87439051412044821</v>
      </c>
      <c r="G3829" s="51" t="str">
        <v>福井 2022/09/10 (土)
休日午前</v>
      </c>
    </row>
    <row r="3830" spans="1:7" ht="16.149999999999999" x14ac:dyDescent="0.7">
      <c r="A3830" s="49">
        <v>44800.770106909724</v>
      </c>
      <c r="B3830" s="50" t="s">
        <v>10</v>
      </c>
      <c r="C3830" s="50" t="s">
        <v>458</v>
      </c>
      <c r="D3830" s="50" t="s">
        <v>261</v>
      </c>
      <c r="E3830" s="50">
        <v>0</v>
      </c>
      <c r="F3830" s="51">
        <v>0.11681794426053371</v>
      </c>
      <c r="G3830" s="51" t="str">
        <v>福井 2022/09/10 (土)
休日午後</v>
      </c>
    </row>
    <row r="3831" spans="1:7" ht="16.149999999999999" x14ac:dyDescent="0.7">
      <c r="A3831" s="49">
        <v>44800.770106909724</v>
      </c>
      <c r="B3831" s="50" t="s">
        <v>10</v>
      </c>
      <c r="C3831" s="50" t="s">
        <v>459</v>
      </c>
      <c r="D3831" s="50" t="s">
        <v>263</v>
      </c>
      <c r="E3831" s="50">
        <v>0</v>
      </c>
      <c r="F3831" s="51">
        <v>0.88729240051577718</v>
      </c>
      <c r="G3831" s="51" t="str">
        <v>福井 2022/09/11 (日)
休日午前</v>
      </c>
    </row>
    <row r="3832" spans="1:7" ht="16.149999999999999" x14ac:dyDescent="0.7">
      <c r="A3832" s="49">
        <v>44800.770106909724</v>
      </c>
      <c r="B3832" s="50" t="s">
        <v>10</v>
      </c>
      <c r="C3832" s="50" t="s">
        <v>460</v>
      </c>
      <c r="D3832" s="50" t="s">
        <v>261</v>
      </c>
      <c r="E3832" s="50">
        <v>0</v>
      </c>
      <c r="F3832" s="51">
        <v>0.23622807987579697</v>
      </c>
      <c r="G3832" s="51" t="str">
        <v>福井 2022/09/11 (日)
休日午後</v>
      </c>
    </row>
    <row r="3833" spans="1:7" ht="16.149999999999999" x14ac:dyDescent="0.7">
      <c r="A3833" s="49">
        <v>44800.770106909724</v>
      </c>
      <c r="B3833" s="50" t="s">
        <v>10</v>
      </c>
      <c r="C3833" s="50" t="s">
        <v>461</v>
      </c>
      <c r="D3833" s="50" t="s">
        <v>259</v>
      </c>
      <c r="E3833" s="50">
        <v>1</v>
      </c>
      <c r="F3833" s="51">
        <v>1.5897608146298619</v>
      </c>
      <c r="G3833" s="51" t="str">
        <v>福井 2022/09/12 (月)
平日夜間</v>
      </c>
    </row>
    <row r="3834" spans="1:7" ht="16.149999999999999" x14ac:dyDescent="0.7">
      <c r="A3834" s="49">
        <v>44800.770106909724</v>
      </c>
      <c r="B3834" s="50" t="s">
        <v>10</v>
      </c>
      <c r="C3834" s="50" t="s">
        <v>462</v>
      </c>
      <c r="D3834" s="50" t="s">
        <v>259</v>
      </c>
      <c r="E3834" s="50">
        <v>-1</v>
      </c>
      <c r="F3834" s="51">
        <v>-0.91537871995745212</v>
      </c>
      <c r="G3834" s="51" t="str">
        <v>福井 2022/09/13 (火)
平日夜間</v>
      </c>
    </row>
    <row r="3835" spans="1:7" ht="16.149999999999999" x14ac:dyDescent="0.7">
      <c r="A3835" s="49">
        <v>44800.770106909724</v>
      </c>
      <c r="B3835" s="50" t="s">
        <v>10</v>
      </c>
      <c r="C3835" s="50" t="s">
        <v>463</v>
      </c>
      <c r="D3835" s="50" t="s">
        <v>259</v>
      </c>
      <c r="E3835" s="50">
        <v>-1</v>
      </c>
      <c r="F3835" s="51">
        <v>-0.31068680288859607</v>
      </c>
      <c r="G3835" s="51" t="str">
        <v>福井 2022/09/14 (水)
平日夜間</v>
      </c>
    </row>
    <row r="3836" spans="1:7" ht="16.149999999999999" x14ac:dyDescent="0.7">
      <c r="A3836" s="49">
        <v>44800.770106909724</v>
      </c>
      <c r="B3836" s="50" t="s">
        <v>10</v>
      </c>
      <c r="C3836" s="50" t="s">
        <v>464</v>
      </c>
      <c r="D3836" s="50" t="s">
        <v>259</v>
      </c>
      <c r="E3836" s="50">
        <v>0</v>
      </c>
      <c r="F3836" s="51">
        <v>0.90749970709814853</v>
      </c>
      <c r="G3836" s="51" t="str">
        <v>福井 2022/09/15 (木)
平日夜間</v>
      </c>
    </row>
    <row r="3837" spans="1:7" ht="16.149999999999999" x14ac:dyDescent="0.7">
      <c r="A3837" s="49">
        <v>44800.770106909724</v>
      </c>
      <c r="B3837" s="50" t="s">
        <v>10</v>
      </c>
      <c r="C3837" s="50" t="s">
        <v>465</v>
      </c>
      <c r="D3837" s="50" t="s">
        <v>259</v>
      </c>
      <c r="E3837" s="50">
        <v>-1</v>
      </c>
      <c r="F3837" s="51">
        <v>-0.55545125439871512</v>
      </c>
      <c r="G3837" s="51" t="str">
        <v>福井 2022/09/16 (金)
平日夜間</v>
      </c>
    </row>
    <row r="3838" spans="1:7" ht="16.149999999999999" x14ac:dyDescent="0.7">
      <c r="A3838" s="49">
        <v>44800.770106909724</v>
      </c>
      <c r="B3838" s="50" t="s">
        <v>10</v>
      </c>
      <c r="C3838" s="50" t="s">
        <v>466</v>
      </c>
      <c r="D3838" s="50" t="s">
        <v>263</v>
      </c>
      <c r="E3838" s="50">
        <v>-1</v>
      </c>
      <c r="F3838" s="51">
        <v>-0.99698536407634353</v>
      </c>
      <c r="G3838" s="51" t="str">
        <v>福井 2022/09/17 (土)
休日午前</v>
      </c>
    </row>
    <row r="3839" spans="1:7" ht="16.149999999999999" x14ac:dyDescent="0.7">
      <c r="A3839" s="49">
        <v>44800.770106909724</v>
      </c>
      <c r="B3839" s="50" t="s">
        <v>10</v>
      </c>
      <c r="C3839" s="50" t="s">
        <v>467</v>
      </c>
      <c r="D3839" s="50" t="s">
        <v>261</v>
      </c>
      <c r="E3839" s="50">
        <v>-1</v>
      </c>
      <c r="F3839" s="51">
        <v>-9.2346835263592109E-2</v>
      </c>
      <c r="G3839" s="51" t="str">
        <v>福井 2022/09/17 (土)
休日午後</v>
      </c>
    </row>
    <row r="3840" spans="1:7" ht="16.149999999999999" x14ac:dyDescent="0.7">
      <c r="A3840" s="49">
        <v>44800.770106909724</v>
      </c>
      <c r="B3840" s="50" t="s">
        <v>10</v>
      </c>
      <c r="C3840" s="50" t="s">
        <v>468</v>
      </c>
      <c r="D3840" s="50" t="s">
        <v>263</v>
      </c>
      <c r="E3840" s="50">
        <v>-1</v>
      </c>
      <c r="F3840" s="51">
        <v>-0.12675735770105168</v>
      </c>
      <c r="G3840" s="51" t="str">
        <v>福井 2022/09/18 (日)
休日午前</v>
      </c>
    </row>
    <row r="3841" spans="1:7" ht="16.149999999999999" x14ac:dyDescent="0.7">
      <c r="A3841" s="49">
        <v>44800.770106909724</v>
      </c>
      <c r="B3841" s="50" t="s">
        <v>10</v>
      </c>
      <c r="C3841" s="50" t="s">
        <v>469</v>
      </c>
      <c r="D3841" s="50" t="s">
        <v>261</v>
      </c>
      <c r="E3841" s="50">
        <v>-1</v>
      </c>
      <c r="F3841" s="51">
        <v>-0.71621447827589813</v>
      </c>
      <c r="G3841" s="51" t="str">
        <v>福井 2022/09/18 (日)
休日午後</v>
      </c>
    </row>
    <row r="3842" spans="1:7" ht="16.149999999999999" x14ac:dyDescent="0.7">
      <c r="A3842" s="49">
        <v>44800.770106909724</v>
      </c>
      <c r="B3842" s="50" t="s">
        <v>10</v>
      </c>
      <c r="C3842" s="50" t="s">
        <v>470</v>
      </c>
      <c r="D3842" s="50" t="s">
        <v>263</v>
      </c>
      <c r="E3842" s="50">
        <v>-1</v>
      </c>
      <c r="F3842" s="51">
        <v>-0.53486050654859119</v>
      </c>
      <c r="G3842" s="51" t="str">
        <v>福井 2022/09/19 (月)
休日午前</v>
      </c>
    </row>
    <row r="3843" spans="1:7" ht="16.149999999999999" x14ac:dyDescent="0.7">
      <c r="A3843" s="49">
        <v>44800.770106909724</v>
      </c>
      <c r="B3843" s="50" t="s">
        <v>10</v>
      </c>
      <c r="C3843" s="50" t="s">
        <v>471</v>
      </c>
      <c r="D3843" s="50" t="s">
        <v>261</v>
      </c>
      <c r="E3843" s="50">
        <v>-1</v>
      </c>
      <c r="F3843" s="51">
        <v>-0.79582964817775159</v>
      </c>
      <c r="G3843" s="51" t="str">
        <v>福井 2022/09/19 (月)
休日午後</v>
      </c>
    </row>
    <row r="3844" spans="1:7" ht="16.149999999999999" x14ac:dyDescent="0.7">
      <c r="A3844" s="49">
        <v>44800.770106909724</v>
      </c>
      <c r="B3844" s="50" t="s">
        <v>10</v>
      </c>
      <c r="C3844" s="50" t="s">
        <v>472</v>
      </c>
      <c r="D3844" s="50" t="s">
        <v>259</v>
      </c>
      <c r="E3844" s="50">
        <v>0</v>
      </c>
      <c r="F3844" s="51">
        <v>0.41588665969958161</v>
      </c>
      <c r="G3844" s="51" t="str">
        <v>福井 2022/09/20 (火)
平日夜間</v>
      </c>
    </row>
    <row r="3845" spans="1:7" ht="16.149999999999999" x14ac:dyDescent="0.7">
      <c r="A3845" s="49">
        <v>44800.770106909724</v>
      </c>
      <c r="B3845" s="50" t="s">
        <v>10</v>
      </c>
      <c r="C3845" s="50" t="s">
        <v>473</v>
      </c>
      <c r="D3845" s="50" t="s">
        <v>259</v>
      </c>
      <c r="E3845" s="50">
        <v>2</v>
      </c>
      <c r="F3845" s="51">
        <v>2.5432144203863976</v>
      </c>
      <c r="G3845" s="51" t="str">
        <v>福井 2022/09/21 (水)
平日夜間</v>
      </c>
    </row>
    <row r="3846" spans="1:7" ht="16.149999999999999" x14ac:dyDescent="0.7">
      <c r="A3846" s="49">
        <v>44800.770106909724</v>
      </c>
      <c r="B3846" s="50" t="s">
        <v>10</v>
      </c>
      <c r="C3846" s="50" t="s">
        <v>474</v>
      </c>
      <c r="D3846" s="50" t="s">
        <v>259</v>
      </c>
      <c r="E3846" s="50">
        <v>-1</v>
      </c>
      <c r="F3846" s="51">
        <v>-0.44256526984838951</v>
      </c>
      <c r="G3846" s="51" t="str">
        <v>福井 2022/09/22 (木)
平日夜間</v>
      </c>
    </row>
    <row r="3847" spans="1:7" ht="16.149999999999999" x14ac:dyDescent="0.7">
      <c r="A3847" s="49">
        <v>44800.770106909724</v>
      </c>
      <c r="B3847" s="50" t="s">
        <v>10</v>
      </c>
      <c r="C3847" s="50" t="s">
        <v>475</v>
      </c>
      <c r="D3847" s="50" t="s">
        <v>263</v>
      </c>
      <c r="E3847" s="50">
        <v>-1</v>
      </c>
      <c r="F3847" s="51">
        <v>-0.68825682512676378</v>
      </c>
      <c r="G3847" s="51" t="str">
        <v>福井 2022/09/23 (金)
休日午前</v>
      </c>
    </row>
    <row r="3848" spans="1:7" ht="16.149999999999999" x14ac:dyDescent="0.7">
      <c r="A3848" s="49">
        <v>44800.770106909724</v>
      </c>
      <c r="B3848" s="50" t="s">
        <v>10</v>
      </c>
      <c r="C3848" s="50" t="s">
        <v>476</v>
      </c>
      <c r="D3848" s="50" t="s">
        <v>261</v>
      </c>
      <c r="E3848" s="50">
        <v>-1</v>
      </c>
      <c r="F3848" s="51">
        <v>-0.77665889619870354</v>
      </c>
      <c r="G3848" s="51" t="str">
        <v>福井 2022/09/23 (金)
休日午後</v>
      </c>
    </row>
    <row r="3849" spans="1:7" ht="16.149999999999999" x14ac:dyDescent="0.7">
      <c r="A3849" s="49">
        <v>44800.770106909724</v>
      </c>
      <c r="B3849" s="50" t="s">
        <v>10</v>
      </c>
      <c r="C3849" s="50" t="s">
        <v>477</v>
      </c>
      <c r="D3849" s="50" t="s">
        <v>263</v>
      </c>
      <c r="E3849" s="50">
        <v>-1</v>
      </c>
      <c r="F3849" s="51">
        <v>-0.95697420934265498</v>
      </c>
      <c r="G3849" s="51" t="str">
        <v>福井 2022/09/24 (土)
休日午前</v>
      </c>
    </row>
    <row r="3850" spans="1:7" ht="16.149999999999999" x14ac:dyDescent="0.7">
      <c r="A3850" s="49">
        <v>44800.770106909724</v>
      </c>
      <c r="B3850" s="50" t="s">
        <v>10</v>
      </c>
      <c r="C3850" s="50" t="s">
        <v>478</v>
      </c>
      <c r="D3850" s="50" t="s">
        <v>261</v>
      </c>
      <c r="E3850" s="50">
        <v>-1</v>
      </c>
      <c r="F3850" s="51">
        <v>-0.2111800928262404</v>
      </c>
      <c r="G3850" s="51" t="str">
        <v>福井 2022/09/24 (土)
休日午後</v>
      </c>
    </row>
    <row r="3851" spans="1:7" ht="16.149999999999999" x14ac:dyDescent="0.7">
      <c r="A3851" s="49">
        <v>44800.770106909724</v>
      </c>
      <c r="B3851" s="50" t="s">
        <v>10</v>
      </c>
      <c r="C3851" s="50" t="s">
        <v>479</v>
      </c>
      <c r="D3851" s="50" t="s">
        <v>263</v>
      </c>
      <c r="E3851" s="50">
        <v>0</v>
      </c>
      <c r="F3851" s="51">
        <v>2.5944443578849397E-2</v>
      </c>
      <c r="G3851" s="51" t="str">
        <v>福井 2022/09/25 (日)
休日午前</v>
      </c>
    </row>
    <row r="3852" spans="1:7" ht="16.149999999999999" x14ac:dyDescent="0.7">
      <c r="A3852" s="49">
        <v>44800.770106909724</v>
      </c>
      <c r="B3852" s="50" t="s">
        <v>10</v>
      </c>
      <c r="C3852" s="50" t="s">
        <v>480</v>
      </c>
      <c r="D3852" s="50" t="s">
        <v>261</v>
      </c>
      <c r="E3852" s="50">
        <v>0</v>
      </c>
      <c r="F3852" s="51">
        <v>0.10442135759409488</v>
      </c>
      <c r="G3852" s="51" t="str">
        <v>福井 2022/09/25 (日)
休日午後</v>
      </c>
    </row>
    <row r="3853" spans="1:7" ht="16.149999999999999" x14ac:dyDescent="0.7">
      <c r="A3853" s="49">
        <v>44800.770106909724</v>
      </c>
      <c r="B3853" s="50" t="s">
        <v>10</v>
      </c>
      <c r="C3853" s="50" t="s">
        <v>481</v>
      </c>
      <c r="D3853" s="50" t="s">
        <v>259</v>
      </c>
      <c r="E3853" s="50">
        <v>1</v>
      </c>
      <c r="F3853" s="51">
        <v>1.1311396647020069</v>
      </c>
      <c r="G3853" s="51" t="str">
        <v>福井 2022/09/26 (月)
平日夜間</v>
      </c>
    </row>
    <row r="3854" spans="1:7" ht="16.149999999999999" x14ac:dyDescent="0.7">
      <c r="A3854" s="49">
        <v>44800.770106909724</v>
      </c>
      <c r="B3854" s="50" t="s">
        <v>10</v>
      </c>
      <c r="C3854" s="50" t="s">
        <v>482</v>
      </c>
      <c r="D3854" s="50" t="s">
        <v>259</v>
      </c>
      <c r="E3854" s="50">
        <v>0</v>
      </c>
      <c r="F3854" s="51">
        <v>0.40637866553418367</v>
      </c>
      <c r="G3854" s="51" t="str">
        <v>福井 2022/09/27 (火)
平日夜間</v>
      </c>
    </row>
    <row r="3855" spans="1:7" ht="16.149999999999999" x14ac:dyDescent="0.7">
      <c r="A3855" s="49">
        <v>44800.770106909724</v>
      </c>
      <c r="B3855" s="50" t="s">
        <v>10</v>
      </c>
      <c r="C3855" s="50" t="s">
        <v>483</v>
      </c>
      <c r="D3855" s="50" t="s">
        <v>259</v>
      </c>
      <c r="E3855" s="50">
        <v>1</v>
      </c>
      <c r="F3855" s="51">
        <v>1.6925381388577561</v>
      </c>
      <c r="G3855" s="51" t="str">
        <v>福井 2022/09/28 (水)
平日夜間</v>
      </c>
    </row>
    <row r="3856" spans="1:7" ht="16.149999999999999" x14ac:dyDescent="0.7">
      <c r="A3856" s="49">
        <v>44800.770106909724</v>
      </c>
      <c r="B3856" s="50" t="s">
        <v>10</v>
      </c>
      <c r="C3856" s="50" t="s">
        <v>484</v>
      </c>
      <c r="D3856" s="50" t="s">
        <v>259</v>
      </c>
      <c r="E3856" s="50">
        <v>1</v>
      </c>
      <c r="F3856" s="51">
        <v>1.215756646579365</v>
      </c>
      <c r="G3856" s="51" t="str">
        <v>福井 2022/09/29 (木)
平日夜間</v>
      </c>
    </row>
    <row r="3857" spans="1:7" ht="16.149999999999999" x14ac:dyDescent="0.7">
      <c r="A3857" s="49">
        <v>44800.770106909724</v>
      </c>
      <c r="B3857" s="50" t="s">
        <v>10</v>
      </c>
      <c r="C3857" s="50" t="s">
        <v>485</v>
      </c>
      <c r="D3857" s="50" t="s">
        <v>259</v>
      </c>
      <c r="E3857" s="50">
        <v>-1</v>
      </c>
      <c r="F3857" s="51">
        <v>-0.2453152801559102</v>
      </c>
      <c r="G3857" s="51" t="str">
        <v>福井 2022/09/30 (金)
平日夜間</v>
      </c>
    </row>
    <row r="3858" spans="1:7" ht="16.149999999999999" x14ac:dyDescent="0.7">
      <c r="A3858" s="49">
        <v>44800.794156030097</v>
      </c>
      <c r="B3858" s="50" t="s">
        <v>125</v>
      </c>
      <c r="C3858" s="50" t="s">
        <v>446</v>
      </c>
      <c r="D3858" s="50" t="s">
        <v>259</v>
      </c>
      <c r="E3858" s="50">
        <v>-1</v>
      </c>
      <c r="F3858" s="51">
        <v>-0.9789885785825998</v>
      </c>
      <c r="G3858" s="51" t="str">
        <v>笠原 2022/09/01 (木)
平日夜間</v>
      </c>
    </row>
    <row r="3859" spans="1:7" ht="16.149999999999999" x14ac:dyDescent="0.7">
      <c r="A3859" s="49">
        <v>44800.794156030097</v>
      </c>
      <c r="B3859" s="50" t="s">
        <v>125</v>
      </c>
      <c r="C3859" s="50" t="s">
        <v>447</v>
      </c>
      <c r="D3859" s="50" t="s">
        <v>259</v>
      </c>
      <c r="E3859" s="50">
        <v>0</v>
      </c>
      <c r="F3859" s="51">
        <v>0.74012200233689329</v>
      </c>
      <c r="G3859" s="51" t="str">
        <v>笠原 2022/09/02 (金)
平日夜間</v>
      </c>
    </row>
    <row r="3860" spans="1:7" ht="16.149999999999999" x14ac:dyDescent="0.7">
      <c r="A3860" s="49">
        <v>44800.794156030097</v>
      </c>
      <c r="B3860" s="50" t="s">
        <v>125</v>
      </c>
      <c r="C3860" s="50" t="s">
        <v>448</v>
      </c>
      <c r="D3860" s="50" t="s">
        <v>263</v>
      </c>
      <c r="E3860" s="50">
        <v>0</v>
      </c>
      <c r="F3860" s="51">
        <v>0.79987912851560838</v>
      </c>
      <c r="G3860" s="51" t="str">
        <v>笠原 2022/09/03 (土)
休日午前</v>
      </c>
    </row>
    <row r="3861" spans="1:7" ht="16.149999999999999" x14ac:dyDescent="0.7">
      <c r="A3861" s="49">
        <v>44800.794156030097</v>
      </c>
      <c r="B3861" s="50" t="s">
        <v>125</v>
      </c>
      <c r="C3861" s="50" t="s">
        <v>449</v>
      </c>
      <c r="D3861" s="50" t="s">
        <v>261</v>
      </c>
      <c r="E3861" s="50">
        <v>0</v>
      </c>
      <c r="F3861" s="51">
        <v>0.20982685873477336</v>
      </c>
      <c r="G3861" s="51" t="str">
        <v>笠原 2022/09/03 (土)
休日午後</v>
      </c>
    </row>
    <row r="3862" spans="1:7" ht="16.149999999999999" x14ac:dyDescent="0.7">
      <c r="A3862" s="49">
        <v>44800.794156030097</v>
      </c>
      <c r="B3862" s="50" t="s">
        <v>125</v>
      </c>
      <c r="C3862" s="50" t="s">
        <v>450</v>
      </c>
      <c r="D3862" s="50" t="s">
        <v>263</v>
      </c>
      <c r="E3862" s="50">
        <v>0</v>
      </c>
      <c r="F3862" s="51">
        <v>0.91136420529165418</v>
      </c>
      <c r="G3862" s="51" t="str">
        <v>笠原 2022/09/04 (日)
休日午前</v>
      </c>
    </row>
    <row r="3863" spans="1:7" ht="16.149999999999999" x14ac:dyDescent="0.7">
      <c r="A3863" s="49">
        <v>44800.794156030097</v>
      </c>
      <c r="B3863" s="50" t="s">
        <v>125</v>
      </c>
      <c r="C3863" s="50" t="s">
        <v>451</v>
      </c>
      <c r="D3863" s="50" t="s">
        <v>261</v>
      </c>
      <c r="E3863" s="50">
        <v>0</v>
      </c>
      <c r="F3863" s="51">
        <v>0.6726704169056037</v>
      </c>
      <c r="G3863" s="51" t="str">
        <v>笠原 2022/09/04 (日)
休日午後</v>
      </c>
    </row>
    <row r="3864" spans="1:7" ht="16.149999999999999" x14ac:dyDescent="0.7">
      <c r="A3864" s="49">
        <v>44800.794156030097</v>
      </c>
      <c r="B3864" s="50" t="s">
        <v>125</v>
      </c>
      <c r="C3864" s="50" t="s">
        <v>452</v>
      </c>
      <c r="D3864" s="50" t="s">
        <v>259</v>
      </c>
      <c r="E3864" s="50">
        <v>0</v>
      </c>
      <c r="F3864" s="51">
        <v>0.94809600329110721</v>
      </c>
      <c r="G3864" s="51" t="str">
        <v>笠原 2022/09/05 (月)
平日夜間</v>
      </c>
    </row>
    <row r="3865" spans="1:7" ht="16.149999999999999" x14ac:dyDescent="0.7">
      <c r="A3865" s="49">
        <v>44800.794156030097</v>
      </c>
      <c r="B3865" s="50" t="s">
        <v>125</v>
      </c>
      <c r="C3865" s="50" t="s">
        <v>453</v>
      </c>
      <c r="D3865" s="50" t="s">
        <v>259</v>
      </c>
      <c r="E3865" s="50">
        <v>0</v>
      </c>
      <c r="F3865" s="51">
        <v>0.47538401521274465</v>
      </c>
      <c r="G3865" s="51" t="str">
        <v>笠原 2022/09/06 (火)
平日夜間</v>
      </c>
    </row>
    <row r="3866" spans="1:7" ht="16.149999999999999" x14ac:dyDescent="0.7">
      <c r="A3866" s="49">
        <v>44800.794156030097</v>
      </c>
      <c r="B3866" s="50" t="s">
        <v>125</v>
      </c>
      <c r="C3866" s="50" t="s">
        <v>454</v>
      </c>
      <c r="D3866" s="50" t="s">
        <v>259</v>
      </c>
      <c r="E3866" s="50">
        <v>-1</v>
      </c>
      <c r="F3866" s="51">
        <v>-6.3083720922204822E-2</v>
      </c>
      <c r="G3866" s="51" t="str">
        <v>笠原 2022/09/07 (水)
平日夜間</v>
      </c>
    </row>
    <row r="3867" spans="1:7" ht="16.149999999999999" x14ac:dyDescent="0.7">
      <c r="A3867" s="49">
        <v>44800.794156030097</v>
      </c>
      <c r="B3867" s="50" t="s">
        <v>125</v>
      </c>
      <c r="C3867" s="50" t="s">
        <v>455</v>
      </c>
      <c r="D3867" s="50" t="s">
        <v>259</v>
      </c>
      <c r="E3867" s="50">
        <v>0</v>
      </c>
      <c r="F3867" s="51">
        <v>0.92310052841527201</v>
      </c>
      <c r="G3867" s="51" t="str">
        <v>笠原 2022/09/08 (木)
平日夜間</v>
      </c>
    </row>
    <row r="3868" spans="1:7" ht="16.149999999999999" x14ac:dyDescent="0.7">
      <c r="A3868" s="49">
        <v>44800.794156030097</v>
      </c>
      <c r="B3868" s="50" t="s">
        <v>125</v>
      </c>
      <c r="C3868" s="50" t="s">
        <v>456</v>
      </c>
      <c r="D3868" s="50" t="s">
        <v>259</v>
      </c>
      <c r="E3868" s="50">
        <v>-1</v>
      </c>
      <c r="F3868" s="51">
        <v>-0.82459829029028531</v>
      </c>
      <c r="G3868" s="51" t="str">
        <v>笠原 2022/09/09 (金)
平日夜間</v>
      </c>
    </row>
    <row r="3869" spans="1:7" ht="16.149999999999999" x14ac:dyDescent="0.7">
      <c r="A3869" s="49">
        <v>44800.794156030097</v>
      </c>
      <c r="B3869" s="50" t="s">
        <v>125</v>
      </c>
      <c r="C3869" s="50" t="s">
        <v>457</v>
      </c>
      <c r="D3869" s="50" t="s">
        <v>263</v>
      </c>
      <c r="E3869" s="50">
        <v>-1</v>
      </c>
      <c r="F3869" s="51">
        <v>-0.45479747133967119</v>
      </c>
      <c r="G3869" s="51" t="str">
        <v>笠原 2022/09/10 (土)
休日午前</v>
      </c>
    </row>
    <row r="3870" spans="1:7" ht="16.149999999999999" x14ac:dyDescent="0.7">
      <c r="A3870" s="49">
        <v>44800.794156030097</v>
      </c>
      <c r="B3870" s="50" t="s">
        <v>125</v>
      </c>
      <c r="C3870" s="50" t="s">
        <v>458</v>
      </c>
      <c r="D3870" s="50" t="s">
        <v>261</v>
      </c>
      <c r="E3870" s="50">
        <v>-1</v>
      </c>
      <c r="F3870" s="51">
        <v>-0.37029337591704814</v>
      </c>
      <c r="G3870" s="51" t="str">
        <v>笠原 2022/09/10 (土)
休日午後</v>
      </c>
    </row>
    <row r="3871" spans="1:7" ht="16.149999999999999" x14ac:dyDescent="0.7">
      <c r="A3871" s="49">
        <v>44800.794156030097</v>
      </c>
      <c r="B3871" s="50" t="s">
        <v>125</v>
      </c>
      <c r="C3871" s="50" t="s">
        <v>459</v>
      </c>
      <c r="D3871" s="50" t="s">
        <v>263</v>
      </c>
      <c r="E3871" s="50">
        <v>2</v>
      </c>
      <c r="F3871" s="51">
        <v>2.1963026639548517</v>
      </c>
      <c r="G3871" s="51" t="str">
        <v>笠原 2022/09/11 (日)
休日午前</v>
      </c>
    </row>
    <row r="3872" spans="1:7" ht="16.149999999999999" x14ac:dyDescent="0.7">
      <c r="A3872" s="49">
        <v>44800.794156030097</v>
      </c>
      <c r="B3872" s="50" t="s">
        <v>125</v>
      </c>
      <c r="C3872" s="50" t="s">
        <v>460</v>
      </c>
      <c r="D3872" s="50" t="s">
        <v>261</v>
      </c>
      <c r="E3872" s="50">
        <v>2</v>
      </c>
      <c r="F3872" s="51">
        <v>2.147806491067036</v>
      </c>
      <c r="G3872" s="51" t="str">
        <v>笠原 2022/09/11 (日)
休日午後</v>
      </c>
    </row>
    <row r="3873" spans="1:7" ht="16.149999999999999" x14ac:dyDescent="0.7">
      <c r="A3873" s="49">
        <v>44800.794156030097</v>
      </c>
      <c r="B3873" s="50" t="s">
        <v>125</v>
      </c>
      <c r="C3873" s="50" t="s">
        <v>461</v>
      </c>
      <c r="D3873" s="50" t="s">
        <v>259</v>
      </c>
      <c r="E3873" s="50">
        <v>-1</v>
      </c>
      <c r="F3873" s="51">
        <v>-0.69415445911421503</v>
      </c>
      <c r="G3873" s="51" t="str">
        <v>笠原 2022/09/12 (月)
平日夜間</v>
      </c>
    </row>
    <row r="3874" spans="1:7" ht="16.149999999999999" x14ac:dyDescent="0.7">
      <c r="A3874" s="49">
        <v>44800.794156030097</v>
      </c>
      <c r="B3874" s="50" t="s">
        <v>125</v>
      </c>
      <c r="C3874" s="50" t="s">
        <v>462</v>
      </c>
      <c r="D3874" s="50" t="s">
        <v>259</v>
      </c>
      <c r="E3874" s="50">
        <v>0</v>
      </c>
      <c r="F3874" s="51">
        <v>0.24383703895988629</v>
      </c>
      <c r="G3874" s="51" t="str">
        <v>笠原 2022/09/13 (火)
平日夜間</v>
      </c>
    </row>
    <row r="3875" spans="1:7" ht="16.149999999999999" x14ac:dyDescent="0.7">
      <c r="A3875" s="49">
        <v>44800.794156030097</v>
      </c>
      <c r="B3875" s="50" t="s">
        <v>125</v>
      </c>
      <c r="C3875" s="50" t="s">
        <v>463</v>
      </c>
      <c r="D3875" s="50" t="s">
        <v>259</v>
      </c>
      <c r="E3875" s="50">
        <v>0</v>
      </c>
      <c r="F3875" s="51">
        <v>0.11746244794223659</v>
      </c>
      <c r="G3875" s="51" t="str">
        <v>笠原 2022/09/14 (水)
平日夜間</v>
      </c>
    </row>
    <row r="3876" spans="1:7" ht="16.149999999999999" x14ac:dyDescent="0.7">
      <c r="A3876" s="49">
        <v>44800.794156030097</v>
      </c>
      <c r="B3876" s="50" t="s">
        <v>125</v>
      </c>
      <c r="C3876" s="50" t="s">
        <v>464</v>
      </c>
      <c r="D3876" s="50" t="s">
        <v>259</v>
      </c>
      <c r="E3876" s="50">
        <v>0</v>
      </c>
      <c r="F3876" s="51">
        <v>0.57565220591640665</v>
      </c>
      <c r="G3876" s="51" t="str">
        <v>笠原 2022/09/15 (木)
平日夜間</v>
      </c>
    </row>
    <row r="3877" spans="1:7" ht="16.149999999999999" x14ac:dyDescent="0.7">
      <c r="A3877" s="49">
        <v>44800.794156030097</v>
      </c>
      <c r="B3877" s="50" t="s">
        <v>125</v>
      </c>
      <c r="C3877" s="50" t="s">
        <v>465</v>
      </c>
      <c r="D3877" s="50" t="s">
        <v>259</v>
      </c>
      <c r="E3877" s="50">
        <v>-1</v>
      </c>
      <c r="F3877" s="51">
        <v>-0.14290626805849937</v>
      </c>
      <c r="G3877" s="51" t="str">
        <v>笠原 2022/09/16 (金)
平日夜間</v>
      </c>
    </row>
    <row r="3878" spans="1:7" ht="16.149999999999999" x14ac:dyDescent="0.7">
      <c r="A3878" s="49">
        <v>44800.794156030097</v>
      </c>
      <c r="B3878" s="50" t="s">
        <v>125</v>
      </c>
      <c r="C3878" s="50" t="s">
        <v>466</v>
      </c>
      <c r="D3878" s="50" t="s">
        <v>263</v>
      </c>
      <c r="E3878" s="50">
        <v>-1</v>
      </c>
      <c r="F3878" s="51">
        <v>-6.6380542139053089E-2</v>
      </c>
      <c r="G3878" s="51" t="str">
        <v>笠原 2022/09/17 (土)
休日午前</v>
      </c>
    </row>
    <row r="3879" spans="1:7" ht="16.149999999999999" x14ac:dyDescent="0.7">
      <c r="A3879" s="49">
        <v>44800.794156030097</v>
      </c>
      <c r="B3879" s="50" t="s">
        <v>125</v>
      </c>
      <c r="C3879" s="50" t="s">
        <v>467</v>
      </c>
      <c r="D3879" s="50" t="s">
        <v>261</v>
      </c>
      <c r="E3879" s="50">
        <v>-1</v>
      </c>
      <c r="F3879" s="51">
        <v>-0.84059451676688601</v>
      </c>
      <c r="G3879" s="51" t="str">
        <v>笠原 2022/09/17 (土)
休日午後</v>
      </c>
    </row>
    <row r="3880" spans="1:7" ht="16.149999999999999" x14ac:dyDescent="0.7">
      <c r="A3880" s="49">
        <v>44800.794156030097</v>
      </c>
      <c r="B3880" s="50" t="s">
        <v>125</v>
      </c>
      <c r="C3880" s="50" t="s">
        <v>468</v>
      </c>
      <c r="D3880" s="50" t="s">
        <v>263</v>
      </c>
      <c r="E3880" s="50">
        <v>-1</v>
      </c>
      <c r="F3880" s="51">
        <v>-0.35256977265274014</v>
      </c>
      <c r="G3880" s="51" t="str">
        <v>笠原 2022/09/18 (日)
休日午前</v>
      </c>
    </row>
    <row r="3881" spans="1:7" ht="16.149999999999999" x14ac:dyDescent="0.7">
      <c r="A3881" s="49">
        <v>44800.794156030097</v>
      </c>
      <c r="B3881" s="50" t="s">
        <v>125</v>
      </c>
      <c r="C3881" s="50" t="s">
        <v>469</v>
      </c>
      <c r="D3881" s="50" t="s">
        <v>261</v>
      </c>
      <c r="E3881" s="50">
        <v>0</v>
      </c>
      <c r="F3881" s="51">
        <v>0.11491639171503665</v>
      </c>
      <c r="G3881" s="51" t="str">
        <v>笠原 2022/09/18 (日)
休日午後</v>
      </c>
    </row>
    <row r="3882" spans="1:7" ht="16.149999999999999" x14ac:dyDescent="0.7">
      <c r="A3882" s="49">
        <v>44800.794156030097</v>
      </c>
      <c r="B3882" s="50" t="s">
        <v>125</v>
      </c>
      <c r="C3882" s="50" t="s">
        <v>470</v>
      </c>
      <c r="D3882" s="50" t="s">
        <v>263</v>
      </c>
      <c r="E3882" s="50">
        <v>-1</v>
      </c>
      <c r="F3882" s="51">
        <v>-0.5067645578780855</v>
      </c>
      <c r="G3882" s="51" t="str">
        <v>笠原 2022/09/19 (月)
休日午前</v>
      </c>
    </row>
    <row r="3883" spans="1:7" ht="16.149999999999999" x14ac:dyDescent="0.7">
      <c r="A3883" s="49">
        <v>44800.794156030097</v>
      </c>
      <c r="B3883" s="50" t="s">
        <v>125</v>
      </c>
      <c r="C3883" s="50" t="s">
        <v>471</v>
      </c>
      <c r="D3883" s="50" t="s">
        <v>261</v>
      </c>
      <c r="E3883" s="50">
        <v>-1</v>
      </c>
      <c r="F3883" s="51">
        <v>-0.84799846737922979</v>
      </c>
      <c r="G3883" s="51" t="str">
        <v>笠原 2022/09/19 (月)
休日午後</v>
      </c>
    </row>
    <row r="3884" spans="1:7" ht="16.149999999999999" x14ac:dyDescent="0.7">
      <c r="A3884" s="49">
        <v>44800.794156030097</v>
      </c>
      <c r="B3884" s="50" t="s">
        <v>125</v>
      </c>
      <c r="C3884" s="50" t="s">
        <v>472</v>
      </c>
      <c r="D3884" s="50" t="s">
        <v>259</v>
      </c>
      <c r="E3884" s="50">
        <v>0</v>
      </c>
      <c r="F3884" s="51">
        <v>0.22753839314628688</v>
      </c>
      <c r="G3884" s="51" t="str">
        <v>笠原 2022/09/20 (火)
平日夜間</v>
      </c>
    </row>
    <row r="3885" spans="1:7" ht="16.149999999999999" x14ac:dyDescent="0.7">
      <c r="A3885" s="49">
        <v>44800.794156030097</v>
      </c>
      <c r="B3885" s="50" t="s">
        <v>125</v>
      </c>
      <c r="C3885" s="50" t="s">
        <v>473</v>
      </c>
      <c r="D3885" s="50" t="s">
        <v>259</v>
      </c>
      <c r="E3885" s="50">
        <v>0</v>
      </c>
      <c r="F3885" s="51">
        <v>0.24399735155921864</v>
      </c>
      <c r="G3885" s="51" t="str">
        <v>笠原 2022/09/21 (水)
平日夜間</v>
      </c>
    </row>
    <row r="3886" spans="1:7" ht="16.149999999999999" x14ac:dyDescent="0.7">
      <c r="A3886" s="49">
        <v>44800.794590173609</v>
      </c>
      <c r="B3886" s="50" t="s">
        <v>11</v>
      </c>
      <c r="C3886" s="50" t="s">
        <v>446</v>
      </c>
      <c r="D3886" s="50" t="s">
        <v>259</v>
      </c>
      <c r="E3886" s="50">
        <v>0</v>
      </c>
      <c r="F3886" s="51">
        <v>6.0811455125595382E-2</v>
      </c>
      <c r="G3886" s="51" t="str">
        <v>宮坂 2022/09/01 (木)
平日夜間</v>
      </c>
    </row>
    <row r="3887" spans="1:7" ht="16.149999999999999" x14ac:dyDescent="0.7">
      <c r="A3887" s="49">
        <v>44800.794156030097</v>
      </c>
      <c r="B3887" s="50" t="s">
        <v>125</v>
      </c>
      <c r="C3887" s="50" t="s">
        <v>474</v>
      </c>
      <c r="D3887" s="50" t="s">
        <v>259</v>
      </c>
      <c r="E3887" s="50">
        <v>0</v>
      </c>
      <c r="F3887" s="51">
        <v>2.0862579866237185E-2</v>
      </c>
      <c r="G3887" s="51" t="str">
        <v>笠原 2022/09/22 (木)
平日夜間</v>
      </c>
    </row>
    <row r="3888" spans="1:7" ht="16.149999999999999" x14ac:dyDescent="0.7">
      <c r="A3888" s="49">
        <v>44800.794590173609</v>
      </c>
      <c r="B3888" s="50" t="s">
        <v>11</v>
      </c>
      <c r="C3888" s="50" t="s">
        <v>447</v>
      </c>
      <c r="D3888" s="50" t="s">
        <v>259</v>
      </c>
      <c r="E3888" s="50">
        <v>2</v>
      </c>
      <c r="F3888" s="51">
        <v>2.2137139774122998</v>
      </c>
      <c r="G3888" s="51" t="str">
        <v>宮坂 2022/09/02 (金)
平日夜間</v>
      </c>
    </row>
    <row r="3889" spans="1:7" ht="16.149999999999999" x14ac:dyDescent="0.7">
      <c r="A3889" s="49">
        <v>44800.794156030097</v>
      </c>
      <c r="B3889" s="50" t="s">
        <v>125</v>
      </c>
      <c r="C3889" s="50" t="s">
        <v>475</v>
      </c>
      <c r="D3889" s="50" t="s">
        <v>263</v>
      </c>
      <c r="E3889" s="50">
        <v>0</v>
      </c>
      <c r="F3889" s="51">
        <v>0.41758743756283989</v>
      </c>
      <c r="G3889" s="51" t="str">
        <v>笠原 2022/09/23 (金)
休日午前</v>
      </c>
    </row>
    <row r="3890" spans="1:7" ht="16.149999999999999" x14ac:dyDescent="0.7">
      <c r="A3890" s="49">
        <v>44800.794590173609</v>
      </c>
      <c r="B3890" s="50" t="s">
        <v>11</v>
      </c>
      <c r="C3890" s="50" t="s">
        <v>448</v>
      </c>
      <c r="D3890" s="50" t="s">
        <v>263</v>
      </c>
      <c r="E3890" s="50">
        <v>-1</v>
      </c>
      <c r="F3890" s="51">
        <v>-0.5266306102093703</v>
      </c>
      <c r="G3890" s="51" t="str">
        <v>宮坂 2022/09/03 (土)
休日午前</v>
      </c>
    </row>
    <row r="3891" spans="1:7" ht="16.149999999999999" x14ac:dyDescent="0.7">
      <c r="A3891" s="49">
        <v>44800.794156030097</v>
      </c>
      <c r="B3891" s="50" t="s">
        <v>125</v>
      </c>
      <c r="C3891" s="50" t="s">
        <v>476</v>
      </c>
      <c r="D3891" s="50" t="s">
        <v>261</v>
      </c>
      <c r="E3891" s="50">
        <v>0</v>
      </c>
      <c r="F3891" s="51">
        <v>0.48583055470784053</v>
      </c>
      <c r="G3891" s="51" t="str">
        <v>笠原 2022/09/23 (金)
休日午後</v>
      </c>
    </row>
    <row r="3892" spans="1:7" ht="16.149999999999999" x14ac:dyDescent="0.7">
      <c r="A3892" s="49">
        <v>44800.794590173609</v>
      </c>
      <c r="B3892" s="50" t="s">
        <v>11</v>
      </c>
      <c r="C3892" s="50" t="s">
        <v>449</v>
      </c>
      <c r="D3892" s="50" t="s">
        <v>261</v>
      </c>
      <c r="E3892" s="50">
        <v>0</v>
      </c>
      <c r="F3892" s="51">
        <v>0.91669889037377716</v>
      </c>
      <c r="G3892" s="51" t="str">
        <v>宮坂 2022/09/03 (土)
休日午後</v>
      </c>
    </row>
    <row r="3893" spans="1:7" ht="16.149999999999999" x14ac:dyDescent="0.7">
      <c r="A3893" s="49">
        <v>44800.794156030097</v>
      </c>
      <c r="B3893" s="50" t="s">
        <v>125</v>
      </c>
      <c r="C3893" s="50" t="s">
        <v>477</v>
      </c>
      <c r="D3893" s="50" t="s">
        <v>263</v>
      </c>
      <c r="E3893" s="50">
        <v>-1</v>
      </c>
      <c r="F3893" s="51">
        <v>-0.74225028266017001</v>
      </c>
      <c r="G3893" s="51" t="str">
        <v>笠原 2022/09/24 (土)
休日午前</v>
      </c>
    </row>
    <row r="3894" spans="1:7" ht="16.149999999999999" x14ac:dyDescent="0.7">
      <c r="A3894" s="49">
        <v>44800.794590173609</v>
      </c>
      <c r="B3894" s="50" t="s">
        <v>11</v>
      </c>
      <c r="C3894" s="50" t="s">
        <v>450</v>
      </c>
      <c r="D3894" s="50" t="s">
        <v>263</v>
      </c>
      <c r="E3894" s="50">
        <v>1</v>
      </c>
      <c r="F3894" s="51">
        <v>1.6899573966570531</v>
      </c>
      <c r="G3894" s="51" t="str">
        <v>宮坂 2022/09/04 (日)
休日午前</v>
      </c>
    </row>
    <row r="3895" spans="1:7" ht="16.149999999999999" x14ac:dyDescent="0.7">
      <c r="A3895" s="49">
        <v>44800.794156030097</v>
      </c>
      <c r="B3895" s="50" t="s">
        <v>125</v>
      </c>
      <c r="C3895" s="50" t="s">
        <v>478</v>
      </c>
      <c r="D3895" s="50" t="s">
        <v>261</v>
      </c>
      <c r="E3895" s="50">
        <v>-1</v>
      </c>
      <c r="F3895" s="51">
        <v>-0.71469635298637524</v>
      </c>
      <c r="G3895" s="51" t="str">
        <v>笠原 2022/09/24 (土)
休日午後</v>
      </c>
    </row>
    <row r="3896" spans="1:7" ht="16.149999999999999" x14ac:dyDescent="0.7">
      <c r="A3896" s="49">
        <v>44800.794590173609</v>
      </c>
      <c r="B3896" s="50" t="s">
        <v>11</v>
      </c>
      <c r="C3896" s="50" t="s">
        <v>451</v>
      </c>
      <c r="D3896" s="50" t="s">
        <v>261</v>
      </c>
      <c r="E3896" s="50">
        <v>0</v>
      </c>
      <c r="F3896" s="51">
        <v>0.63886415655997419</v>
      </c>
      <c r="G3896" s="51" t="str">
        <v>宮坂 2022/09/04 (日)
休日午後</v>
      </c>
    </row>
    <row r="3897" spans="1:7" ht="16.149999999999999" x14ac:dyDescent="0.7">
      <c r="A3897" s="49">
        <v>44800.794156030097</v>
      </c>
      <c r="B3897" s="50" t="s">
        <v>125</v>
      </c>
      <c r="C3897" s="50" t="s">
        <v>479</v>
      </c>
      <c r="D3897" s="50" t="s">
        <v>263</v>
      </c>
      <c r="E3897" s="50">
        <v>-1</v>
      </c>
      <c r="F3897" s="51">
        <v>-0.11386776986954339</v>
      </c>
      <c r="G3897" s="51" t="str">
        <v>笠原 2022/09/25 (日)
休日午前</v>
      </c>
    </row>
    <row r="3898" spans="1:7" ht="16.149999999999999" x14ac:dyDescent="0.7">
      <c r="A3898" s="49">
        <v>44800.794590173609</v>
      </c>
      <c r="B3898" s="50" t="s">
        <v>11</v>
      </c>
      <c r="C3898" s="50" t="s">
        <v>452</v>
      </c>
      <c r="D3898" s="50" t="s">
        <v>259</v>
      </c>
      <c r="E3898" s="50">
        <v>0</v>
      </c>
      <c r="F3898" s="51">
        <v>0.20951153643375342</v>
      </c>
      <c r="G3898" s="51" t="str">
        <v>宮坂 2022/09/05 (月)
平日夜間</v>
      </c>
    </row>
    <row r="3899" spans="1:7" ht="16.149999999999999" x14ac:dyDescent="0.7">
      <c r="A3899" s="49">
        <v>44800.794156030097</v>
      </c>
      <c r="B3899" s="50" t="s">
        <v>125</v>
      </c>
      <c r="C3899" s="50" t="s">
        <v>480</v>
      </c>
      <c r="D3899" s="50" t="s">
        <v>261</v>
      </c>
      <c r="E3899" s="50">
        <v>-1</v>
      </c>
      <c r="F3899" s="51">
        <v>-0.76016943589277908</v>
      </c>
      <c r="G3899" s="51" t="str">
        <v>笠原 2022/09/25 (日)
休日午後</v>
      </c>
    </row>
    <row r="3900" spans="1:7" ht="16.149999999999999" x14ac:dyDescent="0.7">
      <c r="A3900" s="49">
        <v>44800.794590173609</v>
      </c>
      <c r="B3900" s="50" t="s">
        <v>11</v>
      </c>
      <c r="C3900" s="50" t="s">
        <v>453</v>
      </c>
      <c r="D3900" s="50" t="s">
        <v>259</v>
      </c>
      <c r="E3900" s="50">
        <v>0</v>
      </c>
      <c r="F3900" s="51">
        <v>0.25958690994973943</v>
      </c>
      <c r="G3900" s="51" t="str">
        <v>宮坂 2022/09/06 (火)
平日夜間</v>
      </c>
    </row>
    <row r="3901" spans="1:7" ht="16.149999999999999" x14ac:dyDescent="0.7">
      <c r="A3901" s="49">
        <v>44800.794156030097</v>
      </c>
      <c r="B3901" s="50" t="s">
        <v>125</v>
      </c>
      <c r="C3901" s="50" t="s">
        <v>481</v>
      </c>
      <c r="D3901" s="50" t="s">
        <v>259</v>
      </c>
      <c r="E3901" s="50">
        <v>-1</v>
      </c>
      <c r="F3901" s="51">
        <v>-0.18967961482621098</v>
      </c>
      <c r="G3901" s="51" t="str">
        <v>笠原 2022/09/26 (月)
平日夜間</v>
      </c>
    </row>
    <row r="3902" spans="1:7" ht="16.149999999999999" x14ac:dyDescent="0.7">
      <c r="A3902" s="49">
        <v>44800.794590173609</v>
      </c>
      <c r="B3902" s="50" t="s">
        <v>11</v>
      </c>
      <c r="C3902" s="50" t="s">
        <v>454</v>
      </c>
      <c r="D3902" s="50" t="s">
        <v>259</v>
      </c>
      <c r="E3902" s="50">
        <v>0</v>
      </c>
      <c r="F3902" s="51">
        <v>0.55553769780324491</v>
      </c>
      <c r="G3902" s="51" t="str">
        <v>宮坂 2022/09/07 (水)
平日夜間</v>
      </c>
    </row>
    <row r="3903" spans="1:7" ht="16.149999999999999" x14ac:dyDescent="0.7">
      <c r="A3903" s="49">
        <v>44800.794156030097</v>
      </c>
      <c r="B3903" s="50" t="s">
        <v>125</v>
      </c>
      <c r="C3903" s="50" t="s">
        <v>482</v>
      </c>
      <c r="D3903" s="50" t="s">
        <v>259</v>
      </c>
      <c r="E3903" s="50">
        <v>-1</v>
      </c>
      <c r="F3903" s="51">
        <v>-0.351191839180369</v>
      </c>
      <c r="G3903" s="51" t="str">
        <v>笠原 2022/09/27 (火)
平日夜間</v>
      </c>
    </row>
    <row r="3904" spans="1:7" ht="16.149999999999999" x14ac:dyDescent="0.7">
      <c r="A3904" s="49">
        <v>44800.794590173609</v>
      </c>
      <c r="B3904" s="50" t="s">
        <v>11</v>
      </c>
      <c r="C3904" s="50" t="s">
        <v>455</v>
      </c>
      <c r="D3904" s="50" t="s">
        <v>259</v>
      </c>
      <c r="E3904" s="50">
        <v>0</v>
      </c>
      <c r="F3904" s="51">
        <v>0.78798520843519038</v>
      </c>
      <c r="G3904" s="51" t="str">
        <v>宮坂 2022/09/08 (木)
平日夜間</v>
      </c>
    </row>
    <row r="3905" spans="1:7" ht="16.149999999999999" x14ac:dyDescent="0.7">
      <c r="A3905" s="49">
        <v>44800.794156030097</v>
      </c>
      <c r="B3905" s="50" t="s">
        <v>125</v>
      </c>
      <c r="C3905" s="50" t="s">
        <v>483</v>
      </c>
      <c r="D3905" s="50" t="s">
        <v>259</v>
      </c>
      <c r="E3905" s="50">
        <v>-1</v>
      </c>
      <c r="F3905" s="51">
        <v>-0.41354692015625072</v>
      </c>
      <c r="G3905" s="51" t="str">
        <v>笠原 2022/09/28 (水)
平日夜間</v>
      </c>
    </row>
    <row r="3906" spans="1:7" ht="16.149999999999999" x14ac:dyDescent="0.7">
      <c r="A3906" s="49">
        <v>44800.794590173609</v>
      </c>
      <c r="B3906" s="50" t="s">
        <v>11</v>
      </c>
      <c r="C3906" s="50" t="s">
        <v>456</v>
      </c>
      <c r="D3906" s="50" t="s">
        <v>259</v>
      </c>
      <c r="E3906" s="50">
        <v>1</v>
      </c>
      <c r="F3906" s="51">
        <v>1.3516184229180808</v>
      </c>
      <c r="G3906" s="51" t="str">
        <v>宮坂 2022/09/09 (金)
平日夜間</v>
      </c>
    </row>
    <row r="3907" spans="1:7" ht="16.149999999999999" x14ac:dyDescent="0.7">
      <c r="A3907" s="49">
        <v>44800.794156030097</v>
      </c>
      <c r="B3907" s="50" t="s">
        <v>125</v>
      </c>
      <c r="C3907" s="50" t="s">
        <v>484</v>
      </c>
      <c r="D3907" s="50" t="s">
        <v>259</v>
      </c>
      <c r="E3907" s="50">
        <v>-1</v>
      </c>
      <c r="F3907" s="51">
        <v>-0.64748449156479837</v>
      </c>
      <c r="G3907" s="51" t="str">
        <v>笠原 2022/09/29 (木)
平日夜間</v>
      </c>
    </row>
    <row r="3908" spans="1:7" ht="16.149999999999999" x14ac:dyDescent="0.7">
      <c r="A3908" s="49">
        <v>44800.794590173609</v>
      </c>
      <c r="B3908" s="50" t="s">
        <v>11</v>
      </c>
      <c r="C3908" s="50" t="s">
        <v>457</v>
      </c>
      <c r="D3908" s="50" t="s">
        <v>263</v>
      </c>
      <c r="E3908" s="50">
        <v>1</v>
      </c>
      <c r="F3908" s="51">
        <v>1.6027054832965029</v>
      </c>
      <c r="G3908" s="51" t="str">
        <v>宮坂 2022/09/10 (土)
休日午前</v>
      </c>
    </row>
    <row r="3909" spans="1:7" ht="16.149999999999999" x14ac:dyDescent="0.7">
      <c r="A3909" s="49">
        <v>44800.794156030097</v>
      </c>
      <c r="B3909" s="50" t="s">
        <v>125</v>
      </c>
      <c r="C3909" s="50" t="s">
        <v>485</v>
      </c>
      <c r="D3909" s="50" t="s">
        <v>259</v>
      </c>
      <c r="E3909" s="50">
        <v>-1</v>
      </c>
      <c r="F3909" s="51">
        <v>-0.68842834054349433</v>
      </c>
      <c r="G3909" s="51" t="str">
        <v>笠原 2022/09/30 (金)
平日夜間</v>
      </c>
    </row>
    <row r="3910" spans="1:7" ht="16.149999999999999" x14ac:dyDescent="0.7">
      <c r="A3910" s="49">
        <v>44800.794590173609</v>
      </c>
      <c r="B3910" s="50" t="s">
        <v>11</v>
      </c>
      <c r="C3910" s="50" t="s">
        <v>458</v>
      </c>
      <c r="D3910" s="50" t="s">
        <v>261</v>
      </c>
      <c r="E3910" s="50">
        <v>0</v>
      </c>
      <c r="F3910" s="51">
        <v>0.8917350936715307</v>
      </c>
      <c r="G3910" s="51" t="str">
        <v>宮坂 2022/09/10 (土)
休日午後</v>
      </c>
    </row>
    <row r="3911" spans="1:7" ht="16.149999999999999" x14ac:dyDescent="0.7">
      <c r="A3911" s="49">
        <v>44800.794590173609</v>
      </c>
      <c r="B3911" s="50" t="s">
        <v>11</v>
      </c>
      <c r="C3911" s="50" t="s">
        <v>459</v>
      </c>
      <c r="D3911" s="50" t="s">
        <v>263</v>
      </c>
      <c r="E3911" s="50">
        <v>1</v>
      </c>
      <c r="F3911" s="51">
        <v>1.4422507356890681</v>
      </c>
      <c r="G3911" s="51" t="str">
        <v>宮坂 2022/09/11 (日)
休日午前</v>
      </c>
    </row>
    <row r="3912" spans="1:7" ht="16.149999999999999" x14ac:dyDescent="0.7">
      <c r="A3912" s="49">
        <v>44800.794590173609</v>
      </c>
      <c r="B3912" s="50" t="s">
        <v>11</v>
      </c>
      <c r="C3912" s="50" t="s">
        <v>460</v>
      </c>
      <c r="D3912" s="50" t="s">
        <v>261</v>
      </c>
      <c r="E3912" s="50">
        <v>0</v>
      </c>
      <c r="F3912" s="51">
        <v>0.34552631389621102</v>
      </c>
      <c r="G3912" s="51" t="str">
        <v>宮坂 2022/09/11 (日)
休日午後</v>
      </c>
    </row>
    <row r="3913" spans="1:7" ht="16.149999999999999" x14ac:dyDescent="0.7">
      <c r="A3913" s="49">
        <v>44800.794590173609</v>
      </c>
      <c r="B3913" s="50" t="s">
        <v>11</v>
      </c>
      <c r="C3913" s="50" t="s">
        <v>461</v>
      </c>
      <c r="D3913" s="50" t="s">
        <v>259</v>
      </c>
      <c r="E3913" s="50">
        <v>0</v>
      </c>
      <c r="F3913" s="51">
        <v>0.36894708461561154</v>
      </c>
      <c r="G3913" s="51" t="str">
        <v>宮坂 2022/09/12 (月)
平日夜間</v>
      </c>
    </row>
    <row r="3914" spans="1:7" ht="16.149999999999999" x14ac:dyDescent="0.7">
      <c r="A3914" s="49">
        <v>44800.794590173609</v>
      </c>
      <c r="B3914" s="50" t="s">
        <v>11</v>
      </c>
      <c r="C3914" s="50" t="s">
        <v>462</v>
      </c>
      <c r="D3914" s="50" t="s">
        <v>259</v>
      </c>
      <c r="E3914" s="50">
        <v>0</v>
      </c>
      <c r="F3914" s="51">
        <v>0.43434183728502296</v>
      </c>
      <c r="G3914" s="51" t="str">
        <v>宮坂 2022/09/13 (火)
平日夜間</v>
      </c>
    </row>
    <row r="3915" spans="1:7" ht="16.149999999999999" x14ac:dyDescent="0.7">
      <c r="A3915" s="49">
        <v>44800.794590173609</v>
      </c>
      <c r="B3915" s="50" t="s">
        <v>11</v>
      </c>
      <c r="C3915" s="50" t="s">
        <v>463</v>
      </c>
      <c r="D3915" s="50" t="s">
        <v>259</v>
      </c>
      <c r="E3915" s="50">
        <v>0</v>
      </c>
      <c r="F3915" s="51">
        <v>0.45362892997815174</v>
      </c>
      <c r="G3915" s="51" t="str">
        <v>宮坂 2022/09/14 (水)
平日夜間</v>
      </c>
    </row>
    <row r="3916" spans="1:7" ht="16.149999999999999" x14ac:dyDescent="0.7">
      <c r="A3916" s="49">
        <v>44800.794590173609</v>
      </c>
      <c r="B3916" s="50" t="s">
        <v>11</v>
      </c>
      <c r="C3916" s="50" t="s">
        <v>464</v>
      </c>
      <c r="D3916" s="50" t="s">
        <v>259</v>
      </c>
      <c r="E3916" s="50">
        <v>0</v>
      </c>
      <c r="F3916" s="51">
        <v>0.49600474811841622</v>
      </c>
      <c r="G3916" s="51" t="str">
        <v>宮坂 2022/09/15 (木)
平日夜間</v>
      </c>
    </row>
    <row r="3917" spans="1:7" ht="16.149999999999999" x14ac:dyDescent="0.7">
      <c r="A3917" s="49">
        <v>44800.794590173609</v>
      </c>
      <c r="B3917" s="50" t="s">
        <v>11</v>
      </c>
      <c r="C3917" s="50" t="s">
        <v>465</v>
      </c>
      <c r="D3917" s="50" t="s">
        <v>259</v>
      </c>
      <c r="E3917" s="50">
        <v>1</v>
      </c>
      <c r="F3917" s="51">
        <v>1.8663797187912692</v>
      </c>
      <c r="G3917" s="51" t="str">
        <v>宮坂 2022/09/16 (金)
平日夜間</v>
      </c>
    </row>
    <row r="3918" spans="1:7" ht="16.149999999999999" x14ac:dyDescent="0.7">
      <c r="A3918" s="49">
        <v>44800.794590173609</v>
      </c>
      <c r="B3918" s="50" t="s">
        <v>11</v>
      </c>
      <c r="C3918" s="50" t="s">
        <v>466</v>
      </c>
      <c r="D3918" s="50" t="s">
        <v>263</v>
      </c>
      <c r="E3918" s="50">
        <v>1</v>
      </c>
      <c r="F3918" s="51">
        <v>1.7145675522562192</v>
      </c>
      <c r="G3918" s="51" t="str">
        <v>宮坂 2022/09/17 (土)
休日午前</v>
      </c>
    </row>
    <row r="3919" spans="1:7" ht="16.149999999999999" x14ac:dyDescent="0.7">
      <c r="A3919" s="49">
        <v>44800.794590173609</v>
      </c>
      <c r="B3919" s="50" t="s">
        <v>11</v>
      </c>
      <c r="C3919" s="50" t="s">
        <v>467</v>
      </c>
      <c r="D3919" s="50" t="s">
        <v>261</v>
      </c>
      <c r="E3919" s="50">
        <v>-1</v>
      </c>
      <c r="F3919" s="51">
        <v>-0.73455272204132593</v>
      </c>
      <c r="G3919" s="51" t="str">
        <v>宮坂 2022/09/17 (土)
休日午後</v>
      </c>
    </row>
    <row r="3920" spans="1:7" ht="16.149999999999999" x14ac:dyDescent="0.7">
      <c r="A3920" s="49">
        <v>44800.794590173609</v>
      </c>
      <c r="B3920" s="50" t="s">
        <v>11</v>
      </c>
      <c r="C3920" s="50" t="s">
        <v>468</v>
      </c>
      <c r="D3920" s="50" t="s">
        <v>263</v>
      </c>
      <c r="E3920" s="50">
        <v>-1</v>
      </c>
      <c r="F3920" s="51">
        <v>-0.34769626525549135</v>
      </c>
      <c r="G3920" s="51" t="str">
        <v>宮坂 2022/09/18 (日)
休日午前</v>
      </c>
    </row>
    <row r="3921" spans="1:7" ht="16.149999999999999" x14ac:dyDescent="0.7">
      <c r="A3921" s="49">
        <v>44800.794590173609</v>
      </c>
      <c r="B3921" s="50" t="s">
        <v>11</v>
      </c>
      <c r="C3921" s="50" t="s">
        <v>469</v>
      </c>
      <c r="D3921" s="50" t="s">
        <v>261</v>
      </c>
      <c r="E3921" s="50">
        <v>-1</v>
      </c>
      <c r="F3921" s="51">
        <v>-0.27450831388595365</v>
      </c>
      <c r="G3921" s="51" t="str">
        <v>宮坂 2022/09/18 (日)
休日午後</v>
      </c>
    </row>
    <row r="3922" spans="1:7" ht="16.149999999999999" x14ac:dyDescent="0.7">
      <c r="A3922" s="49">
        <v>44800.794590173609</v>
      </c>
      <c r="B3922" s="50" t="s">
        <v>11</v>
      </c>
      <c r="C3922" s="50" t="s">
        <v>470</v>
      </c>
      <c r="D3922" s="50" t="s">
        <v>263</v>
      </c>
      <c r="E3922" s="50">
        <v>1</v>
      </c>
      <c r="F3922" s="51">
        <v>1.9976940006825026</v>
      </c>
      <c r="G3922" s="51" t="str">
        <v>宮坂 2022/09/19 (月)
休日午前</v>
      </c>
    </row>
    <row r="3923" spans="1:7" ht="16.149999999999999" x14ac:dyDescent="0.7">
      <c r="A3923" s="49">
        <v>44800.794590173609</v>
      </c>
      <c r="B3923" s="50" t="s">
        <v>11</v>
      </c>
      <c r="C3923" s="50" t="s">
        <v>471</v>
      </c>
      <c r="D3923" s="50" t="s">
        <v>261</v>
      </c>
      <c r="E3923" s="50">
        <v>0</v>
      </c>
      <c r="F3923" s="51">
        <v>0.23095363276462999</v>
      </c>
      <c r="G3923" s="51" t="str">
        <v>宮坂 2022/09/19 (月)
休日午後</v>
      </c>
    </row>
    <row r="3924" spans="1:7" ht="16.149999999999999" x14ac:dyDescent="0.7">
      <c r="A3924" s="49">
        <v>44800.794590173609</v>
      </c>
      <c r="B3924" s="50" t="s">
        <v>11</v>
      </c>
      <c r="C3924" s="50" t="s">
        <v>472</v>
      </c>
      <c r="D3924" s="50" t="s">
        <v>259</v>
      </c>
      <c r="E3924" s="50">
        <v>0</v>
      </c>
      <c r="F3924" s="51">
        <v>0.7223173960204714</v>
      </c>
      <c r="G3924" s="51" t="str">
        <v>宮坂 2022/09/20 (火)
平日夜間</v>
      </c>
    </row>
    <row r="3925" spans="1:7" ht="16.149999999999999" x14ac:dyDescent="0.7">
      <c r="A3925" s="49">
        <v>44800.794590173609</v>
      </c>
      <c r="B3925" s="50" t="s">
        <v>11</v>
      </c>
      <c r="C3925" s="50" t="s">
        <v>473</v>
      </c>
      <c r="D3925" s="50" t="s">
        <v>259</v>
      </c>
      <c r="E3925" s="50">
        <v>0</v>
      </c>
      <c r="F3925" s="51">
        <v>0.62907935818126903</v>
      </c>
      <c r="G3925" s="51" t="str">
        <v>宮坂 2022/09/21 (水)
平日夜間</v>
      </c>
    </row>
    <row r="3926" spans="1:7" ht="16.149999999999999" x14ac:dyDescent="0.7">
      <c r="A3926" s="49">
        <v>44800.794590173609</v>
      </c>
      <c r="B3926" s="50" t="s">
        <v>11</v>
      </c>
      <c r="C3926" s="50" t="s">
        <v>474</v>
      </c>
      <c r="D3926" s="50" t="s">
        <v>259</v>
      </c>
      <c r="E3926" s="50">
        <v>1</v>
      </c>
      <c r="F3926" s="51">
        <v>1.1442837999444897</v>
      </c>
      <c r="G3926" s="51" t="str">
        <v>宮坂 2022/09/22 (木)
平日夜間</v>
      </c>
    </row>
    <row r="3927" spans="1:7" ht="16.149999999999999" x14ac:dyDescent="0.7">
      <c r="A3927" s="49">
        <v>44800.794590173609</v>
      </c>
      <c r="B3927" s="50" t="s">
        <v>11</v>
      </c>
      <c r="C3927" s="50" t="s">
        <v>475</v>
      </c>
      <c r="D3927" s="50" t="s">
        <v>263</v>
      </c>
      <c r="E3927" s="50">
        <v>1</v>
      </c>
      <c r="F3927" s="51">
        <v>1.1897827039670947</v>
      </c>
      <c r="G3927" s="51" t="str">
        <v>宮坂 2022/09/23 (金)
休日午前</v>
      </c>
    </row>
    <row r="3928" spans="1:7" ht="16.149999999999999" x14ac:dyDescent="0.7">
      <c r="A3928" s="49">
        <v>44800.794590173609</v>
      </c>
      <c r="B3928" s="50" t="s">
        <v>11</v>
      </c>
      <c r="C3928" s="50" t="s">
        <v>476</v>
      </c>
      <c r="D3928" s="50" t="s">
        <v>261</v>
      </c>
      <c r="E3928" s="50">
        <v>0</v>
      </c>
      <c r="F3928" s="51">
        <v>0.95687852826022546</v>
      </c>
      <c r="G3928" s="51" t="str">
        <v>宮坂 2022/09/23 (金)
休日午後</v>
      </c>
    </row>
    <row r="3929" spans="1:7" ht="16.149999999999999" x14ac:dyDescent="0.7">
      <c r="A3929" s="49">
        <v>44800.794590173609</v>
      </c>
      <c r="B3929" s="50" t="s">
        <v>11</v>
      </c>
      <c r="C3929" s="50" t="s">
        <v>477</v>
      </c>
      <c r="D3929" s="50" t="s">
        <v>263</v>
      </c>
      <c r="E3929" s="50">
        <v>1</v>
      </c>
      <c r="F3929" s="51">
        <v>1.2038801835469375</v>
      </c>
      <c r="G3929" s="51" t="str">
        <v>宮坂 2022/09/24 (土)
休日午前</v>
      </c>
    </row>
    <row r="3930" spans="1:7" ht="16.149999999999999" x14ac:dyDescent="0.7">
      <c r="A3930" s="49">
        <v>44800.794590173609</v>
      </c>
      <c r="B3930" s="50" t="s">
        <v>11</v>
      </c>
      <c r="C3930" s="50" t="s">
        <v>478</v>
      </c>
      <c r="D3930" s="50" t="s">
        <v>261</v>
      </c>
      <c r="E3930" s="50">
        <v>0</v>
      </c>
      <c r="F3930" s="51">
        <v>0.19850169964389619</v>
      </c>
      <c r="G3930" s="51" t="str">
        <v>宮坂 2022/09/24 (土)
休日午後</v>
      </c>
    </row>
    <row r="3931" spans="1:7" ht="16.149999999999999" x14ac:dyDescent="0.7">
      <c r="A3931" s="49">
        <v>44800.794590173609</v>
      </c>
      <c r="B3931" s="50" t="s">
        <v>11</v>
      </c>
      <c r="C3931" s="50" t="s">
        <v>479</v>
      </c>
      <c r="D3931" s="50" t="s">
        <v>263</v>
      </c>
      <c r="E3931" s="50">
        <v>1</v>
      </c>
      <c r="F3931" s="51">
        <v>1.8232285773254149</v>
      </c>
      <c r="G3931" s="51" t="str">
        <v>宮坂 2022/09/25 (日)
休日午前</v>
      </c>
    </row>
    <row r="3932" spans="1:7" ht="16.149999999999999" x14ac:dyDescent="0.7">
      <c r="A3932" s="49">
        <v>44800.794590173609</v>
      </c>
      <c r="B3932" s="50" t="s">
        <v>11</v>
      </c>
      <c r="C3932" s="50" t="s">
        <v>480</v>
      </c>
      <c r="D3932" s="50" t="s">
        <v>261</v>
      </c>
      <c r="E3932" s="50">
        <v>-1</v>
      </c>
      <c r="F3932" s="51">
        <v>-0.86834528955940171</v>
      </c>
      <c r="G3932" s="51" t="str">
        <v>宮坂 2022/09/25 (日)
休日午後</v>
      </c>
    </row>
    <row r="3933" spans="1:7" ht="16.149999999999999" x14ac:dyDescent="0.7">
      <c r="A3933" s="49">
        <v>44800.794590173609</v>
      </c>
      <c r="B3933" s="50" t="s">
        <v>11</v>
      </c>
      <c r="C3933" s="50" t="s">
        <v>481</v>
      </c>
      <c r="D3933" s="50" t="s">
        <v>259</v>
      </c>
      <c r="E3933" s="50">
        <v>0</v>
      </c>
      <c r="F3933" s="51">
        <v>0.55226939842938338</v>
      </c>
      <c r="G3933" s="51" t="str">
        <v>宮坂 2022/09/26 (月)
平日夜間</v>
      </c>
    </row>
    <row r="3934" spans="1:7" ht="16.149999999999999" x14ac:dyDescent="0.7">
      <c r="A3934" s="49">
        <v>44800.794590173609</v>
      </c>
      <c r="B3934" s="50" t="s">
        <v>11</v>
      </c>
      <c r="C3934" s="50" t="s">
        <v>482</v>
      </c>
      <c r="D3934" s="50" t="s">
        <v>259</v>
      </c>
      <c r="E3934" s="50">
        <v>0</v>
      </c>
      <c r="F3934" s="51">
        <v>0.78492336168247312</v>
      </c>
      <c r="G3934" s="51" t="str">
        <v>宮坂 2022/09/27 (火)
平日夜間</v>
      </c>
    </row>
    <row r="3935" spans="1:7" ht="16.149999999999999" x14ac:dyDescent="0.7">
      <c r="A3935" s="49">
        <v>44800.794590173609</v>
      </c>
      <c r="B3935" s="50" t="s">
        <v>11</v>
      </c>
      <c r="C3935" s="50" t="s">
        <v>483</v>
      </c>
      <c r="D3935" s="50" t="s">
        <v>259</v>
      </c>
      <c r="E3935" s="50">
        <v>0</v>
      </c>
      <c r="F3935" s="51">
        <v>0.47517707767142303</v>
      </c>
      <c r="G3935" s="51" t="str">
        <v>宮坂 2022/09/28 (水)
平日夜間</v>
      </c>
    </row>
    <row r="3936" spans="1:7" ht="16.149999999999999" x14ac:dyDescent="0.7">
      <c r="A3936" s="49">
        <v>44800.794590173609</v>
      </c>
      <c r="B3936" s="50" t="s">
        <v>11</v>
      </c>
      <c r="C3936" s="50" t="s">
        <v>484</v>
      </c>
      <c r="D3936" s="50" t="s">
        <v>259</v>
      </c>
      <c r="E3936" s="50">
        <v>0</v>
      </c>
      <c r="F3936" s="51">
        <v>0.76790099858948868</v>
      </c>
      <c r="G3936" s="51" t="str">
        <v>宮坂 2022/09/29 (木)
平日夜間</v>
      </c>
    </row>
    <row r="3937" spans="1:7" ht="16.149999999999999" x14ac:dyDescent="0.7">
      <c r="A3937" s="49">
        <v>44800.794590173609</v>
      </c>
      <c r="B3937" s="50" t="s">
        <v>11</v>
      </c>
      <c r="C3937" s="50" t="s">
        <v>485</v>
      </c>
      <c r="D3937" s="50" t="s">
        <v>259</v>
      </c>
      <c r="E3937" s="50">
        <v>1</v>
      </c>
      <c r="F3937" s="51">
        <v>1.3748167617081888</v>
      </c>
      <c r="G3937" s="51" t="str">
        <v>宮坂 2022/09/30 (金)
平日夜間</v>
      </c>
    </row>
    <row r="3938" spans="1:7" ht="16.149999999999999" x14ac:dyDescent="0.7">
      <c r="A3938" s="49">
        <v>44800.795902280093</v>
      </c>
      <c r="B3938" s="50" t="s">
        <v>19</v>
      </c>
      <c r="C3938" s="50" t="s">
        <v>446</v>
      </c>
      <c r="D3938" s="50" t="s">
        <v>259</v>
      </c>
      <c r="E3938" s="50">
        <v>0</v>
      </c>
      <c r="F3938" s="51">
        <v>0.23481010763595256</v>
      </c>
      <c r="G3938" s="51" t="str">
        <v>佐藤 2022/09/01 (木)
平日夜間</v>
      </c>
    </row>
    <row r="3939" spans="1:7" ht="16.149999999999999" x14ac:dyDescent="0.7">
      <c r="A3939" s="49">
        <v>44800.795902280093</v>
      </c>
      <c r="B3939" s="50" t="s">
        <v>19</v>
      </c>
      <c r="C3939" s="50" t="s">
        <v>447</v>
      </c>
      <c r="D3939" s="50" t="s">
        <v>259</v>
      </c>
      <c r="E3939" s="50">
        <v>-1</v>
      </c>
      <c r="F3939" s="51">
        <v>-0.33810679093548113</v>
      </c>
      <c r="G3939" s="51" t="str">
        <v>佐藤 2022/09/02 (金)
平日夜間</v>
      </c>
    </row>
    <row r="3940" spans="1:7" ht="16.149999999999999" x14ac:dyDescent="0.7">
      <c r="A3940" s="49">
        <v>44800.795902280093</v>
      </c>
      <c r="B3940" s="50" t="s">
        <v>19</v>
      </c>
      <c r="C3940" s="50" t="s">
        <v>448</v>
      </c>
      <c r="D3940" s="50" t="s">
        <v>263</v>
      </c>
      <c r="E3940" s="50">
        <v>-1</v>
      </c>
      <c r="F3940" s="51">
        <v>-0.95223515045781615</v>
      </c>
      <c r="G3940" s="51" t="str">
        <v>佐藤 2022/09/03 (土)
休日午前</v>
      </c>
    </row>
    <row r="3941" spans="1:7" ht="16.149999999999999" x14ac:dyDescent="0.7">
      <c r="A3941" s="49">
        <v>44800.795902280093</v>
      </c>
      <c r="B3941" s="50" t="s">
        <v>19</v>
      </c>
      <c r="C3941" s="50" t="s">
        <v>449</v>
      </c>
      <c r="D3941" s="50" t="s">
        <v>261</v>
      </c>
      <c r="E3941" s="50">
        <v>-1</v>
      </c>
      <c r="F3941" s="51">
        <v>-0.84157436444863376</v>
      </c>
      <c r="G3941" s="51" t="str">
        <v>佐藤 2022/09/03 (土)
休日午後</v>
      </c>
    </row>
    <row r="3942" spans="1:7" ht="16.149999999999999" x14ac:dyDescent="0.7">
      <c r="A3942" s="49">
        <v>44800.795902280093</v>
      </c>
      <c r="B3942" s="50" t="s">
        <v>19</v>
      </c>
      <c r="C3942" s="50" t="s">
        <v>450</v>
      </c>
      <c r="D3942" s="50" t="s">
        <v>263</v>
      </c>
      <c r="E3942" s="50">
        <v>-1</v>
      </c>
      <c r="F3942" s="51">
        <v>-0.97466157247207108</v>
      </c>
      <c r="G3942" s="51" t="str">
        <v>佐藤 2022/09/04 (日)
休日午前</v>
      </c>
    </row>
    <row r="3943" spans="1:7" ht="16.149999999999999" x14ac:dyDescent="0.7">
      <c r="A3943" s="49">
        <v>44800.795902280093</v>
      </c>
      <c r="B3943" s="50" t="s">
        <v>19</v>
      </c>
      <c r="C3943" s="50" t="s">
        <v>451</v>
      </c>
      <c r="D3943" s="50" t="s">
        <v>261</v>
      </c>
      <c r="E3943" s="50">
        <v>-1</v>
      </c>
      <c r="F3943" s="51">
        <v>-0.64641875565875195</v>
      </c>
      <c r="G3943" s="51" t="str">
        <v>佐藤 2022/09/04 (日)
休日午後</v>
      </c>
    </row>
    <row r="3944" spans="1:7" ht="16.149999999999999" x14ac:dyDescent="0.7">
      <c r="A3944" s="49">
        <v>44800.795902280093</v>
      </c>
      <c r="B3944" s="50" t="s">
        <v>19</v>
      </c>
      <c r="C3944" s="50" t="s">
        <v>452</v>
      </c>
      <c r="D3944" s="50" t="s">
        <v>259</v>
      </c>
      <c r="E3944" s="50">
        <v>-1</v>
      </c>
      <c r="F3944" s="51">
        <v>-0.51510105987358301</v>
      </c>
      <c r="G3944" s="51" t="str">
        <v>佐藤 2022/09/05 (月)
平日夜間</v>
      </c>
    </row>
    <row r="3945" spans="1:7" ht="16.149999999999999" x14ac:dyDescent="0.7">
      <c r="A3945" s="49">
        <v>44800.795902280093</v>
      </c>
      <c r="B3945" s="50" t="s">
        <v>19</v>
      </c>
      <c r="C3945" s="50" t="s">
        <v>453</v>
      </c>
      <c r="D3945" s="50" t="s">
        <v>259</v>
      </c>
      <c r="E3945" s="50">
        <v>-1</v>
      </c>
      <c r="F3945" s="51">
        <v>-0.75541685883392651</v>
      </c>
      <c r="G3945" s="51" t="str">
        <v>佐藤 2022/09/06 (火)
平日夜間</v>
      </c>
    </row>
    <row r="3946" spans="1:7" ht="16.149999999999999" x14ac:dyDescent="0.7">
      <c r="A3946" s="49">
        <v>44800.795902280093</v>
      </c>
      <c r="B3946" s="50" t="s">
        <v>19</v>
      </c>
      <c r="C3946" s="50" t="s">
        <v>454</v>
      </c>
      <c r="D3946" s="50" t="s">
        <v>259</v>
      </c>
      <c r="E3946" s="50">
        <v>-1</v>
      </c>
      <c r="F3946" s="51">
        <v>-0.73730528284703833</v>
      </c>
      <c r="G3946" s="51" t="str">
        <v>佐藤 2022/09/07 (水)
平日夜間</v>
      </c>
    </row>
    <row r="3947" spans="1:7" ht="16.149999999999999" x14ac:dyDescent="0.7">
      <c r="A3947" s="49">
        <v>44800.795902280093</v>
      </c>
      <c r="B3947" s="50" t="s">
        <v>19</v>
      </c>
      <c r="C3947" s="50" t="s">
        <v>455</v>
      </c>
      <c r="D3947" s="50" t="s">
        <v>259</v>
      </c>
      <c r="E3947" s="50">
        <v>0</v>
      </c>
      <c r="F3947" s="51">
        <v>0.267830040862993</v>
      </c>
      <c r="G3947" s="51" t="str">
        <v>佐藤 2022/09/08 (木)
平日夜間</v>
      </c>
    </row>
    <row r="3948" spans="1:7" ht="16.149999999999999" x14ac:dyDescent="0.7">
      <c r="A3948" s="49">
        <v>44800.795902280093</v>
      </c>
      <c r="B3948" s="50" t="s">
        <v>19</v>
      </c>
      <c r="C3948" s="50" t="s">
        <v>456</v>
      </c>
      <c r="D3948" s="50" t="s">
        <v>259</v>
      </c>
      <c r="E3948" s="50">
        <v>-1</v>
      </c>
      <c r="F3948" s="51">
        <v>-0.16780461992728091</v>
      </c>
      <c r="G3948" s="51" t="str">
        <v>佐藤 2022/09/09 (金)
平日夜間</v>
      </c>
    </row>
    <row r="3949" spans="1:7" ht="16.149999999999999" x14ac:dyDescent="0.7">
      <c r="A3949" s="49">
        <v>44800.795902280093</v>
      </c>
      <c r="B3949" s="50" t="s">
        <v>19</v>
      </c>
      <c r="C3949" s="50" t="s">
        <v>457</v>
      </c>
      <c r="D3949" s="50" t="s">
        <v>263</v>
      </c>
      <c r="E3949" s="50">
        <v>1</v>
      </c>
      <c r="F3949" s="51">
        <v>1.7203009324142575</v>
      </c>
      <c r="G3949" s="51" t="str">
        <v>佐藤 2022/09/10 (土)
休日午前</v>
      </c>
    </row>
    <row r="3950" spans="1:7" ht="16.149999999999999" x14ac:dyDescent="0.7">
      <c r="A3950" s="49">
        <v>44800.795902280093</v>
      </c>
      <c r="B3950" s="50" t="s">
        <v>19</v>
      </c>
      <c r="C3950" s="50" t="s">
        <v>458</v>
      </c>
      <c r="D3950" s="50" t="s">
        <v>261</v>
      </c>
      <c r="E3950" s="50">
        <v>-1</v>
      </c>
      <c r="F3950" s="51">
        <v>-0.21734396871131789</v>
      </c>
      <c r="G3950" s="51" t="str">
        <v>佐藤 2022/09/10 (土)
休日午後</v>
      </c>
    </row>
    <row r="3951" spans="1:7" ht="16.149999999999999" x14ac:dyDescent="0.7">
      <c r="A3951" s="49">
        <v>44800.795902280093</v>
      </c>
      <c r="B3951" s="50" t="s">
        <v>19</v>
      </c>
      <c r="C3951" s="50" t="s">
        <v>459</v>
      </c>
      <c r="D3951" s="50" t="s">
        <v>263</v>
      </c>
      <c r="E3951" s="50">
        <v>-1</v>
      </c>
      <c r="F3951" s="51">
        <v>-2.5266106383127429E-2</v>
      </c>
      <c r="G3951" s="51" t="str">
        <v>佐藤 2022/09/11 (日)
休日午前</v>
      </c>
    </row>
    <row r="3952" spans="1:7" ht="16.149999999999999" x14ac:dyDescent="0.7">
      <c r="A3952" s="49">
        <v>44800.795902280093</v>
      </c>
      <c r="B3952" s="50" t="s">
        <v>19</v>
      </c>
      <c r="C3952" s="50" t="s">
        <v>460</v>
      </c>
      <c r="D3952" s="50" t="s">
        <v>261</v>
      </c>
      <c r="E3952" s="50">
        <v>-1</v>
      </c>
      <c r="F3952" s="51">
        <v>-0.70585125936258586</v>
      </c>
      <c r="G3952" s="51" t="str">
        <v>佐藤 2022/09/11 (日)
休日午後</v>
      </c>
    </row>
    <row r="3953" spans="1:7" ht="16.149999999999999" x14ac:dyDescent="0.7">
      <c r="A3953" s="49">
        <v>44800.795902280093</v>
      </c>
      <c r="B3953" s="50" t="s">
        <v>19</v>
      </c>
      <c r="C3953" s="50" t="s">
        <v>461</v>
      </c>
      <c r="D3953" s="50" t="s">
        <v>259</v>
      </c>
      <c r="E3953" s="50">
        <v>-1</v>
      </c>
      <c r="F3953" s="51">
        <v>-0.64552713535591089</v>
      </c>
      <c r="G3953" s="51" t="str">
        <v>佐藤 2022/09/12 (月)
平日夜間</v>
      </c>
    </row>
    <row r="3954" spans="1:7" ht="16.149999999999999" x14ac:dyDescent="0.7">
      <c r="A3954" s="49">
        <v>44800.795902280093</v>
      </c>
      <c r="B3954" s="50" t="s">
        <v>19</v>
      </c>
      <c r="C3954" s="50" t="s">
        <v>462</v>
      </c>
      <c r="D3954" s="50" t="s">
        <v>259</v>
      </c>
      <c r="E3954" s="50">
        <v>-1</v>
      </c>
      <c r="F3954" s="51">
        <v>-0.47725503699351979</v>
      </c>
      <c r="G3954" s="51" t="str">
        <v>佐藤 2022/09/13 (火)
平日夜間</v>
      </c>
    </row>
    <row r="3955" spans="1:7" ht="16.149999999999999" x14ac:dyDescent="0.7">
      <c r="A3955" s="49">
        <v>44800.795902280093</v>
      </c>
      <c r="B3955" s="50" t="s">
        <v>19</v>
      </c>
      <c r="C3955" s="50" t="s">
        <v>463</v>
      </c>
      <c r="D3955" s="50" t="s">
        <v>259</v>
      </c>
      <c r="E3955" s="50">
        <v>-1</v>
      </c>
      <c r="F3955" s="51">
        <v>-0.41895076081722515</v>
      </c>
      <c r="G3955" s="51" t="str">
        <v>佐藤 2022/09/14 (水)
平日夜間</v>
      </c>
    </row>
    <row r="3956" spans="1:7" ht="16.149999999999999" x14ac:dyDescent="0.7">
      <c r="A3956" s="49">
        <v>44800.795902280093</v>
      </c>
      <c r="B3956" s="50" t="s">
        <v>19</v>
      </c>
      <c r="C3956" s="50" t="s">
        <v>464</v>
      </c>
      <c r="D3956" s="50" t="s">
        <v>259</v>
      </c>
      <c r="E3956" s="50">
        <v>0</v>
      </c>
      <c r="F3956" s="51">
        <v>0.78602371752987632</v>
      </c>
      <c r="G3956" s="51" t="str">
        <v>佐藤 2022/09/15 (木)
平日夜間</v>
      </c>
    </row>
    <row r="3957" spans="1:7" ht="16.149999999999999" x14ac:dyDescent="0.7">
      <c r="A3957" s="49">
        <v>44800.795902280093</v>
      </c>
      <c r="B3957" s="50" t="s">
        <v>19</v>
      </c>
      <c r="C3957" s="50" t="s">
        <v>465</v>
      </c>
      <c r="D3957" s="50" t="s">
        <v>259</v>
      </c>
      <c r="E3957" s="50">
        <v>-1</v>
      </c>
      <c r="F3957" s="51">
        <v>-0.73878143758261738</v>
      </c>
      <c r="G3957" s="51" t="str">
        <v>佐藤 2022/09/16 (金)
平日夜間</v>
      </c>
    </row>
    <row r="3958" spans="1:7" ht="16.149999999999999" x14ac:dyDescent="0.7">
      <c r="A3958" s="49">
        <v>44800.795902280093</v>
      </c>
      <c r="B3958" s="50" t="s">
        <v>19</v>
      </c>
      <c r="C3958" s="50" t="s">
        <v>466</v>
      </c>
      <c r="D3958" s="50" t="s">
        <v>263</v>
      </c>
      <c r="E3958" s="50">
        <v>-1</v>
      </c>
      <c r="F3958" s="51">
        <v>-0.83109502454499906</v>
      </c>
      <c r="G3958" s="51" t="str">
        <v>佐藤 2022/09/17 (土)
休日午前</v>
      </c>
    </row>
    <row r="3959" spans="1:7" ht="16.149999999999999" x14ac:dyDescent="0.7">
      <c r="A3959" s="49">
        <v>44800.795902280093</v>
      </c>
      <c r="B3959" s="50" t="s">
        <v>19</v>
      </c>
      <c r="C3959" s="50" t="s">
        <v>467</v>
      </c>
      <c r="D3959" s="50" t="s">
        <v>261</v>
      </c>
      <c r="E3959" s="50">
        <v>-1</v>
      </c>
      <c r="F3959" s="51">
        <v>-0.11733573298966915</v>
      </c>
      <c r="G3959" s="51" t="str">
        <v>佐藤 2022/09/17 (土)
休日午後</v>
      </c>
    </row>
    <row r="3960" spans="1:7" ht="16.149999999999999" x14ac:dyDescent="0.7">
      <c r="A3960" s="49">
        <v>44800.795902280093</v>
      </c>
      <c r="B3960" s="50" t="s">
        <v>19</v>
      </c>
      <c r="C3960" s="50" t="s">
        <v>468</v>
      </c>
      <c r="D3960" s="50" t="s">
        <v>263</v>
      </c>
      <c r="E3960" s="50">
        <v>2</v>
      </c>
      <c r="F3960" s="51">
        <v>2.5414979757423133</v>
      </c>
      <c r="G3960" s="51" t="str">
        <v>佐藤 2022/09/18 (日)
休日午前</v>
      </c>
    </row>
    <row r="3961" spans="1:7" ht="16.149999999999999" x14ac:dyDescent="0.7">
      <c r="A3961" s="49">
        <v>44800.795902280093</v>
      </c>
      <c r="B3961" s="50" t="s">
        <v>19</v>
      </c>
      <c r="C3961" s="50" t="s">
        <v>469</v>
      </c>
      <c r="D3961" s="50" t="s">
        <v>261</v>
      </c>
      <c r="E3961" s="50">
        <v>-1</v>
      </c>
      <c r="F3961" s="51">
        <v>-3.5821483591411019E-2</v>
      </c>
      <c r="G3961" s="51" t="str">
        <v>佐藤 2022/09/18 (日)
休日午後</v>
      </c>
    </row>
    <row r="3962" spans="1:7" ht="16.149999999999999" x14ac:dyDescent="0.7">
      <c r="A3962" s="49">
        <v>44800.795902280093</v>
      </c>
      <c r="B3962" s="50" t="s">
        <v>19</v>
      </c>
      <c r="C3962" s="50" t="s">
        <v>470</v>
      </c>
      <c r="D3962" s="50" t="s">
        <v>263</v>
      </c>
      <c r="E3962" s="50">
        <v>-1</v>
      </c>
      <c r="F3962" s="51">
        <v>-3.827970732430197E-2</v>
      </c>
      <c r="G3962" s="51" t="str">
        <v>佐藤 2022/09/19 (月)
休日午前</v>
      </c>
    </row>
    <row r="3963" spans="1:7" ht="16.149999999999999" x14ac:dyDescent="0.7">
      <c r="A3963" s="49">
        <v>44800.795902280093</v>
      </c>
      <c r="B3963" s="50" t="s">
        <v>19</v>
      </c>
      <c r="C3963" s="50" t="s">
        <v>471</v>
      </c>
      <c r="D3963" s="50" t="s">
        <v>261</v>
      </c>
      <c r="E3963" s="50">
        <v>-1</v>
      </c>
      <c r="F3963" s="51">
        <v>-0.9123103513447981</v>
      </c>
      <c r="G3963" s="51" t="str">
        <v>佐藤 2022/09/19 (月)
休日午後</v>
      </c>
    </row>
    <row r="3964" spans="1:7" ht="16.149999999999999" x14ac:dyDescent="0.7">
      <c r="A3964" s="49">
        <v>44800.795902280093</v>
      </c>
      <c r="B3964" s="50" t="s">
        <v>19</v>
      </c>
      <c r="C3964" s="50" t="s">
        <v>472</v>
      </c>
      <c r="D3964" s="50" t="s">
        <v>259</v>
      </c>
      <c r="E3964" s="50">
        <v>0</v>
      </c>
      <c r="F3964" s="51">
        <v>0.7791558686716038</v>
      </c>
      <c r="G3964" s="51" t="str">
        <v>佐藤 2022/09/20 (火)
平日夜間</v>
      </c>
    </row>
    <row r="3965" spans="1:7" ht="16.149999999999999" x14ac:dyDescent="0.7">
      <c r="A3965" s="49">
        <v>44800.795902280093</v>
      </c>
      <c r="B3965" s="50" t="s">
        <v>19</v>
      </c>
      <c r="C3965" s="50" t="s">
        <v>473</v>
      </c>
      <c r="D3965" s="50" t="s">
        <v>259</v>
      </c>
      <c r="E3965" s="50">
        <v>0</v>
      </c>
      <c r="F3965" s="51">
        <v>2.5101165944714898E-2</v>
      </c>
      <c r="G3965" s="51" t="str">
        <v>佐藤 2022/09/21 (水)
平日夜間</v>
      </c>
    </row>
    <row r="3966" spans="1:7" ht="16.149999999999999" x14ac:dyDescent="0.7">
      <c r="A3966" s="49">
        <v>44800.795902280093</v>
      </c>
      <c r="B3966" s="50" t="s">
        <v>19</v>
      </c>
      <c r="C3966" s="50" t="s">
        <v>474</v>
      </c>
      <c r="D3966" s="50" t="s">
        <v>259</v>
      </c>
      <c r="E3966" s="50">
        <v>-1</v>
      </c>
      <c r="F3966" s="51">
        <v>-0.47871705684262711</v>
      </c>
      <c r="G3966" s="51" t="str">
        <v>佐藤 2022/09/22 (木)
平日夜間</v>
      </c>
    </row>
    <row r="3967" spans="1:7" ht="16.149999999999999" x14ac:dyDescent="0.7">
      <c r="A3967" s="49">
        <v>44800.795902280093</v>
      </c>
      <c r="B3967" s="50" t="s">
        <v>19</v>
      </c>
      <c r="C3967" s="50" t="s">
        <v>475</v>
      </c>
      <c r="D3967" s="50" t="s">
        <v>263</v>
      </c>
      <c r="E3967" s="50">
        <v>-1</v>
      </c>
      <c r="F3967" s="51">
        <v>-0.68045606332785868</v>
      </c>
      <c r="G3967" s="51" t="str">
        <v>佐藤 2022/09/23 (金)
休日午前</v>
      </c>
    </row>
    <row r="3968" spans="1:7" ht="16.149999999999999" x14ac:dyDescent="0.7">
      <c r="A3968" s="49">
        <v>44800.795902280093</v>
      </c>
      <c r="B3968" s="50" t="s">
        <v>19</v>
      </c>
      <c r="C3968" s="50" t="s">
        <v>476</v>
      </c>
      <c r="D3968" s="50" t="s">
        <v>261</v>
      </c>
      <c r="E3968" s="50">
        <v>-1</v>
      </c>
      <c r="F3968" s="51">
        <v>-0.21141575399145052</v>
      </c>
      <c r="G3968" s="51" t="str">
        <v>佐藤 2022/09/23 (金)
休日午後</v>
      </c>
    </row>
    <row r="3969" spans="1:7" ht="16.149999999999999" x14ac:dyDescent="0.7">
      <c r="A3969" s="49">
        <v>44800.795902280093</v>
      </c>
      <c r="B3969" s="50" t="s">
        <v>19</v>
      </c>
      <c r="C3969" s="50" t="s">
        <v>477</v>
      </c>
      <c r="D3969" s="50" t="s">
        <v>263</v>
      </c>
      <c r="E3969" s="50">
        <v>-1</v>
      </c>
      <c r="F3969" s="51">
        <v>-0.47320590961544795</v>
      </c>
      <c r="G3969" s="51" t="str">
        <v>佐藤 2022/09/24 (土)
休日午前</v>
      </c>
    </row>
    <row r="3970" spans="1:7" ht="16.149999999999999" x14ac:dyDescent="0.7">
      <c r="A3970" s="49">
        <v>44800.795902280093</v>
      </c>
      <c r="B3970" s="50" t="s">
        <v>19</v>
      </c>
      <c r="C3970" s="50" t="s">
        <v>478</v>
      </c>
      <c r="D3970" s="50" t="s">
        <v>261</v>
      </c>
      <c r="E3970" s="50">
        <v>-1</v>
      </c>
      <c r="F3970" s="51">
        <v>-0.78319996933850233</v>
      </c>
      <c r="G3970" s="51" t="str">
        <v>佐藤 2022/09/24 (土)
休日午後</v>
      </c>
    </row>
    <row r="3971" spans="1:7" ht="16.149999999999999" x14ac:dyDescent="0.7">
      <c r="A3971" s="49">
        <v>44800.795902280093</v>
      </c>
      <c r="B3971" s="50" t="s">
        <v>19</v>
      </c>
      <c r="C3971" s="50" t="s">
        <v>479</v>
      </c>
      <c r="D3971" s="50" t="s">
        <v>263</v>
      </c>
      <c r="E3971" s="50">
        <v>-1</v>
      </c>
      <c r="F3971" s="51">
        <v>-0.78102939886250433</v>
      </c>
      <c r="G3971" s="51" t="str">
        <v>佐藤 2022/09/25 (日)
休日午前</v>
      </c>
    </row>
    <row r="3972" spans="1:7" ht="16.149999999999999" x14ac:dyDescent="0.7">
      <c r="A3972" s="49">
        <v>44800.795902280093</v>
      </c>
      <c r="B3972" s="50" t="s">
        <v>19</v>
      </c>
      <c r="C3972" s="50" t="s">
        <v>480</v>
      </c>
      <c r="D3972" s="50" t="s">
        <v>261</v>
      </c>
      <c r="E3972" s="50">
        <v>-1</v>
      </c>
      <c r="F3972" s="51">
        <v>-0.94344520477871074</v>
      </c>
      <c r="G3972" s="51" t="str">
        <v>佐藤 2022/09/25 (日)
休日午後</v>
      </c>
    </row>
    <row r="3973" spans="1:7" ht="16.149999999999999" x14ac:dyDescent="0.7">
      <c r="A3973" s="49">
        <v>44800.795902280093</v>
      </c>
      <c r="B3973" s="50" t="s">
        <v>19</v>
      </c>
      <c r="C3973" s="50" t="s">
        <v>481</v>
      </c>
      <c r="D3973" s="50" t="s">
        <v>259</v>
      </c>
      <c r="E3973" s="50">
        <v>-1</v>
      </c>
      <c r="F3973" s="51">
        <v>-0.42626873935657716</v>
      </c>
      <c r="G3973" s="51" t="str">
        <v>佐藤 2022/09/26 (月)
平日夜間</v>
      </c>
    </row>
    <row r="3974" spans="1:7" ht="16.149999999999999" x14ac:dyDescent="0.7">
      <c r="A3974" s="49">
        <v>44800.795902280093</v>
      </c>
      <c r="B3974" s="50" t="s">
        <v>19</v>
      </c>
      <c r="C3974" s="50" t="s">
        <v>482</v>
      </c>
      <c r="D3974" s="50" t="s">
        <v>259</v>
      </c>
      <c r="E3974" s="50">
        <v>0</v>
      </c>
      <c r="F3974" s="51">
        <v>6.6231673784700851E-2</v>
      </c>
      <c r="G3974" s="51" t="str">
        <v>佐藤 2022/09/27 (火)
平日夜間</v>
      </c>
    </row>
    <row r="3975" spans="1:7" ht="16.149999999999999" x14ac:dyDescent="0.7">
      <c r="A3975" s="49">
        <v>44800.795902280093</v>
      </c>
      <c r="B3975" s="50" t="s">
        <v>19</v>
      </c>
      <c r="C3975" s="50" t="s">
        <v>483</v>
      </c>
      <c r="D3975" s="50" t="s">
        <v>259</v>
      </c>
      <c r="E3975" s="50">
        <v>0</v>
      </c>
      <c r="F3975" s="51">
        <v>0.51692068867880403</v>
      </c>
      <c r="G3975" s="51" t="str">
        <v>佐藤 2022/09/28 (水)
平日夜間</v>
      </c>
    </row>
    <row r="3976" spans="1:7" ht="16.149999999999999" x14ac:dyDescent="0.7">
      <c r="A3976" s="49">
        <v>44800.795902280093</v>
      </c>
      <c r="B3976" s="50" t="s">
        <v>19</v>
      </c>
      <c r="C3976" s="50" t="s">
        <v>484</v>
      </c>
      <c r="D3976" s="50" t="s">
        <v>259</v>
      </c>
      <c r="E3976" s="50">
        <v>0</v>
      </c>
      <c r="F3976" s="51">
        <v>0.59950531173855004</v>
      </c>
      <c r="G3976" s="51" t="str">
        <v>佐藤 2022/09/29 (木)
平日夜間</v>
      </c>
    </row>
    <row r="3977" spans="1:7" ht="16.149999999999999" x14ac:dyDescent="0.7">
      <c r="A3977" s="49">
        <v>44800.795902280093</v>
      </c>
      <c r="B3977" s="50" t="s">
        <v>19</v>
      </c>
      <c r="C3977" s="50" t="s">
        <v>485</v>
      </c>
      <c r="D3977" s="50" t="s">
        <v>259</v>
      </c>
      <c r="E3977" s="50">
        <v>-1</v>
      </c>
      <c r="F3977" s="51">
        <v>-0.71640880885271918</v>
      </c>
      <c r="G3977" s="51" t="str">
        <v>佐藤 2022/09/30 (金)
平日夜間</v>
      </c>
    </row>
    <row r="3978" spans="1:7" ht="16.149999999999999" x14ac:dyDescent="0.7">
      <c r="A3978" s="49">
        <v>44800.811164247687</v>
      </c>
      <c r="B3978" s="50" t="s">
        <v>10</v>
      </c>
      <c r="C3978" s="50" t="s">
        <v>446</v>
      </c>
      <c r="D3978" s="50" t="s">
        <v>259</v>
      </c>
      <c r="E3978" s="50">
        <v>1</v>
      </c>
      <c r="F3978" s="51">
        <v>1.0635910998234595</v>
      </c>
      <c r="G3978" s="51" t="str">
        <v>福井 2022/09/01 (木)
平日夜間</v>
      </c>
    </row>
    <row r="3979" spans="1:7" ht="16.149999999999999" x14ac:dyDescent="0.7">
      <c r="A3979" s="49">
        <v>44800.811164247687</v>
      </c>
      <c r="B3979" s="50" t="s">
        <v>10</v>
      </c>
      <c r="C3979" s="50" t="s">
        <v>447</v>
      </c>
      <c r="D3979" s="50" t="s">
        <v>259</v>
      </c>
      <c r="E3979" s="50">
        <v>1</v>
      </c>
      <c r="F3979" s="51">
        <v>1.6954703484031941</v>
      </c>
      <c r="G3979" s="51" t="str">
        <v>福井 2022/09/02 (金)
平日夜間</v>
      </c>
    </row>
    <row r="3980" spans="1:7" ht="16.149999999999999" x14ac:dyDescent="0.7">
      <c r="A3980" s="49">
        <v>44800.811164247687</v>
      </c>
      <c r="B3980" s="50" t="s">
        <v>10</v>
      </c>
      <c r="C3980" s="50" t="s">
        <v>448</v>
      </c>
      <c r="D3980" s="50" t="s">
        <v>263</v>
      </c>
      <c r="E3980" s="50">
        <v>-1</v>
      </c>
      <c r="F3980" s="51">
        <v>-0.39798626661630987</v>
      </c>
      <c r="G3980" s="51" t="str">
        <v>福井 2022/09/03 (土)
休日午前</v>
      </c>
    </row>
    <row r="3981" spans="1:7" ht="16.149999999999999" x14ac:dyDescent="0.7">
      <c r="A3981" s="49">
        <v>44800.811164247687</v>
      </c>
      <c r="B3981" s="50" t="s">
        <v>10</v>
      </c>
      <c r="C3981" s="50" t="s">
        <v>449</v>
      </c>
      <c r="D3981" s="50" t="s">
        <v>261</v>
      </c>
      <c r="E3981" s="50">
        <v>2</v>
      </c>
      <c r="F3981" s="51">
        <v>2.8938512563557985</v>
      </c>
      <c r="G3981" s="51" t="str">
        <v>福井 2022/09/03 (土)
休日午後</v>
      </c>
    </row>
    <row r="3982" spans="1:7" ht="16.149999999999999" x14ac:dyDescent="0.7">
      <c r="A3982" s="49">
        <v>44800.811164247687</v>
      </c>
      <c r="B3982" s="50" t="s">
        <v>10</v>
      </c>
      <c r="C3982" s="50" t="s">
        <v>450</v>
      </c>
      <c r="D3982" s="50" t="s">
        <v>263</v>
      </c>
      <c r="E3982" s="50">
        <v>-1</v>
      </c>
      <c r="F3982" s="51">
        <v>-0.36269511379820307</v>
      </c>
      <c r="G3982" s="51" t="str">
        <v>福井 2022/09/04 (日)
休日午前</v>
      </c>
    </row>
    <row r="3983" spans="1:7" ht="16.149999999999999" x14ac:dyDescent="0.7">
      <c r="A3983" s="49">
        <v>44800.811164247687</v>
      </c>
      <c r="B3983" s="50" t="s">
        <v>10</v>
      </c>
      <c r="C3983" s="50" t="s">
        <v>451</v>
      </c>
      <c r="D3983" s="50" t="s">
        <v>261</v>
      </c>
      <c r="E3983" s="50">
        <v>-1</v>
      </c>
      <c r="F3983" s="51">
        <v>-0.62292013713627825</v>
      </c>
      <c r="G3983" s="51" t="str">
        <v>福井 2022/09/04 (日)
休日午後</v>
      </c>
    </row>
    <row r="3984" spans="1:7" ht="16.149999999999999" x14ac:dyDescent="0.7">
      <c r="A3984" s="49">
        <v>44800.811164247687</v>
      </c>
      <c r="B3984" s="50" t="s">
        <v>10</v>
      </c>
      <c r="C3984" s="50" t="s">
        <v>452</v>
      </c>
      <c r="D3984" s="50" t="s">
        <v>259</v>
      </c>
      <c r="E3984" s="50">
        <v>1</v>
      </c>
      <c r="F3984" s="51">
        <v>1.149158584654344</v>
      </c>
      <c r="G3984" s="51" t="str">
        <v>福井 2022/09/05 (月)
平日夜間</v>
      </c>
    </row>
    <row r="3985" spans="1:7" ht="16.149999999999999" x14ac:dyDescent="0.7">
      <c r="A3985" s="49">
        <v>44800.811164247687</v>
      </c>
      <c r="B3985" s="50" t="s">
        <v>10</v>
      </c>
      <c r="C3985" s="50" t="s">
        <v>453</v>
      </c>
      <c r="D3985" s="50" t="s">
        <v>259</v>
      </c>
      <c r="E3985" s="50">
        <v>0</v>
      </c>
      <c r="F3985" s="51">
        <v>0.93215747551394323</v>
      </c>
      <c r="G3985" s="51" t="str">
        <v>福井 2022/09/06 (火)
平日夜間</v>
      </c>
    </row>
    <row r="3986" spans="1:7" ht="16.149999999999999" x14ac:dyDescent="0.7">
      <c r="A3986" s="49">
        <v>44800.811164247687</v>
      </c>
      <c r="B3986" s="50" t="s">
        <v>10</v>
      </c>
      <c r="C3986" s="50" t="s">
        <v>454</v>
      </c>
      <c r="D3986" s="50" t="s">
        <v>259</v>
      </c>
      <c r="E3986" s="50">
        <v>1</v>
      </c>
      <c r="F3986" s="51">
        <v>1.5405090166317903</v>
      </c>
      <c r="G3986" s="51" t="str">
        <v>福井 2022/09/07 (水)
平日夜間</v>
      </c>
    </row>
    <row r="3987" spans="1:7" ht="16.149999999999999" x14ac:dyDescent="0.7">
      <c r="A3987" s="49">
        <v>44800.811164247687</v>
      </c>
      <c r="B3987" s="50" t="s">
        <v>10</v>
      </c>
      <c r="C3987" s="50" t="s">
        <v>455</v>
      </c>
      <c r="D3987" s="50" t="s">
        <v>259</v>
      </c>
      <c r="E3987" s="50">
        <v>1</v>
      </c>
      <c r="F3987" s="51">
        <v>1.5445384902886752</v>
      </c>
      <c r="G3987" s="51" t="str">
        <v>福井 2022/09/08 (木)
平日夜間</v>
      </c>
    </row>
    <row r="3988" spans="1:7" ht="16.149999999999999" x14ac:dyDescent="0.7">
      <c r="A3988" s="49">
        <v>44800.811164247687</v>
      </c>
      <c r="B3988" s="50" t="s">
        <v>10</v>
      </c>
      <c r="C3988" s="50" t="s">
        <v>456</v>
      </c>
      <c r="D3988" s="50" t="s">
        <v>259</v>
      </c>
      <c r="E3988" s="50">
        <v>1</v>
      </c>
      <c r="F3988" s="51">
        <v>1.6108661430656273</v>
      </c>
      <c r="G3988" s="51" t="str">
        <v>福井 2022/09/09 (金)
平日夜間</v>
      </c>
    </row>
    <row r="3989" spans="1:7" ht="16.149999999999999" x14ac:dyDescent="0.7">
      <c r="A3989" s="49">
        <v>44800.811164247687</v>
      </c>
      <c r="B3989" s="50" t="s">
        <v>10</v>
      </c>
      <c r="C3989" s="50" t="s">
        <v>457</v>
      </c>
      <c r="D3989" s="50" t="s">
        <v>263</v>
      </c>
      <c r="E3989" s="50">
        <v>1</v>
      </c>
      <c r="F3989" s="51">
        <v>1.2705592300120818</v>
      </c>
      <c r="G3989" s="51" t="str">
        <v>福井 2022/09/10 (土)
休日午前</v>
      </c>
    </row>
    <row r="3990" spans="1:7" ht="16.149999999999999" x14ac:dyDescent="0.7">
      <c r="A3990" s="49">
        <v>44800.811164247687</v>
      </c>
      <c r="B3990" s="50" t="s">
        <v>10</v>
      </c>
      <c r="C3990" s="50" t="s">
        <v>458</v>
      </c>
      <c r="D3990" s="50" t="s">
        <v>261</v>
      </c>
      <c r="E3990" s="50">
        <v>1</v>
      </c>
      <c r="F3990" s="51">
        <v>1.8910407113029732</v>
      </c>
      <c r="G3990" s="51" t="str">
        <v>福井 2022/09/10 (土)
休日午後</v>
      </c>
    </row>
    <row r="3991" spans="1:7" ht="16.149999999999999" x14ac:dyDescent="0.7">
      <c r="A3991" s="49">
        <v>44800.811164247687</v>
      </c>
      <c r="B3991" s="50" t="s">
        <v>10</v>
      </c>
      <c r="C3991" s="50" t="s">
        <v>459</v>
      </c>
      <c r="D3991" s="50" t="s">
        <v>263</v>
      </c>
      <c r="E3991" s="50">
        <v>1</v>
      </c>
      <c r="F3991" s="51">
        <v>1.3722612848881943</v>
      </c>
      <c r="G3991" s="51" t="str">
        <v>福井 2022/09/11 (日)
休日午前</v>
      </c>
    </row>
    <row r="3992" spans="1:7" ht="16.149999999999999" x14ac:dyDescent="0.7">
      <c r="A3992" s="49">
        <v>44800.811164247687</v>
      </c>
      <c r="B3992" s="50" t="s">
        <v>10</v>
      </c>
      <c r="C3992" s="50" t="s">
        <v>460</v>
      </c>
      <c r="D3992" s="50" t="s">
        <v>261</v>
      </c>
      <c r="E3992" s="50">
        <v>1</v>
      </c>
      <c r="F3992" s="51">
        <v>1.74718046377683</v>
      </c>
      <c r="G3992" s="51" t="str">
        <v>福井 2022/09/11 (日)
休日午後</v>
      </c>
    </row>
    <row r="3993" spans="1:7" ht="16.149999999999999" x14ac:dyDescent="0.7">
      <c r="A3993" s="49">
        <v>44800.811164247687</v>
      </c>
      <c r="B3993" s="50" t="s">
        <v>10</v>
      </c>
      <c r="C3993" s="50" t="s">
        <v>461</v>
      </c>
      <c r="D3993" s="50" t="s">
        <v>259</v>
      </c>
      <c r="E3993" s="50">
        <v>1</v>
      </c>
      <c r="F3993" s="51">
        <v>1.5420446893126256</v>
      </c>
      <c r="G3993" s="51" t="str">
        <v>福井 2022/09/12 (月)
平日夜間</v>
      </c>
    </row>
    <row r="3994" spans="1:7" ht="16.149999999999999" x14ac:dyDescent="0.7">
      <c r="A3994" s="49">
        <v>44800.811164247687</v>
      </c>
      <c r="B3994" s="50" t="s">
        <v>10</v>
      </c>
      <c r="C3994" s="50" t="s">
        <v>462</v>
      </c>
      <c r="D3994" s="50" t="s">
        <v>259</v>
      </c>
      <c r="E3994" s="50">
        <v>-1</v>
      </c>
      <c r="F3994" s="51">
        <v>-0.8766507906411618</v>
      </c>
      <c r="G3994" s="51" t="str">
        <v>福井 2022/09/13 (火)
平日夜間</v>
      </c>
    </row>
    <row r="3995" spans="1:7" ht="16.149999999999999" x14ac:dyDescent="0.7">
      <c r="A3995" s="49">
        <v>44800.811164247687</v>
      </c>
      <c r="B3995" s="50" t="s">
        <v>10</v>
      </c>
      <c r="C3995" s="50" t="s">
        <v>463</v>
      </c>
      <c r="D3995" s="50" t="s">
        <v>259</v>
      </c>
      <c r="E3995" s="50">
        <v>-1</v>
      </c>
      <c r="F3995" s="51">
        <v>-4.8307251674878593E-2</v>
      </c>
      <c r="G3995" s="51" t="str">
        <v>福井 2022/09/14 (水)
平日夜間</v>
      </c>
    </row>
    <row r="3996" spans="1:7" ht="16.149999999999999" x14ac:dyDescent="0.7">
      <c r="A3996" s="49">
        <v>44800.811164247687</v>
      </c>
      <c r="B3996" s="50" t="s">
        <v>10</v>
      </c>
      <c r="C3996" s="50" t="s">
        <v>464</v>
      </c>
      <c r="D3996" s="50" t="s">
        <v>259</v>
      </c>
      <c r="E3996" s="50">
        <v>0</v>
      </c>
      <c r="F3996" s="51">
        <v>0.40407783316937906</v>
      </c>
      <c r="G3996" s="51" t="str">
        <v>福井 2022/09/15 (木)
平日夜間</v>
      </c>
    </row>
    <row r="3997" spans="1:7" ht="16.149999999999999" x14ac:dyDescent="0.7">
      <c r="A3997" s="49">
        <v>44800.811164247687</v>
      </c>
      <c r="B3997" s="50" t="s">
        <v>10</v>
      </c>
      <c r="C3997" s="50" t="s">
        <v>465</v>
      </c>
      <c r="D3997" s="50" t="s">
        <v>259</v>
      </c>
      <c r="E3997" s="50">
        <v>-1</v>
      </c>
      <c r="F3997" s="51">
        <v>-0.12627061666086647</v>
      </c>
      <c r="G3997" s="51" t="str">
        <v>福井 2022/09/16 (金)
平日夜間</v>
      </c>
    </row>
    <row r="3998" spans="1:7" ht="16.149999999999999" x14ac:dyDescent="0.7">
      <c r="A3998" s="49">
        <v>44800.811164247687</v>
      </c>
      <c r="B3998" s="50" t="s">
        <v>10</v>
      </c>
      <c r="C3998" s="50" t="s">
        <v>466</v>
      </c>
      <c r="D3998" s="50" t="s">
        <v>263</v>
      </c>
      <c r="E3998" s="50">
        <v>-1</v>
      </c>
      <c r="F3998" s="51">
        <v>-0.43448327104676188</v>
      </c>
      <c r="G3998" s="51" t="str">
        <v>福井 2022/09/17 (土)
休日午前</v>
      </c>
    </row>
    <row r="3999" spans="1:7" ht="16.149999999999999" x14ac:dyDescent="0.7">
      <c r="A3999" s="49">
        <v>44800.811164247687</v>
      </c>
      <c r="B3999" s="50" t="s">
        <v>10</v>
      </c>
      <c r="C3999" s="50" t="s">
        <v>467</v>
      </c>
      <c r="D3999" s="50" t="s">
        <v>261</v>
      </c>
      <c r="E3999" s="50">
        <v>-1</v>
      </c>
      <c r="F3999" s="51">
        <v>-0.78775722103339074</v>
      </c>
      <c r="G3999" s="51" t="str">
        <v>福井 2022/09/17 (土)
休日午後</v>
      </c>
    </row>
    <row r="4000" spans="1:7" ht="16.149999999999999" x14ac:dyDescent="0.7">
      <c r="A4000" s="49">
        <v>44800.811164247687</v>
      </c>
      <c r="B4000" s="50" t="s">
        <v>10</v>
      </c>
      <c r="C4000" s="50" t="s">
        <v>468</v>
      </c>
      <c r="D4000" s="50" t="s">
        <v>263</v>
      </c>
      <c r="E4000" s="50">
        <v>-1</v>
      </c>
      <c r="F4000" s="51">
        <v>-0.93093195965391451</v>
      </c>
      <c r="G4000" s="51" t="str">
        <v>福井 2022/09/18 (日)
休日午前</v>
      </c>
    </row>
    <row r="4001" spans="1:7" ht="16.149999999999999" x14ac:dyDescent="0.7">
      <c r="A4001" s="49">
        <v>44800.811164247687</v>
      </c>
      <c r="B4001" s="50" t="s">
        <v>10</v>
      </c>
      <c r="C4001" s="50" t="s">
        <v>469</v>
      </c>
      <c r="D4001" s="50" t="s">
        <v>261</v>
      </c>
      <c r="E4001" s="50">
        <v>-1</v>
      </c>
      <c r="F4001" s="51">
        <v>-0.85044860760734498</v>
      </c>
      <c r="G4001" s="51" t="str">
        <v>福井 2022/09/18 (日)
休日午後</v>
      </c>
    </row>
    <row r="4002" spans="1:7" ht="16.149999999999999" x14ac:dyDescent="0.7">
      <c r="A4002" s="49">
        <v>44800.811164247687</v>
      </c>
      <c r="B4002" s="50" t="s">
        <v>10</v>
      </c>
      <c r="C4002" s="50" t="s">
        <v>470</v>
      </c>
      <c r="D4002" s="50" t="s">
        <v>263</v>
      </c>
      <c r="E4002" s="50">
        <v>-1</v>
      </c>
      <c r="F4002" s="51">
        <v>-7.7543513963170163E-2</v>
      </c>
      <c r="G4002" s="51" t="str">
        <v>福井 2022/09/19 (月)
休日午前</v>
      </c>
    </row>
    <row r="4003" spans="1:7" ht="16.149999999999999" x14ac:dyDescent="0.7">
      <c r="A4003" s="49">
        <v>44800.811164247687</v>
      </c>
      <c r="B4003" s="50" t="s">
        <v>10</v>
      </c>
      <c r="C4003" s="50" t="s">
        <v>471</v>
      </c>
      <c r="D4003" s="50" t="s">
        <v>261</v>
      </c>
      <c r="E4003" s="50">
        <v>-1</v>
      </c>
      <c r="F4003" s="51">
        <v>-0.48384030987571602</v>
      </c>
      <c r="G4003" s="51" t="str">
        <v>福井 2022/09/19 (月)
休日午後</v>
      </c>
    </row>
    <row r="4004" spans="1:7" ht="16.149999999999999" x14ac:dyDescent="0.7">
      <c r="A4004" s="49">
        <v>44800.811164247687</v>
      </c>
      <c r="B4004" s="50" t="s">
        <v>10</v>
      </c>
      <c r="C4004" s="50" t="s">
        <v>472</v>
      </c>
      <c r="D4004" s="50" t="s">
        <v>259</v>
      </c>
      <c r="E4004" s="50">
        <v>0</v>
      </c>
      <c r="F4004" s="51">
        <v>0.84276601659557882</v>
      </c>
      <c r="G4004" s="51" t="str">
        <v>福井 2022/09/20 (火)
平日夜間</v>
      </c>
    </row>
    <row r="4005" spans="1:7" ht="16.149999999999999" x14ac:dyDescent="0.7">
      <c r="A4005" s="49">
        <v>44800.811164247687</v>
      </c>
      <c r="B4005" s="50" t="s">
        <v>10</v>
      </c>
      <c r="C4005" s="50" t="s">
        <v>473</v>
      </c>
      <c r="D4005" s="50" t="s">
        <v>259</v>
      </c>
      <c r="E4005" s="50">
        <v>2</v>
      </c>
      <c r="F4005" s="51">
        <v>2.2952540032736417</v>
      </c>
      <c r="G4005" s="51" t="str">
        <v>福井 2022/09/21 (水)
平日夜間</v>
      </c>
    </row>
    <row r="4006" spans="1:7" ht="16.149999999999999" x14ac:dyDescent="0.7">
      <c r="A4006" s="49">
        <v>44800.811164247687</v>
      </c>
      <c r="B4006" s="50" t="s">
        <v>10</v>
      </c>
      <c r="C4006" s="50" t="s">
        <v>474</v>
      </c>
      <c r="D4006" s="50" t="s">
        <v>259</v>
      </c>
      <c r="E4006" s="50">
        <v>-1</v>
      </c>
      <c r="F4006" s="51">
        <v>-0.73253049313841978</v>
      </c>
      <c r="G4006" s="51" t="str">
        <v>福井 2022/09/22 (木)
平日夜間</v>
      </c>
    </row>
    <row r="4007" spans="1:7" ht="16.149999999999999" x14ac:dyDescent="0.7">
      <c r="A4007" s="49">
        <v>44800.811164247687</v>
      </c>
      <c r="B4007" s="50" t="s">
        <v>10</v>
      </c>
      <c r="C4007" s="50" t="s">
        <v>475</v>
      </c>
      <c r="D4007" s="50" t="s">
        <v>263</v>
      </c>
      <c r="E4007" s="50">
        <v>-1</v>
      </c>
      <c r="F4007" s="51">
        <v>-0.3426411563313454</v>
      </c>
      <c r="G4007" s="51" t="str">
        <v>福井 2022/09/23 (金)
休日午前</v>
      </c>
    </row>
    <row r="4008" spans="1:7" ht="16.149999999999999" x14ac:dyDescent="0.7">
      <c r="A4008" s="49">
        <v>44800.811164247687</v>
      </c>
      <c r="B4008" s="50" t="s">
        <v>10</v>
      </c>
      <c r="C4008" s="50" t="s">
        <v>476</v>
      </c>
      <c r="D4008" s="50" t="s">
        <v>261</v>
      </c>
      <c r="E4008" s="50">
        <v>-1</v>
      </c>
      <c r="F4008" s="51">
        <v>-0.5847704976399104</v>
      </c>
      <c r="G4008" s="51" t="str">
        <v>福井 2022/09/23 (金)
休日午後</v>
      </c>
    </row>
    <row r="4009" spans="1:7" ht="16.149999999999999" x14ac:dyDescent="0.7">
      <c r="A4009" s="49">
        <v>44800.811164247687</v>
      </c>
      <c r="B4009" s="50" t="s">
        <v>10</v>
      </c>
      <c r="C4009" s="50" t="s">
        <v>477</v>
      </c>
      <c r="D4009" s="50" t="s">
        <v>263</v>
      </c>
      <c r="E4009" s="50">
        <v>-1</v>
      </c>
      <c r="F4009" s="51">
        <v>-0.23134767694347635</v>
      </c>
      <c r="G4009" s="51" t="str">
        <v>福井 2022/09/24 (土)
休日午前</v>
      </c>
    </row>
    <row r="4010" spans="1:7" ht="16.149999999999999" x14ac:dyDescent="0.7">
      <c r="A4010" s="49">
        <v>44800.811164247687</v>
      </c>
      <c r="B4010" s="50" t="s">
        <v>10</v>
      </c>
      <c r="C4010" s="50" t="s">
        <v>478</v>
      </c>
      <c r="D4010" s="50" t="s">
        <v>261</v>
      </c>
      <c r="E4010" s="50">
        <v>-1</v>
      </c>
      <c r="F4010" s="51">
        <v>-0.92911842619832163</v>
      </c>
      <c r="G4010" s="51" t="str">
        <v>福井 2022/09/24 (土)
休日午後</v>
      </c>
    </row>
    <row r="4011" spans="1:7" ht="16.149999999999999" x14ac:dyDescent="0.7">
      <c r="A4011" s="49">
        <v>44800.811164247687</v>
      </c>
      <c r="B4011" s="50" t="s">
        <v>10</v>
      </c>
      <c r="C4011" s="50" t="s">
        <v>479</v>
      </c>
      <c r="D4011" s="50" t="s">
        <v>263</v>
      </c>
      <c r="E4011" s="50">
        <v>1</v>
      </c>
      <c r="F4011" s="51">
        <v>1.4485584070061981</v>
      </c>
      <c r="G4011" s="51" t="str">
        <v>福井 2022/09/25 (日)
休日午前</v>
      </c>
    </row>
    <row r="4012" spans="1:7" ht="16.149999999999999" x14ac:dyDescent="0.7">
      <c r="A4012" s="49">
        <v>44800.811164247687</v>
      </c>
      <c r="B4012" s="50" t="s">
        <v>10</v>
      </c>
      <c r="C4012" s="50" t="s">
        <v>480</v>
      </c>
      <c r="D4012" s="50" t="s">
        <v>261</v>
      </c>
      <c r="E4012" s="50">
        <v>1</v>
      </c>
      <c r="F4012" s="51">
        <v>1.3151587473111888</v>
      </c>
      <c r="G4012" s="51" t="str">
        <v>福井 2022/09/25 (日)
休日午後</v>
      </c>
    </row>
    <row r="4013" spans="1:7" ht="16.149999999999999" x14ac:dyDescent="0.7">
      <c r="A4013" s="49">
        <v>44800.811164247687</v>
      </c>
      <c r="B4013" s="50" t="s">
        <v>10</v>
      </c>
      <c r="C4013" s="50" t="s">
        <v>481</v>
      </c>
      <c r="D4013" s="50" t="s">
        <v>259</v>
      </c>
      <c r="E4013" s="50">
        <v>1</v>
      </c>
      <c r="F4013" s="51">
        <v>1.2992259780303701</v>
      </c>
      <c r="G4013" s="51" t="str">
        <v>福井 2022/09/26 (月)
平日夜間</v>
      </c>
    </row>
    <row r="4014" spans="1:7" ht="16.149999999999999" x14ac:dyDescent="0.7">
      <c r="A4014" s="49">
        <v>44800.811164247687</v>
      </c>
      <c r="B4014" s="50" t="s">
        <v>10</v>
      </c>
      <c r="C4014" s="50" t="s">
        <v>482</v>
      </c>
      <c r="D4014" s="50" t="s">
        <v>259</v>
      </c>
      <c r="E4014" s="50">
        <v>0</v>
      </c>
      <c r="F4014" s="51">
        <v>0.58686382045669649</v>
      </c>
      <c r="G4014" s="51" t="str">
        <v>福井 2022/09/27 (火)
平日夜間</v>
      </c>
    </row>
    <row r="4015" spans="1:7" ht="16.149999999999999" x14ac:dyDescent="0.7">
      <c r="A4015" s="49">
        <v>44800.811164247687</v>
      </c>
      <c r="B4015" s="50" t="s">
        <v>10</v>
      </c>
      <c r="C4015" s="50" t="s">
        <v>483</v>
      </c>
      <c r="D4015" s="50" t="s">
        <v>259</v>
      </c>
      <c r="E4015" s="50">
        <v>1</v>
      </c>
      <c r="F4015" s="51">
        <v>1.5513401438991683</v>
      </c>
      <c r="G4015" s="51" t="str">
        <v>福井 2022/09/28 (水)
平日夜間</v>
      </c>
    </row>
    <row r="4016" spans="1:7" ht="16.149999999999999" x14ac:dyDescent="0.7">
      <c r="A4016" s="49">
        <v>44800.811164247687</v>
      </c>
      <c r="B4016" s="50" t="s">
        <v>10</v>
      </c>
      <c r="C4016" s="50" t="s">
        <v>484</v>
      </c>
      <c r="D4016" s="50" t="s">
        <v>259</v>
      </c>
      <c r="E4016" s="50">
        <v>1</v>
      </c>
      <c r="F4016" s="51">
        <v>1.2887032418228492</v>
      </c>
      <c r="G4016" s="51" t="str">
        <v>福井 2022/09/29 (木)
平日夜間</v>
      </c>
    </row>
    <row r="4017" spans="1:7" ht="16.149999999999999" x14ac:dyDescent="0.7">
      <c r="A4017" s="49">
        <v>44800.811164247687</v>
      </c>
      <c r="B4017" s="50" t="s">
        <v>10</v>
      </c>
      <c r="C4017" s="50" t="s">
        <v>485</v>
      </c>
      <c r="D4017" s="50" t="s">
        <v>259</v>
      </c>
      <c r="E4017" s="50">
        <v>-1</v>
      </c>
      <c r="F4017" s="51">
        <v>-0.77510631207025327</v>
      </c>
      <c r="G4017" s="51" t="str">
        <v>福井 2022/09/30 (金)
平日夜間</v>
      </c>
    </row>
    <row r="4018" spans="1:7" ht="16.149999999999999" x14ac:dyDescent="0.7">
      <c r="A4018" s="49">
        <v>44800.883754479168</v>
      </c>
      <c r="B4018" s="50" t="s">
        <v>1</v>
      </c>
      <c r="C4018" s="50" t="s">
        <v>446</v>
      </c>
      <c r="D4018" s="50" t="s">
        <v>259</v>
      </c>
      <c r="E4018" s="50">
        <v>-1</v>
      </c>
      <c r="F4018" s="51">
        <v>-0.80673298285096195</v>
      </c>
      <c r="G4018" s="51" t="str">
        <v>菊野 2022/09/01 (木)
平日夜間</v>
      </c>
    </row>
    <row r="4019" spans="1:7" ht="16.149999999999999" x14ac:dyDescent="0.7">
      <c r="A4019" s="49">
        <v>44800.883754479168</v>
      </c>
      <c r="B4019" s="50" t="s">
        <v>1</v>
      </c>
      <c r="C4019" s="50" t="s">
        <v>447</v>
      </c>
      <c r="D4019" s="50" t="s">
        <v>259</v>
      </c>
      <c r="E4019" s="50">
        <v>-1</v>
      </c>
      <c r="F4019" s="51">
        <v>-0.52117430119110741</v>
      </c>
      <c r="G4019" s="51" t="str">
        <v>菊野 2022/09/02 (金)
平日夜間</v>
      </c>
    </row>
    <row r="4020" spans="1:7" ht="16.149999999999999" x14ac:dyDescent="0.7">
      <c r="A4020" s="49">
        <v>44800.883754479168</v>
      </c>
      <c r="B4020" s="50" t="s">
        <v>1</v>
      </c>
      <c r="C4020" s="50" t="s">
        <v>448</v>
      </c>
      <c r="D4020" s="50" t="s">
        <v>263</v>
      </c>
      <c r="E4020" s="50">
        <v>-1</v>
      </c>
      <c r="F4020" s="51">
        <v>-0.90909643626775249</v>
      </c>
      <c r="G4020" s="51" t="str">
        <v>菊野 2022/09/03 (土)
休日午前</v>
      </c>
    </row>
    <row r="4021" spans="1:7" ht="16.149999999999999" x14ac:dyDescent="0.7">
      <c r="A4021" s="49">
        <v>44800.883754479168</v>
      </c>
      <c r="B4021" s="50" t="s">
        <v>1</v>
      </c>
      <c r="C4021" s="50" t="s">
        <v>449</v>
      </c>
      <c r="D4021" s="50" t="s">
        <v>261</v>
      </c>
      <c r="E4021" s="50">
        <v>-1</v>
      </c>
      <c r="F4021" s="51">
        <v>-0.3413011108324473</v>
      </c>
      <c r="G4021" s="51" t="str">
        <v>菊野 2022/09/03 (土)
休日午後</v>
      </c>
    </row>
    <row r="4022" spans="1:7" ht="16.149999999999999" x14ac:dyDescent="0.7">
      <c r="A4022" s="49">
        <v>44800.883754479168</v>
      </c>
      <c r="B4022" s="50" t="s">
        <v>1</v>
      </c>
      <c r="C4022" s="50" t="s">
        <v>450</v>
      </c>
      <c r="D4022" s="50" t="s">
        <v>263</v>
      </c>
      <c r="E4022" s="50">
        <v>-1</v>
      </c>
      <c r="F4022" s="51">
        <v>-0.95236972541140452</v>
      </c>
      <c r="G4022" s="51" t="str">
        <v>菊野 2022/09/04 (日)
休日午前</v>
      </c>
    </row>
    <row r="4023" spans="1:7" ht="16.149999999999999" x14ac:dyDescent="0.7">
      <c r="A4023" s="49">
        <v>44800.883754479168</v>
      </c>
      <c r="B4023" s="50" t="s">
        <v>1</v>
      </c>
      <c r="C4023" s="50" t="s">
        <v>451</v>
      </c>
      <c r="D4023" s="50" t="s">
        <v>261</v>
      </c>
      <c r="E4023" s="50">
        <v>-1</v>
      </c>
      <c r="F4023" s="51">
        <v>-0.11288341528550805</v>
      </c>
      <c r="G4023" s="51" t="str">
        <v>菊野 2022/09/04 (日)
休日午後</v>
      </c>
    </row>
    <row r="4024" spans="1:7" ht="16.149999999999999" x14ac:dyDescent="0.7">
      <c r="A4024" s="49">
        <v>44800.883754479168</v>
      </c>
      <c r="B4024" s="50" t="s">
        <v>1</v>
      </c>
      <c r="C4024" s="50" t="s">
        <v>452</v>
      </c>
      <c r="D4024" s="50" t="s">
        <v>259</v>
      </c>
      <c r="E4024" s="50">
        <v>-1</v>
      </c>
      <c r="F4024" s="51">
        <v>-0.46388418689098976</v>
      </c>
      <c r="G4024" s="51" t="str">
        <v>菊野 2022/09/05 (月)
平日夜間</v>
      </c>
    </row>
    <row r="4025" spans="1:7" ht="16.149999999999999" x14ac:dyDescent="0.7">
      <c r="A4025" s="49">
        <v>44800.883754479168</v>
      </c>
      <c r="B4025" s="50" t="s">
        <v>1</v>
      </c>
      <c r="C4025" s="50" t="s">
        <v>453</v>
      </c>
      <c r="D4025" s="50" t="s">
        <v>259</v>
      </c>
      <c r="E4025" s="50">
        <v>-1</v>
      </c>
      <c r="F4025" s="51">
        <v>-0.1974525864507497</v>
      </c>
      <c r="G4025" s="51" t="str">
        <v>菊野 2022/09/06 (火)
平日夜間</v>
      </c>
    </row>
    <row r="4026" spans="1:7" ht="16.149999999999999" x14ac:dyDescent="0.7">
      <c r="A4026" s="49">
        <v>44800.883754479168</v>
      </c>
      <c r="B4026" s="50" t="s">
        <v>1</v>
      </c>
      <c r="C4026" s="50" t="s">
        <v>454</v>
      </c>
      <c r="D4026" s="50" t="s">
        <v>259</v>
      </c>
      <c r="E4026" s="50">
        <v>-1</v>
      </c>
      <c r="F4026" s="51">
        <v>-0.19579034593004607</v>
      </c>
      <c r="G4026" s="51" t="str">
        <v>菊野 2022/09/07 (水)
平日夜間</v>
      </c>
    </row>
    <row r="4027" spans="1:7" ht="16.149999999999999" x14ac:dyDescent="0.7">
      <c r="A4027" s="49">
        <v>44800.883754479168</v>
      </c>
      <c r="B4027" s="50" t="s">
        <v>1</v>
      </c>
      <c r="C4027" s="50" t="s">
        <v>455</v>
      </c>
      <c r="D4027" s="50" t="s">
        <v>259</v>
      </c>
      <c r="E4027" s="50">
        <v>-1</v>
      </c>
      <c r="F4027" s="51">
        <v>-0.63171155804009094</v>
      </c>
      <c r="G4027" s="51" t="str">
        <v>菊野 2022/09/08 (木)
平日夜間</v>
      </c>
    </row>
    <row r="4028" spans="1:7" ht="16.149999999999999" x14ac:dyDescent="0.7">
      <c r="A4028" s="49">
        <v>44800.883754479168</v>
      </c>
      <c r="B4028" s="50" t="s">
        <v>1</v>
      </c>
      <c r="C4028" s="50" t="s">
        <v>456</v>
      </c>
      <c r="D4028" s="50" t="s">
        <v>259</v>
      </c>
      <c r="E4028" s="50">
        <v>-1</v>
      </c>
      <c r="F4028" s="51">
        <v>-0.61612737834052544</v>
      </c>
      <c r="G4028" s="51" t="str">
        <v>菊野 2022/09/09 (金)
平日夜間</v>
      </c>
    </row>
    <row r="4029" spans="1:7" ht="16.149999999999999" x14ac:dyDescent="0.7">
      <c r="A4029" s="49">
        <v>44800.883754479168</v>
      </c>
      <c r="B4029" s="50" t="s">
        <v>1</v>
      </c>
      <c r="C4029" s="50" t="s">
        <v>457</v>
      </c>
      <c r="D4029" s="50" t="s">
        <v>263</v>
      </c>
      <c r="E4029" s="50">
        <v>-1</v>
      </c>
      <c r="F4029" s="51">
        <v>-0.48545160903415607</v>
      </c>
      <c r="G4029" s="51" t="str">
        <v>菊野 2022/09/10 (土)
休日午前</v>
      </c>
    </row>
    <row r="4030" spans="1:7" ht="16.149999999999999" x14ac:dyDescent="0.7">
      <c r="A4030" s="49">
        <v>44800.883754479168</v>
      </c>
      <c r="B4030" s="50" t="s">
        <v>1</v>
      </c>
      <c r="C4030" s="50" t="s">
        <v>458</v>
      </c>
      <c r="D4030" s="50" t="s">
        <v>261</v>
      </c>
      <c r="E4030" s="50">
        <v>-1</v>
      </c>
      <c r="F4030" s="51">
        <v>-0.73462586008106001</v>
      </c>
      <c r="G4030" s="51" t="str">
        <v>菊野 2022/09/10 (土)
休日午後</v>
      </c>
    </row>
    <row r="4031" spans="1:7" ht="16.149999999999999" x14ac:dyDescent="0.7">
      <c r="A4031" s="49">
        <v>44800.883754479168</v>
      </c>
      <c r="B4031" s="50" t="s">
        <v>1</v>
      </c>
      <c r="C4031" s="50" t="s">
        <v>459</v>
      </c>
      <c r="D4031" s="50" t="s">
        <v>263</v>
      </c>
      <c r="E4031" s="50">
        <v>-1</v>
      </c>
      <c r="F4031" s="51">
        <v>-0.28225845474759903</v>
      </c>
      <c r="G4031" s="51" t="str">
        <v>菊野 2022/09/11 (日)
休日午前</v>
      </c>
    </row>
    <row r="4032" spans="1:7" ht="16.149999999999999" x14ac:dyDescent="0.7">
      <c r="A4032" s="49">
        <v>44800.883754479168</v>
      </c>
      <c r="B4032" s="50" t="s">
        <v>1</v>
      </c>
      <c r="C4032" s="50" t="s">
        <v>460</v>
      </c>
      <c r="D4032" s="50" t="s">
        <v>261</v>
      </c>
      <c r="E4032" s="50">
        <v>-1</v>
      </c>
      <c r="F4032" s="51">
        <v>-0.26746686555754318</v>
      </c>
      <c r="G4032" s="51" t="str">
        <v>菊野 2022/09/11 (日)
休日午後</v>
      </c>
    </row>
    <row r="4033" spans="1:7" ht="16.149999999999999" x14ac:dyDescent="0.7">
      <c r="A4033" s="49">
        <v>44800.883754479168</v>
      </c>
      <c r="B4033" s="50" t="s">
        <v>1</v>
      </c>
      <c r="C4033" s="50" t="s">
        <v>461</v>
      </c>
      <c r="D4033" s="50" t="s">
        <v>259</v>
      </c>
      <c r="E4033" s="50">
        <v>2</v>
      </c>
      <c r="F4033" s="51">
        <v>2.0707128188234414</v>
      </c>
      <c r="G4033" s="51" t="str">
        <v>菊野 2022/09/12 (月)
平日夜間</v>
      </c>
    </row>
    <row r="4034" spans="1:7" ht="16.149999999999999" x14ac:dyDescent="0.7">
      <c r="A4034" s="49">
        <v>44800.883754479168</v>
      </c>
      <c r="B4034" s="50" t="s">
        <v>1</v>
      </c>
      <c r="C4034" s="50" t="s">
        <v>462</v>
      </c>
      <c r="D4034" s="50" t="s">
        <v>259</v>
      </c>
      <c r="E4034" s="50">
        <v>0</v>
      </c>
      <c r="F4034" s="51">
        <v>0.77627473284669213</v>
      </c>
      <c r="G4034" s="51" t="str">
        <v>菊野 2022/09/13 (火)
平日夜間</v>
      </c>
    </row>
    <row r="4035" spans="1:7" ht="16.149999999999999" x14ac:dyDescent="0.7">
      <c r="A4035" s="49">
        <v>44800.883754479168</v>
      </c>
      <c r="B4035" s="50" t="s">
        <v>1</v>
      </c>
      <c r="C4035" s="50" t="s">
        <v>463</v>
      </c>
      <c r="D4035" s="50" t="s">
        <v>259</v>
      </c>
      <c r="E4035" s="50">
        <v>0</v>
      </c>
      <c r="F4035" s="51">
        <v>0.6985694647134173</v>
      </c>
      <c r="G4035" s="51" t="str">
        <v>菊野 2022/09/14 (水)
平日夜間</v>
      </c>
    </row>
    <row r="4036" spans="1:7" ht="16.149999999999999" x14ac:dyDescent="0.7">
      <c r="A4036" s="49">
        <v>44800.883754479168</v>
      </c>
      <c r="B4036" s="50" t="s">
        <v>1</v>
      </c>
      <c r="C4036" s="50" t="s">
        <v>464</v>
      </c>
      <c r="D4036" s="50" t="s">
        <v>259</v>
      </c>
      <c r="E4036" s="50">
        <v>0</v>
      </c>
      <c r="F4036" s="51">
        <v>0.16297261315806599</v>
      </c>
      <c r="G4036" s="51" t="str">
        <v>菊野 2022/09/15 (木)
平日夜間</v>
      </c>
    </row>
    <row r="4037" spans="1:7" ht="16.149999999999999" x14ac:dyDescent="0.7">
      <c r="A4037" s="49">
        <v>44800.883754479168</v>
      </c>
      <c r="B4037" s="50" t="s">
        <v>1</v>
      </c>
      <c r="C4037" s="50" t="s">
        <v>465</v>
      </c>
      <c r="D4037" s="50" t="s">
        <v>259</v>
      </c>
      <c r="E4037" s="50">
        <v>0</v>
      </c>
      <c r="F4037" s="51">
        <v>0.32886812806303789</v>
      </c>
      <c r="G4037" s="51" t="str">
        <v>菊野 2022/09/16 (金)
平日夜間</v>
      </c>
    </row>
    <row r="4038" spans="1:7" ht="16.149999999999999" x14ac:dyDescent="0.7">
      <c r="A4038" s="49">
        <v>44800.883754479168</v>
      </c>
      <c r="B4038" s="50" t="s">
        <v>1</v>
      </c>
      <c r="C4038" s="50" t="s">
        <v>466</v>
      </c>
      <c r="D4038" s="50" t="s">
        <v>263</v>
      </c>
      <c r="E4038" s="50">
        <v>-1</v>
      </c>
      <c r="F4038" s="51">
        <v>-0.69120023282153253</v>
      </c>
      <c r="G4038" s="51" t="str">
        <v>菊野 2022/09/17 (土)
休日午前</v>
      </c>
    </row>
    <row r="4039" spans="1:7" ht="16.149999999999999" x14ac:dyDescent="0.7">
      <c r="A4039" s="49">
        <v>44800.883754479168</v>
      </c>
      <c r="B4039" s="50" t="s">
        <v>1</v>
      </c>
      <c r="C4039" s="50" t="s">
        <v>467</v>
      </c>
      <c r="D4039" s="50" t="s">
        <v>261</v>
      </c>
      <c r="E4039" s="50">
        <v>-1</v>
      </c>
      <c r="F4039" s="51">
        <v>-0.89992034312322433</v>
      </c>
      <c r="G4039" s="51" t="str">
        <v>菊野 2022/09/17 (土)
休日午後</v>
      </c>
    </row>
    <row r="4040" spans="1:7" ht="16.149999999999999" x14ac:dyDescent="0.7">
      <c r="A4040" s="49">
        <v>44800.883754479168</v>
      </c>
      <c r="B4040" s="50" t="s">
        <v>1</v>
      </c>
      <c r="C4040" s="50" t="s">
        <v>468</v>
      </c>
      <c r="D4040" s="50" t="s">
        <v>263</v>
      </c>
      <c r="E4040" s="50">
        <v>-1</v>
      </c>
      <c r="F4040" s="51">
        <v>-0.11455753992934881</v>
      </c>
      <c r="G4040" s="51" t="str">
        <v>菊野 2022/09/18 (日)
休日午前</v>
      </c>
    </row>
    <row r="4041" spans="1:7" ht="16.149999999999999" x14ac:dyDescent="0.7">
      <c r="A4041" s="49">
        <v>44800.883754479168</v>
      </c>
      <c r="B4041" s="50" t="s">
        <v>1</v>
      </c>
      <c r="C4041" s="50" t="s">
        <v>469</v>
      </c>
      <c r="D4041" s="50" t="s">
        <v>261</v>
      </c>
      <c r="E4041" s="50">
        <v>-1</v>
      </c>
      <c r="F4041" s="51">
        <v>-0.32426055157027367</v>
      </c>
      <c r="G4041" s="51" t="str">
        <v>菊野 2022/09/18 (日)
休日午後</v>
      </c>
    </row>
    <row r="4042" spans="1:7" ht="16.149999999999999" x14ac:dyDescent="0.7">
      <c r="A4042" s="49">
        <v>44800.883754479168</v>
      </c>
      <c r="B4042" s="50" t="s">
        <v>1</v>
      </c>
      <c r="C4042" s="50" t="s">
        <v>470</v>
      </c>
      <c r="D4042" s="50" t="s">
        <v>263</v>
      </c>
      <c r="E4042" s="50">
        <v>0</v>
      </c>
      <c r="F4042" s="51">
        <v>0.61285708225669122</v>
      </c>
      <c r="G4042" s="51" t="str">
        <v>菊野 2022/09/19 (月)
休日午前</v>
      </c>
    </row>
    <row r="4043" spans="1:7" ht="16.149999999999999" x14ac:dyDescent="0.7">
      <c r="A4043" s="49">
        <v>44800.883754479168</v>
      </c>
      <c r="B4043" s="50" t="s">
        <v>1</v>
      </c>
      <c r="C4043" s="50" t="s">
        <v>471</v>
      </c>
      <c r="D4043" s="50" t="s">
        <v>261</v>
      </c>
      <c r="E4043" s="50">
        <v>0</v>
      </c>
      <c r="F4043" s="51">
        <v>0.20606398808369275</v>
      </c>
      <c r="G4043" s="51" t="str">
        <v>菊野 2022/09/19 (月)
休日午後</v>
      </c>
    </row>
    <row r="4044" spans="1:7" ht="16.149999999999999" x14ac:dyDescent="0.7">
      <c r="A4044" s="49">
        <v>44800.883754479168</v>
      </c>
      <c r="B4044" s="50" t="s">
        <v>1</v>
      </c>
      <c r="C4044" s="50" t="s">
        <v>472</v>
      </c>
      <c r="D4044" s="50" t="s">
        <v>259</v>
      </c>
      <c r="E4044" s="50">
        <v>0</v>
      </c>
      <c r="F4044" s="51">
        <v>0.90240839828180097</v>
      </c>
      <c r="G4044" s="51" t="str">
        <v>菊野 2022/09/20 (火)
平日夜間</v>
      </c>
    </row>
    <row r="4045" spans="1:7" ht="16.149999999999999" x14ac:dyDescent="0.7">
      <c r="A4045" s="49">
        <v>44800.883754479168</v>
      </c>
      <c r="B4045" s="50" t="s">
        <v>1</v>
      </c>
      <c r="C4045" s="50" t="s">
        <v>473</v>
      </c>
      <c r="D4045" s="50" t="s">
        <v>259</v>
      </c>
      <c r="E4045" s="50">
        <v>0</v>
      </c>
      <c r="F4045" s="51">
        <v>0.20504664244281301</v>
      </c>
      <c r="G4045" s="51" t="str">
        <v>菊野 2022/09/21 (水)
平日夜間</v>
      </c>
    </row>
    <row r="4046" spans="1:7" ht="16.149999999999999" x14ac:dyDescent="0.7">
      <c r="A4046" s="49">
        <v>44800.883754479168</v>
      </c>
      <c r="B4046" s="50" t="s">
        <v>1</v>
      </c>
      <c r="C4046" s="50" t="s">
        <v>474</v>
      </c>
      <c r="D4046" s="50" t="s">
        <v>259</v>
      </c>
      <c r="E4046" s="50">
        <v>0</v>
      </c>
      <c r="F4046" s="51">
        <v>0.58873549374200995</v>
      </c>
      <c r="G4046" s="51" t="str">
        <v>菊野 2022/09/22 (木)
平日夜間</v>
      </c>
    </row>
    <row r="4047" spans="1:7" ht="16.149999999999999" x14ac:dyDescent="0.7">
      <c r="A4047" s="49">
        <v>44800.883754479168</v>
      </c>
      <c r="B4047" s="50" t="s">
        <v>1</v>
      </c>
      <c r="C4047" s="50" t="s">
        <v>475</v>
      </c>
      <c r="D4047" s="50" t="s">
        <v>263</v>
      </c>
      <c r="E4047" s="50">
        <v>0</v>
      </c>
      <c r="F4047" s="51">
        <v>0.72663546763607334</v>
      </c>
      <c r="G4047" s="51" t="str">
        <v>菊野 2022/09/23 (金)
休日午前</v>
      </c>
    </row>
    <row r="4048" spans="1:7" ht="16.149999999999999" x14ac:dyDescent="0.7">
      <c r="A4048" s="49">
        <v>44800.883754479168</v>
      </c>
      <c r="B4048" s="50" t="s">
        <v>1</v>
      </c>
      <c r="C4048" s="50" t="s">
        <v>476</v>
      </c>
      <c r="D4048" s="50" t="s">
        <v>261</v>
      </c>
      <c r="E4048" s="50">
        <v>0</v>
      </c>
      <c r="F4048" s="51">
        <v>0.30643694231029905</v>
      </c>
      <c r="G4048" s="51" t="str">
        <v>菊野 2022/09/23 (金)
休日午後</v>
      </c>
    </row>
    <row r="4049" spans="1:7" ht="16.149999999999999" x14ac:dyDescent="0.7">
      <c r="A4049" s="49">
        <v>44800.883754479168</v>
      </c>
      <c r="B4049" s="50" t="s">
        <v>1</v>
      </c>
      <c r="C4049" s="50" t="s">
        <v>477</v>
      </c>
      <c r="D4049" s="50" t="s">
        <v>263</v>
      </c>
      <c r="E4049" s="50">
        <v>-1</v>
      </c>
      <c r="F4049" s="51">
        <v>-0.524300032438207</v>
      </c>
      <c r="G4049" s="51" t="str">
        <v>菊野 2022/09/24 (土)
休日午前</v>
      </c>
    </row>
    <row r="4050" spans="1:7" ht="16.149999999999999" x14ac:dyDescent="0.7">
      <c r="A4050" s="49">
        <v>44800.883754479168</v>
      </c>
      <c r="B4050" s="50" t="s">
        <v>1</v>
      </c>
      <c r="C4050" s="50" t="s">
        <v>478</v>
      </c>
      <c r="D4050" s="50" t="s">
        <v>261</v>
      </c>
      <c r="E4050" s="50">
        <v>-1</v>
      </c>
      <c r="F4050" s="51">
        <v>-0.98915634050466084</v>
      </c>
      <c r="G4050" s="51" t="str">
        <v>菊野 2022/09/24 (土)
休日午後</v>
      </c>
    </row>
    <row r="4051" spans="1:7" ht="16.149999999999999" x14ac:dyDescent="0.7">
      <c r="A4051" s="49">
        <v>44800.883754479168</v>
      </c>
      <c r="B4051" s="50" t="s">
        <v>1</v>
      </c>
      <c r="C4051" s="50" t="s">
        <v>479</v>
      </c>
      <c r="D4051" s="50" t="s">
        <v>263</v>
      </c>
      <c r="E4051" s="50">
        <v>0</v>
      </c>
      <c r="F4051" s="51">
        <v>0.52508199094545938</v>
      </c>
      <c r="G4051" s="51" t="str">
        <v>菊野 2022/09/25 (日)
休日午前</v>
      </c>
    </row>
    <row r="4052" spans="1:7" ht="16.149999999999999" x14ac:dyDescent="0.7">
      <c r="A4052" s="49">
        <v>44800.883754479168</v>
      </c>
      <c r="B4052" s="50" t="s">
        <v>1</v>
      </c>
      <c r="C4052" s="50" t="s">
        <v>480</v>
      </c>
      <c r="D4052" s="50" t="s">
        <v>261</v>
      </c>
      <c r="E4052" s="50">
        <v>0</v>
      </c>
      <c r="F4052" s="51">
        <v>0.44652783446238709</v>
      </c>
      <c r="G4052" s="51" t="str">
        <v>菊野 2022/09/25 (日)
休日午後</v>
      </c>
    </row>
    <row r="4053" spans="1:7" ht="16.149999999999999" x14ac:dyDescent="0.7">
      <c r="A4053" s="49">
        <v>44800.883754479168</v>
      </c>
      <c r="B4053" s="50" t="s">
        <v>1</v>
      </c>
      <c r="C4053" s="50" t="s">
        <v>481</v>
      </c>
      <c r="D4053" s="50" t="s">
        <v>259</v>
      </c>
      <c r="E4053" s="50">
        <v>0</v>
      </c>
      <c r="F4053" s="51">
        <v>9.0779052627694368E-2</v>
      </c>
      <c r="G4053" s="51" t="str">
        <v>菊野 2022/09/26 (月)
平日夜間</v>
      </c>
    </row>
    <row r="4054" spans="1:7" ht="16.149999999999999" x14ac:dyDescent="0.7">
      <c r="A4054" s="49">
        <v>44800.883754479168</v>
      </c>
      <c r="B4054" s="50" t="s">
        <v>1</v>
      </c>
      <c r="C4054" s="50" t="s">
        <v>482</v>
      </c>
      <c r="D4054" s="50" t="s">
        <v>259</v>
      </c>
      <c r="E4054" s="50">
        <v>0</v>
      </c>
      <c r="F4054" s="51">
        <v>0.57343327614644202</v>
      </c>
      <c r="G4054" s="51" t="str">
        <v>菊野 2022/09/27 (火)
平日夜間</v>
      </c>
    </row>
    <row r="4055" spans="1:7" ht="16.149999999999999" x14ac:dyDescent="0.7">
      <c r="A4055" s="49">
        <v>44800.883754479168</v>
      </c>
      <c r="B4055" s="50" t="s">
        <v>1</v>
      </c>
      <c r="C4055" s="50" t="s">
        <v>483</v>
      </c>
      <c r="D4055" s="50" t="s">
        <v>259</v>
      </c>
      <c r="E4055" s="50">
        <v>0</v>
      </c>
      <c r="F4055" s="51">
        <v>0.33290348238487377</v>
      </c>
      <c r="G4055" s="51" t="str">
        <v>菊野 2022/09/28 (水)
平日夜間</v>
      </c>
    </row>
    <row r="4056" spans="1:7" ht="16.149999999999999" x14ac:dyDescent="0.7">
      <c r="A4056" s="49">
        <v>44800.883754479168</v>
      </c>
      <c r="B4056" s="50" t="s">
        <v>1</v>
      </c>
      <c r="C4056" s="50" t="s">
        <v>484</v>
      </c>
      <c r="D4056" s="50" t="s">
        <v>259</v>
      </c>
      <c r="E4056" s="50">
        <v>0</v>
      </c>
      <c r="F4056" s="51">
        <v>0.7012137716946063</v>
      </c>
      <c r="G4056" s="51" t="str">
        <v>菊野 2022/09/29 (木)
平日夜間</v>
      </c>
    </row>
    <row r="4057" spans="1:7" ht="16.149999999999999" x14ac:dyDescent="0.7">
      <c r="A4057" s="49">
        <v>44800.883754479168</v>
      </c>
      <c r="B4057" s="50" t="s">
        <v>1</v>
      </c>
      <c r="C4057" s="50" t="s">
        <v>485</v>
      </c>
      <c r="D4057" s="50" t="s">
        <v>259</v>
      </c>
      <c r="E4057" s="50">
        <v>0</v>
      </c>
      <c r="F4057" s="51">
        <v>9.0342157337188977E-2</v>
      </c>
      <c r="G4057" s="51" t="str">
        <v>菊野 2022/09/30 (金)
平日夜間</v>
      </c>
    </row>
    <row r="4058" spans="1:7" ht="16.149999999999999" x14ac:dyDescent="0.7">
      <c r="A4058" s="49">
        <v>44800.905889155096</v>
      </c>
      <c r="B4058" s="50" t="s">
        <v>38</v>
      </c>
      <c r="C4058" s="50" t="s">
        <v>446</v>
      </c>
      <c r="D4058" s="50" t="s">
        <v>259</v>
      </c>
      <c r="E4058" s="50">
        <v>1</v>
      </c>
      <c r="F4058" s="51">
        <v>1.1136359511286247</v>
      </c>
      <c r="G4058" s="51" t="str">
        <v>森岳 2022/09/01 (木)
平日夜間</v>
      </c>
    </row>
    <row r="4059" spans="1:7" ht="16.149999999999999" x14ac:dyDescent="0.7">
      <c r="A4059" s="49">
        <v>44800.905889155096</v>
      </c>
      <c r="B4059" s="50" t="s">
        <v>38</v>
      </c>
      <c r="C4059" s="50" t="s">
        <v>447</v>
      </c>
      <c r="D4059" s="50" t="s">
        <v>259</v>
      </c>
      <c r="E4059" s="50">
        <v>0</v>
      </c>
      <c r="F4059" s="51">
        <v>0.58468466628103655</v>
      </c>
      <c r="G4059" s="51" t="str">
        <v>森岳 2022/09/02 (金)
平日夜間</v>
      </c>
    </row>
    <row r="4060" spans="1:7" ht="16.149999999999999" x14ac:dyDescent="0.7">
      <c r="A4060" s="49">
        <v>44800.905889155096</v>
      </c>
      <c r="B4060" s="50" t="s">
        <v>38</v>
      </c>
      <c r="C4060" s="50" t="s">
        <v>448</v>
      </c>
      <c r="D4060" s="50" t="s">
        <v>263</v>
      </c>
      <c r="E4060" s="50">
        <v>-1</v>
      </c>
      <c r="F4060" s="51">
        <v>-0.11717672146520841</v>
      </c>
      <c r="G4060" s="51" t="str">
        <v>森岳 2022/09/03 (土)
休日午前</v>
      </c>
    </row>
    <row r="4061" spans="1:7" ht="16.149999999999999" x14ac:dyDescent="0.7">
      <c r="A4061" s="49">
        <v>44800.905889155096</v>
      </c>
      <c r="B4061" s="50" t="s">
        <v>38</v>
      </c>
      <c r="C4061" s="50" t="s">
        <v>449</v>
      </c>
      <c r="D4061" s="50" t="s">
        <v>261</v>
      </c>
      <c r="E4061" s="50">
        <v>-1</v>
      </c>
      <c r="F4061" s="51">
        <v>-5.8375415095463623E-2</v>
      </c>
      <c r="G4061" s="51" t="str">
        <v>森岳 2022/09/03 (土)
休日午後</v>
      </c>
    </row>
    <row r="4062" spans="1:7" ht="16.149999999999999" x14ac:dyDescent="0.7">
      <c r="A4062" s="49">
        <v>44800.905889155096</v>
      </c>
      <c r="B4062" s="50" t="s">
        <v>38</v>
      </c>
      <c r="C4062" s="50" t="s">
        <v>450</v>
      </c>
      <c r="D4062" s="50" t="s">
        <v>263</v>
      </c>
      <c r="E4062" s="50">
        <v>-1</v>
      </c>
      <c r="F4062" s="51">
        <v>-0.45218770243150641</v>
      </c>
      <c r="G4062" s="51" t="str">
        <v>森岳 2022/09/04 (日)
休日午前</v>
      </c>
    </row>
    <row r="4063" spans="1:7" ht="16.149999999999999" x14ac:dyDescent="0.7">
      <c r="A4063" s="49">
        <v>44800.905889155096</v>
      </c>
      <c r="B4063" s="50" t="s">
        <v>38</v>
      </c>
      <c r="C4063" s="50" t="s">
        <v>451</v>
      </c>
      <c r="D4063" s="50" t="s">
        <v>261</v>
      </c>
      <c r="E4063" s="50">
        <v>-1</v>
      </c>
      <c r="F4063" s="51">
        <v>-0.92310471152367546</v>
      </c>
      <c r="G4063" s="51" t="str">
        <v>森岳 2022/09/04 (日)
休日午後</v>
      </c>
    </row>
    <row r="4064" spans="1:7" ht="16.149999999999999" x14ac:dyDescent="0.7">
      <c r="A4064" s="49">
        <v>44800.905889155096</v>
      </c>
      <c r="B4064" s="50" t="s">
        <v>38</v>
      </c>
      <c r="C4064" s="50" t="s">
        <v>452</v>
      </c>
      <c r="D4064" s="50" t="s">
        <v>259</v>
      </c>
      <c r="E4064" s="50">
        <v>0</v>
      </c>
      <c r="F4064" s="51">
        <v>0.3274159190546988</v>
      </c>
      <c r="G4064" s="51" t="str">
        <v>森岳 2022/09/05 (月)
平日夜間</v>
      </c>
    </row>
    <row r="4065" spans="1:7" ht="16.149999999999999" x14ac:dyDescent="0.7">
      <c r="A4065" s="49">
        <v>44800.905889155096</v>
      </c>
      <c r="B4065" s="50" t="s">
        <v>38</v>
      </c>
      <c r="C4065" s="50" t="s">
        <v>453</v>
      </c>
      <c r="D4065" s="50" t="s">
        <v>259</v>
      </c>
      <c r="E4065" s="50">
        <v>-1</v>
      </c>
      <c r="F4065" s="51">
        <v>-0.27265370157406754</v>
      </c>
      <c r="G4065" s="51" t="str">
        <v>森岳 2022/09/06 (火)
平日夜間</v>
      </c>
    </row>
    <row r="4066" spans="1:7" ht="16.149999999999999" x14ac:dyDescent="0.7">
      <c r="A4066" s="49">
        <v>44800.905889155096</v>
      </c>
      <c r="B4066" s="50" t="s">
        <v>38</v>
      </c>
      <c r="C4066" s="50" t="s">
        <v>454</v>
      </c>
      <c r="D4066" s="50" t="s">
        <v>259</v>
      </c>
      <c r="E4066" s="50">
        <v>-1</v>
      </c>
      <c r="F4066" s="51">
        <v>-0.49221475044651886</v>
      </c>
      <c r="G4066" s="51" t="str">
        <v>森岳 2022/09/07 (水)
平日夜間</v>
      </c>
    </row>
    <row r="4067" spans="1:7" ht="16.149999999999999" x14ac:dyDescent="0.7">
      <c r="A4067" s="49">
        <v>44800.905889155096</v>
      </c>
      <c r="B4067" s="50" t="s">
        <v>38</v>
      </c>
      <c r="C4067" s="50" t="s">
        <v>455</v>
      </c>
      <c r="D4067" s="50" t="s">
        <v>259</v>
      </c>
      <c r="E4067" s="50">
        <v>0</v>
      </c>
      <c r="F4067" s="51">
        <v>9.1861864685062633E-2</v>
      </c>
      <c r="G4067" s="51" t="str">
        <v>森岳 2022/09/08 (木)
平日夜間</v>
      </c>
    </row>
    <row r="4068" spans="1:7" ht="16.149999999999999" x14ac:dyDescent="0.7">
      <c r="A4068" s="49">
        <v>44800.905889155096</v>
      </c>
      <c r="B4068" s="50" t="s">
        <v>38</v>
      </c>
      <c r="C4068" s="50" t="s">
        <v>456</v>
      </c>
      <c r="D4068" s="50" t="s">
        <v>259</v>
      </c>
      <c r="E4068" s="50">
        <v>0</v>
      </c>
      <c r="F4068" s="51">
        <v>5.4423762289903976E-2</v>
      </c>
      <c r="G4068" s="51" t="str">
        <v>森岳 2022/09/09 (金)
平日夜間</v>
      </c>
    </row>
    <row r="4069" spans="1:7" ht="16.149999999999999" x14ac:dyDescent="0.7">
      <c r="A4069" s="49">
        <v>44800.905889155096</v>
      </c>
      <c r="B4069" s="50" t="s">
        <v>38</v>
      </c>
      <c r="C4069" s="50" t="s">
        <v>457</v>
      </c>
      <c r="D4069" s="50" t="s">
        <v>263</v>
      </c>
      <c r="E4069" s="50">
        <v>0</v>
      </c>
      <c r="F4069" s="51">
        <v>0.42427092370050934</v>
      </c>
      <c r="G4069" s="51" t="str">
        <v>森岳 2022/09/10 (土)
休日午前</v>
      </c>
    </row>
    <row r="4070" spans="1:7" ht="16.149999999999999" x14ac:dyDescent="0.7">
      <c r="A4070" s="49">
        <v>44800.905889155096</v>
      </c>
      <c r="B4070" s="50" t="s">
        <v>38</v>
      </c>
      <c r="C4070" s="50" t="s">
        <v>458</v>
      </c>
      <c r="D4070" s="50" t="s">
        <v>261</v>
      </c>
      <c r="E4070" s="50">
        <v>0</v>
      </c>
      <c r="F4070" s="51">
        <v>0.5552984398592189</v>
      </c>
      <c r="G4070" s="51" t="str">
        <v>森岳 2022/09/10 (土)
休日午後</v>
      </c>
    </row>
    <row r="4071" spans="1:7" ht="16.149999999999999" x14ac:dyDescent="0.7">
      <c r="A4071" s="49">
        <v>44800.905889155096</v>
      </c>
      <c r="B4071" s="50" t="s">
        <v>38</v>
      </c>
      <c r="C4071" s="50" t="s">
        <v>459</v>
      </c>
      <c r="D4071" s="50" t="s">
        <v>263</v>
      </c>
      <c r="E4071" s="50">
        <v>0</v>
      </c>
      <c r="F4071" s="51">
        <v>0.11943208992015064</v>
      </c>
      <c r="G4071" s="51" t="str">
        <v>森岳 2022/09/11 (日)
休日午前</v>
      </c>
    </row>
    <row r="4072" spans="1:7" ht="16.149999999999999" x14ac:dyDescent="0.7">
      <c r="A4072" s="49">
        <v>44800.905889155096</v>
      </c>
      <c r="B4072" s="50" t="s">
        <v>38</v>
      </c>
      <c r="C4072" s="50" t="s">
        <v>460</v>
      </c>
      <c r="D4072" s="50" t="s">
        <v>261</v>
      </c>
      <c r="E4072" s="50">
        <v>0</v>
      </c>
      <c r="F4072" s="51">
        <v>0.14638205885798827</v>
      </c>
      <c r="G4072" s="51" t="str">
        <v>森岳 2022/09/11 (日)
休日午後</v>
      </c>
    </row>
    <row r="4073" spans="1:7" ht="16.149999999999999" x14ac:dyDescent="0.7">
      <c r="A4073" s="49">
        <v>44800.905889155096</v>
      </c>
      <c r="B4073" s="50" t="s">
        <v>38</v>
      </c>
      <c r="C4073" s="50" t="s">
        <v>461</v>
      </c>
      <c r="D4073" s="50" t="s">
        <v>259</v>
      </c>
      <c r="E4073" s="50">
        <v>-1</v>
      </c>
      <c r="F4073" s="51">
        <v>-0.38281182669331226</v>
      </c>
      <c r="G4073" s="51" t="str">
        <v>森岳 2022/09/12 (月)
平日夜間</v>
      </c>
    </row>
    <row r="4074" spans="1:7" ht="16.149999999999999" x14ac:dyDescent="0.7">
      <c r="A4074" s="49">
        <v>44800.905889155096</v>
      </c>
      <c r="B4074" s="50" t="s">
        <v>38</v>
      </c>
      <c r="C4074" s="50" t="s">
        <v>462</v>
      </c>
      <c r="D4074" s="50" t="s">
        <v>259</v>
      </c>
      <c r="E4074" s="50">
        <v>-1</v>
      </c>
      <c r="F4074" s="51">
        <v>-0.87432639518152278</v>
      </c>
      <c r="G4074" s="51" t="str">
        <v>森岳 2022/09/13 (火)
平日夜間</v>
      </c>
    </row>
    <row r="4075" spans="1:7" ht="16.149999999999999" x14ac:dyDescent="0.7">
      <c r="A4075" s="49">
        <v>44800.905889155096</v>
      </c>
      <c r="B4075" s="50" t="s">
        <v>38</v>
      </c>
      <c r="C4075" s="50" t="s">
        <v>463</v>
      </c>
      <c r="D4075" s="50" t="s">
        <v>259</v>
      </c>
      <c r="E4075" s="50">
        <v>-1</v>
      </c>
      <c r="F4075" s="51">
        <v>-0.61913193777422149</v>
      </c>
      <c r="G4075" s="51" t="str">
        <v>森岳 2022/09/14 (水)
平日夜間</v>
      </c>
    </row>
    <row r="4076" spans="1:7" ht="16.149999999999999" x14ac:dyDescent="0.7">
      <c r="A4076" s="49">
        <v>44800.905889155096</v>
      </c>
      <c r="B4076" s="50" t="s">
        <v>38</v>
      </c>
      <c r="C4076" s="50" t="s">
        <v>464</v>
      </c>
      <c r="D4076" s="50" t="s">
        <v>259</v>
      </c>
      <c r="E4076" s="50">
        <v>0</v>
      </c>
      <c r="F4076" s="51">
        <v>0.66582201974207722</v>
      </c>
      <c r="G4076" s="51" t="str">
        <v>森岳 2022/09/15 (木)
平日夜間</v>
      </c>
    </row>
    <row r="4077" spans="1:7" ht="16.149999999999999" x14ac:dyDescent="0.7">
      <c r="A4077" s="49">
        <v>44800.905889155096</v>
      </c>
      <c r="B4077" s="50" t="s">
        <v>38</v>
      </c>
      <c r="C4077" s="50" t="s">
        <v>465</v>
      </c>
      <c r="D4077" s="50" t="s">
        <v>259</v>
      </c>
      <c r="E4077" s="50">
        <v>-1</v>
      </c>
      <c r="F4077" s="51">
        <v>-0.77518416080013464</v>
      </c>
      <c r="G4077" s="51" t="str">
        <v>森岳 2022/09/16 (金)
平日夜間</v>
      </c>
    </row>
    <row r="4078" spans="1:7" ht="16.149999999999999" x14ac:dyDescent="0.7">
      <c r="A4078" s="49">
        <v>44800.905889155096</v>
      </c>
      <c r="B4078" s="50" t="s">
        <v>38</v>
      </c>
      <c r="C4078" s="50" t="s">
        <v>466</v>
      </c>
      <c r="D4078" s="50" t="s">
        <v>263</v>
      </c>
      <c r="E4078" s="50">
        <v>-1</v>
      </c>
      <c r="F4078" s="51">
        <v>-0.34731826702653978</v>
      </c>
      <c r="G4078" s="51" t="str">
        <v>森岳 2022/09/17 (土)
休日午前</v>
      </c>
    </row>
    <row r="4079" spans="1:7" ht="16.149999999999999" x14ac:dyDescent="0.7">
      <c r="A4079" s="49">
        <v>44800.905889155096</v>
      </c>
      <c r="B4079" s="50" t="s">
        <v>38</v>
      </c>
      <c r="C4079" s="50" t="s">
        <v>467</v>
      </c>
      <c r="D4079" s="50" t="s">
        <v>261</v>
      </c>
      <c r="E4079" s="50">
        <v>0</v>
      </c>
      <c r="F4079" s="51">
        <v>0.33211204950684325</v>
      </c>
      <c r="G4079" s="51" t="str">
        <v>森岳 2022/09/17 (土)
休日午後</v>
      </c>
    </row>
    <row r="4080" spans="1:7" ht="16.149999999999999" x14ac:dyDescent="0.7">
      <c r="A4080" s="49">
        <v>44800.905889155096</v>
      </c>
      <c r="B4080" s="50" t="s">
        <v>38</v>
      </c>
      <c r="C4080" s="50" t="s">
        <v>468</v>
      </c>
      <c r="D4080" s="50" t="s">
        <v>263</v>
      </c>
      <c r="E4080" s="50">
        <v>2</v>
      </c>
      <c r="F4080" s="51">
        <v>2.0795636057397582</v>
      </c>
      <c r="G4080" s="51" t="str">
        <v>森岳 2022/09/18 (日)
休日午前</v>
      </c>
    </row>
    <row r="4081" spans="1:7" ht="16.149999999999999" x14ac:dyDescent="0.7">
      <c r="A4081" s="49">
        <v>44800.905889155096</v>
      </c>
      <c r="B4081" s="50" t="s">
        <v>38</v>
      </c>
      <c r="C4081" s="50" t="s">
        <v>469</v>
      </c>
      <c r="D4081" s="50" t="s">
        <v>261</v>
      </c>
      <c r="E4081" s="50">
        <v>0</v>
      </c>
      <c r="F4081" s="51">
        <v>3.3427153636711004E-2</v>
      </c>
      <c r="G4081" s="51" t="str">
        <v>森岳 2022/09/18 (日)
休日午後</v>
      </c>
    </row>
    <row r="4082" spans="1:7" ht="16.149999999999999" x14ac:dyDescent="0.7">
      <c r="A4082" s="49">
        <v>44800.905889155096</v>
      </c>
      <c r="B4082" s="50" t="s">
        <v>38</v>
      </c>
      <c r="C4082" s="50" t="s">
        <v>470</v>
      </c>
      <c r="D4082" s="50" t="s">
        <v>263</v>
      </c>
      <c r="E4082" s="50">
        <v>1</v>
      </c>
      <c r="F4082" s="51">
        <v>1.3923444117541077</v>
      </c>
      <c r="G4082" s="51" t="str">
        <v>森岳 2022/09/19 (月)
休日午前</v>
      </c>
    </row>
    <row r="4083" spans="1:7" ht="16.149999999999999" x14ac:dyDescent="0.7">
      <c r="A4083" s="49">
        <v>44800.905889155096</v>
      </c>
      <c r="B4083" s="50" t="s">
        <v>38</v>
      </c>
      <c r="C4083" s="50" t="s">
        <v>471</v>
      </c>
      <c r="D4083" s="50" t="s">
        <v>261</v>
      </c>
      <c r="E4083" s="50">
        <v>-1</v>
      </c>
      <c r="F4083" s="51">
        <v>-0.19388334330210988</v>
      </c>
      <c r="G4083" s="51" t="str">
        <v>森岳 2022/09/19 (月)
休日午後</v>
      </c>
    </row>
    <row r="4084" spans="1:7" ht="16.149999999999999" x14ac:dyDescent="0.7">
      <c r="A4084" s="49">
        <v>44800.905889155096</v>
      </c>
      <c r="B4084" s="50" t="s">
        <v>38</v>
      </c>
      <c r="C4084" s="50" t="s">
        <v>472</v>
      </c>
      <c r="D4084" s="50" t="s">
        <v>259</v>
      </c>
      <c r="E4084" s="50">
        <v>0</v>
      </c>
      <c r="F4084" s="51">
        <v>7.4483242460757104E-2</v>
      </c>
      <c r="G4084" s="51" t="str">
        <v>森岳 2022/09/20 (火)
平日夜間</v>
      </c>
    </row>
    <row r="4085" spans="1:7" ht="16.149999999999999" x14ac:dyDescent="0.7">
      <c r="A4085" s="49">
        <v>44800.905889155096</v>
      </c>
      <c r="B4085" s="50" t="s">
        <v>38</v>
      </c>
      <c r="C4085" s="50" t="s">
        <v>473</v>
      </c>
      <c r="D4085" s="50" t="s">
        <v>259</v>
      </c>
      <c r="E4085" s="50">
        <v>0</v>
      </c>
      <c r="F4085" s="51">
        <v>0.15433919187915546</v>
      </c>
      <c r="G4085" s="51" t="str">
        <v>森岳 2022/09/21 (水)
平日夜間</v>
      </c>
    </row>
    <row r="4086" spans="1:7" ht="16.149999999999999" x14ac:dyDescent="0.7">
      <c r="A4086" s="49">
        <v>44800.905889155096</v>
      </c>
      <c r="B4086" s="50" t="s">
        <v>38</v>
      </c>
      <c r="C4086" s="50" t="s">
        <v>474</v>
      </c>
      <c r="D4086" s="50" t="s">
        <v>259</v>
      </c>
      <c r="E4086" s="50">
        <v>0</v>
      </c>
      <c r="F4086" s="51">
        <v>0.6941406154669052</v>
      </c>
      <c r="G4086" s="51" t="str">
        <v>森岳 2022/09/22 (木)
平日夜間</v>
      </c>
    </row>
    <row r="4087" spans="1:7" ht="16.149999999999999" x14ac:dyDescent="0.7">
      <c r="A4087" s="49">
        <v>44800.905889155096</v>
      </c>
      <c r="B4087" s="50" t="s">
        <v>38</v>
      </c>
      <c r="C4087" s="50" t="s">
        <v>475</v>
      </c>
      <c r="D4087" s="50" t="s">
        <v>263</v>
      </c>
      <c r="E4087" s="50">
        <v>0</v>
      </c>
      <c r="F4087" s="51">
        <v>0.46892594463538773</v>
      </c>
      <c r="G4087" s="51" t="str">
        <v>森岳 2022/09/23 (金)
休日午前</v>
      </c>
    </row>
    <row r="4088" spans="1:7" ht="16.149999999999999" x14ac:dyDescent="0.7">
      <c r="A4088" s="49">
        <v>44800.905889155096</v>
      </c>
      <c r="B4088" s="50" t="s">
        <v>38</v>
      </c>
      <c r="C4088" s="50" t="s">
        <v>476</v>
      </c>
      <c r="D4088" s="50" t="s">
        <v>261</v>
      </c>
      <c r="E4088" s="50">
        <v>-1</v>
      </c>
      <c r="F4088" s="51">
        <v>-0.15282975819543632</v>
      </c>
      <c r="G4088" s="51" t="str">
        <v>森岳 2022/09/23 (金)
休日午後</v>
      </c>
    </row>
    <row r="4089" spans="1:7" ht="16.149999999999999" x14ac:dyDescent="0.7">
      <c r="A4089" s="49">
        <v>44800.905889155096</v>
      </c>
      <c r="B4089" s="50" t="s">
        <v>38</v>
      </c>
      <c r="C4089" s="50" t="s">
        <v>477</v>
      </c>
      <c r="D4089" s="50" t="s">
        <v>263</v>
      </c>
      <c r="E4089" s="50">
        <v>-1</v>
      </c>
      <c r="F4089" s="51">
        <v>-0.32786046854261297</v>
      </c>
      <c r="G4089" s="51" t="str">
        <v>森岳 2022/09/24 (土)
休日午前</v>
      </c>
    </row>
    <row r="4090" spans="1:7" ht="16.149999999999999" x14ac:dyDescent="0.7">
      <c r="A4090" s="49">
        <v>44800.905889155096</v>
      </c>
      <c r="B4090" s="50" t="s">
        <v>38</v>
      </c>
      <c r="C4090" s="50" t="s">
        <v>478</v>
      </c>
      <c r="D4090" s="50" t="s">
        <v>261</v>
      </c>
      <c r="E4090" s="50">
        <v>-1</v>
      </c>
      <c r="F4090" s="51">
        <v>-4.4255554510745254E-2</v>
      </c>
      <c r="G4090" s="51" t="str">
        <v>森岳 2022/09/24 (土)
休日午後</v>
      </c>
    </row>
    <row r="4091" spans="1:7" ht="16.149999999999999" x14ac:dyDescent="0.7">
      <c r="A4091" s="49">
        <v>44800.905889155096</v>
      </c>
      <c r="B4091" s="50" t="s">
        <v>38</v>
      </c>
      <c r="C4091" s="50" t="s">
        <v>479</v>
      </c>
      <c r="D4091" s="50" t="s">
        <v>263</v>
      </c>
      <c r="E4091" s="50">
        <v>-1</v>
      </c>
      <c r="F4091" s="51">
        <v>-0.9287759910777289</v>
      </c>
      <c r="G4091" s="51" t="str">
        <v>森岳 2022/09/25 (日)
休日午前</v>
      </c>
    </row>
    <row r="4092" spans="1:7" ht="16.149999999999999" x14ac:dyDescent="0.7">
      <c r="A4092" s="49">
        <v>44800.905889155096</v>
      </c>
      <c r="B4092" s="50" t="s">
        <v>38</v>
      </c>
      <c r="C4092" s="50" t="s">
        <v>480</v>
      </c>
      <c r="D4092" s="50" t="s">
        <v>261</v>
      </c>
      <c r="E4092" s="50">
        <v>-1</v>
      </c>
      <c r="F4092" s="51">
        <v>-0.87452831559030164</v>
      </c>
      <c r="G4092" s="51" t="str">
        <v>森岳 2022/09/25 (日)
休日午後</v>
      </c>
    </row>
    <row r="4093" spans="1:7" ht="16.149999999999999" x14ac:dyDescent="0.7">
      <c r="A4093" s="49">
        <v>44800.905889155096</v>
      </c>
      <c r="B4093" s="50" t="s">
        <v>38</v>
      </c>
      <c r="C4093" s="50" t="s">
        <v>481</v>
      </c>
      <c r="D4093" s="50" t="s">
        <v>259</v>
      </c>
      <c r="E4093" s="50">
        <v>0</v>
      </c>
      <c r="F4093" s="51">
        <v>0.62670428412636969</v>
      </c>
      <c r="G4093" s="51" t="str">
        <v>森岳 2022/09/26 (月)
平日夜間</v>
      </c>
    </row>
    <row r="4094" spans="1:7" ht="16.149999999999999" x14ac:dyDescent="0.7">
      <c r="A4094" s="49">
        <v>44800.905889155096</v>
      </c>
      <c r="B4094" s="50" t="s">
        <v>38</v>
      </c>
      <c r="C4094" s="50" t="s">
        <v>482</v>
      </c>
      <c r="D4094" s="50" t="s">
        <v>259</v>
      </c>
      <c r="E4094" s="50">
        <v>-1</v>
      </c>
      <c r="F4094" s="51">
        <v>-0.17084594620536064</v>
      </c>
      <c r="G4094" s="51" t="str">
        <v>森岳 2022/09/27 (火)
平日夜間</v>
      </c>
    </row>
    <row r="4095" spans="1:7" ht="16.149999999999999" x14ac:dyDescent="0.7">
      <c r="A4095" s="49">
        <v>44800.905889155096</v>
      </c>
      <c r="B4095" s="50" t="s">
        <v>38</v>
      </c>
      <c r="C4095" s="50" t="s">
        <v>483</v>
      </c>
      <c r="D4095" s="50" t="s">
        <v>259</v>
      </c>
      <c r="E4095" s="50">
        <v>-1</v>
      </c>
      <c r="F4095" s="51">
        <v>-0.24498489993072248</v>
      </c>
      <c r="G4095" s="51" t="str">
        <v>森岳 2022/09/28 (水)
平日夜間</v>
      </c>
    </row>
    <row r="4096" spans="1:7" ht="16.149999999999999" x14ac:dyDescent="0.7">
      <c r="A4096" s="49">
        <v>44800.905889155096</v>
      </c>
      <c r="B4096" s="50" t="s">
        <v>38</v>
      </c>
      <c r="C4096" s="50" t="s">
        <v>484</v>
      </c>
      <c r="D4096" s="50" t="s">
        <v>259</v>
      </c>
      <c r="E4096" s="50">
        <v>-1</v>
      </c>
      <c r="F4096" s="51">
        <v>-0.43396562062036659</v>
      </c>
      <c r="G4096" s="51" t="str">
        <v>森岳 2022/09/29 (木)
平日夜間</v>
      </c>
    </row>
    <row r="4097" spans="1:7" ht="16.149999999999999" x14ac:dyDescent="0.7">
      <c r="A4097" s="49">
        <v>44800.905889155096</v>
      </c>
      <c r="B4097" s="50" t="s">
        <v>38</v>
      </c>
      <c r="C4097" s="50" t="s">
        <v>485</v>
      </c>
      <c r="D4097" s="50" t="s">
        <v>259</v>
      </c>
      <c r="E4097" s="50">
        <v>-1</v>
      </c>
      <c r="F4097" s="51">
        <v>-0.98584636198813635</v>
      </c>
      <c r="G4097" s="51" t="str">
        <v>森岳 2022/09/30 (金)
平日夜間</v>
      </c>
    </row>
    <row r="4098" spans="1:7" ht="16.149999999999999" x14ac:dyDescent="0.7">
      <c r="A4098" s="49">
        <v>44800.996209432866</v>
      </c>
      <c r="B4098" s="50" t="s">
        <v>14</v>
      </c>
      <c r="C4098" s="50" t="s">
        <v>446</v>
      </c>
      <c r="D4098" s="50" t="s">
        <v>259</v>
      </c>
      <c r="E4098" s="50">
        <v>0</v>
      </c>
      <c r="F4098" s="51">
        <v>0.25278013580030634</v>
      </c>
      <c r="G4098" s="51" t="str">
        <v>林智 2022/09/01 (木)
平日夜間</v>
      </c>
    </row>
    <row r="4099" spans="1:7" ht="16.149999999999999" x14ac:dyDescent="0.7">
      <c r="A4099" s="49">
        <v>44800.996209432866</v>
      </c>
      <c r="B4099" s="50" t="s">
        <v>14</v>
      </c>
      <c r="C4099" s="50" t="s">
        <v>447</v>
      </c>
      <c r="D4099" s="50" t="s">
        <v>259</v>
      </c>
      <c r="E4099" s="50">
        <v>0</v>
      </c>
      <c r="F4099" s="51">
        <v>0.56379410492165438</v>
      </c>
      <c r="G4099" s="51" t="str">
        <v>林智 2022/09/02 (金)
平日夜間</v>
      </c>
    </row>
    <row r="4100" spans="1:7" ht="16.149999999999999" x14ac:dyDescent="0.7">
      <c r="A4100" s="49">
        <v>44800.996209432866</v>
      </c>
      <c r="B4100" s="50" t="s">
        <v>14</v>
      </c>
      <c r="C4100" s="50" t="s">
        <v>448</v>
      </c>
      <c r="D4100" s="50" t="s">
        <v>263</v>
      </c>
      <c r="E4100" s="50">
        <v>0</v>
      </c>
      <c r="F4100" s="51">
        <v>0.23395275092984513</v>
      </c>
      <c r="G4100" s="51" t="str">
        <v>林智 2022/09/03 (土)
休日午前</v>
      </c>
    </row>
    <row r="4101" spans="1:7" ht="16.149999999999999" x14ac:dyDescent="0.7">
      <c r="A4101" s="49">
        <v>44800.996209432866</v>
      </c>
      <c r="B4101" s="50" t="s">
        <v>14</v>
      </c>
      <c r="C4101" s="50" t="s">
        <v>449</v>
      </c>
      <c r="D4101" s="50" t="s">
        <v>261</v>
      </c>
      <c r="E4101" s="50">
        <v>2</v>
      </c>
      <c r="F4101" s="51">
        <v>2.5056637724699664</v>
      </c>
      <c r="G4101" s="51" t="str">
        <v>林智 2022/09/03 (土)
休日午後</v>
      </c>
    </row>
    <row r="4102" spans="1:7" ht="16.149999999999999" x14ac:dyDescent="0.7">
      <c r="A4102" s="49">
        <v>44800.996209432866</v>
      </c>
      <c r="B4102" s="50" t="s">
        <v>14</v>
      </c>
      <c r="C4102" s="50" t="s">
        <v>450</v>
      </c>
      <c r="D4102" s="50" t="s">
        <v>263</v>
      </c>
      <c r="E4102" s="50">
        <v>0</v>
      </c>
      <c r="F4102" s="51">
        <v>0.68839824696987484</v>
      </c>
      <c r="G4102" s="51" t="str">
        <v>林智 2022/09/04 (日)
休日午前</v>
      </c>
    </row>
    <row r="4103" spans="1:7" ht="16.149999999999999" x14ac:dyDescent="0.7">
      <c r="A4103" s="49">
        <v>44800.996209432866</v>
      </c>
      <c r="B4103" s="50" t="s">
        <v>14</v>
      </c>
      <c r="C4103" s="50" t="s">
        <v>451</v>
      </c>
      <c r="D4103" s="50" t="s">
        <v>261</v>
      </c>
      <c r="E4103" s="50">
        <v>0</v>
      </c>
      <c r="F4103" s="51">
        <v>0.35153346169670452</v>
      </c>
      <c r="G4103" s="51" t="str">
        <v>林智 2022/09/04 (日)
休日午後</v>
      </c>
    </row>
    <row r="4104" spans="1:7" ht="16.149999999999999" x14ac:dyDescent="0.7">
      <c r="A4104" s="49">
        <v>44800.996209432866</v>
      </c>
      <c r="B4104" s="50" t="s">
        <v>14</v>
      </c>
      <c r="C4104" s="50" t="s">
        <v>452</v>
      </c>
      <c r="D4104" s="50" t="s">
        <v>259</v>
      </c>
      <c r="E4104" s="50">
        <v>0</v>
      </c>
      <c r="F4104" s="51">
        <v>4.9338566790097849E-2</v>
      </c>
      <c r="G4104" s="51" t="str">
        <v>林智 2022/09/05 (月)
平日夜間</v>
      </c>
    </row>
    <row r="4105" spans="1:7" ht="16.149999999999999" x14ac:dyDescent="0.7">
      <c r="A4105" s="49">
        <v>44800.996209432866</v>
      </c>
      <c r="B4105" s="50" t="s">
        <v>14</v>
      </c>
      <c r="C4105" s="50" t="s">
        <v>453</v>
      </c>
      <c r="D4105" s="50" t="s">
        <v>259</v>
      </c>
      <c r="E4105" s="50">
        <v>0</v>
      </c>
      <c r="F4105" s="51">
        <v>0.64918827425289516</v>
      </c>
      <c r="G4105" s="51" t="str">
        <v>林智 2022/09/06 (火)
平日夜間</v>
      </c>
    </row>
    <row r="4106" spans="1:7" ht="16.149999999999999" x14ac:dyDescent="0.7">
      <c r="A4106" s="49">
        <v>44800.996209432866</v>
      </c>
      <c r="B4106" s="50" t="s">
        <v>14</v>
      </c>
      <c r="C4106" s="50" t="s">
        <v>454</v>
      </c>
      <c r="D4106" s="50" t="s">
        <v>259</v>
      </c>
      <c r="E4106" s="50">
        <v>0</v>
      </c>
      <c r="F4106" s="51">
        <v>0.33422970725228174</v>
      </c>
      <c r="G4106" s="51" t="str">
        <v>林智 2022/09/07 (水)
平日夜間</v>
      </c>
    </row>
    <row r="4107" spans="1:7" ht="16.149999999999999" x14ac:dyDescent="0.7">
      <c r="A4107" s="49">
        <v>44800.996209432866</v>
      </c>
      <c r="B4107" s="50" t="s">
        <v>14</v>
      </c>
      <c r="C4107" s="50" t="s">
        <v>455</v>
      </c>
      <c r="D4107" s="50" t="s">
        <v>259</v>
      </c>
      <c r="E4107" s="50">
        <v>0</v>
      </c>
      <c r="F4107" s="51">
        <v>0.94329595698674384</v>
      </c>
      <c r="G4107" s="51" t="str">
        <v>林智 2022/09/08 (木)
平日夜間</v>
      </c>
    </row>
    <row r="4108" spans="1:7" ht="16.149999999999999" x14ac:dyDescent="0.7">
      <c r="A4108" s="49">
        <v>44800.996209432866</v>
      </c>
      <c r="B4108" s="50" t="s">
        <v>14</v>
      </c>
      <c r="C4108" s="50" t="s">
        <v>456</v>
      </c>
      <c r="D4108" s="50" t="s">
        <v>259</v>
      </c>
      <c r="E4108" s="50">
        <v>0</v>
      </c>
      <c r="F4108" s="51">
        <v>5.0278265124808819E-2</v>
      </c>
      <c r="G4108" s="51" t="str">
        <v>林智 2022/09/09 (金)
平日夜間</v>
      </c>
    </row>
    <row r="4109" spans="1:7" ht="16.149999999999999" x14ac:dyDescent="0.7">
      <c r="A4109" s="49">
        <v>44800.996209432866</v>
      </c>
      <c r="B4109" s="50" t="s">
        <v>14</v>
      </c>
      <c r="C4109" s="50" t="s">
        <v>457</v>
      </c>
      <c r="D4109" s="50" t="s">
        <v>263</v>
      </c>
      <c r="E4109" s="50">
        <v>-1</v>
      </c>
      <c r="F4109" s="51">
        <v>-0.37475593496616555</v>
      </c>
      <c r="G4109" s="51" t="str">
        <v>林智 2022/09/10 (土)
休日午前</v>
      </c>
    </row>
    <row r="4110" spans="1:7" ht="16.149999999999999" x14ac:dyDescent="0.7">
      <c r="A4110" s="49">
        <v>44800.996209432866</v>
      </c>
      <c r="B4110" s="50" t="s">
        <v>14</v>
      </c>
      <c r="C4110" s="50" t="s">
        <v>458</v>
      </c>
      <c r="D4110" s="50" t="s">
        <v>261</v>
      </c>
      <c r="E4110" s="50">
        <v>-1</v>
      </c>
      <c r="F4110" s="51">
        <v>-0.9313208175511476</v>
      </c>
      <c r="G4110" s="51" t="str">
        <v>林智 2022/09/10 (土)
休日午後</v>
      </c>
    </row>
    <row r="4111" spans="1:7" ht="16.149999999999999" x14ac:dyDescent="0.7">
      <c r="A4111" s="49">
        <v>44800.996209432866</v>
      </c>
      <c r="B4111" s="50" t="s">
        <v>14</v>
      </c>
      <c r="C4111" s="50" t="s">
        <v>459</v>
      </c>
      <c r="D4111" s="50" t="s">
        <v>263</v>
      </c>
      <c r="E4111" s="50">
        <v>-1</v>
      </c>
      <c r="F4111" s="51">
        <v>-0.40851531599610347</v>
      </c>
      <c r="G4111" s="51" t="str">
        <v>林智 2022/09/11 (日)
休日午前</v>
      </c>
    </row>
    <row r="4112" spans="1:7" ht="16.149999999999999" x14ac:dyDescent="0.7">
      <c r="A4112" s="49">
        <v>44800.996209432866</v>
      </c>
      <c r="B4112" s="50" t="s">
        <v>14</v>
      </c>
      <c r="C4112" s="50" t="s">
        <v>460</v>
      </c>
      <c r="D4112" s="50" t="s">
        <v>261</v>
      </c>
      <c r="E4112" s="50">
        <v>-1</v>
      </c>
      <c r="F4112" s="51">
        <v>-0.51944565867114845</v>
      </c>
      <c r="G4112" s="51" t="str">
        <v>林智 2022/09/11 (日)
休日午後</v>
      </c>
    </row>
    <row r="4113" spans="1:7" ht="16.149999999999999" x14ac:dyDescent="0.7">
      <c r="A4113" s="49">
        <v>44800.996209432866</v>
      </c>
      <c r="B4113" s="50" t="s">
        <v>14</v>
      </c>
      <c r="C4113" s="50" t="s">
        <v>461</v>
      </c>
      <c r="D4113" s="50" t="s">
        <v>259</v>
      </c>
      <c r="E4113" s="50">
        <v>-1</v>
      </c>
      <c r="F4113" s="51">
        <v>-0.96293176474288833</v>
      </c>
      <c r="G4113" s="51" t="str">
        <v>林智 2022/09/12 (月)
平日夜間</v>
      </c>
    </row>
    <row r="4114" spans="1:7" ht="16.149999999999999" x14ac:dyDescent="0.7">
      <c r="A4114" s="49">
        <v>44800.996209432866</v>
      </c>
      <c r="B4114" s="50" t="s">
        <v>14</v>
      </c>
      <c r="C4114" s="50" t="s">
        <v>462</v>
      </c>
      <c r="D4114" s="50" t="s">
        <v>259</v>
      </c>
      <c r="E4114" s="50">
        <v>-1</v>
      </c>
      <c r="F4114" s="51">
        <v>-0.78193995092778223</v>
      </c>
      <c r="G4114" s="51" t="str">
        <v>林智 2022/09/13 (火)
平日夜間</v>
      </c>
    </row>
    <row r="4115" spans="1:7" ht="16.149999999999999" x14ac:dyDescent="0.7">
      <c r="A4115" s="49">
        <v>44800.996209432866</v>
      </c>
      <c r="B4115" s="50" t="s">
        <v>14</v>
      </c>
      <c r="C4115" s="50" t="s">
        <v>463</v>
      </c>
      <c r="D4115" s="50" t="s">
        <v>259</v>
      </c>
      <c r="E4115" s="50">
        <v>0</v>
      </c>
      <c r="F4115" s="51">
        <v>0.22845888362611833</v>
      </c>
      <c r="G4115" s="51" t="str">
        <v>林智 2022/09/14 (水)
平日夜間</v>
      </c>
    </row>
    <row r="4116" spans="1:7" ht="16.149999999999999" x14ac:dyDescent="0.7">
      <c r="A4116" s="49">
        <v>44800.996209432866</v>
      </c>
      <c r="B4116" s="50" t="s">
        <v>14</v>
      </c>
      <c r="C4116" s="50" t="s">
        <v>464</v>
      </c>
      <c r="D4116" s="50" t="s">
        <v>259</v>
      </c>
      <c r="E4116" s="50">
        <v>-1</v>
      </c>
      <c r="F4116" s="51">
        <v>-0.94347500622295155</v>
      </c>
      <c r="G4116" s="51" t="str">
        <v>林智 2022/09/15 (木)
平日夜間</v>
      </c>
    </row>
    <row r="4117" spans="1:7" ht="16.149999999999999" x14ac:dyDescent="0.7">
      <c r="A4117" s="49">
        <v>44800.996209432866</v>
      </c>
      <c r="B4117" s="50" t="s">
        <v>14</v>
      </c>
      <c r="C4117" s="50" t="s">
        <v>465</v>
      </c>
      <c r="D4117" s="50" t="s">
        <v>259</v>
      </c>
      <c r="E4117" s="50">
        <v>0</v>
      </c>
      <c r="F4117" s="51">
        <v>0.14797640680255708</v>
      </c>
      <c r="G4117" s="51" t="str">
        <v>林智 2022/09/16 (金)
平日夜間</v>
      </c>
    </row>
    <row r="4118" spans="1:7" ht="16.149999999999999" x14ac:dyDescent="0.7">
      <c r="A4118" s="49">
        <v>44800.996209432866</v>
      </c>
      <c r="B4118" s="50" t="s">
        <v>14</v>
      </c>
      <c r="C4118" s="50" t="s">
        <v>466</v>
      </c>
      <c r="D4118" s="50" t="s">
        <v>263</v>
      </c>
      <c r="E4118" s="50">
        <v>0</v>
      </c>
      <c r="F4118" s="51">
        <v>0.35132484995458668</v>
      </c>
      <c r="G4118" s="51" t="str">
        <v>林智 2022/09/17 (土)
休日午前</v>
      </c>
    </row>
    <row r="4119" spans="1:7" ht="16.149999999999999" x14ac:dyDescent="0.7">
      <c r="A4119" s="49">
        <v>44800.996209432866</v>
      </c>
      <c r="B4119" s="50" t="s">
        <v>14</v>
      </c>
      <c r="C4119" s="50" t="s">
        <v>467</v>
      </c>
      <c r="D4119" s="50" t="s">
        <v>261</v>
      </c>
      <c r="E4119" s="50">
        <v>-1</v>
      </c>
      <c r="F4119" s="51">
        <v>-0.50380265568798532</v>
      </c>
      <c r="G4119" s="51" t="str">
        <v>林智 2022/09/17 (土)
休日午後</v>
      </c>
    </row>
    <row r="4120" spans="1:7" ht="16.149999999999999" x14ac:dyDescent="0.7">
      <c r="A4120" s="49">
        <v>44800.996209432866</v>
      </c>
      <c r="B4120" s="50" t="s">
        <v>14</v>
      </c>
      <c r="C4120" s="50" t="s">
        <v>468</v>
      </c>
      <c r="D4120" s="50" t="s">
        <v>263</v>
      </c>
      <c r="E4120" s="50">
        <v>-1</v>
      </c>
      <c r="F4120" s="51">
        <v>-0.60883709656271634</v>
      </c>
      <c r="G4120" s="51" t="str">
        <v>林智 2022/09/18 (日)
休日午前</v>
      </c>
    </row>
    <row r="4121" spans="1:7" ht="16.149999999999999" x14ac:dyDescent="0.7">
      <c r="A4121" s="49">
        <v>44800.996209432866</v>
      </c>
      <c r="B4121" s="50" t="s">
        <v>14</v>
      </c>
      <c r="C4121" s="50" t="s">
        <v>469</v>
      </c>
      <c r="D4121" s="50" t="s">
        <v>261</v>
      </c>
      <c r="E4121" s="50">
        <v>-1</v>
      </c>
      <c r="F4121" s="51">
        <v>-0.5595888590409015</v>
      </c>
      <c r="G4121" s="51" t="str">
        <v>林智 2022/09/18 (日)
休日午後</v>
      </c>
    </row>
    <row r="4122" spans="1:7" ht="16.149999999999999" x14ac:dyDescent="0.7">
      <c r="A4122" s="49">
        <v>44800.996209432866</v>
      </c>
      <c r="B4122" s="50" t="s">
        <v>14</v>
      </c>
      <c r="C4122" s="50" t="s">
        <v>470</v>
      </c>
      <c r="D4122" s="50" t="s">
        <v>263</v>
      </c>
      <c r="E4122" s="50">
        <v>-1</v>
      </c>
      <c r="F4122" s="51">
        <v>-2.3599514081270145E-2</v>
      </c>
      <c r="G4122" s="51" t="str">
        <v>林智 2022/09/19 (月)
休日午前</v>
      </c>
    </row>
    <row r="4123" spans="1:7" ht="16.149999999999999" x14ac:dyDescent="0.7">
      <c r="A4123" s="49">
        <v>44800.996209432866</v>
      </c>
      <c r="B4123" s="50" t="s">
        <v>14</v>
      </c>
      <c r="C4123" s="50" t="s">
        <v>471</v>
      </c>
      <c r="D4123" s="50" t="s">
        <v>261</v>
      </c>
      <c r="E4123" s="50">
        <v>-1</v>
      </c>
      <c r="F4123" s="51">
        <v>-0.43498944028506781</v>
      </c>
      <c r="G4123" s="51" t="str">
        <v>林智 2022/09/19 (月)
休日午後</v>
      </c>
    </row>
    <row r="4124" spans="1:7" ht="16.149999999999999" x14ac:dyDescent="0.7">
      <c r="A4124" s="49">
        <v>44800.996209432866</v>
      </c>
      <c r="B4124" s="50" t="s">
        <v>14</v>
      </c>
      <c r="C4124" s="50" t="s">
        <v>472</v>
      </c>
      <c r="D4124" s="50" t="s">
        <v>259</v>
      </c>
      <c r="E4124" s="50">
        <v>0</v>
      </c>
      <c r="F4124" s="51">
        <v>0.86749001930375891</v>
      </c>
      <c r="G4124" s="51" t="str">
        <v>林智 2022/09/20 (火)
平日夜間</v>
      </c>
    </row>
    <row r="4125" spans="1:7" ht="16.149999999999999" x14ac:dyDescent="0.7">
      <c r="A4125" s="49">
        <v>44800.996209432866</v>
      </c>
      <c r="B4125" s="50" t="s">
        <v>14</v>
      </c>
      <c r="C4125" s="50" t="s">
        <v>473</v>
      </c>
      <c r="D4125" s="50" t="s">
        <v>259</v>
      </c>
      <c r="E4125" s="50">
        <v>0</v>
      </c>
      <c r="F4125" s="51">
        <v>0.60777483374179719</v>
      </c>
      <c r="G4125" s="51" t="str">
        <v>林智 2022/09/21 (水)
平日夜間</v>
      </c>
    </row>
    <row r="4126" spans="1:7" ht="16.149999999999999" x14ac:dyDescent="0.7">
      <c r="A4126" s="49">
        <v>44800.996209432866</v>
      </c>
      <c r="B4126" s="50" t="s">
        <v>14</v>
      </c>
      <c r="C4126" s="50" t="s">
        <v>474</v>
      </c>
      <c r="D4126" s="50" t="s">
        <v>259</v>
      </c>
      <c r="E4126" s="50">
        <v>0</v>
      </c>
      <c r="F4126" s="51">
        <v>0.55514047089945739</v>
      </c>
      <c r="G4126" s="51" t="str">
        <v>林智 2022/09/22 (木)
平日夜間</v>
      </c>
    </row>
    <row r="4127" spans="1:7" ht="16.149999999999999" x14ac:dyDescent="0.7">
      <c r="A4127" s="49">
        <v>44800.996209432866</v>
      </c>
      <c r="B4127" s="50" t="s">
        <v>14</v>
      </c>
      <c r="C4127" s="50" t="s">
        <v>475</v>
      </c>
      <c r="D4127" s="50" t="s">
        <v>263</v>
      </c>
      <c r="E4127" s="50">
        <v>-1</v>
      </c>
      <c r="F4127" s="51">
        <v>-0.1175552660472392</v>
      </c>
      <c r="G4127" s="51" t="str">
        <v>林智 2022/09/23 (金)
休日午前</v>
      </c>
    </row>
    <row r="4128" spans="1:7" ht="16.149999999999999" x14ac:dyDescent="0.7">
      <c r="A4128" s="49">
        <v>44800.996209432866</v>
      </c>
      <c r="B4128" s="50" t="s">
        <v>14</v>
      </c>
      <c r="C4128" s="50" t="s">
        <v>476</v>
      </c>
      <c r="D4128" s="50" t="s">
        <v>261</v>
      </c>
      <c r="E4128" s="50">
        <v>-1</v>
      </c>
      <c r="F4128" s="51">
        <v>-1.6472747458375903E-2</v>
      </c>
      <c r="G4128" s="51" t="str">
        <v>林智 2022/09/23 (金)
休日午後</v>
      </c>
    </row>
    <row r="4129" spans="1:7" ht="16.149999999999999" x14ac:dyDescent="0.7">
      <c r="A4129" s="49">
        <v>44800.996209432866</v>
      </c>
      <c r="B4129" s="50" t="s">
        <v>14</v>
      </c>
      <c r="C4129" s="50" t="s">
        <v>477</v>
      </c>
      <c r="D4129" s="50" t="s">
        <v>263</v>
      </c>
      <c r="E4129" s="50">
        <v>0</v>
      </c>
      <c r="F4129" s="51">
        <v>0.11225509949754464</v>
      </c>
      <c r="G4129" s="51" t="str">
        <v>林智 2022/09/24 (土)
休日午前</v>
      </c>
    </row>
    <row r="4130" spans="1:7" ht="16.149999999999999" x14ac:dyDescent="0.7">
      <c r="A4130" s="49">
        <v>44800.996209432866</v>
      </c>
      <c r="B4130" s="50" t="s">
        <v>14</v>
      </c>
      <c r="C4130" s="50" t="s">
        <v>478</v>
      </c>
      <c r="D4130" s="50" t="s">
        <v>261</v>
      </c>
      <c r="E4130" s="50">
        <v>-1</v>
      </c>
      <c r="F4130" s="51">
        <v>-0.93339670148239806</v>
      </c>
      <c r="G4130" s="51" t="str">
        <v>林智 2022/09/24 (土)
休日午後</v>
      </c>
    </row>
    <row r="4131" spans="1:7" ht="16.149999999999999" x14ac:dyDescent="0.7">
      <c r="A4131" s="49">
        <v>44800.996209432866</v>
      </c>
      <c r="B4131" s="50" t="s">
        <v>14</v>
      </c>
      <c r="C4131" s="50" t="s">
        <v>479</v>
      </c>
      <c r="D4131" s="50" t="s">
        <v>263</v>
      </c>
      <c r="E4131" s="50">
        <v>-1</v>
      </c>
      <c r="F4131" s="51">
        <v>-3.9626125051421601E-2</v>
      </c>
      <c r="G4131" s="51" t="str">
        <v>林智 2022/09/25 (日)
休日午前</v>
      </c>
    </row>
    <row r="4132" spans="1:7" ht="16.149999999999999" x14ac:dyDescent="0.7">
      <c r="A4132" s="49">
        <v>44800.996209432866</v>
      </c>
      <c r="B4132" s="50" t="s">
        <v>14</v>
      </c>
      <c r="C4132" s="50" t="s">
        <v>480</v>
      </c>
      <c r="D4132" s="50" t="s">
        <v>261</v>
      </c>
      <c r="E4132" s="50">
        <v>-1</v>
      </c>
      <c r="F4132" s="51">
        <v>-0.30813713847151636</v>
      </c>
      <c r="G4132" s="51" t="str">
        <v>林智 2022/09/25 (日)
休日午後</v>
      </c>
    </row>
    <row r="4133" spans="1:7" ht="16.149999999999999" x14ac:dyDescent="0.7">
      <c r="A4133" s="49">
        <v>44800.996209432866</v>
      </c>
      <c r="B4133" s="50" t="s">
        <v>14</v>
      </c>
      <c r="C4133" s="50" t="s">
        <v>481</v>
      </c>
      <c r="D4133" s="50" t="s">
        <v>259</v>
      </c>
      <c r="E4133" s="50">
        <v>0</v>
      </c>
      <c r="F4133" s="51">
        <v>0.62024126670235535</v>
      </c>
      <c r="G4133" s="51" t="str">
        <v>林智 2022/09/26 (月)
平日夜間</v>
      </c>
    </row>
    <row r="4134" spans="1:7" ht="16.149999999999999" x14ac:dyDescent="0.7">
      <c r="A4134" s="49">
        <v>44800.996209432866</v>
      </c>
      <c r="B4134" s="50" t="s">
        <v>14</v>
      </c>
      <c r="C4134" s="50" t="s">
        <v>482</v>
      </c>
      <c r="D4134" s="50" t="s">
        <v>259</v>
      </c>
      <c r="E4134" s="50">
        <v>-1</v>
      </c>
      <c r="F4134" s="51">
        <v>-0.84548270313160323</v>
      </c>
      <c r="G4134" s="51" t="str">
        <v>林智 2022/09/27 (火)
平日夜間</v>
      </c>
    </row>
    <row r="4135" spans="1:7" ht="16.149999999999999" x14ac:dyDescent="0.7">
      <c r="A4135" s="49">
        <v>44800.996209432866</v>
      </c>
      <c r="B4135" s="50" t="s">
        <v>14</v>
      </c>
      <c r="C4135" s="50" t="s">
        <v>483</v>
      </c>
      <c r="D4135" s="50" t="s">
        <v>259</v>
      </c>
      <c r="E4135" s="50">
        <v>0</v>
      </c>
      <c r="F4135" s="51">
        <v>0.90514437805090386</v>
      </c>
      <c r="G4135" s="51" t="str">
        <v>林智 2022/09/28 (水)
平日夜間</v>
      </c>
    </row>
    <row r="4136" spans="1:7" ht="16.149999999999999" x14ac:dyDescent="0.7">
      <c r="A4136" s="49">
        <v>44800.996209432866</v>
      </c>
      <c r="B4136" s="50" t="s">
        <v>14</v>
      </c>
      <c r="C4136" s="50" t="s">
        <v>484</v>
      </c>
      <c r="D4136" s="50" t="s">
        <v>259</v>
      </c>
      <c r="E4136" s="50">
        <v>0</v>
      </c>
      <c r="F4136" s="51">
        <v>0.59968034631536837</v>
      </c>
      <c r="G4136" s="51" t="str">
        <v>林智 2022/09/29 (木)
平日夜間</v>
      </c>
    </row>
    <row r="4137" spans="1:7" ht="16.149999999999999" x14ac:dyDescent="0.7">
      <c r="A4137" s="49">
        <v>44800.996209432866</v>
      </c>
      <c r="B4137" s="50" t="s">
        <v>14</v>
      </c>
      <c r="C4137" s="50" t="s">
        <v>485</v>
      </c>
      <c r="D4137" s="50" t="s">
        <v>259</v>
      </c>
      <c r="E4137" s="50">
        <v>0</v>
      </c>
      <c r="F4137" s="51">
        <v>0.4056043745488509</v>
      </c>
      <c r="G4137" s="51" t="str">
        <v>林智 2022/09/30 (金)
平日夜間</v>
      </c>
    </row>
    <row r="4138" spans="1:7" ht="16.149999999999999" x14ac:dyDescent="0.7">
      <c r="A4138" s="49">
        <v>44801.046841828706</v>
      </c>
      <c r="B4138" s="50" t="s">
        <v>8</v>
      </c>
      <c r="C4138" s="50" t="s">
        <v>446</v>
      </c>
      <c r="D4138" s="50" t="s">
        <v>259</v>
      </c>
      <c r="E4138" s="50">
        <v>0</v>
      </c>
      <c r="F4138" s="51">
        <v>0.27947329277437616</v>
      </c>
      <c r="G4138" s="51" t="str">
        <v>宗 2022/09/01 (木)
平日夜間</v>
      </c>
    </row>
    <row r="4139" spans="1:7" ht="16.149999999999999" x14ac:dyDescent="0.7">
      <c r="A4139" s="49">
        <v>44801.046841828706</v>
      </c>
      <c r="B4139" s="50" t="s">
        <v>8</v>
      </c>
      <c r="C4139" s="50" t="s">
        <v>447</v>
      </c>
      <c r="D4139" s="50" t="s">
        <v>259</v>
      </c>
      <c r="E4139" s="50">
        <v>0</v>
      </c>
      <c r="F4139" s="51">
        <v>0.29431272263900632</v>
      </c>
      <c r="G4139" s="51" t="str">
        <v>宗 2022/09/02 (金)
平日夜間</v>
      </c>
    </row>
    <row r="4140" spans="1:7" ht="16.149999999999999" x14ac:dyDescent="0.7">
      <c r="A4140" s="49">
        <v>44801.046841828706</v>
      </c>
      <c r="B4140" s="50" t="s">
        <v>8</v>
      </c>
      <c r="C4140" s="50" t="s">
        <v>448</v>
      </c>
      <c r="D4140" s="50" t="s">
        <v>263</v>
      </c>
      <c r="E4140" s="50">
        <v>2</v>
      </c>
      <c r="F4140" s="51">
        <v>2.7700743423484528</v>
      </c>
      <c r="G4140" s="51" t="str">
        <v>宗 2022/09/03 (土)
休日午前</v>
      </c>
    </row>
    <row r="4141" spans="1:7" ht="16.149999999999999" x14ac:dyDescent="0.7">
      <c r="A4141" s="49">
        <v>44801.046841828706</v>
      </c>
      <c r="B4141" s="50" t="s">
        <v>8</v>
      </c>
      <c r="C4141" s="50" t="s">
        <v>449</v>
      </c>
      <c r="D4141" s="50" t="s">
        <v>261</v>
      </c>
      <c r="E4141" s="50">
        <v>0</v>
      </c>
      <c r="F4141" s="51">
        <v>0.57826782504452501</v>
      </c>
      <c r="G4141" s="51" t="str">
        <v>宗 2022/09/03 (土)
休日午後</v>
      </c>
    </row>
    <row r="4142" spans="1:7" ht="16.149999999999999" x14ac:dyDescent="0.7">
      <c r="A4142" s="49">
        <v>44801.046841828706</v>
      </c>
      <c r="B4142" s="50" t="s">
        <v>8</v>
      </c>
      <c r="C4142" s="50" t="s">
        <v>450</v>
      </c>
      <c r="D4142" s="50" t="s">
        <v>263</v>
      </c>
      <c r="E4142" s="50">
        <v>0</v>
      </c>
      <c r="F4142" s="51">
        <v>0.69095419430366301</v>
      </c>
      <c r="G4142" s="51" t="str">
        <v>宗 2022/09/04 (日)
休日午前</v>
      </c>
    </row>
    <row r="4143" spans="1:7" ht="16.149999999999999" x14ac:dyDescent="0.7">
      <c r="A4143" s="49">
        <v>44801.046841828706</v>
      </c>
      <c r="B4143" s="50" t="s">
        <v>8</v>
      </c>
      <c r="C4143" s="50" t="s">
        <v>451</v>
      </c>
      <c r="D4143" s="50" t="s">
        <v>261</v>
      </c>
      <c r="E4143" s="50">
        <v>0</v>
      </c>
      <c r="F4143" s="51">
        <v>0.90553411991643995</v>
      </c>
      <c r="G4143" s="51" t="str">
        <v>宗 2022/09/04 (日)
休日午後</v>
      </c>
    </row>
    <row r="4144" spans="1:7" ht="16.149999999999999" x14ac:dyDescent="0.7">
      <c r="A4144" s="49">
        <v>44801.046841828706</v>
      </c>
      <c r="B4144" s="50" t="s">
        <v>8</v>
      </c>
      <c r="C4144" s="50" t="s">
        <v>452</v>
      </c>
      <c r="D4144" s="50" t="s">
        <v>259</v>
      </c>
      <c r="E4144" s="50">
        <v>0</v>
      </c>
      <c r="F4144" s="51">
        <v>0.21715943545248084</v>
      </c>
      <c r="G4144" s="51" t="str">
        <v>宗 2022/09/05 (月)
平日夜間</v>
      </c>
    </row>
    <row r="4145" spans="1:7" ht="16.149999999999999" x14ac:dyDescent="0.7">
      <c r="A4145" s="49">
        <v>44801.046841828706</v>
      </c>
      <c r="B4145" s="50" t="s">
        <v>8</v>
      </c>
      <c r="C4145" s="50" t="s">
        <v>453</v>
      </c>
      <c r="D4145" s="50" t="s">
        <v>259</v>
      </c>
      <c r="E4145" s="50">
        <v>-1</v>
      </c>
      <c r="F4145" s="51">
        <v>-6.3975834745719773E-3</v>
      </c>
      <c r="G4145" s="51" t="str">
        <v>宗 2022/09/06 (火)
平日夜間</v>
      </c>
    </row>
    <row r="4146" spans="1:7" ht="16.149999999999999" x14ac:dyDescent="0.7">
      <c r="A4146" s="49">
        <v>44801.046841828706</v>
      </c>
      <c r="B4146" s="50" t="s">
        <v>8</v>
      </c>
      <c r="C4146" s="50" t="s">
        <v>454</v>
      </c>
      <c r="D4146" s="50" t="s">
        <v>259</v>
      </c>
      <c r="E4146" s="50">
        <v>-1</v>
      </c>
      <c r="F4146" s="51">
        <v>-0.32959385107710304</v>
      </c>
      <c r="G4146" s="51" t="str">
        <v>宗 2022/09/07 (水)
平日夜間</v>
      </c>
    </row>
    <row r="4147" spans="1:7" ht="16.149999999999999" x14ac:dyDescent="0.7">
      <c r="A4147" s="49">
        <v>44801.046841828706</v>
      </c>
      <c r="B4147" s="50" t="s">
        <v>8</v>
      </c>
      <c r="C4147" s="50" t="s">
        <v>455</v>
      </c>
      <c r="D4147" s="50" t="s">
        <v>259</v>
      </c>
      <c r="E4147" s="50">
        <v>0</v>
      </c>
      <c r="F4147" s="51">
        <v>8.9132936238959903E-2</v>
      </c>
      <c r="G4147" s="51" t="str">
        <v>宗 2022/09/08 (木)
平日夜間</v>
      </c>
    </row>
    <row r="4148" spans="1:7" ht="16.149999999999999" x14ac:dyDescent="0.7">
      <c r="A4148" s="49">
        <v>44801.046841828706</v>
      </c>
      <c r="B4148" s="50" t="s">
        <v>8</v>
      </c>
      <c r="C4148" s="50" t="s">
        <v>456</v>
      </c>
      <c r="D4148" s="50" t="s">
        <v>259</v>
      </c>
      <c r="E4148" s="50">
        <v>0</v>
      </c>
      <c r="F4148" s="51">
        <v>0.25653815124487589</v>
      </c>
      <c r="G4148" s="51" t="str">
        <v>宗 2022/09/09 (金)
平日夜間</v>
      </c>
    </row>
    <row r="4149" spans="1:7" ht="16.149999999999999" x14ac:dyDescent="0.7">
      <c r="A4149" s="49">
        <v>44801.046841828706</v>
      </c>
      <c r="B4149" s="50" t="s">
        <v>8</v>
      </c>
      <c r="C4149" s="50" t="s">
        <v>457</v>
      </c>
      <c r="D4149" s="50" t="s">
        <v>263</v>
      </c>
      <c r="E4149" s="50">
        <v>-1</v>
      </c>
      <c r="F4149" s="51">
        <v>-0.73166727097794437</v>
      </c>
      <c r="G4149" s="51" t="str">
        <v>宗 2022/09/10 (土)
休日午前</v>
      </c>
    </row>
    <row r="4150" spans="1:7" ht="16.149999999999999" x14ac:dyDescent="0.7">
      <c r="A4150" s="49">
        <v>44801.046841828706</v>
      </c>
      <c r="B4150" s="50" t="s">
        <v>8</v>
      </c>
      <c r="C4150" s="50" t="s">
        <v>458</v>
      </c>
      <c r="D4150" s="50" t="s">
        <v>261</v>
      </c>
      <c r="E4150" s="50">
        <v>-1</v>
      </c>
      <c r="F4150" s="51">
        <v>-0.81658468585872113</v>
      </c>
      <c r="G4150" s="51" t="str">
        <v>宗 2022/09/10 (土)
休日午後</v>
      </c>
    </row>
    <row r="4151" spans="1:7" ht="16.149999999999999" x14ac:dyDescent="0.7">
      <c r="A4151" s="49">
        <v>44801.046841828706</v>
      </c>
      <c r="B4151" s="50" t="s">
        <v>8</v>
      </c>
      <c r="C4151" s="50" t="s">
        <v>459</v>
      </c>
      <c r="D4151" s="50" t="s">
        <v>263</v>
      </c>
      <c r="E4151" s="50">
        <v>-1</v>
      </c>
      <c r="F4151" s="51">
        <v>-8.7644348303510533E-3</v>
      </c>
      <c r="G4151" s="51" t="str">
        <v>宗 2022/09/11 (日)
休日午前</v>
      </c>
    </row>
    <row r="4152" spans="1:7" ht="16.149999999999999" x14ac:dyDescent="0.7">
      <c r="A4152" s="49">
        <v>44801.046841828706</v>
      </c>
      <c r="B4152" s="50" t="s">
        <v>8</v>
      </c>
      <c r="C4152" s="50" t="s">
        <v>460</v>
      </c>
      <c r="D4152" s="50" t="s">
        <v>261</v>
      </c>
      <c r="E4152" s="50">
        <v>-1</v>
      </c>
      <c r="F4152" s="51">
        <v>-0.55655769878497385</v>
      </c>
      <c r="G4152" s="51" t="str">
        <v>宗 2022/09/11 (日)
休日午後</v>
      </c>
    </row>
    <row r="4153" spans="1:7" ht="16.149999999999999" x14ac:dyDescent="0.7">
      <c r="A4153" s="49">
        <v>44801.046841828706</v>
      </c>
      <c r="B4153" s="50" t="s">
        <v>8</v>
      </c>
      <c r="C4153" s="50" t="s">
        <v>461</v>
      </c>
      <c r="D4153" s="50" t="s">
        <v>259</v>
      </c>
      <c r="E4153" s="50">
        <v>-1</v>
      </c>
      <c r="F4153" s="51">
        <v>-0.81463937311583079</v>
      </c>
      <c r="G4153" s="51" t="str">
        <v>宗 2022/09/12 (月)
平日夜間</v>
      </c>
    </row>
    <row r="4154" spans="1:7" ht="16.149999999999999" x14ac:dyDescent="0.7">
      <c r="A4154" s="49">
        <v>44801.046841828706</v>
      </c>
      <c r="B4154" s="50" t="s">
        <v>8</v>
      </c>
      <c r="C4154" s="50" t="s">
        <v>462</v>
      </c>
      <c r="D4154" s="50" t="s">
        <v>259</v>
      </c>
      <c r="E4154" s="50">
        <v>-1</v>
      </c>
      <c r="F4154" s="51">
        <v>-0.60721561569688021</v>
      </c>
      <c r="G4154" s="51" t="str">
        <v>宗 2022/09/13 (火)
平日夜間</v>
      </c>
    </row>
    <row r="4155" spans="1:7" ht="16.149999999999999" x14ac:dyDescent="0.7">
      <c r="A4155" s="49">
        <v>44801.046841828706</v>
      </c>
      <c r="B4155" s="50" t="s">
        <v>8</v>
      </c>
      <c r="C4155" s="50" t="s">
        <v>463</v>
      </c>
      <c r="D4155" s="50" t="s">
        <v>259</v>
      </c>
      <c r="E4155" s="50">
        <v>0</v>
      </c>
      <c r="F4155" s="51">
        <v>0.99032017145502294</v>
      </c>
      <c r="G4155" s="51" t="str">
        <v>宗 2022/09/14 (水)
平日夜間</v>
      </c>
    </row>
    <row r="4156" spans="1:7" ht="16.149999999999999" x14ac:dyDescent="0.7">
      <c r="A4156" s="49">
        <v>44801.046841828706</v>
      </c>
      <c r="B4156" s="50" t="s">
        <v>8</v>
      </c>
      <c r="C4156" s="50" t="s">
        <v>464</v>
      </c>
      <c r="D4156" s="50" t="s">
        <v>259</v>
      </c>
      <c r="E4156" s="50">
        <v>0</v>
      </c>
      <c r="F4156" s="51">
        <v>0.53330171925723491</v>
      </c>
      <c r="G4156" s="51" t="str">
        <v>宗 2022/09/15 (木)
平日夜間</v>
      </c>
    </row>
    <row r="4157" spans="1:7" ht="16.149999999999999" x14ac:dyDescent="0.7">
      <c r="A4157" s="49">
        <v>44801.046841828706</v>
      </c>
      <c r="B4157" s="50" t="s">
        <v>8</v>
      </c>
      <c r="C4157" s="50" t="s">
        <v>465</v>
      </c>
      <c r="D4157" s="50" t="s">
        <v>259</v>
      </c>
      <c r="E4157" s="50">
        <v>0</v>
      </c>
      <c r="F4157" s="51">
        <v>0.47382653332785152</v>
      </c>
      <c r="G4157" s="51" t="str">
        <v>宗 2022/09/16 (金)
平日夜間</v>
      </c>
    </row>
    <row r="4158" spans="1:7" ht="16.149999999999999" x14ac:dyDescent="0.7">
      <c r="A4158" s="49">
        <v>44801.046841828706</v>
      </c>
      <c r="B4158" s="50" t="s">
        <v>8</v>
      </c>
      <c r="C4158" s="50" t="s">
        <v>466</v>
      </c>
      <c r="D4158" s="50" t="s">
        <v>263</v>
      </c>
      <c r="E4158" s="50">
        <v>-1</v>
      </c>
      <c r="F4158" s="51">
        <v>-0.39245445548540614</v>
      </c>
      <c r="G4158" s="51" t="str">
        <v>宗 2022/09/17 (土)
休日午前</v>
      </c>
    </row>
    <row r="4159" spans="1:7" ht="16.149999999999999" x14ac:dyDescent="0.7">
      <c r="A4159" s="49">
        <v>44801.046841828706</v>
      </c>
      <c r="B4159" s="50" t="s">
        <v>8</v>
      </c>
      <c r="C4159" s="50" t="s">
        <v>467</v>
      </c>
      <c r="D4159" s="50" t="s">
        <v>261</v>
      </c>
      <c r="E4159" s="50">
        <v>-1</v>
      </c>
      <c r="F4159" s="51">
        <v>-0.58904271761884819</v>
      </c>
      <c r="G4159" s="51" t="str">
        <v>宗 2022/09/17 (土)
休日午後</v>
      </c>
    </row>
    <row r="4160" spans="1:7" ht="16.149999999999999" x14ac:dyDescent="0.7">
      <c r="A4160" s="49">
        <v>44801.046841828706</v>
      </c>
      <c r="B4160" s="50" t="s">
        <v>8</v>
      </c>
      <c r="C4160" s="50" t="s">
        <v>468</v>
      </c>
      <c r="D4160" s="50" t="s">
        <v>263</v>
      </c>
      <c r="E4160" s="50">
        <v>-1</v>
      </c>
      <c r="F4160" s="51">
        <v>-0.12101065194031957</v>
      </c>
      <c r="G4160" s="51" t="str">
        <v>宗 2022/09/18 (日)
休日午前</v>
      </c>
    </row>
    <row r="4161" spans="1:7" ht="16.149999999999999" x14ac:dyDescent="0.7">
      <c r="A4161" s="49">
        <v>44801.046841828706</v>
      </c>
      <c r="B4161" s="50" t="s">
        <v>8</v>
      </c>
      <c r="C4161" s="50" t="s">
        <v>469</v>
      </c>
      <c r="D4161" s="50" t="s">
        <v>261</v>
      </c>
      <c r="E4161" s="50">
        <v>-1</v>
      </c>
      <c r="F4161" s="51">
        <v>-0.80021408429386742</v>
      </c>
      <c r="G4161" s="51" t="str">
        <v>宗 2022/09/18 (日)
休日午後</v>
      </c>
    </row>
    <row r="4162" spans="1:7" ht="16.149999999999999" x14ac:dyDescent="0.7">
      <c r="A4162" s="49">
        <v>44801.046841828706</v>
      </c>
      <c r="B4162" s="50" t="s">
        <v>8</v>
      </c>
      <c r="C4162" s="50" t="s">
        <v>470</v>
      </c>
      <c r="D4162" s="50" t="s">
        <v>263</v>
      </c>
      <c r="E4162" s="50">
        <v>-1</v>
      </c>
      <c r="F4162" s="51">
        <v>-0.42999204816400449</v>
      </c>
      <c r="G4162" s="51" t="str">
        <v>宗 2022/09/19 (月)
休日午前</v>
      </c>
    </row>
    <row r="4163" spans="1:7" ht="16.149999999999999" x14ac:dyDescent="0.7">
      <c r="A4163" s="49">
        <v>44801.046841828706</v>
      </c>
      <c r="B4163" s="50" t="s">
        <v>8</v>
      </c>
      <c r="C4163" s="50" t="s">
        <v>471</v>
      </c>
      <c r="D4163" s="50" t="s">
        <v>261</v>
      </c>
      <c r="E4163" s="50">
        <v>-1</v>
      </c>
      <c r="F4163" s="51">
        <v>-0.83467834787014095</v>
      </c>
      <c r="G4163" s="51" t="str">
        <v>宗 2022/09/19 (月)
休日午後</v>
      </c>
    </row>
    <row r="4164" spans="1:7" ht="16.149999999999999" x14ac:dyDescent="0.7">
      <c r="A4164" s="49">
        <v>44801.046841828706</v>
      </c>
      <c r="B4164" s="50" t="s">
        <v>8</v>
      </c>
      <c r="C4164" s="50" t="s">
        <v>472</v>
      </c>
      <c r="D4164" s="50" t="s">
        <v>259</v>
      </c>
      <c r="E4164" s="50">
        <v>0</v>
      </c>
      <c r="F4164" s="51">
        <v>7.9786144113420887E-2</v>
      </c>
      <c r="G4164" s="51" t="str">
        <v>宗 2022/09/20 (火)
平日夜間</v>
      </c>
    </row>
    <row r="4165" spans="1:7" ht="16.149999999999999" x14ac:dyDescent="0.7">
      <c r="A4165" s="49">
        <v>44801.046841828706</v>
      </c>
      <c r="B4165" s="50" t="s">
        <v>8</v>
      </c>
      <c r="C4165" s="50" t="s">
        <v>473</v>
      </c>
      <c r="D4165" s="50" t="s">
        <v>259</v>
      </c>
      <c r="E4165" s="50">
        <v>0</v>
      </c>
      <c r="F4165" s="51">
        <v>0.54159089392479287</v>
      </c>
      <c r="G4165" s="51" t="str">
        <v>宗 2022/09/21 (水)
平日夜間</v>
      </c>
    </row>
    <row r="4166" spans="1:7" ht="16.149999999999999" x14ac:dyDescent="0.7">
      <c r="A4166" s="49">
        <v>44801.046841828706</v>
      </c>
      <c r="B4166" s="50" t="s">
        <v>8</v>
      </c>
      <c r="C4166" s="50" t="s">
        <v>474</v>
      </c>
      <c r="D4166" s="50" t="s">
        <v>259</v>
      </c>
      <c r="E4166" s="50">
        <v>0</v>
      </c>
      <c r="F4166" s="51">
        <v>0.58591366336498663</v>
      </c>
      <c r="G4166" s="51" t="str">
        <v>宗 2022/09/22 (木)
平日夜間</v>
      </c>
    </row>
    <row r="4167" spans="1:7" ht="16.149999999999999" x14ac:dyDescent="0.7">
      <c r="A4167" s="49">
        <v>44801.046841828706</v>
      </c>
      <c r="B4167" s="50" t="s">
        <v>8</v>
      </c>
      <c r="C4167" s="50" t="s">
        <v>475</v>
      </c>
      <c r="D4167" s="50" t="s">
        <v>263</v>
      </c>
      <c r="E4167" s="50">
        <v>0</v>
      </c>
      <c r="F4167" s="51">
        <v>0.18903889471964885</v>
      </c>
      <c r="G4167" s="51" t="str">
        <v>宗 2022/09/23 (金)
休日午前</v>
      </c>
    </row>
    <row r="4168" spans="1:7" ht="16.149999999999999" x14ac:dyDescent="0.7">
      <c r="A4168" s="49">
        <v>44801.046841828706</v>
      </c>
      <c r="B4168" s="50" t="s">
        <v>8</v>
      </c>
      <c r="C4168" s="50" t="s">
        <v>476</v>
      </c>
      <c r="D4168" s="50" t="s">
        <v>261</v>
      </c>
      <c r="E4168" s="50">
        <v>-1</v>
      </c>
      <c r="F4168" s="51">
        <v>-0.44620857742894171</v>
      </c>
      <c r="G4168" s="51" t="str">
        <v>宗 2022/09/23 (金)
休日午後</v>
      </c>
    </row>
    <row r="4169" spans="1:7" ht="16.149999999999999" x14ac:dyDescent="0.7">
      <c r="A4169" s="49">
        <v>44801.046841828706</v>
      </c>
      <c r="B4169" s="50" t="s">
        <v>8</v>
      </c>
      <c r="C4169" s="50" t="s">
        <v>477</v>
      </c>
      <c r="D4169" s="50" t="s">
        <v>263</v>
      </c>
      <c r="E4169" s="50">
        <v>-1</v>
      </c>
      <c r="F4169" s="51">
        <v>-0.79651659274759434</v>
      </c>
      <c r="G4169" s="51" t="str">
        <v>宗 2022/09/24 (土)
休日午前</v>
      </c>
    </row>
    <row r="4170" spans="1:7" ht="16.149999999999999" x14ac:dyDescent="0.7">
      <c r="A4170" s="49">
        <v>44801.046841828706</v>
      </c>
      <c r="B4170" s="50" t="s">
        <v>8</v>
      </c>
      <c r="C4170" s="50" t="s">
        <v>478</v>
      </c>
      <c r="D4170" s="50" t="s">
        <v>261</v>
      </c>
      <c r="E4170" s="50">
        <v>-1</v>
      </c>
      <c r="F4170" s="51">
        <v>-0.13897509605471181</v>
      </c>
      <c r="G4170" s="51" t="str">
        <v>宗 2022/09/24 (土)
休日午後</v>
      </c>
    </row>
    <row r="4171" spans="1:7" ht="16.149999999999999" x14ac:dyDescent="0.7">
      <c r="A4171" s="49">
        <v>44801.046841828706</v>
      </c>
      <c r="B4171" s="50" t="s">
        <v>8</v>
      </c>
      <c r="C4171" s="50" t="s">
        <v>479</v>
      </c>
      <c r="D4171" s="50" t="s">
        <v>263</v>
      </c>
      <c r="E4171" s="50">
        <v>-1</v>
      </c>
      <c r="F4171" s="51">
        <v>-0.87860668105616768</v>
      </c>
      <c r="G4171" s="51" t="str">
        <v>宗 2022/09/25 (日)
休日午前</v>
      </c>
    </row>
    <row r="4172" spans="1:7" ht="16.149999999999999" x14ac:dyDescent="0.7">
      <c r="A4172" s="49">
        <v>44801.046841828706</v>
      </c>
      <c r="B4172" s="50" t="s">
        <v>8</v>
      </c>
      <c r="C4172" s="50" t="s">
        <v>480</v>
      </c>
      <c r="D4172" s="50" t="s">
        <v>261</v>
      </c>
      <c r="E4172" s="50">
        <v>-1</v>
      </c>
      <c r="F4172" s="51">
        <v>-0.46846410100013691</v>
      </c>
      <c r="G4172" s="51" t="str">
        <v>宗 2022/09/25 (日)
休日午後</v>
      </c>
    </row>
    <row r="4173" spans="1:7" ht="16.149999999999999" x14ac:dyDescent="0.7">
      <c r="A4173" s="49">
        <v>44801.046841828706</v>
      </c>
      <c r="B4173" s="50" t="s">
        <v>8</v>
      </c>
      <c r="C4173" s="50" t="s">
        <v>481</v>
      </c>
      <c r="D4173" s="50" t="s">
        <v>259</v>
      </c>
      <c r="E4173" s="50">
        <v>0</v>
      </c>
      <c r="F4173" s="51">
        <v>0.48519729599630801</v>
      </c>
      <c r="G4173" s="51" t="str">
        <v>宗 2022/09/26 (月)
平日夜間</v>
      </c>
    </row>
    <row r="4174" spans="1:7" ht="16.149999999999999" x14ac:dyDescent="0.7">
      <c r="A4174" s="49">
        <v>44801.046841828706</v>
      </c>
      <c r="B4174" s="50" t="s">
        <v>8</v>
      </c>
      <c r="C4174" s="50" t="s">
        <v>482</v>
      </c>
      <c r="D4174" s="50" t="s">
        <v>259</v>
      </c>
      <c r="E4174" s="50">
        <v>0</v>
      </c>
      <c r="F4174" s="51">
        <v>0.41042156387679851</v>
      </c>
      <c r="G4174" s="51" t="str">
        <v>宗 2022/09/27 (火)
平日夜間</v>
      </c>
    </row>
    <row r="4175" spans="1:7" ht="16.149999999999999" x14ac:dyDescent="0.7">
      <c r="A4175" s="49">
        <v>44801.046841828706</v>
      </c>
      <c r="B4175" s="50" t="s">
        <v>8</v>
      </c>
      <c r="C4175" s="50" t="s">
        <v>483</v>
      </c>
      <c r="D4175" s="50" t="s">
        <v>259</v>
      </c>
      <c r="E4175" s="50">
        <v>0</v>
      </c>
      <c r="F4175" s="51">
        <v>0.16148832275170899</v>
      </c>
      <c r="G4175" s="51" t="str">
        <v>宗 2022/09/28 (水)
平日夜間</v>
      </c>
    </row>
    <row r="4176" spans="1:7" ht="16.149999999999999" x14ac:dyDescent="0.7">
      <c r="A4176" s="49">
        <v>44801.046841828706</v>
      </c>
      <c r="B4176" s="50" t="s">
        <v>8</v>
      </c>
      <c r="C4176" s="50" t="s">
        <v>484</v>
      </c>
      <c r="D4176" s="50" t="s">
        <v>259</v>
      </c>
      <c r="E4176" s="50">
        <v>0</v>
      </c>
      <c r="F4176" s="51">
        <v>0.48574808059483887</v>
      </c>
      <c r="G4176" s="51" t="str">
        <v>宗 2022/09/29 (木)
平日夜間</v>
      </c>
    </row>
    <row r="4177" spans="1:7" ht="16.149999999999999" x14ac:dyDescent="0.7">
      <c r="A4177" s="49">
        <v>44801.046841828706</v>
      </c>
      <c r="B4177" s="50" t="s">
        <v>8</v>
      </c>
      <c r="C4177" s="50" t="s">
        <v>485</v>
      </c>
      <c r="D4177" s="50" t="s">
        <v>259</v>
      </c>
      <c r="E4177" s="50">
        <v>0</v>
      </c>
      <c r="F4177" s="51">
        <v>0.28572405696408953</v>
      </c>
      <c r="G4177" s="51" t="str">
        <v>宗 2022/09/30 (金)
平日夜間</v>
      </c>
    </row>
    <row r="4178" spans="1:7" ht="16.149999999999999" x14ac:dyDescent="0.7">
      <c r="A4178" s="49">
        <v>44801.319437256941</v>
      </c>
      <c r="B4178" s="50" t="s">
        <v>16</v>
      </c>
      <c r="C4178" s="50" t="s">
        <v>446</v>
      </c>
      <c r="D4178" s="50" t="s">
        <v>259</v>
      </c>
      <c r="E4178" s="50">
        <v>0</v>
      </c>
      <c r="F4178" s="51">
        <v>7.7504225908456181E-2</v>
      </c>
      <c r="G4178" s="51" t="str">
        <v>吉田 2022/09/01 (木)
平日夜間</v>
      </c>
    </row>
    <row r="4179" spans="1:7" ht="16.149999999999999" x14ac:dyDescent="0.7">
      <c r="A4179" s="49">
        <v>44801.319437256941</v>
      </c>
      <c r="B4179" s="50" t="s">
        <v>16</v>
      </c>
      <c r="C4179" s="50" t="s">
        <v>447</v>
      </c>
      <c r="D4179" s="50" t="s">
        <v>259</v>
      </c>
      <c r="E4179" s="50">
        <v>0</v>
      </c>
      <c r="F4179" s="51">
        <v>0.72676805389987664</v>
      </c>
      <c r="G4179" s="51" t="str">
        <v>吉田 2022/09/02 (金)
平日夜間</v>
      </c>
    </row>
    <row r="4180" spans="1:7" ht="16.149999999999999" x14ac:dyDescent="0.7">
      <c r="A4180" s="49">
        <v>44801.319437256941</v>
      </c>
      <c r="B4180" s="50" t="s">
        <v>16</v>
      </c>
      <c r="C4180" s="50" t="s">
        <v>448</v>
      </c>
      <c r="D4180" s="50" t="s">
        <v>263</v>
      </c>
      <c r="E4180" s="50">
        <v>-1</v>
      </c>
      <c r="F4180" s="51">
        <v>-0.63210511582264983</v>
      </c>
      <c r="G4180" s="51" t="str">
        <v>吉田 2022/09/03 (土)
休日午前</v>
      </c>
    </row>
    <row r="4181" spans="1:7" ht="16.149999999999999" x14ac:dyDescent="0.7">
      <c r="A4181" s="49">
        <v>44801.319437256941</v>
      </c>
      <c r="B4181" s="50" t="s">
        <v>16</v>
      </c>
      <c r="C4181" s="50" t="s">
        <v>449</v>
      </c>
      <c r="D4181" s="50" t="s">
        <v>261</v>
      </c>
      <c r="E4181" s="50">
        <v>-1</v>
      </c>
      <c r="F4181" s="51">
        <v>-0.63285973953368568</v>
      </c>
      <c r="G4181" s="51" t="str">
        <v>吉田 2022/09/03 (土)
休日午後</v>
      </c>
    </row>
    <row r="4182" spans="1:7" ht="16.149999999999999" x14ac:dyDescent="0.7">
      <c r="A4182" s="49">
        <v>44801.319437256941</v>
      </c>
      <c r="B4182" s="50" t="s">
        <v>16</v>
      </c>
      <c r="C4182" s="50" t="s">
        <v>450</v>
      </c>
      <c r="D4182" s="50" t="s">
        <v>263</v>
      </c>
      <c r="E4182" s="50">
        <v>-1</v>
      </c>
      <c r="F4182" s="51">
        <v>-0.24270763897342196</v>
      </c>
      <c r="G4182" s="51" t="str">
        <v>吉田 2022/09/04 (日)
休日午前</v>
      </c>
    </row>
    <row r="4183" spans="1:7" ht="16.149999999999999" x14ac:dyDescent="0.7">
      <c r="A4183" s="49">
        <v>44801.319437256941</v>
      </c>
      <c r="B4183" s="50" t="s">
        <v>16</v>
      </c>
      <c r="C4183" s="50" t="s">
        <v>451</v>
      </c>
      <c r="D4183" s="50" t="s">
        <v>261</v>
      </c>
      <c r="E4183" s="50">
        <v>-1</v>
      </c>
      <c r="F4183" s="51">
        <v>-5.9861490245267879E-2</v>
      </c>
      <c r="G4183" s="51" t="str">
        <v>吉田 2022/09/04 (日)
休日午後</v>
      </c>
    </row>
    <row r="4184" spans="1:7" ht="16.149999999999999" x14ac:dyDescent="0.7">
      <c r="A4184" s="49">
        <v>44801.319437256941</v>
      </c>
      <c r="B4184" s="50" t="s">
        <v>16</v>
      </c>
      <c r="C4184" s="50" t="s">
        <v>452</v>
      </c>
      <c r="D4184" s="50" t="s">
        <v>259</v>
      </c>
      <c r="E4184" s="50">
        <v>-1</v>
      </c>
      <c r="F4184" s="51">
        <v>-0.81117927974340032</v>
      </c>
      <c r="G4184" s="51" t="str">
        <v>吉田 2022/09/05 (月)
平日夜間</v>
      </c>
    </row>
    <row r="4185" spans="1:7" ht="16.149999999999999" x14ac:dyDescent="0.7">
      <c r="A4185" s="49">
        <v>44801.319437256941</v>
      </c>
      <c r="B4185" s="50" t="s">
        <v>16</v>
      </c>
      <c r="C4185" s="50" t="s">
        <v>453</v>
      </c>
      <c r="D4185" s="50" t="s">
        <v>259</v>
      </c>
      <c r="E4185" s="50">
        <v>-1</v>
      </c>
      <c r="F4185" s="51">
        <v>-0.15895460932230421</v>
      </c>
      <c r="G4185" s="51" t="str">
        <v>吉田 2022/09/06 (火)
平日夜間</v>
      </c>
    </row>
    <row r="4186" spans="1:7" ht="16.149999999999999" x14ac:dyDescent="0.7">
      <c r="A4186" s="49">
        <v>44801.319437256941</v>
      </c>
      <c r="B4186" s="50" t="s">
        <v>16</v>
      </c>
      <c r="C4186" s="50" t="s">
        <v>454</v>
      </c>
      <c r="D4186" s="50" t="s">
        <v>259</v>
      </c>
      <c r="E4186" s="50">
        <v>-1</v>
      </c>
      <c r="F4186" s="51">
        <v>-0.88471496356319523</v>
      </c>
      <c r="G4186" s="51" t="str">
        <v>吉田 2022/09/07 (水)
平日夜間</v>
      </c>
    </row>
    <row r="4187" spans="1:7" ht="16.149999999999999" x14ac:dyDescent="0.7">
      <c r="A4187" s="49">
        <v>44801.319437256941</v>
      </c>
      <c r="B4187" s="50" t="s">
        <v>16</v>
      </c>
      <c r="C4187" s="50" t="s">
        <v>455</v>
      </c>
      <c r="D4187" s="50" t="s">
        <v>259</v>
      </c>
      <c r="E4187" s="50">
        <v>-1</v>
      </c>
      <c r="F4187" s="51">
        <v>-0.48930593931950628</v>
      </c>
      <c r="G4187" s="51" t="str">
        <v>吉田 2022/09/08 (木)
平日夜間</v>
      </c>
    </row>
    <row r="4188" spans="1:7" ht="16.149999999999999" x14ac:dyDescent="0.7">
      <c r="A4188" s="49">
        <v>44801.319437256941</v>
      </c>
      <c r="B4188" s="50" t="s">
        <v>16</v>
      </c>
      <c r="C4188" s="50" t="s">
        <v>456</v>
      </c>
      <c r="D4188" s="50" t="s">
        <v>259</v>
      </c>
      <c r="E4188" s="50">
        <v>-1</v>
      </c>
      <c r="F4188" s="51">
        <v>-0.94879656185288774</v>
      </c>
      <c r="G4188" s="51" t="str">
        <v>吉田 2022/09/09 (金)
平日夜間</v>
      </c>
    </row>
    <row r="4189" spans="1:7" ht="16.149999999999999" x14ac:dyDescent="0.7">
      <c r="A4189" s="49">
        <v>44801.319437256941</v>
      </c>
      <c r="B4189" s="50" t="s">
        <v>16</v>
      </c>
      <c r="C4189" s="50" t="s">
        <v>457</v>
      </c>
      <c r="D4189" s="50" t="s">
        <v>263</v>
      </c>
      <c r="E4189" s="50">
        <v>-1</v>
      </c>
      <c r="F4189" s="51">
        <v>-0.57848967411122731</v>
      </c>
      <c r="G4189" s="51" t="str">
        <v>吉田 2022/09/10 (土)
休日午前</v>
      </c>
    </row>
    <row r="4190" spans="1:7" ht="16.149999999999999" x14ac:dyDescent="0.7">
      <c r="A4190" s="49">
        <v>44801.319437256941</v>
      </c>
      <c r="B4190" s="50" t="s">
        <v>16</v>
      </c>
      <c r="C4190" s="50" t="s">
        <v>458</v>
      </c>
      <c r="D4190" s="50" t="s">
        <v>261</v>
      </c>
      <c r="E4190" s="50">
        <v>-1</v>
      </c>
      <c r="F4190" s="51">
        <v>-8.9471749997979355E-2</v>
      </c>
      <c r="G4190" s="51" t="str">
        <v>吉田 2022/09/10 (土)
休日午後</v>
      </c>
    </row>
    <row r="4191" spans="1:7" ht="16.149999999999999" x14ac:dyDescent="0.7">
      <c r="A4191" s="49">
        <v>44801.319437256941</v>
      </c>
      <c r="B4191" s="50" t="s">
        <v>16</v>
      </c>
      <c r="C4191" s="50" t="s">
        <v>459</v>
      </c>
      <c r="D4191" s="50" t="s">
        <v>263</v>
      </c>
      <c r="E4191" s="50">
        <v>-1</v>
      </c>
      <c r="F4191" s="51">
        <v>-0.60345281313467791</v>
      </c>
      <c r="G4191" s="51" t="str">
        <v>吉田 2022/09/11 (日)
休日午前</v>
      </c>
    </row>
    <row r="4192" spans="1:7" ht="16.149999999999999" x14ac:dyDescent="0.7">
      <c r="A4192" s="49">
        <v>44801.319437256941</v>
      </c>
      <c r="B4192" s="50" t="s">
        <v>16</v>
      </c>
      <c r="C4192" s="50" t="s">
        <v>460</v>
      </c>
      <c r="D4192" s="50" t="s">
        <v>261</v>
      </c>
      <c r="E4192" s="50">
        <v>-1</v>
      </c>
      <c r="F4192" s="51">
        <v>-0.25472090284410687</v>
      </c>
      <c r="G4192" s="51" t="str">
        <v>吉田 2022/09/11 (日)
休日午後</v>
      </c>
    </row>
    <row r="4193" spans="1:7" ht="16.149999999999999" x14ac:dyDescent="0.7">
      <c r="A4193" s="49">
        <v>44801.319437256941</v>
      </c>
      <c r="B4193" s="50" t="s">
        <v>16</v>
      </c>
      <c r="C4193" s="50" t="s">
        <v>461</v>
      </c>
      <c r="D4193" s="50" t="s">
        <v>259</v>
      </c>
      <c r="E4193" s="50">
        <v>0</v>
      </c>
      <c r="F4193" s="51">
        <v>3.7911961382630643E-3</v>
      </c>
      <c r="G4193" s="51" t="str">
        <v>吉田 2022/09/12 (月)
平日夜間</v>
      </c>
    </row>
    <row r="4194" spans="1:7" ht="16.149999999999999" x14ac:dyDescent="0.7">
      <c r="A4194" s="49">
        <v>44801.319437256941</v>
      </c>
      <c r="B4194" s="50" t="s">
        <v>16</v>
      </c>
      <c r="C4194" s="50" t="s">
        <v>462</v>
      </c>
      <c r="D4194" s="50" t="s">
        <v>259</v>
      </c>
      <c r="E4194" s="50">
        <v>-1</v>
      </c>
      <c r="F4194" s="51">
        <v>-0.56556381982679649</v>
      </c>
      <c r="G4194" s="51" t="str">
        <v>吉田 2022/09/13 (火)
平日夜間</v>
      </c>
    </row>
    <row r="4195" spans="1:7" ht="16.149999999999999" x14ac:dyDescent="0.7">
      <c r="A4195" s="49">
        <v>44801.319437256941</v>
      </c>
      <c r="B4195" s="50" t="s">
        <v>16</v>
      </c>
      <c r="C4195" s="50" t="s">
        <v>463</v>
      </c>
      <c r="D4195" s="50" t="s">
        <v>259</v>
      </c>
      <c r="E4195" s="50">
        <v>0</v>
      </c>
      <c r="F4195" s="51">
        <v>0.61632072275146776</v>
      </c>
      <c r="G4195" s="51" t="str">
        <v>吉田 2022/09/14 (水)
平日夜間</v>
      </c>
    </row>
    <row r="4196" spans="1:7" ht="16.149999999999999" x14ac:dyDescent="0.7">
      <c r="A4196" s="49">
        <v>44801.319437256941</v>
      </c>
      <c r="B4196" s="50" t="s">
        <v>16</v>
      </c>
      <c r="C4196" s="50" t="s">
        <v>464</v>
      </c>
      <c r="D4196" s="50" t="s">
        <v>259</v>
      </c>
      <c r="E4196" s="50">
        <v>0</v>
      </c>
      <c r="F4196" s="51">
        <v>0.9700484325392511</v>
      </c>
      <c r="G4196" s="51" t="str">
        <v>吉田 2022/09/15 (木)
平日夜間</v>
      </c>
    </row>
    <row r="4197" spans="1:7" ht="16.149999999999999" x14ac:dyDescent="0.7">
      <c r="A4197" s="49">
        <v>44801.319437256941</v>
      </c>
      <c r="B4197" s="50" t="s">
        <v>16</v>
      </c>
      <c r="C4197" s="50" t="s">
        <v>465</v>
      </c>
      <c r="D4197" s="50" t="s">
        <v>259</v>
      </c>
      <c r="E4197" s="50">
        <v>0</v>
      </c>
      <c r="F4197" s="51">
        <v>0.18446127076959984</v>
      </c>
      <c r="G4197" s="51" t="str">
        <v>吉田 2022/09/16 (金)
平日夜間</v>
      </c>
    </row>
    <row r="4198" spans="1:7" ht="16.149999999999999" x14ac:dyDescent="0.7">
      <c r="A4198" s="49">
        <v>44801.319437256941</v>
      </c>
      <c r="B4198" s="50" t="s">
        <v>16</v>
      </c>
      <c r="C4198" s="50" t="s">
        <v>466</v>
      </c>
      <c r="D4198" s="50" t="s">
        <v>263</v>
      </c>
      <c r="E4198" s="50">
        <v>0</v>
      </c>
      <c r="F4198" s="51">
        <v>6.0586553502052221E-2</v>
      </c>
      <c r="G4198" s="51" t="str">
        <v>吉田 2022/09/17 (土)
休日午前</v>
      </c>
    </row>
    <row r="4199" spans="1:7" ht="16.149999999999999" x14ac:dyDescent="0.7">
      <c r="A4199" s="49">
        <v>44801.319437256941</v>
      </c>
      <c r="B4199" s="50" t="s">
        <v>16</v>
      </c>
      <c r="C4199" s="50" t="s">
        <v>467</v>
      </c>
      <c r="D4199" s="50" t="s">
        <v>261</v>
      </c>
      <c r="E4199" s="50">
        <v>0</v>
      </c>
      <c r="F4199" s="51">
        <v>0.75487802993663933</v>
      </c>
      <c r="G4199" s="51" t="str">
        <v>吉田 2022/09/17 (土)
休日午後</v>
      </c>
    </row>
    <row r="4200" spans="1:7" ht="16.149999999999999" x14ac:dyDescent="0.7">
      <c r="A4200" s="49">
        <v>44801.319437256941</v>
      </c>
      <c r="B4200" s="50" t="s">
        <v>16</v>
      </c>
      <c r="C4200" s="50" t="s">
        <v>468</v>
      </c>
      <c r="D4200" s="50" t="s">
        <v>263</v>
      </c>
      <c r="E4200" s="50">
        <v>0</v>
      </c>
      <c r="F4200" s="51">
        <v>0.12503718526430951</v>
      </c>
      <c r="G4200" s="51" t="str">
        <v>吉田 2022/09/18 (日)
休日午前</v>
      </c>
    </row>
    <row r="4201" spans="1:7" ht="16.149999999999999" x14ac:dyDescent="0.7">
      <c r="A4201" s="49">
        <v>44801.319437256941</v>
      </c>
      <c r="B4201" s="50" t="s">
        <v>16</v>
      </c>
      <c r="C4201" s="50" t="s">
        <v>469</v>
      </c>
      <c r="D4201" s="50" t="s">
        <v>261</v>
      </c>
      <c r="E4201" s="50">
        <v>2</v>
      </c>
      <c r="F4201" s="51">
        <v>2.4417322353273052</v>
      </c>
      <c r="G4201" s="51" t="str">
        <v>吉田 2022/09/18 (日)
休日午後</v>
      </c>
    </row>
    <row r="4202" spans="1:7" ht="16.149999999999999" x14ac:dyDescent="0.7">
      <c r="A4202" s="49">
        <v>44801.319437256941</v>
      </c>
      <c r="B4202" s="50" t="s">
        <v>16</v>
      </c>
      <c r="C4202" s="50" t="s">
        <v>470</v>
      </c>
      <c r="D4202" s="50" t="s">
        <v>263</v>
      </c>
      <c r="E4202" s="50">
        <v>-1</v>
      </c>
      <c r="F4202" s="51">
        <v>-0.63181351901151261</v>
      </c>
      <c r="G4202" s="51" t="str">
        <v>吉田 2022/09/19 (月)
休日午前</v>
      </c>
    </row>
    <row r="4203" spans="1:7" ht="16.149999999999999" x14ac:dyDescent="0.7">
      <c r="A4203" s="49">
        <v>44801.319437256941</v>
      </c>
      <c r="B4203" s="50" t="s">
        <v>16</v>
      </c>
      <c r="C4203" s="50" t="s">
        <v>471</v>
      </c>
      <c r="D4203" s="50" t="s">
        <v>261</v>
      </c>
      <c r="E4203" s="50">
        <v>-1</v>
      </c>
      <c r="F4203" s="51">
        <v>-0.56300052975166182</v>
      </c>
      <c r="G4203" s="51" t="str">
        <v>吉田 2022/09/19 (月)
休日午後</v>
      </c>
    </row>
    <row r="4204" spans="1:7" ht="16.149999999999999" x14ac:dyDescent="0.7">
      <c r="A4204" s="49">
        <v>44801.319437256941</v>
      </c>
      <c r="B4204" s="50" t="s">
        <v>16</v>
      </c>
      <c r="C4204" s="50" t="s">
        <v>472</v>
      </c>
      <c r="D4204" s="50" t="s">
        <v>259</v>
      </c>
      <c r="E4204" s="50">
        <v>-1</v>
      </c>
      <c r="F4204" s="51">
        <v>-0.57940645786158762</v>
      </c>
      <c r="G4204" s="51" t="str">
        <v>吉田 2022/09/20 (火)
平日夜間</v>
      </c>
    </row>
    <row r="4205" spans="1:7" ht="16.149999999999999" x14ac:dyDescent="0.7">
      <c r="A4205" s="49">
        <v>44801.319437256941</v>
      </c>
      <c r="B4205" s="50" t="s">
        <v>16</v>
      </c>
      <c r="C4205" s="50" t="s">
        <v>473</v>
      </c>
      <c r="D4205" s="50" t="s">
        <v>259</v>
      </c>
      <c r="E4205" s="50">
        <v>-1</v>
      </c>
      <c r="F4205" s="51">
        <v>-1.9757748344858994E-2</v>
      </c>
      <c r="G4205" s="51" t="str">
        <v>吉田 2022/09/21 (水)
平日夜間</v>
      </c>
    </row>
    <row r="4206" spans="1:7" ht="16.149999999999999" x14ac:dyDescent="0.7">
      <c r="A4206" s="49">
        <v>44801.319437256941</v>
      </c>
      <c r="B4206" s="50" t="s">
        <v>16</v>
      </c>
      <c r="C4206" s="50" t="s">
        <v>474</v>
      </c>
      <c r="D4206" s="50" t="s">
        <v>259</v>
      </c>
      <c r="E4206" s="50">
        <v>0</v>
      </c>
      <c r="F4206" s="51">
        <v>0.64501931716693894</v>
      </c>
      <c r="G4206" s="51" t="str">
        <v>吉田 2022/09/22 (木)
平日夜間</v>
      </c>
    </row>
    <row r="4207" spans="1:7" ht="16.149999999999999" x14ac:dyDescent="0.7">
      <c r="A4207" s="49">
        <v>44801.319437256941</v>
      </c>
      <c r="B4207" s="50" t="s">
        <v>16</v>
      </c>
      <c r="C4207" s="50" t="s">
        <v>475</v>
      </c>
      <c r="D4207" s="50" t="s">
        <v>263</v>
      </c>
      <c r="E4207" s="50">
        <v>0</v>
      </c>
      <c r="F4207" s="51">
        <v>0.8997705847608104</v>
      </c>
      <c r="G4207" s="51" t="str">
        <v>吉田 2022/09/23 (金)
休日午前</v>
      </c>
    </row>
    <row r="4208" spans="1:7" ht="16.149999999999999" x14ac:dyDescent="0.7">
      <c r="A4208" s="49">
        <v>44801.319437256941</v>
      </c>
      <c r="B4208" s="50" t="s">
        <v>16</v>
      </c>
      <c r="C4208" s="50" t="s">
        <v>476</v>
      </c>
      <c r="D4208" s="50" t="s">
        <v>261</v>
      </c>
      <c r="E4208" s="50">
        <v>0</v>
      </c>
      <c r="F4208" s="51">
        <v>0.34183813109522032</v>
      </c>
      <c r="G4208" s="51" t="str">
        <v>吉田 2022/09/23 (金)
休日午後</v>
      </c>
    </row>
    <row r="4209" spans="1:7" ht="16.149999999999999" x14ac:dyDescent="0.7">
      <c r="A4209" s="49">
        <v>44801.319437256941</v>
      </c>
      <c r="B4209" s="50" t="s">
        <v>16</v>
      </c>
      <c r="C4209" s="50" t="s">
        <v>477</v>
      </c>
      <c r="D4209" s="50" t="s">
        <v>263</v>
      </c>
      <c r="E4209" s="50">
        <v>0</v>
      </c>
      <c r="F4209" s="51">
        <v>0.32018779224451333</v>
      </c>
      <c r="G4209" s="51" t="str">
        <v>吉田 2022/09/24 (土)
休日午前</v>
      </c>
    </row>
    <row r="4210" spans="1:7" ht="16.149999999999999" x14ac:dyDescent="0.7">
      <c r="A4210" s="49">
        <v>44801.319437256941</v>
      </c>
      <c r="B4210" s="50" t="s">
        <v>16</v>
      </c>
      <c r="C4210" s="50" t="s">
        <v>478</v>
      </c>
      <c r="D4210" s="50" t="s">
        <v>261</v>
      </c>
      <c r="E4210" s="50">
        <v>0</v>
      </c>
      <c r="F4210" s="51">
        <v>0.87133751505937651</v>
      </c>
      <c r="G4210" s="51" t="str">
        <v>吉田 2022/09/24 (土)
休日午後</v>
      </c>
    </row>
    <row r="4211" spans="1:7" ht="16.149999999999999" x14ac:dyDescent="0.7">
      <c r="A4211" s="49">
        <v>44801.319437256941</v>
      </c>
      <c r="B4211" s="50" t="s">
        <v>16</v>
      </c>
      <c r="C4211" s="50" t="s">
        <v>479</v>
      </c>
      <c r="D4211" s="50" t="s">
        <v>263</v>
      </c>
      <c r="E4211" s="50">
        <v>0</v>
      </c>
      <c r="F4211" s="51">
        <v>0.16354580556491127</v>
      </c>
      <c r="G4211" s="51" t="str">
        <v>吉田 2022/09/25 (日)
休日午前</v>
      </c>
    </row>
    <row r="4212" spans="1:7" ht="16.149999999999999" x14ac:dyDescent="0.7">
      <c r="A4212" s="49">
        <v>44801.319437256941</v>
      </c>
      <c r="B4212" s="50" t="s">
        <v>16</v>
      </c>
      <c r="C4212" s="50" t="s">
        <v>480</v>
      </c>
      <c r="D4212" s="50" t="s">
        <v>261</v>
      </c>
      <c r="E4212" s="50">
        <v>0</v>
      </c>
      <c r="F4212" s="51">
        <v>0.31089886709867831</v>
      </c>
      <c r="G4212" s="51" t="str">
        <v>吉田 2022/09/25 (日)
休日午後</v>
      </c>
    </row>
    <row r="4213" spans="1:7" ht="16.149999999999999" x14ac:dyDescent="0.7">
      <c r="A4213" s="49">
        <v>44801.319437256941</v>
      </c>
      <c r="B4213" s="50" t="s">
        <v>16</v>
      </c>
      <c r="C4213" s="50" t="s">
        <v>481</v>
      </c>
      <c r="D4213" s="50" t="s">
        <v>259</v>
      </c>
      <c r="E4213" s="50">
        <v>0</v>
      </c>
      <c r="F4213" s="51">
        <v>0.80434986000340092</v>
      </c>
      <c r="G4213" s="51" t="str">
        <v>吉田 2022/09/26 (月)
平日夜間</v>
      </c>
    </row>
    <row r="4214" spans="1:7" ht="16.149999999999999" x14ac:dyDescent="0.7">
      <c r="A4214" s="49">
        <v>44801.319437256941</v>
      </c>
      <c r="B4214" s="50" t="s">
        <v>16</v>
      </c>
      <c r="C4214" s="50" t="s">
        <v>482</v>
      </c>
      <c r="D4214" s="50" t="s">
        <v>259</v>
      </c>
      <c r="E4214" s="50">
        <v>0</v>
      </c>
      <c r="F4214" s="51">
        <v>0.5231714283875073</v>
      </c>
      <c r="G4214" s="51" t="str">
        <v>吉田 2022/09/27 (火)
平日夜間</v>
      </c>
    </row>
    <row r="4215" spans="1:7" ht="16.149999999999999" x14ac:dyDescent="0.7">
      <c r="A4215" s="49">
        <v>44801.319437256941</v>
      </c>
      <c r="B4215" s="50" t="s">
        <v>16</v>
      </c>
      <c r="C4215" s="50" t="s">
        <v>483</v>
      </c>
      <c r="D4215" s="50" t="s">
        <v>259</v>
      </c>
      <c r="E4215" s="50">
        <v>0</v>
      </c>
      <c r="F4215" s="51">
        <v>0.11443940796844609</v>
      </c>
      <c r="G4215" s="51" t="str">
        <v>吉田 2022/09/28 (水)
平日夜間</v>
      </c>
    </row>
    <row r="4216" spans="1:7" ht="16.149999999999999" x14ac:dyDescent="0.7">
      <c r="A4216" s="49">
        <v>44801.319437256941</v>
      </c>
      <c r="B4216" s="50" t="s">
        <v>16</v>
      </c>
      <c r="C4216" s="50" t="s">
        <v>484</v>
      </c>
      <c r="D4216" s="50" t="s">
        <v>259</v>
      </c>
      <c r="E4216" s="50">
        <v>0</v>
      </c>
      <c r="F4216" s="51">
        <v>0.99830107726588024</v>
      </c>
      <c r="G4216" s="51" t="str">
        <v>吉田 2022/09/29 (木)
平日夜間</v>
      </c>
    </row>
    <row r="4217" spans="1:7" ht="16.149999999999999" x14ac:dyDescent="0.7">
      <c r="A4217" s="49">
        <v>44801.319437256941</v>
      </c>
      <c r="B4217" s="50" t="s">
        <v>16</v>
      </c>
      <c r="C4217" s="50" t="s">
        <v>485</v>
      </c>
      <c r="D4217" s="50" t="s">
        <v>259</v>
      </c>
      <c r="E4217" s="50">
        <v>0</v>
      </c>
      <c r="F4217" s="51">
        <v>0.82564117830411954</v>
      </c>
      <c r="G4217" s="51" t="str">
        <v>吉田 2022/09/30 (金)
平日夜間</v>
      </c>
    </row>
    <row r="4218" spans="1:7" ht="16.149999999999999" x14ac:dyDescent="0.7">
      <c r="A4218" s="49">
        <v>44801.388879756945</v>
      </c>
      <c r="B4218" s="50" t="s">
        <v>15</v>
      </c>
      <c r="C4218" s="50" t="s">
        <v>446</v>
      </c>
      <c r="D4218" s="50" t="s">
        <v>259</v>
      </c>
      <c r="E4218" s="50">
        <v>0</v>
      </c>
      <c r="F4218" s="51">
        <v>0.89189097336970535</v>
      </c>
      <c r="G4218" s="51" t="str">
        <v>太良 2022/09/01 (木)
平日夜間</v>
      </c>
    </row>
    <row r="4219" spans="1:7" ht="16.149999999999999" x14ac:dyDescent="0.7">
      <c r="A4219" s="49">
        <v>44801.388879756945</v>
      </c>
      <c r="B4219" s="50" t="s">
        <v>15</v>
      </c>
      <c r="C4219" s="50" t="s">
        <v>447</v>
      </c>
      <c r="D4219" s="50" t="s">
        <v>259</v>
      </c>
      <c r="E4219" s="50">
        <v>-1</v>
      </c>
      <c r="F4219" s="51">
        <v>-0.5296306407003244</v>
      </c>
      <c r="G4219" s="51" t="str">
        <v>太良 2022/09/02 (金)
平日夜間</v>
      </c>
    </row>
    <row r="4220" spans="1:7" ht="16.149999999999999" x14ac:dyDescent="0.7">
      <c r="A4220" s="49">
        <v>44801.388879756945</v>
      </c>
      <c r="B4220" s="50" t="s">
        <v>15</v>
      </c>
      <c r="C4220" s="50" t="s">
        <v>448</v>
      </c>
      <c r="D4220" s="50" t="s">
        <v>263</v>
      </c>
      <c r="E4220" s="50">
        <v>-1</v>
      </c>
      <c r="F4220" s="51">
        <v>-0.46161531381393694</v>
      </c>
      <c r="G4220" s="51" t="str">
        <v>太良 2022/09/03 (土)
休日午前</v>
      </c>
    </row>
    <row r="4221" spans="1:7" ht="16.149999999999999" x14ac:dyDescent="0.7">
      <c r="A4221" s="49">
        <v>44801.388879756945</v>
      </c>
      <c r="B4221" s="50" t="s">
        <v>15</v>
      </c>
      <c r="C4221" s="50" t="s">
        <v>449</v>
      </c>
      <c r="D4221" s="50" t="s">
        <v>261</v>
      </c>
      <c r="E4221" s="50">
        <v>-1</v>
      </c>
      <c r="F4221" s="51">
        <v>-0.15493259861322306</v>
      </c>
      <c r="G4221" s="51" t="str">
        <v>太良 2022/09/03 (土)
休日午後</v>
      </c>
    </row>
    <row r="4222" spans="1:7" ht="16.149999999999999" x14ac:dyDescent="0.7">
      <c r="A4222" s="49">
        <v>44801.388879756945</v>
      </c>
      <c r="B4222" s="50" t="s">
        <v>15</v>
      </c>
      <c r="C4222" s="50" t="s">
        <v>450</v>
      </c>
      <c r="D4222" s="50" t="s">
        <v>263</v>
      </c>
      <c r="E4222" s="50">
        <v>-1</v>
      </c>
      <c r="F4222" s="51">
        <v>-0.52583954813690892</v>
      </c>
      <c r="G4222" s="51" t="str">
        <v>太良 2022/09/04 (日)
休日午前</v>
      </c>
    </row>
    <row r="4223" spans="1:7" ht="16.149999999999999" x14ac:dyDescent="0.7">
      <c r="A4223" s="49">
        <v>44801.388879756945</v>
      </c>
      <c r="B4223" s="50" t="s">
        <v>15</v>
      </c>
      <c r="C4223" s="50" t="s">
        <v>451</v>
      </c>
      <c r="D4223" s="50" t="s">
        <v>261</v>
      </c>
      <c r="E4223" s="50">
        <v>-1</v>
      </c>
      <c r="F4223" s="51">
        <v>-0.61941495521279677</v>
      </c>
      <c r="G4223" s="51" t="str">
        <v>太良 2022/09/04 (日)
休日午後</v>
      </c>
    </row>
    <row r="4224" spans="1:7" ht="16.149999999999999" x14ac:dyDescent="0.7">
      <c r="A4224" s="49">
        <v>44801.388879756945</v>
      </c>
      <c r="B4224" s="50" t="s">
        <v>15</v>
      </c>
      <c r="C4224" s="50" t="s">
        <v>452</v>
      </c>
      <c r="D4224" s="50" t="s">
        <v>259</v>
      </c>
      <c r="E4224" s="50">
        <v>-1</v>
      </c>
      <c r="F4224" s="51">
        <v>-0.34498551504729358</v>
      </c>
      <c r="G4224" s="51" t="str">
        <v>太良 2022/09/05 (月)
平日夜間</v>
      </c>
    </row>
    <row r="4225" spans="1:7" ht="16.149999999999999" x14ac:dyDescent="0.7">
      <c r="A4225" s="49">
        <v>44801.388879756945</v>
      </c>
      <c r="B4225" s="50" t="s">
        <v>15</v>
      </c>
      <c r="C4225" s="50" t="s">
        <v>453</v>
      </c>
      <c r="D4225" s="50" t="s">
        <v>259</v>
      </c>
      <c r="E4225" s="50">
        <v>0</v>
      </c>
      <c r="F4225" s="51">
        <v>0.3908673090891237</v>
      </c>
      <c r="G4225" s="51" t="str">
        <v>太良 2022/09/06 (火)
平日夜間</v>
      </c>
    </row>
    <row r="4226" spans="1:7" ht="16.149999999999999" x14ac:dyDescent="0.7">
      <c r="A4226" s="49">
        <v>44801.388879756945</v>
      </c>
      <c r="B4226" s="50" t="s">
        <v>15</v>
      </c>
      <c r="C4226" s="50" t="s">
        <v>454</v>
      </c>
      <c r="D4226" s="50" t="s">
        <v>259</v>
      </c>
      <c r="E4226" s="50">
        <v>0</v>
      </c>
      <c r="F4226" s="51">
        <v>0.48822197288355462</v>
      </c>
      <c r="G4226" s="51" t="str">
        <v>太良 2022/09/07 (水)
平日夜間</v>
      </c>
    </row>
    <row r="4227" spans="1:7" ht="16.149999999999999" x14ac:dyDescent="0.7">
      <c r="A4227" s="49">
        <v>44801.388879756945</v>
      </c>
      <c r="B4227" s="50" t="s">
        <v>15</v>
      </c>
      <c r="C4227" s="50" t="s">
        <v>455</v>
      </c>
      <c r="D4227" s="50" t="s">
        <v>259</v>
      </c>
      <c r="E4227" s="50">
        <v>0</v>
      </c>
      <c r="F4227" s="51">
        <v>0.38479608038698143</v>
      </c>
      <c r="G4227" s="51" t="str">
        <v>太良 2022/09/08 (木)
平日夜間</v>
      </c>
    </row>
    <row r="4228" spans="1:7" ht="16.149999999999999" x14ac:dyDescent="0.7">
      <c r="A4228" s="49">
        <v>44801.388879756945</v>
      </c>
      <c r="B4228" s="50" t="s">
        <v>15</v>
      </c>
      <c r="C4228" s="50" t="s">
        <v>456</v>
      </c>
      <c r="D4228" s="50" t="s">
        <v>259</v>
      </c>
      <c r="E4228" s="50">
        <v>-1</v>
      </c>
      <c r="F4228" s="51">
        <v>-0.79583476007655229</v>
      </c>
      <c r="G4228" s="51" t="str">
        <v>太良 2022/09/09 (金)
平日夜間</v>
      </c>
    </row>
    <row r="4229" spans="1:7" ht="16.149999999999999" x14ac:dyDescent="0.7">
      <c r="A4229" s="49">
        <v>44801.388879756945</v>
      </c>
      <c r="B4229" s="50" t="s">
        <v>15</v>
      </c>
      <c r="C4229" s="50" t="s">
        <v>457</v>
      </c>
      <c r="D4229" s="50" t="s">
        <v>263</v>
      </c>
      <c r="E4229" s="50">
        <v>-1</v>
      </c>
      <c r="F4229" s="51">
        <v>-0.29763783279491918</v>
      </c>
      <c r="G4229" s="51" t="str">
        <v>太良 2022/09/10 (土)
休日午前</v>
      </c>
    </row>
    <row r="4230" spans="1:7" ht="16.149999999999999" x14ac:dyDescent="0.7">
      <c r="A4230" s="49">
        <v>44801.388879756945</v>
      </c>
      <c r="B4230" s="50" t="s">
        <v>15</v>
      </c>
      <c r="C4230" s="50" t="s">
        <v>458</v>
      </c>
      <c r="D4230" s="50" t="s">
        <v>261</v>
      </c>
      <c r="E4230" s="50">
        <v>-1</v>
      </c>
      <c r="F4230" s="51">
        <v>-0.83434227952439843</v>
      </c>
      <c r="G4230" s="51" t="str">
        <v>太良 2022/09/10 (土)
休日午後</v>
      </c>
    </row>
    <row r="4231" spans="1:7" ht="16.149999999999999" x14ac:dyDescent="0.7">
      <c r="A4231" s="49">
        <v>44801.388879756945</v>
      </c>
      <c r="B4231" s="50" t="s">
        <v>15</v>
      </c>
      <c r="C4231" s="50" t="s">
        <v>459</v>
      </c>
      <c r="D4231" s="50" t="s">
        <v>263</v>
      </c>
      <c r="E4231" s="50">
        <v>-1</v>
      </c>
      <c r="F4231" s="51">
        <v>-0.39872980104315814</v>
      </c>
      <c r="G4231" s="51" t="str">
        <v>太良 2022/09/11 (日)
休日午前</v>
      </c>
    </row>
    <row r="4232" spans="1:7" ht="16.149999999999999" x14ac:dyDescent="0.7">
      <c r="A4232" s="49">
        <v>44801.388879756945</v>
      </c>
      <c r="B4232" s="50" t="s">
        <v>15</v>
      </c>
      <c r="C4232" s="50" t="s">
        <v>460</v>
      </c>
      <c r="D4232" s="50" t="s">
        <v>261</v>
      </c>
      <c r="E4232" s="50">
        <v>-1</v>
      </c>
      <c r="F4232" s="51">
        <v>-0.76751297339740421</v>
      </c>
      <c r="G4232" s="51" t="str">
        <v>太良 2022/09/11 (日)
休日午後</v>
      </c>
    </row>
    <row r="4233" spans="1:7" ht="16.149999999999999" x14ac:dyDescent="0.7">
      <c r="A4233" s="49">
        <v>44801.388879756945</v>
      </c>
      <c r="B4233" s="50" t="s">
        <v>15</v>
      </c>
      <c r="C4233" s="50" t="s">
        <v>461</v>
      </c>
      <c r="D4233" s="50" t="s">
        <v>259</v>
      </c>
      <c r="E4233" s="50">
        <v>-1</v>
      </c>
      <c r="F4233" s="51">
        <v>-0.65677071096965456</v>
      </c>
      <c r="G4233" s="51" t="str">
        <v>太良 2022/09/12 (月)
平日夜間</v>
      </c>
    </row>
    <row r="4234" spans="1:7" ht="16.149999999999999" x14ac:dyDescent="0.7">
      <c r="A4234" s="49">
        <v>44801.388879756945</v>
      </c>
      <c r="B4234" s="50" t="s">
        <v>15</v>
      </c>
      <c r="C4234" s="50" t="s">
        <v>462</v>
      </c>
      <c r="D4234" s="50" t="s">
        <v>259</v>
      </c>
      <c r="E4234" s="50">
        <v>0</v>
      </c>
      <c r="F4234" s="51">
        <v>0.55304692769612274</v>
      </c>
      <c r="G4234" s="51" t="str">
        <v>太良 2022/09/13 (火)
平日夜間</v>
      </c>
    </row>
    <row r="4235" spans="1:7" ht="16.149999999999999" x14ac:dyDescent="0.7">
      <c r="A4235" s="49">
        <v>44801.388879756945</v>
      </c>
      <c r="B4235" s="50" t="s">
        <v>15</v>
      </c>
      <c r="C4235" s="50" t="s">
        <v>463</v>
      </c>
      <c r="D4235" s="50" t="s">
        <v>259</v>
      </c>
      <c r="E4235" s="50">
        <v>-1</v>
      </c>
      <c r="F4235" s="51">
        <v>-0.50151769545254599</v>
      </c>
      <c r="G4235" s="51" t="str">
        <v>太良 2022/09/14 (水)
平日夜間</v>
      </c>
    </row>
    <row r="4236" spans="1:7" ht="16.149999999999999" x14ac:dyDescent="0.7">
      <c r="A4236" s="49">
        <v>44801.388879756945</v>
      </c>
      <c r="B4236" s="50" t="s">
        <v>15</v>
      </c>
      <c r="C4236" s="50" t="s">
        <v>464</v>
      </c>
      <c r="D4236" s="50" t="s">
        <v>259</v>
      </c>
      <c r="E4236" s="50">
        <v>-1</v>
      </c>
      <c r="F4236" s="51">
        <v>-0.56435911471155964</v>
      </c>
      <c r="G4236" s="51" t="str">
        <v>太良 2022/09/15 (木)
平日夜間</v>
      </c>
    </row>
    <row r="4237" spans="1:7" ht="16.149999999999999" x14ac:dyDescent="0.7">
      <c r="A4237" s="49">
        <v>44801.388879756945</v>
      </c>
      <c r="B4237" s="50" t="s">
        <v>15</v>
      </c>
      <c r="C4237" s="50" t="s">
        <v>465</v>
      </c>
      <c r="D4237" s="50" t="s">
        <v>259</v>
      </c>
      <c r="E4237" s="50">
        <v>-1</v>
      </c>
      <c r="F4237" s="51">
        <v>-0.91089117208776993</v>
      </c>
      <c r="G4237" s="51" t="str">
        <v>太良 2022/09/16 (金)
平日夜間</v>
      </c>
    </row>
    <row r="4238" spans="1:7" ht="16.149999999999999" x14ac:dyDescent="0.7">
      <c r="A4238" s="49">
        <v>44801.388879756945</v>
      </c>
      <c r="B4238" s="50" t="s">
        <v>15</v>
      </c>
      <c r="C4238" s="50" t="s">
        <v>466</v>
      </c>
      <c r="D4238" s="50" t="s">
        <v>263</v>
      </c>
      <c r="E4238" s="50">
        <v>-1</v>
      </c>
      <c r="F4238" s="51">
        <v>-0.69039533005795328</v>
      </c>
      <c r="G4238" s="51" t="str">
        <v>太良 2022/09/17 (土)
休日午前</v>
      </c>
    </row>
    <row r="4239" spans="1:7" ht="16.149999999999999" x14ac:dyDescent="0.7">
      <c r="A4239" s="49">
        <v>44801.388879756945</v>
      </c>
      <c r="B4239" s="50" t="s">
        <v>15</v>
      </c>
      <c r="C4239" s="50" t="s">
        <v>467</v>
      </c>
      <c r="D4239" s="50" t="s">
        <v>261</v>
      </c>
      <c r="E4239" s="50">
        <v>-1</v>
      </c>
      <c r="F4239" s="51">
        <v>-0.64355647438361041</v>
      </c>
      <c r="G4239" s="51" t="str">
        <v>太良 2022/09/17 (土)
休日午後</v>
      </c>
    </row>
    <row r="4240" spans="1:7" ht="16.149999999999999" x14ac:dyDescent="0.7">
      <c r="A4240" s="49">
        <v>44801.388879756945</v>
      </c>
      <c r="B4240" s="50" t="s">
        <v>15</v>
      </c>
      <c r="C4240" s="50" t="s">
        <v>468</v>
      </c>
      <c r="D4240" s="50" t="s">
        <v>263</v>
      </c>
      <c r="E4240" s="50">
        <v>-1</v>
      </c>
      <c r="F4240" s="51">
        <v>-0.38865476428197132</v>
      </c>
      <c r="G4240" s="51" t="str">
        <v>太良 2022/09/18 (日)
休日午前</v>
      </c>
    </row>
    <row r="4241" spans="1:7" ht="16.149999999999999" x14ac:dyDescent="0.7">
      <c r="A4241" s="49">
        <v>44801.388879756945</v>
      </c>
      <c r="B4241" s="50" t="s">
        <v>15</v>
      </c>
      <c r="C4241" s="50" t="s">
        <v>469</v>
      </c>
      <c r="D4241" s="50" t="s">
        <v>261</v>
      </c>
      <c r="E4241" s="50">
        <v>-1</v>
      </c>
      <c r="F4241" s="51">
        <v>-0.81971109956436394</v>
      </c>
      <c r="G4241" s="51" t="str">
        <v>太良 2022/09/18 (日)
休日午後</v>
      </c>
    </row>
    <row r="4242" spans="1:7" ht="16.149999999999999" x14ac:dyDescent="0.7">
      <c r="A4242" s="49">
        <v>44801.388879756945</v>
      </c>
      <c r="B4242" s="50" t="s">
        <v>15</v>
      </c>
      <c r="C4242" s="50" t="s">
        <v>470</v>
      </c>
      <c r="D4242" s="50" t="s">
        <v>263</v>
      </c>
      <c r="E4242" s="50">
        <v>-1</v>
      </c>
      <c r="F4242" s="51">
        <v>-0.37686703487352879</v>
      </c>
      <c r="G4242" s="51" t="str">
        <v>太良 2022/09/19 (月)
休日午前</v>
      </c>
    </row>
    <row r="4243" spans="1:7" ht="16.149999999999999" x14ac:dyDescent="0.7">
      <c r="A4243" s="49">
        <v>44801.388879756945</v>
      </c>
      <c r="B4243" s="50" t="s">
        <v>15</v>
      </c>
      <c r="C4243" s="50" t="s">
        <v>471</v>
      </c>
      <c r="D4243" s="50" t="s">
        <v>261</v>
      </c>
      <c r="E4243" s="50">
        <v>-1</v>
      </c>
      <c r="F4243" s="51">
        <v>-0.1879003652005089</v>
      </c>
      <c r="G4243" s="51" t="str">
        <v>太良 2022/09/19 (月)
休日午後</v>
      </c>
    </row>
    <row r="4244" spans="1:7" ht="16.149999999999999" x14ac:dyDescent="0.7">
      <c r="A4244" s="49">
        <v>44801.388879756945</v>
      </c>
      <c r="B4244" s="50" t="s">
        <v>15</v>
      </c>
      <c r="C4244" s="50" t="s">
        <v>472</v>
      </c>
      <c r="D4244" s="50" t="s">
        <v>259</v>
      </c>
      <c r="E4244" s="50">
        <v>-1</v>
      </c>
      <c r="F4244" s="51">
        <v>-0.31858801931720859</v>
      </c>
      <c r="G4244" s="51" t="str">
        <v>太良 2022/09/20 (火)
平日夜間</v>
      </c>
    </row>
    <row r="4245" spans="1:7" ht="16.149999999999999" x14ac:dyDescent="0.7">
      <c r="A4245" s="49">
        <v>44801.388879756945</v>
      </c>
      <c r="B4245" s="50" t="s">
        <v>15</v>
      </c>
      <c r="C4245" s="50" t="s">
        <v>473</v>
      </c>
      <c r="D4245" s="50" t="s">
        <v>259</v>
      </c>
      <c r="E4245" s="50">
        <v>0</v>
      </c>
      <c r="F4245" s="51">
        <v>0.91724318790604498</v>
      </c>
      <c r="G4245" s="51" t="str">
        <v>太良 2022/09/21 (水)
平日夜間</v>
      </c>
    </row>
    <row r="4246" spans="1:7" ht="16.149999999999999" x14ac:dyDescent="0.7">
      <c r="A4246" s="49">
        <v>44801.388879756945</v>
      </c>
      <c r="B4246" s="50" t="s">
        <v>15</v>
      </c>
      <c r="C4246" s="50" t="s">
        <v>474</v>
      </c>
      <c r="D4246" s="50" t="s">
        <v>259</v>
      </c>
      <c r="E4246" s="50">
        <v>0</v>
      </c>
      <c r="F4246" s="51">
        <v>0.95386811372351499</v>
      </c>
      <c r="G4246" s="51" t="str">
        <v>太良 2022/09/22 (木)
平日夜間</v>
      </c>
    </row>
    <row r="4247" spans="1:7" ht="16.149999999999999" x14ac:dyDescent="0.7">
      <c r="A4247" s="49">
        <v>44801.388879756945</v>
      </c>
      <c r="B4247" s="50" t="s">
        <v>15</v>
      </c>
      <c r="C4247" s="50" t="s">
        <v>475</v>
      </c>
      <c r="D4247" s="50" t="s">
        <v>263</v>
      </c>
      <c r="E4247" s="50">
        <v>-1</v>
      </c>
      <c r="F4247" s="51">
        <v>-0.59925908201287981</v>
      </c>
      <c r="G4247" s="51" t="str">
        <v>太良 2022/09/23 (金)
休日午前</v>
      </c>
    </row>
    <row r="4248" spans="1:7" ht="16.149999999999999" x14ac:dyDescent="0.7">
      <c r="A4248" s="49">
        <v>44801.388879756945</v>
      </c>
      <c r="B4248" s="50" t="s">
        <v>15</v>
      </c>
      <c r="C4248" s="50" t="s">
        <v>476</v>
      </c>
      <c r="D4248" s="50" t="s">
        <v>261</v>
      </c>
      <c r="E4248" s="50">
        <v>-1</v>
      </c>
      <c r="F4248" s="51">
        <v>-0.21705647055760546</v>
      </c>
      <c r="G4248" s="51" t="str">
        <v>太良 2022/09/23 (金)
休日午後</v>
      </c>
    </row>
    <row r="4249" spans="1:7" ht="16.149999999999999" x14ac:dyDescent="0.7">
      <c r="A4249" s="49">
        <v>44801.388879756945</v>
      </c>
      <c r="B4249" s="50" t="s">
        <v>15</v>
      </c>
      <c r="C4249" s="50" t="s">
        <v>477</v>
      </c>
      <c r="D4249" s="50" t="s">
        <v>263</v>
      </c>
      <c r="E4249" s="50">
        <v>-1</v>
      </c>
      <c r="F4249" s="51">
        <v>-0.6431839514405846</v>
      </c>
      <c r="G4249" s="51" t="str">
        <v>太良 2022/09/24 (土)
休日午前</v>
      </c>
    </row>
    <row r="4250" spans="1:7" ht="16.149999999999999" x14ac:dyDescent="0.7">
      <c r="A4250" s="49">
        <v>44801.388879756945</v>
      </c>
      <c r="B4250" s="50" t="s">
        <v>15</v>
      </c>
      <c r="C4250" s="50" t="s">
        <v>478</v>
      </c>
      <c r="D4250" s="50" t="s">
        <v>261</v>
      </c>
      <c r="E4250" s="50">
        <v>-1</v>
      </c>
      <c r="F4250" s="51">
        <v>-0.57686007051214605</v>
      </c>
      <c r="G4250" s="51" t="str">
        <v>太良 2022/09/24 (土)
休日午後</v>
      </c>
    </row>
    <row r="4251" spans="1:7" ht="16.149999999999999" x14ac:dyDescent="0.7">
      <c r="A4251" s="49">
        <v>44801.388879756945</v>
      </c>
      <c r="B4251" s="50" t="s">
        <v>15</v>
      </c>
      <c r="C4251" s="50" t="s">
        <v>479</v>
      </c>
      <c r="D4251" s="50" t="s">
        <v>263</v>
      </c>
      <c r="E4251" s="50">
        <v>0</v>
      </c>
      <c r="F4251" s="51">
        <v>0.19955086900052876</v>
      </c>
      <c r="G4251" s="51" t="str">
        <v>太良 2022/09/25 (日)
休日午前</v>
      </c>
    </row>
    <row r="4252" spans="1:7" ht="16.149999999999999" x14ac:dyDescent="0.7">
      <c r="A4252" s="49">
        <v>44801.388879756945</v>
      </c>
      <c r="B4252" s="50" t="s">
        <v>15</v>
      </c>
      <c r="C4252" s="50" t="s">
        <v>480</v>
      </c>
      <c r="D4252" s="50" t="s">
        <v>261</v>
      </c>
      <c r="E4252" s="50">
        <v>2</v>
      </c>
      <c r="F4252" s="51">
        <v>2.3229299848544844</v>
      </c>
      <c r="G4252" s="51" t="str">
        <v>太良 2022/09/25 (日)
休日午後</v>
      </c>
    </row>
    <row r="4253" spans="1:7" ht="16.149999999999999" x14ac:dyDescent="0.7">
      <c r="A4253" s="49">
        <v>44801.388879756945</v>
      </c>
      <c r="B4253" s="50" t="s">
        <v>15</v>
      </c>
      <c r="C4253" s="50" t="s">
        <v>481</v>
      </c>
      <c r="D4253" s="50" t="s">
        <v>259</v>
      </c>
      <c r="E4253" s="50">
        <v>-1</v>
      </c>
      <c r="F4253" s="51">
        <v>-0.7393066720056638</v>
      </c>
      <c r="G4253" s="51" t="str">
        <v>太良 2022/09/26 (月)
平日夜間</v>
      </c>
    </row>
    <row r="4254" spans="1:7" ht="16.149999999999999" x14ac:dyDescent="0.7">
      <c r="A4254" s="49">
        <v>44801.388879756945</v>
      </c>
      <c r="B4254" s="50" t="s">
        <v>15</v>
      </c>
      <c r="C4254" s="50" t="s">
        <v>482</v>
      </c>
      <c r="D4254" s="50" t="s">
        <v>259</v>
      </c>
      <c r="E4254" s="50">
        <v>0</v>
      </c>
      <c r="F4254" s="51">
        <v>0.26415924147430925</v>
      </c>
      <c r="G4254" s="51" t="str">
        <v>太良 2022/09/27 (火)
平日夜間</v>
      </c>
    </row>
    <row r="4255" spans="1:7" ht="16.149999999999999" x14ac:dyDescent="0.7">
      <c r="A4255" s="49">
        <v>44801.388879756945</v>
      </c>
      <c r="B4255" s="50" t="s">
        <v>15</v>
      </c>
      <c r="C4255" s="50" t="s">
        <v>483</v>
      </c>
      <c r="D4255" s="50" t="s">
        <v>259</v>
      </c>
      <c r="E4255" s="50">
        <v>0</v>
      </c>
      <c r="F4255" s="51">
        <v>3.5268191314418385E-2</v>
      </c>
      <c r="G4255" s="51" t="str">
        <v>太良 2022/09/28 (水)
平日夜間</v>
      </c>
    </row>
    <row r="4256" spans="1:7" ht="16.149999999999999" x14ac:dyDescent="0.7">
      <c r="A4256" s="49">
        <v>44801.388879756945</v>
      </c>
      <c r="B4256" s="50" t="s">
        <v>15</v>
      </c>
      <c r="C4256" s="50" t="s">
        <v>484</v>
      </c>
      <c r="D4256" s="50" t="s">
        <v>259</v>
      </c>
      <c r="E4256" s="50">
        <v>0</v>
      </c>
      <c r="F4256" s="51">
        <v>0.70679879114368305</v>
      </c>
      <c r="G4256" s="51" t="str">
        <v>太良 2022/09/29 (木)
平日夜間</v>
      </c>
    </row>
    <row r="4257" spans="1:7" ht="16.149999999999999" x14ac:dyDescent="0.7">
      <c r="A4257" s="49">
        <v>44801.388879756945</v>
      </c>
      <c r="B4257" s="50" t="s">
        <v>15</v>
      </c>
      <c r="C4257" s="50" t="s">
        <v>485</v>
      </c>
      <c r="D4257" s="50" t="s">
        <v>259</v>
      </c>
      <c r="E4257" s="50">
        <v>0</v>
      </c>
      <c r="F4257" s="51">
        <v>0.42949245125962388</v>
      </c>
      <c r="G4257" s="51" t="str">
        <v>太良 2022/09/30 (金)
平日夜間</v>
      </c>
    </row>
    <row r="4258" spans="1:7" ht="16.149999999999999" x14ac:dyDescent="0.7">
      <c r="A4258" s="49">
        <v>44801.395962789349</v>
      </c>
      <c r="B4258" s="50" t="s">
        <v>45</v>
      </c>
      <c r="C4258" s="50" t="s">
        <v>446</v>
      </c>
      <c r="D4258" s="50" t="s">
        <v>259</v>
      </c>
      <c r="E4258" s="50">
        <v>0</v>
      </c>
      <c r="F4258" s="51">
        <v>0.80716701458013573</v>
      </c>
      <c r="G4258" s="51" t="str">
        <v>松井 2022/09/01 (木)
平日夜間</v>
      </c>
    </row>
    <row r="4259" spans="1:7" ht="16.149999999999999" x14ac:dyDescent="0.7">
      <c r="A4259" s="49">
        <v>44801.395962789349</v>
      </c>
      <c r="B4259" s="50" t="s">
        <v>45</v>
      </c>
      <c r="C4259" s="50" t="s">
        <v>447</v>
      </c>
      <c r="D4259" s="50" t="s">
        <v>259</v>
      </c>
      <c r="E4259" s="50">
        <v>0</v>
      </c>
      <c r="F4259" s="51">
        <v>0.16468260635559417</v>
      </c>
      <c r="G4259" s="51" t="str">
        <v>松井 2022/09/02 (金)
平日夜間</v>
      </c>
    </row>
    <row r="4260" spans="1:7" ht="16.149999999999999" x14ac:dyDescent="0.7">
      <c r="A4260" s="49">
        <v>44801.395962789349</v>
      </c>
      <c r="B4260" s="50" t="s">
        <v>45</v>
      </c>
      <c r="C4260" s="50" t="s">
        <v>448</v>
      </c>
      <c r="D4260" s="50" t="s">
        <v>263</v>
      </c>
      <c r="E4260" s="50">
        <v>-1</v>
      </c>
      <c r="F4260" s="51">
        <v>-0.28822048625897811</v>
      </c>
      <c r="G4260" s="51" t="str">
        <v>松井 2022/09/03 (土)
休日午前</v>
      </c>
    </row>
    <row r="4261" spans="1:7" ht="16.149999999999999" x14ac:dyDescent="0.7">
      <c r="A4261" s="49">
        <v>44801.395962789349</v>
      </c>
      <c r="B4261" s="50" t="s">
        <v>45</v>
      </c>
      <c r="C4261" s="50" t="s">
        <v>449</v>
      </c>
      <c r="D4261" s="50" t="s">
        <v>261</v>
      </c>
      <c r="E4261" s="50">
        <v>-1</v>
      </c>
      <c r="F4261" s="51">
        <v>-0.12897714837781638</v>
      </c>
      <c r="G4261" s="51" t="str">
        <v>松井 2022/09/03 (土)
休日午後</v>
      </c>
    </row>
    <row r="4262" spans="1:7" ht="16.149999999999999" x14ac:dyDescent="0.7">
      <c r="A4262" s="49">
        <v>44801.395962789349</v>
      </c>
      <c r="B4262" s="50" t="s">
        <v>45</v>
      </c>
      <c r="C4262" s="50" t="s">
        <v>450</v>
      </c>
      <c r="D4262" s="50" t="s">
        <v>263</v>
      </c>
      <c r="E4262" s="50">
        <v>0</v>
      </c>
      <c r="F4262" s="51">
        <v>1.8145492492171345E-2</v>
      </c>
      <c r="G4262" s="51" t="str">
        <v>松井 2022/09/04 (日)
休日午前</v>
      </c>
    </row>
    <row r="4263" spans="1:7" ht="16.149999999999999" x14ac:dyDescent="0.7">
      <c r="A4263" s="49">
        <v>44801.395962789349</v>
      </c>
      <c r="B4263" s="50" t="s">
        <v>45</v>
      </c>
      <c r="C4263" s="50" t="s">
        <v>451</v>
      </c>
      <c r="D4263" s="50" t="s">
        <v>261</v>
      </c>
      <c r="E4263" s="50">
        <v>0</v>
      </c>
      <c r="F4263" s="51">
        <v>0.40767809097370433</v>
      </c>
      <c r="G4263" s="51" t="str">
        <v>松井 2022/09/04 (日)
休日午後</v>
      </c>
    </row>
    <row r="4264" spans="1:7" ht="16.149999999999999" x14ac:dyDescent="0.7">
      <c r="A4264" s="49">
        <v>44801.395962789349</v>
      </c>
      <c r="B4264" s="50" t="s">
        <v>45</v>
      </c>
      <c r="C4264" s="50" t="s">
        <v>452</v>
      </c>
      <c r="D4264" s="50" t="s">
        <v>259</v>
      </c>
      <c r="E4264" s="50">
        <v>0</v>
      </c>
      <c r="F4264" s="51">
        <v>0.96949643864426305</v>
      </c>
      <c r="G4264" s="51" t="str">
        <v>松井 2022/09/05 (月)
平日夜間</v>
      </c>
    </row>
    <row r="4265" spans="1:7" ht="16.149999999999999" x14ac:dyDescent="0.7">
      <c r="A4265" s="49">
        <v>44801.395962789349</v>
      </c>
      <c r="B4265" s="50" t="s">
        <v>45</v>
      </c>
      <c r="C4265" s="50" t="s">
        <v>453</v>
      </c>
      <c r="D4265" s="50" t="s">
        <v>259</v>
      </c>
      <c r="E4265" s="50">
        <v>0</v>
      </c>
      <c r="F4265" s="51">
        <v>0.82170215352043918</v>
      </c>
      <c r="G4265" s="51" t="str">
        <v>松井 2022/09/06 (火)
平日夜間</v>
      </c>
    </row>
    <row r="4266" spans="1:7" ht="16.149999999999999" x14ac:dyDescent="0.7">
      <c r="A4266" s="49">
        <v>44801.395962789349</v>
      </c>
      <c r="B4266" s="50" t="s">
        <v>45</v>
      </c>
      <c r="C4266" s="50" t="s">
        <v>454</v>
      </c>
      <c r="D4266" s="50" t="s">
        <v>259</v>
      </c>
      <c r="E4266" s="50">
        <v>0</v>
      </c>
      <c r="F4266" s="51">
        <v>0.87057351540360095</v>
      </c>
      <c r="G4266" s="51" t="str">
        <v>松井 2022/09/07 (水)
平日夜間</v>
      </c>
    </row>
    <row r="4267" spans="1:7" ht="16.149999999999999" x14ac:dyDescent="0.7">
      <c r="A4267" s="49">
        <v>44801.395962789349</v>
      </c>
      <c r="B4267" s="50" t="s">
        <v>45</v>
      </c>
      <c r="C4267" s="50" t="s">
        <v>455</v>
      </c>
      <c r="D4267" s="50" t="s">
        <v>259</v>
      </c>
      <c r="E4267" s="50">
        <v>0</v>
      </c>
      <c r="F4267" s="51">
        <v>2.1185164300895787E-2</v>
      </c>
      <c r="G4267" s="51" t="str">
        <v>松井 2022/09/08 (木)
平日夜間</v>
      </c>
    </row>
    <row r="4268" spans="1:7" ht="16.149999999999999" x14ac:dyDescent="0.7">
      <c r="A4268" s="49">
        <v>44801.395962789349</v>
      </c>
      <c r="B4268" s="50" t="s">
        <v>45</v>
      </c>
      <c r="C4268" s="50" t="s">
        <v>456</v>
      </c>
      <c r="D4268" s="50" t="s">
        <v>259</v>
      </c>
      <c r="E4268" s="50">
        <v>0</v>
      </c>
      <c r="F4268" s="51">
        <v>0.80599917000671462</v>
      </c>
      <c r="G4268" s="51" t="str">
        <v>松井 2022/09/09 (金)
平日夜間</v>
      </c>
    </row>
    <row r="4269" spans="1:7" ht="16.149999999999999" x14ac:dyDescent="0.7">
      <c r="A4269" s="49">
        <v>44801.395962789349</v>
      </c>
      <c r="B4269" s="50" t="s">
        <v>45</v>
      </c>
      <c r="C4269" s="50" t="s">
        <v>457</v>
      </c>
      <c r="D4269" s="50" t="s">
        <v>263</v>
      </c>
      <c r="E4269" s="50">
        <v>0</v>
      </c>
      <c r="F4269" s="51">
        <v>5.1435682025982699E-2</v>
      </c>
      <c r="G4269" s="51" t="str">
        <v>松井 2022/09/10 (土)
休日午前</v>
      </c>
    </row>
    <row r="4270" spans="1:7" ht="16.149999999999999" x14ac:dyDescent="0.7">
      <c r="A4270" s="49">
        <v>44801.395962789349</v>
      </c>
      <c r="B4270" s="50" t="s">
        <v>45</v>
      </c>
      <c r="C4270" s="50" t="s">
        <v>458</v>
      </c>
      <c r="D4270" s="50" t="s">
        <v>261</v>
      </c>
      <c r="E4270" s="50">
        <v>-1</v>
      </c>
      <c r="F4270" s="51">
        <v>-0.39008124202366457</v>
      </c>
      <c r="G4270" s="51" t="str">
        <v>松井 2022/09/10 (土)
休日午後</v>
      </c>
    </row>
    <row r="4271" spans="1:7" ht="16.149999999999999" x14ac:dyDescent="0.7">
      <c r="A4271" s="49">
        <v>44801.395962789349</v>
      </c>
      <c r="B4271" s="50" t="s">
        <v>45</v>
      </c>
      <c r="C4271" s="50" t="s">
        <v>459</v>
      </c>
      <c r="D4271" s="50" t="s">
        <v>263</v>
      </c>
      <c r="E4271" s="50">
        <v>-1</v>
      </c>
      <c r="F4271" s="51">
        <v>-0.93984060062289632</v>
      </c>
      <c r="G4271" s="51" t="str">
        <v>松井 2022/09/11 (日)
休日午前</v>
      </c>
    </row>
    <row r="4272" spans="1:7" ht="16.149999999999999" x14ac:dyDescent="0.7">
      <c r="A4272" s="49">
        <v>44801.395962789349</v>
      </c>
      <c r="B4272" s="50" t="s">
        <v>45</v>
      </c>
      <c r="C4272" s="50" t="s">
        <v>460</v>
      </c>
      <c r="D4272" s="50" t="s">
        <v>261</v>
      </c>
      <c r="E4272" s="50">
        <v>-1</v>
      </c>
      <c r="F4272" s="51">
        <v>-0.66465475847440092</v>
      </c>
      <c r="G4272" s="51" t="str">
        <v>松井 2022/09/11 (日)
休日午後</v>
      </c>
    </row>
    <row r="4273" spans="1:7" ht="16.149999999999999" x14ac:dyDescent="0.7">
      <c r="A4273" s="49">
        <v>44801.395962789349</v>
      </c>
      <c r="B4273" s="50" t="s">
        <v>45</v>
      </c>
      <c r="C4273" s="50" t="s">
        <v>461</v>
      </c>
      <c r="D4273" s="50" t="s">
        <v>259</v>
      </c>
      <c r="E4273" s="50">
        <v>0</v>
      </c>
      <c r="F4273" s="51">
        <v>0.70945071388466463</v>
      </c>
      <c r="G4273" s="51" t="str">
        <v>松井 2022/09/12 (月)
平日夜間</v>
      </c>
    </row>
    <row r="4274" spans="1:7" ht="16.149999999999999" x14ac:dyDescent="0.7">
      <c r="A4274" s="49">
        <v>44801.395962789349</v>
      </c>
      <c r="B4274" s="50" t="s">
        <v>45</v>
      </c>
      <c r="C4274" s="50" t="s">
        <v>462</v>
      </c>
      <c r="D4274" s="50" t="s">
        <v>259</v>
      </c>
      <c r="E4274" s="50">
        <v>0</v>
      </c>
      <c r="F4274" s="51">
        <v>0.28288074218482273</v>
      </c>
      <c r="G4274" s="51" t="str">
        <v>松井 2022/09/13 (火)
平日夜間</v>
      </c>
    </row>
    <row r="4275" spans="1:7" ht="16.149999999999999" x14ac:dyDescent="0.7">
      <c r="A4275" s="49">
        <v>44801.395962789349</v>
      </c>
      <c r="B4275" s="50" t="s">
        <v>45</v>
      </c>
      <c r="C4275" s="50" t="s">
        <v>463</v>
      </c>
      <c r="D4275" s="50" t="s">
        <v>259</v>
      </c>
      <c r="E4275" s="50">
        <v>0</v>
      </c>
      <c r="F4275" s="51">
        <v>0.42611248087197318</v>
      </c>
      <c r="G4275" s="51" t="str">
        <v>松井 2022/09/14 (水)
平日夜間</v>
      </c>
    </row>
    <row r="4276" spans="1:7" ht="16.149999999999999" x14ac:dyDescent="0.7">
      <c r="A4276" s="49">
        <v>44801.395962789349</v>
      </c>
      <c r="B4276" s="50" t="s">
        <v>45</v>
      </c>
      <c r="C4276" s="50" t="s">
        <v>464</v>
      </c>
      <c r="D4276" s="50" t="s">
        <v>259</v>
      </c>
      <c r="E4276" s="50">
        <v>0</v>
      </c>
      <c r="F4276" s="51">
        <v>0.58170219584479588</v>
      </c>
      <c r="G4276" s="51" t="str">
        <v>松井 2022/09/15 (木)
平日夜間</v>
      </c>
    </row>
    <row r="4277" spans="1:7" ht="16.149999999999999" x14ac:dyDescent="0.7">
      <c r="A4277" s="49">
        <v>44801.395962789349</v>
      </c>
      <c r="B4277" s="50" t="s">
        <v>45</v>
      </c>
      <c r="C4277" s="50" t="s">
        <v>465</v>
      </c>
      <c r="D4277" s="50" t="s">
        <v>259</v>
      </c>
      <c r="E4277" s="50">
        <v>0</v>
      </c>
      <c r="F4277" s="51">
        <v>0.23087701336299271</v>
      </c>
      <c r="G4277" s="51" t="str">
        <v>松井 2022/09/16 (金)
平日夜間</v>
      </c>
    </row>
    <row r="4278" spans="1:7" ht="16.149999999999999" x14ac:dyDescent="0.7">
      <c r="A4278" s="49">
        <v>44801.395962789349</v>
      </c>
      <c r="B4278" s="50" t="s">
        <v>45</v>
      </c>
      <c r="C4278" s="50" t="s">
        <v>466</v>
      </c>
      <c r="D4278" s="50" t="s">
        <v>263</v>
      </c>
      <c r="E4278" s="50">
        <v>0</v>
      </c>
      <c r="F4278" s="51">
        <v>0.37930426696206987</v>
      </c>
      <c r="G4278" s="51" t="str">
        <v>松井 2022/09/17 (土)
休日午前</v>
      </c>
    </row>
    <row r="4279" spans="1:7" ht="16.149999999999999" x14ac:dyDescent="0.7">
      <c r="A4279" s="49">
        <v>44801.395962789349</v>
      </c>
      <c r="B4279" s="50" t="s">
        <v>45</v>
      </c>
      <c r="C4279" s="50" t="s">
        <v>467</v>
      </c>
      <c r="D4279" s="50" t="s">
        <v>261</v>
      </c>
      <c r="E4279" s="50">
        <v>0</v>
      </c>
      <c r="F4279" s="51">
        <v>0.30981350937333585</v>
      </c>
      <c r="G4279" s="51" t="str">
        <v>松井 2022/09/17 (土)
休日午後</v>
      </c>
    </row>
    <row r="4280" spans="1:7" ht="16.149999999999999" x14ac:dyDescent="0.7">
      <c r="A4280" s="49">
        <v>44801.395962789349</v>
      </c>
      <c r="B4280" s="50" t="s">
        <v>45</v>
      </c>
      <c r="C4280" s="50" t="s">
        <v>468</v>
      </c>
      <c r="D4280" s="50" t="s">
        <v>263</v>
      </c>
      <c r="E4280" s="50">
        <v>-1</v>
      </c>
      <c r="F4280" s="51">
        <v>-0.54503567787929641</v>
      </c>
      <c r="G4280" s="51" t="str">
        <v>松井 2022/09/18 (日)
休日午前</v>
      </c>
    </row>
    <row r="4281" spans="1:7" ht="16.149999999999999" x14ac:dyDescent="0.7">
      <c r="A4281" s="49">
        <v>44801.395962789349</v>
      </c>
      <c r="B4281" s="50" t="s">
        <v>45</v>
      </c>
      <c r="C4281" s="50" t="s">
        <v>469</v>
      </c>
      <c r="D4281" s="50" t="s">
        <v>261</v>
      </c>
      <c r="E4281" s="50">
        <v>-1</v>
      </c>
      <c r="F4281" s="51">
        <v>-0.40161888203711027</v>
      </c>
      <c r="G4281" s="51" t="str">
        <v>松井 2022/09/18 (日)
休日午後</v>
      </c>
    </row>
    <row r="4282" spans="1:7" ht="16.149999999999999" x14ac:dyDescent="0.7">
      <c r="A4282" s="49">
        <v>44801.395962789349</v>
      </c>
      <c r="B4282" s="50" t="s">
        <v>45</v>
      </c>
      <c r="C4282" s="50" t="s">
        <v>470</v>
      </c>
      <c r="D4282" s="50" t="s">
        <v>263</v>
      </c>
      <c r="E4282" s="50">
        <v>0</v>
      </c>
      <c r="F4282" s="51">
        <v>0.77793194839967694</v>
      </c>
      <c r="G4282" s="51" t="str">
        <v>松井 2022/09/19 (月)
休日午前</v>
      </c>
    </row>
    <row r="4283" spans="1:7" ht="16.149999999999999" x14ac:dyDescent="0.7">
      <c r="A4283" s="49">
        <v>44801.395962789349</v>
      </c>
      <c r="B4283" s="50" t="s">
        <v>45</v>
      </c>
      <c r="C4283" s="50" t="s">
        <v>471</v>
      </c>
      <c r="D4283" s="50" t="s">
        <v>261</v>
      </c>
      <c r="E4283" s="50">
        <v>0</v>
      </c>
      <c r="F4283" s="51">
        <v>0.50883756405175684</v>
      </c>
      <c r="G4283" s="51" t="str">
        <v>松井 2022/09/19 (月)
休日午後</v>
      </c>
    </row>
    <row r="4284" spans="1:7" ht="16.149999999999999" x14ac:dyDescent="0.7">
      <c r="A4284" s="49">
        <v>44801.395962789349</v>
      </c>
      <c r="B4284" s="50" t="s">
        <v>45</v>
      </c>
      <c r="C4284" s="50" t="s">
        <v>472</v>
      </c>
      <c r="D4284" s="50" t="s">
        <v>259</v>
      </c>
      <c r="E4284" s="50">
        <v>0</v>
      </c>
      <c r="F4284" s="51">
        <v>0.74656724672698638</v>
      </c>
      <c r="G4284" s="51" t="str">
        <v>松井 2022/09/20 (火)
平日夜間</v>
      </c>
    </row>
    <row r="4285" spans="1:7" ht="16.149999999999999" x14ac:dyDescent="0.7">
      <c r="A4285" s="49">
        <v>44801.395962789349</v>
      </c>
      <c r="B4285" s="50" t="s">
        <v>45</v>
      </c>
      <c r="C4285" s="50" t="s">
        <v>473</v>
      </c>
      <c r="D4285" s="50" t="s">
        <v>259</v>
      </c>
      <c r="E4285" s="50">
        <v>0</v>
      </c>
      <c r="F4285" s="51">
        <v>9.6644180771537691E-2</v>
      </c>
      <c r="G4285" s="51" t="str">
        <v>松井 2022/09/21 (水)
平日夜間</v>
      </c>
    </row>
    <row r="4286" spans="1:7" ht="16.149999999999999" x14ac:dyDescent="0.7">
      <c r="A4286" s="49">
        <v>44801.395962789349</v>
      </c>
      <c r="B4286" s="50" t="s">
        <v>45</v>
      </c>
      <c r="C4286" s="50" t="s">
        <v>474</v>
      </c>
      <c r="D4286" s="50" t="s">
        <v>259</v>
      </c>
      <c r="E4286" s="50">
        <v>0</v>
      </c>
      <c r="F4286" s="51">
        <v>0.36655497292749994</v>
      </c>
      <c r="G4286" s="51" t="str">
        <v>松井 2022/09/22 (木)
平日夜間</v>
      </c>
    </row>
    <row r="4287" spans="1:7" ht="16.149999999999999" x14ac:dyDescent="0.7">
      <c r="A4287" s="49">
        <v>44801.395962789349</v>
      </c>
      <c r="B4287" s="50" t="s">
        <v>45</v>
      </c>
      <c r="C4287" s="50" t="s">
        <v>475</v>
      </c>
      <c r="D4287" s="50" t="s">
        <v>263</v>
      </c>
      <c r="E4287" s="50">
        <v>0</v>
      </c>
      <c r="F4287" s="51">
        <v>0.25851011615075281</v>
      </c>
      <c r="G4287" s="51" t="str">
        <v>松井 2022/09/23 (金)
休日午前</v>
      </c>
    </row>
    <row r="4288" spans="1:7" ht="16.149999999999999" x14ac:dyDescent="0.7">
      <c r="A4288" s="49">
        <v>44801.395962789349</v>
      </c>
      <c r="B4288" s="50" t="s">
        <v>45</v>
      </c>
      <c r="C4288" s="50" t="s">
        <v>476</v>
      </c>
      <c r="D4288" s="50" t="s">
        <v>261</v>
      </c>
      <c r="E4288" s="50">
        <v>-1</v>
      </c>
      <c r="F4288" s="51">
        <v>-0.76033781346316465</v>
      </c>
      <c r="G4288" s="51" t="str">
        <v>松井 2022/09/23 (金)
休日午後</v>
      </c>
    </row>
    <row r="4289" spans="1:7" ht="16.149999999999999" x14ac:dyDescent="0.7">
      <c r="A4289" s="49">
        <v>44801.395962789349</v>
      </c>
      <c r="B4289" s="50" t="s">
        <v>45</v>
      </c>
      <c r="C4289" s="50" t="s">
        <v>477</v>
      </c>
      <c r="D4289" s="50" t="s">
        <v>263</v>
      </c>
      <c r="E4289" s="50">
        <v>-1</v>
      </c>
      <c r="F4289" s="51">
        <v>-0.22088376059549453</v>
      </c>
      <c r="G4289" s="51" t="str">
        <v>松井 2022/09/24 (土)
休日午前</v>
      </c>
    </row>
    <row r="4290" spans="1:7" ht="16.149999999999999" x14ac:dyDescent="0.7">
      <c r="A4290" s="49">
        <v>44801.395962789349</v>
      </c>
      <c r="B4290" s="50" t="s">
        <v>45</v>
      </c>
      <c r="C4290" s="50" t="s">
        <v>478</v>
      </c>
      <c r="D4290" s="50" t="s">
        <v>261</v>
      </c>
      <c r="E4290" s="50">
        <v>-1</v>
      </c>
      <c r="F4290" s="51">
        <v>-0.54681354101408153</v>
      </c>
      <c r="G4290" s="51" t="str">
        <v>松井 2022/09/24 (土)
休日午後</v>
      </c>
    </row>
    <row r="4291" spans="1:7" ht="16.149999999999999" x14ac:dyDescent="0.7">
      <c r="A4291" s="49">
        <v>44801.395962789349</v>
      </c>
      <c r="B4291" s="50" t="s">
        <v>45</v>
      </c>
      <c r="C4291" s="50" t="s">
        <v>479</v>
      </c>
      <c r="D4291" s="50" t="s">
        <v>263</v>
      </c>
      <c r="E4291" s="50">
        <v>-1</v>
      </c>
      <c r="F4291" s="51">
        <v>-0.20508999002175288</v>
      </c>
      <c r="G4291" s="51" t="str">
        <v>松井 2022/09/25 (日)
休日午前</v>
      </c>
    </row>
    <row r="4292" spans="1:7" ht="16.149999999999999" x14ac:dyDescent="0.7">
      <c r="A4292" s="49">
        <v>44801.395962789349</v>
      </c>
      <c r="B4292" s="50" t="s">
        <v>45</v>
      </c>
      <c r="C4292" s="50" t="s">
        <v>480</v>
      </c>
      <c r="D4292" s="50" t="s">
        <v>261</v>
      </c>
      <c r="E4292" s="50">
        <v>-1</v>
      </c>
      <c r="F4292" s="51">
        <v>-0.50744607979979239</v>
      </c>
      <c r="G4292" s="51" t="str">
        <v>松井 2022/09/25 (日)
休日午後</v>
      </c>
    </row>
    <row r="4293" spans="1:7" ht="16.149999999999999" x14ac:dyDescent="0.7">
      <c r="A4293" s="49">
        <v>44801.395962789349</v>
      </c>
      <c r="B4293" s="50" t="s">
        <v>45</v>
      </c>
      <c r="C4293" s="50" t="s">
        <v>481</v>
      </c>
      <c r="D4293" s="50" t="s">
        <v>259</v>
      </c>
      <c r="E4293" s="50">
        <v>0</v>
      </c>
      <c r="F4293" s="51">
        <v>0.82666747587628508</v>
      </c>
      <c r="G4293" s="51" t="str">
        <v>松井 2022/09/26 (月)
平日夜間</v>
      </c>
    </row>
    <row r="4294" spans="1:7" ht="16.149999999999999" x14ac:dyDescent="0.7">
      <c r="A4294" s="49">
        <v>44801.395962789349</v>
      </c>
      <c r="B4294" s="50" t="s">
        <v>45</v>
      </c>
      <c r="C4294" s="50" t="s">
        <v>482</v>
      </c>
      <c r="D4294" s="50" t="s">
        <v>259</v>
      </c>
      <c r="E4294" s="50">
        <v>0</v>
      </c>
      <c r="F4294" s="51">
        <v>0.36373435736025961</v>
      </c>
      <c r="G4294" s="51" t="str">
        <v>松井 2022/09/27 (火)
平日夜間</v>
      </c>
    </row>
    <row r="4295" spans="1:7" ht="16.149999999999999" x14ac:dyDescent="0.7">
      <c r="A4295" s="49">
        <v>44801.395962789349</v>
      </c>
      <c r="B4295" s="50" t="s">
        <v>45</v>
      </c>
      <c r="C4295" s="50" t="s">
        <v>483</v>
      </c>
      <c r="D4295" s="50" t="s">
        <v>259</v>
      </c>
      <c r="E4295" s="50">
        <v>0</v>
      </c>
      <c r="F4295" s="51">
        <v>0.62621917526560522</v>
      </c>
      <c r="G4295" s="51" t="str">
        <v>松井 2022/09/28 (水)
平日夜間</v>
      </c>
    </row>
    <row r="4296" spans="1:7" ht="16.149999999999999" x14ac:dyDescent="0.7">
      <c r="A4296" s="49">
        <v>44801.395962789349</v>
      </c>
      <c r="B4296" s="50" t="s">
        <v>45</v>
      </c>
      <c r="C4296" s="50" t="s">
        <v>484</v>
      </c>
      <c r="D4296" s="50" t="s">
        <v>259</v>
      </c>
      <c r="E4296" s="50">
        <v>0</v>
      </c>
      <c r="F4296" s="51">
        <v>0.54845707919872555</v>
      </c>
      <c r="G4296" s="51" t="str">
        <v>松井 2022/09/29 (木)
平日夜間</v>
      </c>
    </row>
    <row r="4297" spans="1:7" ht="16.149999999999999" x14ac:dyDescent="0.7">
      <c r="A4297" s="49">
        <v>44801.395962789349</v>
      </c>
      <c r="B4297" s="50" t="s">
        <v>45</v>
      </c>
      <c r="C4297" s="50" t="s">
        <v>485</v>
      </c>
      <c r="D4297" s="50" t="s">
        <v>259</v>
      </c>
      <c r="E4297" s="50">
        <v>0</v>
      </c>
      <c r="F4297" s="51">
        <v>0.38594654896083158</v>
      </c>
      <c r="G4297" s="51" t="str">
        <v>松井 2022/09/30 (金)
平日夜間</v>
      </c>
    </row>
    <row r="4298" spans="1:7" ht="16.149999999999999" x14ac:dyDescent="0.7">
      <c r="A4298" s="49">
        <v>44813.869501817127</v>
      </c>
      <c r="B4298" s="50" t="s">
        <v>126</v>
      </c>
      <c r="C4298" s="50" t="s">
        <v>486</v>
      </c>
      <c r="D4298" s="50" t="s">
        <v>263</v>
      </c>
      <c r="E4298" s="50">
        <v>0</v>
      </c>
      <c r="F4298" s="51">
        <v>0.2354554429337512</v>
      </c>
      <c r="G4298" s="51" t="str">
        <v>鈴木 2022/10/01 (土)
休日午前</v>
      </c>
    </row>
    <row r="4299" spans="1:7" ht="16.149999999999999" x14ac:dyDescent="0.7">
      <c r="A4299" s="49">
        <v>44813.869501817127</v>
      </c>
      <c r="B4299" s="50" t="s">
        <v>126</v>
      </c>
      <c r="C4299" s="50" t="s">
        <v>487</v>
      </c>
      <c r="D4299" s="50" t="s">
        <v>261</v>
      </c>
      <c r="E4299" s="50">
        <v>0</v>
      </c>
      <c r="F4299" s="51">
        <v>0.41318139772009199</v>
      </c>
      <c r="G4299" s="51" t="str">
        <v>鈴木 2022/10/01 (土)
休日午後</v>
      </c>
    </row>
    <row r="4300" spans="1:7" ht="16.149999999999999" x14ac:dyDescent="0.7">
      <c r="A4300" s="49">
        <v>44813.869501817127</v>
      </c>
      <c r="B4300" s="50" t="s">
        <v>126</v>
      </c>
      <c r="C4300" s="50" t="s">
        <v>488</v>
      </c>
      <c r="D4300" s="50" t="s">
        <v>263</v>
      </c>
      <c r="E4300" s="50">
        <v>0</v>
      </c>
      <c r="F4300" s="51">
        <v>1.1647622792133605E-2</v>
      </c>
      <c r="G4300" s="51" t="str">
        <v>鈴木 2022/10/02 (日)
休日午前</v>
      </c>
    </row>
    <row r="4301" spans="1:7" ht="16.149999999999999" x14ac:dyDescent="0.7">
      <c r="A4301" s="49">
        <v>44813.869501817127</v>
      </c>
      <c r="B4301" s="50" t="s">
        <v>126</v>
      </c>
      <c r="C4301" s="50" t="s">
        <v>489</v>
      </c>
      <c r="D4301" s="50" t="s">
        <v>261</v>
      </c>
      <c r="E4301" s="50">
        <v>0</v>
      </c>
      <c r="F4301" s="51">
        <v>0.80352647907929464</v>
      </c>
      <c r="G4301" s="51" t="str">
        <v>鈴木 2022/10/02 (日)
休日午後</v>
      </c>
    </row>
    <row r="4302" spans="1:7" ht="16.149999999999999" x14ac:dyDescent="0.7">
      <c r="A4302" s="49">
        <v>44813.869501817127</v>
      </c>
      <c r="B4302" s="50" t="s">
        <v>126</v>
      </c>
      <c r="C4302" s="50" t="s">
        <v>490</v>
      </c>
      <c r="D4302" s="50" t="s">
        <v>259</v>
      </c>
      <c r="E4302" s="50">
        <v>-1</v>
      </c>
      <c r="F4302" s="51">
        <v>-0.43074794162685648</v>
      </c>
      <c r="G4302" s="51" t="str">
        <v>鈴木 2022/10/03 (月)
平日夜間</v>
      </c>
    </row>
    <row r="4303" spans="1:7" ht="16.149999999999999" x14ac:dyDescent="0.7">
      <c r="A4303" s="49">
        <v>44813.869501817127</v>
      </c>
      <c r="B4303" s="50" t="s">
        <v>126</v>
      </c>
      <c r="C4303" s="50" t="s">
        <v>491</v>
      </c>
      <c r="D4303" s="50" t="s">
        <v>259</v>
      </c>
      <c r="E4303" s="50">
        <v>-1</v>
      </c>
      <c r="F4303" s="51">
        <v>-0.85778898353107191</v>
      </c>
      <c r="G4303" s="51" t="str">
        <v>鈴木 2022/10/04 (火)
平日夜間</v>
      </c>
    </row>
    <row r="4304" spans="1:7" ht="16.149999999999999" x14ac:dyDescent="0.7">
      <c r="A4304" s="49">
        <v>44813.869501817127</v>
      </c>
      <c r="B4304" s="50" t="s">
        <v>126</v>
      </c>
      <c r="C4304" s="50" t="s">
        <v>492</v>
      </c>
      <c r="D4304" s="50" t="s">
        <v>259</v>
      </c>
      <c r="E4304" s="50">
        <v>0</v>
      </c>
      <c r="F4304" s="51">
        <v>0.30406295882536472</v>
      </c>
      <c r="G4304" s="51" t="str">
        <v>鈴木 2022/10/05 (水)
平日夜間</v>
      </c>
    </row>
    <row r="4305" spans="1:7" ht="16.149999999999999" x14ac:dyDescent="0.7">
      <c r="A4305" s="49">
        <v>44813.869501817127</v>
      </c>
      <c r="B4305" s="50" t="s">
        <v>126</v>
      </c>
      <c r="C4305" s="50" t="s">
        <v>493</v>
      </c>
      <c r="D4305" s="50" t="s">
        <v>259</v>
      </c>
      <c r="E4305" s="50">
        <v>0</v>
      </c>
      <c r="F4305" s="51">
        <v>0.83095607023526474</v>
      </c>
      <c r="G4305" s="51" t="str">
        <v>鈴木 2022/10/06 (木)
平日夜間</v>
      </c>
    </row>
    <row r="4306" spans="1:7" ht="16.149999999999999" x14ac:dyDescent="0.7">
      <c r="A4306" s="49">
        <v>44813.869501817127</v>
      </c>
      <c r="B4306" s="50" t="s">
        <v>126</v>
      </c>
      <c r="C4306" s="50" t="s">
        <v>494</v>
      </c>
      <c r="D4306" s="50" t="s">
        <v>259</v>
      </c>
      <c r="E4306" s="50">
        <v>0</v>
      </c>
      <c r="F4306" s="51">
        <v>0.96498494520998301</v>
      </c>
      <c r="G4306" s="51" t="str">
        <v>鈴木 2022/10/07 (金)
平日夜間</v>
      </c>
    </row>
    <row r="4307" spans="1:7" ht="16.149999999999999" x14ac:dyDescent="0.7">
      <c r="A4307" s="49">
        <v>44813.869501817127</v>
      </c>
      <c r="B4307" s="50" t="s">
        <v>126</v>
      </c>
      <c r="C4307" s="50" t="s">
        <v>495</v>
      </c>
      <c r="D4307" s="50" t="s">
        <v>263</v>
      </c>
      <c r="E4307" s="50">
        <v>0</v>
      </c>
      <c r="F4307" s="51">
        <v>0.32466750623587348</v>
      </c>
      <c r="G4307" s="51" t="str">
        <v>鈴木 2022/10/08 (土)
休日午前</v>
      </c>
    </row>
    <row r="4308" spans="1:7" ht="16.149999999999999" x14ac:dyDescent="0.7">
      <c r="A4308" s="49">
        <v>44813.869501817127</v>
      </c>
      <c r="B4308" s="50" t="s">
        <v>126</v>
      </c>
      <c r="C4308" s="50" t="s">
        <v>496</v>
      </c>
      <c r="D4308" s="50" t="s">
        <v>261</v>
      </c>
      <c r="E4308" s="50">
        <v>0</v>
      </c>
      <c r="F4308" s="51">
        <v>0.42633411716134395</v>
      </c>
      <c r="G4308" s="51" t="str">
        <v>鈴木 2022/10/08 (土)
休日午後</v>
      </c>
    </row>
    <row r="4309" spans="1:7" ht="16.149999999999999" x14ac:dyDescent="0.7">
      <c r="A4309" s="49">
        <v>44813.869501817127</v>
      </c>
      <c r="B4309" s="50" t="s">
        <v>126</v>
      </c>
      <c r="C4309" s="50" t="s">
        <v>497</v>
      </c>
      <c r="D4309" s="50" t="s">
        <v>263</v>
      </c>
      <c r="E4309" s="50">
        <v>0</v>
      </c>
      <c r="F4309" s="51">
        <v>0.68159336609400123</v>
      </c>
      <c r="G4309" s="51" t="str">
        <v>鈴木 2022/10/09 (日)
休日午前</v>
      </c>
    </row>
    <row r="4310" spans="1:7" ht="16.149999999999999" x14ac:dyDescent="0.7">
      <c r="A4310" s="49">
        <v>44813.869501817127</v>
      </c>
      <c r="B4310" s="50" t="s">
        <v>126</v>
      </c>
      <c r="C4310" s="50" t="s">
        <v>498</v>
      </c>
      <c r="D4310" s="50" t="s">
        <v>261</v>
      </c>
      <c r="E4310" s="50">
        <v>0</v>
      </c>
      <c r="F4310" s="51">
        <v>0.98491325950450404</v>
      </c>
      <c r="G4310" s="51" t="str">
        <v>鈴木 2022/10/09 (日)
休日午後</v>
      </c>
    </row>
    <row r="4311" spans="1:7" ht="16.149999999999999" x14ac:dyDescent="0.7">
      <c r="A4311" s="49">
        <v>44813.869501817127</v>
      </c>
      <c r="B4311" s="50" t="s">
        <v>126</v>
      </c>
      <c r="C4311" s="50" t="s">
        <v>499</v>
      </c>
      <c r="D4311" s="50" t="s">
        <v>263</v>
      </c>
      <c r="E4311" s="50">
        <v>0</v>
      </c>
      <c r="F4311" s="51">
        <v>0.79350490564805987</v>
      </c>
      <c r="G4311" s="51" t="str">
        <v>鈴木 2022/10/10 (月)
休日午前</v>
      </c>
    </row>
    <row r="4312" spans="1:7" ht="16.149999999999999" x14ac:dyDescent="0.7">
      <c r="A4312" s="49">
        <v>44813.869501817127</v>
      </c>
      <c r="B4312" s="50" t="s">
        <v>126</v>
      </c>
      <c r="C4312" s="50" t="s">
        <v>500</v>
      </c>
      <c r="D4312" s="50" t="s">
        <v>261</v>
      </c>
      <c r="E4312" s="50">
        <v>0</v>
      </c>
      <c r="F4312" s="51">
        <v>0.74896175075909288</v>
      </c>
      <c r="G4312" s="51" t="str">
        <v>鈴木 2022/10/10 (月)
休日午後</v>
      </c>
    </row>
    <row r="4313" spans="1:7" ht="16.149999999999999" x14ac:dyDescent="0.7">
      <c r="A4313" s="49">
        <v>44813.869501817127</v>
      </c>
      <c r="B4313" s="50" t="s">
        <v>126</v>
      </c>
      <c r="C4313" s="50" t="s">
        <v>501</v>
      </c>
      <c r="D4313" s="50" t="s">
        <v>259</v>
      </c>
      <c r="E4313" s="50">
        <v>0</v>
      </c>
      <c r="F4313" s="51">
        <v>0.30744757976946024</v>
      </c>
      <c r="G4313" s="51" t="str">
        <v>鈴木 2022/10/11 (火)
平日夜間</v>
      </c>
    </row>
    <row r="4314" spans="1:7" ht="16.149999999999999" x14ac:dyDescent="0.7">
      <c r="A4314" s="49">
        <v>44813.869501817127</v>
      </c>
      <c r="B4314" s="50" t="s">
        <v>126</v>
      </c>
      <c r="C4314" s="50" t="s">
        <v>502</v>
      </c>
      <c r="D4314" s="50" t="s">
        <v>259</v>
      </c>
      <c r="E4314" s="50">
        <v>0</v>
      </c>
      <c r="F4314" s="51">
        <v>0.89662230970570422</v>
      </c>
      <c r="G4314" s="51" t="str">
        <v>鈴木 2022/10/12 (水)
平日夜間</v>
      </c>
    </row>
    <row r="4315" spans="1:7" ht="16.149999999999999" x14ac:dyDescent="0.7">
      <c r="A4315" s="49">
        <v>44813.869501817127</v>
      </c>
      <c r="B4315" s="50" t="s">
        <v>126</v>
      </c>
      <c r="C4315" s="50" t="s">
        <v>503</v>
      </c>
      <c r="D4315" s="50" t="s">
        <v>259</v>
      </c>
      <c r="E4315" s="50">
        <v>0</v>
      </c>
      <c r="F4315" s="51">
        <v>0.37474882082133876</v>
      </c>
      <c r="G4315" s="51" t="str">
        <v>鈴木 2022/10/13 (木)
平日夜間</v>
      </c>
    </row>
    <row r="4316" spans="1:7" ht="16.149999999999999" x14ac:dyDescent="0.7">
      <c r="A4316" s="49">
        <v>44813.869501817127</v>
      </c>
      <c r="B4316" s="50" t="s">
        <v>126</v>
      </c>
      <c r="C4316" s="50" t="s">
        <v>504</v>
      </c>
      <c r="D4316" s="50" t="s">
        <v>259</v>
      </c>
      <c r="E4316" s="50">
        <v>0</v>
      </c>
      <c r="F4316" s="51">
        <v>0.20651668995670014</v>
      </c>
      <c r="G4316" s="51" t="str">
        <v>鈴木 2022/10/14 (金)
平日夜間</v>
      </c>
    </row>
    <row r="4317" spans="1:7" ht="16.149999999999999" x14ac:dyDescent="0.7">
      <c r="A4317" s="49">
        <v>44813.869501817127</v>
      </c>
      <c r="B4317" s="50" t="s">
        <v>126</v>
      </c>
      <c r="C4317" s="50" t="s">
        <v>505</v>
      </c>
      <c r="D4317" s="50" t="s">
        <v>263</v>
      </c>
      <c r="E4317" s="50">
        <v>0</v>
      </c>
      <c r="F4317" s="51">
        <v>0.48642767580074975</v>
      </c>
      <c r="G4317" s="51" t="str">
        <v>鈴木 2022/10/15 (土)
休日午前</v>
      </c>
    </row>
    <row r="4318" spans="1:7" ht="16.149999999999999" x14ac:dyDescent="0.7">
      <c r="A4318" s="49">
        <v>44813.869501817127</v>
      </c>
      <c r="B4318" s="50" t="s">
        <v>126</v>
      </c>
      <c r="C4318" s="50" t="s">
        <v>506</v>
      </c>
      <c r="D4318" s="50" t="s">
        <v>261</v>
      </c>
      <c r="E4318" s="50">
        <v>0</v>
      </c>
      <c r="F4318" s="51">
        <v>0.84391886756194001</v>
      </c>
      <c r="G4318" s="51" t="str">
        <v>鈴木 2022/10/15 (土)
休日午後</v>
      </c>
    </row>
    <row r="4319" spans="1:7" ht="16.149999999999999" x14ac:dyDescent="0.7">
      <c r="A4319" s="49">
        <v>44813.869501817127</v>
      </c>
      <c r="B4319" s="50" t="s">
        <v>126</v>
      </c>
      <c r="C4319" s="50" t="s">
        <v>507</v>
      </c>
      <c r="D4319" s="50" t="s">
        <v>263</v>
      </c>
      <c r="E4319" s="50">
        <v>2</v>
      </c>
      <c r="F4319" s="51">
        <v>2.3591834304365058</v>
      </c>
      <c r="G4319" s="51" t="str">
        <v>鈴木 2022/10/16 (日)
休日午前</v>
      </c>
    </row>
    <row r="4320" spans="1:7" ht="16.149999999999999" x14ac:dyDescent="0.7">
      <c r="A4320" s="49">
        <v>44813.869501817127</v>
      </c>
      <c r="B4320" s="50" t="s">
        <v>126</v>
      </c>
      <c r="C4320" s="50" t="s">
        <v>508</v>
      </c>
      <c r="D4320" s="50" t="s">
        <v>261</v>
      </c>
      <c r="E4320" s="50">
        <v>0</v>
      </c>
      <c r="F4320" s="51">
        <v>0.75213256639088177</v>
      </c>
      <c r="G4320" s="51" t="str">
        <v>鈴木 2022/10/16 (日)
休日午後</v>
      </c>
    </row>
    <row r="4321" spans="1:7" ht="16.149999999999999" x14ac:dyDescent="0.7">
      <c r="A4321" s="49">
        <v>44813.869501817127</v>
      </c>
      <c r="B4321" s="50" t="s">
        <v>126</v>
      </c>
      <c r="C4321" s="50" t="s">
        <v>509</v>
      </c>
      <c r="D4321" s="50" t="s">
        <v>259</v>
      </c>
      <c r="E4321" s="50">
        <v>0</v>
      </c>
      <c r="F4321" s="51">
        <v>0.84404257099199098</v>
      </c>
      <c r="G4321" s="51" t="str">
        <v>鈴木 2022/10/17 (月)
平日夜間</v>
      </c>
    </row>
    <row r="4322" spans="1:7" ht="16.149999999999999" x14ac:dyDescent="0.7">
      <c r="A4322" s="49">
        <v>44813.869501817127</v>
      </c>
      <c r="B4322" s="50" t="s">
        <v>126</v>
      </c>
      <c r="C4322" s="50" t="s">
        <v>510</v>
      </c>
      <c r="D4322" s="50" t="s">
        <v>259</v>
      </c>
      <c r="E4322" s="50">
        <v>0</v>
      </c>
      <c r="F4322" s="51">
        <v>0.2696099717246252</v>
      </c>
      <c r="G4322" s="51" t="str">
        <v>鈴木 2022/10/18 (火)
平日夜間</v>
      </c>
    </row>
    <row r="4323" spans="1:7" ht="16.149999999999999" x14ac:dyDescent="0.7">
      <c r="A4323" s="49">
        <v>44813.869501817127</v>
      </c>
      <c r="B4323" s="50" t="s">
        <v>126</v>
      </c>
      <c r="C4323" s="50" t="s">
        <v>511</v>
      </c>
      <c r="D4323" s="50" t="s">
        <v>259</v>
      </c>
      <c r="E4323" s="50">
        <v>0</v>
      </c>
      <c r="F4323" s="51">
        <v>0.92803376192355991</v>
      </c>
      <c r="G4323" s="51" t="str">
        <v>鈴木 2022/10/19 (水)
平日夜間</v>
      </c>
    </row>
    <row r="4324" spans="1:7" ht="16.149999999999999" x14ac:dyDescent="0.7">
      <c r="A4324" s="49">
        <v>44813.869501817127</v>
      </c>
      <c r="B4324" s="50" t="s">
        <v>126</v>
      </c>
      <c r="C4324" s="50" t="s">
        <v>512</v>
      </c>
      <c r="D4324" s="50" t="s">
        <v>259</v>
      </c>
      <c r="E4324" s="50">
        <v>0</v>
      </c>
      <c r="F4324" s="51">
        <v>0.33135258977819015</v>
      </c>
      <c r="G4324" s="51" t="str">
        <v>鈴木 2022/10/20 (木)
平日夜間</v>
      </c>
    </row>
    <row r="4325" spans="1:7" ht="16.149999999999999" x14ac:dyDescent="0.7">
      <c r="A4325" s="49">
        <v>44813.869501817127</v>
      </c>
      <c r="B4325" s="50" t="s">
        <v>126</v>
      </c>
      <c r="C4325" s="50" t="s">
        <v>513</v>
      </c>
      <c r="D4325" s="50" t="s">
        <v>259</v>
      </c>
      <c r="E4325" s="50">
        <v>0</v>
      </c>
      <c r="F4325" s="51">
        <v>0.40771005355037482</v>
      </c>
      <c r="G4325" s="51" t="str">
        <v>鈴木 2022/10/21 (金)
平日夜間</v>
      </c>
    </row>
    <row r="4326" spans="1:7" ht="16.149999999999999" x14ac:dyDescent="0.7">
      <c r="A4326" s="49">
        <v>44813.869501817127</v>
      </c>
      <c r="B4326" s="50" t="s">
        <v>126</v>
      </c>
      <c r="C4326" s="50" t="s">
        <v>514</v>
      </c>
      <c r="D4326" s="50" t="s">
        <v>263</v>
      </c>
      <c r="E4326" s="50">
        <v>0</v>
      </c>
      <c r="F4326" s="51">
        <v>0.98800751584755275</v>
      </c>
      <c r="G4326" s="51" t="str">
        <v>鈴木 2022/10/22 (土)
休日午前</v>
      </c>
    </row>
    <row r="4327" spans="1:7" ht="16.149999999999999" x14ac:dyDescent="0.7">
      <c r="A4327" s="49">
        <v>44813.869501817127</v>
      </c>
      <c r="B4327" s="50" t="s">
        <v>126</v>
      </c>
      <c r="C4327" s="50" t="s">
        <v>515</v>
      </c>
      <c r="D4327" s="50" t="s">
        <v>261</v>
      </c>
      <c r="E4327" s="50">
        <v>0</v>
      </c>
      <c r="F4327" s="51">
        <v>0.17549761774082517</v>
      </c>
      <c r="G4327" s="51" t="str">
        <v>鈴木 2022/10/22 (土)
休日午後</v>
      </c>
    </row>
    <row r="4328" spans="1:7" ht="16.149999999999999" x14ac:dyDescent="0.7">
      <c r="A4328" s="49">
        <v>44813.869501817127</v>
      </c>
      <c r="B4328" s="50" t="s">
        <v>126</v>
      </c>
      <c r="C4328" s="50" t="s">
        <v>516</v>
      </c>
      <c r="D4328" s="50" t="s">
        <v>263</v>
      </c>
      <c r="E4328" s="50">
        <v>0</v>
      </c>
      <c r="F4328" s="51">
        <v>0.23331676969549986</v>
      </c>
      <c r="G4328" s="51" t="str">
        <v>鈴木 2022/10/23 (日)
休日午前</v>
      </c>
    </row>
    <row r="4329" spans="1:7" ht="16.149999999999999" x14ac:dyDescent="0.7">
      <c r="A4329" s="49">
        <v>44813.869501817127</v>
      </c>
      <c r="B4329" s="50" t="s">
        <v>126</v>
      </c>
      <c r="C4329" s="50" t="s">
        <v>517</v>
      </c>
      <c r="D4329" s="50" t="s">
        <v>261</v>
      </c>
      <c r="E4329" s="50">
        <v>0</v>
      </c>
      <c r="F4329" s="51">
        <v>0.62383240875485102</v>
      </c>
      <c r="G4329" s="51" t="str">
        <v>鈴木 2022/10/23 (日)
休日午後</v>
      </c>
    </row>
    <row r="4330" spans="1:7" ht="16.149999999999999" x14ac:dyDescent="0.7">
      <c r="A4330" s="49">
        <v>44813.869501817127</v>
      </c>
      <c r="B4330" s="50" t="s">
        <v>126</v>
      </c>
      <c r="C4330" s="50" t="s">
        <v>518</v>
      </c>
      <c r="D4330" s="50" t="s">
        <v>259</v>
      </c>
      <c r="E4330" s="50">
        <v>0</v>
      </c>
      <c r="F4330" s="51">
        <v>0.29130636835635371</v>
      </c>
      <c r="G4330" s="51" t="str">
        <v>鈴木 2022/10/24 (月)
平日夜間</v>
      </c>
    </row>
    <row r="4331" spans="1:7" ht="16.149999999999999" x14ac:dyDescent="0.7">
      <c r="A4331" s="49">
        <v>44813.869501817127</v>
      </c>
      <c r="B4331" s="50" t="s">
        <v>126</v>
      </c>
      <c r="C4331" s="50" t="s">
        <v>519</v>
      </c>
      <c r="D4331" s="50" t="s">
        <v>259</v>
      </c>
      <c r="E4331" s="50">
        <v>0</v>
      </c>
      <c r="F4331" s="51">
        <v>0.44088860135172325</v>
      </c>
      <c r="G4331" s="51" t="str">
        <v>鈴木 2022/10/25 (火)
平日夜間</v>
      </c>
    </row>
    <row r="4332" spans="1:7" ht="16.149999999999999" x14ac:dyDescent="0.7">
      <c r="A4332" s="49">
        <v>44813.869501817127</v>
      </c>
      <c r="B4332" s="50" t="s">
        <v>126</v>
      </c>
      <c r="C4332" s="50" t="s">
        <v>520</v>
      </c>
      <c r="D4332" s="50" t="s">
        <v>259</v>
      </c>
      <c r="E4332" s="50">
        <v>0</v>
      </c>
      <c r="F4332" s="51">
        <v>0.28764563236864604</v>
      </c>
      <c r="G4332" s="51" t="str">
        <v>鈴木 2022/10/26 (水)
平日夜間</v>
      </c>
    </row>
    <row r="4333" spans="1:7" ht="16.149999999999999" x14ac:dyDescent="0.7">
      <c r="A4333" s="49">
        <v>44813.869501817127</v>
      </c>
      <c r="B4333" s="50" t="s">
        <v>126</v>
      </c>
      <c r="C4333" s="50" t="s">
        <v>521</v>
      </c>
      <c r="D4333" s="50" t="s">
        <v>259</v>
      </c>
      <c r="E4333" s="50">
        <v>0</v>
      </c>
      <c r="F4333" s="51">
        <v>0.79604577399104581</v>
      </c>
      <c r="G4333" s="51" t="str">
        <v>鈴木 2022/10/27 (木)
平日夜間</v>
      </c>
    </row>
    <row r="4334" spans="1:7" ht="16.149999999999999" x14ac:dyDescent="0.7">
      <c r="A4334" s="49">
        <v>44813.869501817127</v>
      </c>
      <c r="B4334" s="50" t="s">
        <v>126</v>
      </c>
      <c r="C4334" s="50" t="s">
        <v>522</v>
      </c>
      <c r="D4334" s="50" t="s">
        <v>259</v>
      </c>
      <c r="E4334" s="50">
        <v>-1</v>
      </c>
      <c r="F4334" s="51">
        <v>-0.44770263925307963</v>
      </c>
      <c r="G4334" s="51" t="str">
        <v>鈴木 2022/10/28 (金)
平日夜間</v>
      </c>
    </row>
    <row r="4335" spans="1:7" ht="16.149999999999999" x14ac:dyDescent="0.7">
      <c r="A4335" s="49">
        <v>44813.869501817127</v>
      </c>
      <c r="B4335" s="50" t="s">
        <v>126</v>
      </c>
      <c r="C4335" s="50" t="s">
        <v>523</v>
      </c>
      <c r="D4335" s="50" t="s">
        <v>263</v>
      </c>
      <c r="E4335" s="50">
        <v>-1</v>
      </c>
      <c r="F4335" s="51">
        <v>-0.90828689103299953</v>
      </c>
      <c r="G4335" s="51" t="str">
        <v>鈴木 2022/10/29 (土)
休日午前</v>
      </c>
    </row>
    <row r="4336" spans="1:7" ht="16.149999999999999" x14ac:dyDescent="0.7">
      <c r="A4336" s="49">
        <v>44813.869501817127</v>
      </c>
      <c r="B4336" s="50" t="s">
        <v>126</v>
      </c>
      <c r="C4336" s="50" t="s">
        <v>524</v>
      </c>
      <c r="D4336" s="50" t="s">
        <v>261</v>
      </c>
      <c r="E4336" s="50">
        <v>-1</v>
      </c>
      <c r="F4336" s="51">
        <v>-0.10934192030304302</v>
      </c>
      <c r="G4336" s="51" t="str">
        <v>鈴木 2022/10/29 (土)
休日午後</v>
      </c>
    </row>
    <row r="4337" spans="1:7" ht="16.149999999999999" x14ac:dyDescent="0.7">
      <c r="A4337" s="49">
        <v>44813.869501817127</v>
      </c>
      <c r="B4337" s="50" t="s">
        <v>126</v>
      </c>
      <c r="C4337" s="50" t="s">
        <v>525</v>
      </c>
      <c r="D4337" s="50" t="s">
        <v>263</v>
      </c>
      <c r="E4337" s="50">
        <v>0</v>
      </c>
      <c r="F4337" s="51">
        <v>0.36350258368168298</v>
      </c>
      <c r="G4337" s="51" t="str">
        <v>鈴木 2022/10/30 (日)
休日午前</v>
      </c>
    </row>
    <row r="4338" spans="1:7" ht="16.149999999999999" x14ac:dyDescent="0.7">
      <c r="A4338" s="49">
        <v>44813.869501817127</v>
      </c>
      <c r="B4338" s="50" t="s">
        <v>126</v>
      </c>
      <c r="C4338" s="50" t="s">
        <v>526</v>
      </c>
      <c r="D4338" s="50" t="s">
        <v>261</v>
      </c>
      <c r="E4338" s="50">
        <v>0</v>
      </c>
      <c r="F4338" s="51">
        <v>0.93381897639885092</v>
      </c>
      <c r="G4338" s="51" t="str">
        <v>鈴木 2022/10/30 (日)
休日午後</v>
      </c>
    </row>
    <row r="4339" spans="1:7" ht="16.149999999999999" x14ac:dyDescent="0.7">
      <c r="A4339" s="49">
        <v>44813.869501817127</v>
      </c>
      <c r="B4339" s="50" t="s">
        <v>126</v>
      </c>
      <c r="C4339" s="50" t="s">
        <v>527</v>
      </c>
      <c r="D4339" s="50" t="s">
        <v>259</v>
      </c>
      <c r="E4339" s="50">
        <v>0</v>
      </c>
      <c r="F4339" s="51">
        <v>7.9755145319378329E-2</v>
      </c>
      <c r="G4339" s="51" t="str">
        <v>鈴木 2022/10/31 (月)
平日夜間</v>
      </c>
    </row>
    <row r="4340" spans="1:7" ht="16.149999999999999" x14ac:dyDescent="0.7">
      <c r="A4340" s="49">
        <v>44813.897523599539</v>
      </c>
      <c r="B4340" s="50" t="s">
        <v>156</v>
      </c>
      <c r="C4340" s="50" t="s">
        <v>486</v>
      </c>
      <c r="D4340" s="50" t="s">
        <v>263</v>
      </c>
      <c r="E4340" s="50">
        <v>-1</v>
      </c>
      <c r="F4340" s="51">
        <v>-0.71347018508547899</v>
      </c>
      <c r="G4340" s="51" t="str">
        <v>石田 2022/10/01 (土)
休日午前</v>
      </c>
    </row>
    <row r="4341" spans="1:7" ht="16.149999999999999" x14ac:dyDescent="0.7">
      <c r="A4341" s="49">
        <v>44813.897523599539</v>
      </c>
      <c r="B4341" s="50" t="s">
        <v>156</v>
      </c>
      <c r="C4341" s="50" t="s">
        <v>487</v>
      </c>
      <c r="D4341" s="50" t="s">
        <v>261</v>
      </c>
      <c r="E4341" s="50">
        <v>-1</v>
      </c>
      <c r="F4341" s="51">
        <v>-0.68420715547520894</v>
      </c>
      <c r="G4341" s="51" t="str">
        <v>石田 2022/10/01 (土)
休日午後</v>
      </c>
    </row>
    <row r="4342" spans="1:7" ht="16.149999999999999" x14ac:dyDescent="0.7">
      <c r="A4342" s="49">
        <v>44813.897523599539</v>
      </c>
      <c r="B4342" s="50" t="s">
        <v>156</v>
      </c>
      <c r="C4342" s="50" t="s">
        <v>488</v>
      </c>
      <c r="D4342" s="50" t="s">
        <v>263</v>
      </c>
      <c r="E4342" s="50">
        <v>-1</v>
      </c>
      <c r="F4342" s="51">
        <v>-0.78693542674839412</v>
      </c>
      <c r="G4342" s="51" t="str">
        <v>石田 2022/10/02 (日)
休日午前</v>
      </c>
    </row>
    <row r="4343" spans="1:7" ht="16.149999999999999" x14ac:dyDescent="0.7">
      <c r="A4343" s="49">
        <v>44813.897523599539</v>
      </c>
      <c r="B4343" s="50" t="s">
        <v>156</v>
      </c>
      <c r="C4343" s="50" t="s">
        <v>489</v>
      </c>
      <c r="D4343" s="50" t="s">
        <v>261</v>
      </c>
      <c r="E4343" s="50">
        <v>-1</v>
      </c>
      <c r="F4343" s="51">
        <v>-0.3679044509524787</v>
      </c>
      <c r="G4343" s="51" t="str">
        <v>石田 2022/10/02 (日)
休日午後</v>
      </c>
    </row>
    <row r="4344" spans="1:7" ht="16.149999999999999" x14ac:dyDescent="0.7">
      <c r="A4344" s="49">
        <v>44813.897523599539</v>
      </c>
      <c r="B4344" s="50" t="s">
        <v>156</v>
      </c>
      <c r="C4344" s="50" t="s">
        <v>490</v>
      </c>
      <c r="D4344" s="50" t="s">
        <v>259</v>
      </c>
      <c r="E4344" s="50">
        <v>0</v>
      </c>
      <c r="F4344" s="51">
        <v>0.46903442558059916</v>
      </c>
      <c r="G4344" s="51" t="str">
        <v>石田 2022/10/03 (月)
平日夜間</v>
      </c>
    </row>
    <row r="4345" spans="1:7" ht="16.149999999999999" x14ac:dyDescent="0.7">
      <c r="A4345" s="49">
        <v>44813.897523599539</v>
      </c>
      <c r="B4345" s="50" t="s">
        <v>156</v>
      </c>
      <c r="C4345" s="50" t="s">
        <v>491</v>
      </c>
      <c r="D4345" s="50" t="s">
        <v>259</v>
      </c>
      <c r="E4345" s="50">
        <v>0</v>
      </c>
      <c r="F4345" s="51">
        <v>0.63987952193730524</v>
      </c>
      <c r="G4345" s="51" t="str">
        <v>石田 2022/10/04 (火)
平日夜間</v>
      </c>
    </row>
    <row r="4346" spans="1:7" ht="16.149999999999999" x14ac:dyDescent="0.7">
      <c r="A4346" s="49">
        <v>44813.897523599539</v>
      </c>
      <c r="B4346" s="50" t="s">
        <v>156</v>
      </c>
      <c r="C4346" s="50" t="s">
        <v>492</v>
      </c>
      <c r="D4346" s="50" t="s">
        <v>259</v>
      </c>
      <c r="E4346" s="50">
        <v>0</v>
      </c>
      <c r="F4346" s="51">
        <v>0.60692313337263504</v>
      </c>
      <c r="G4346" s="51" t="str">
        <v>石田 2022/10/05 (水)
平日夜間</v>
      </c>
    </row>
    <row r="4347" spans="1:7" ht="16.149999999999999" x14ac:dyDescent="0.7">
      <c r="A4347" s="49">
        <v>44813.897523599539</v>
      </c>
      <c r="B4347" s="50" t="s">
        <v>156</v>
      </c>
      <c r="C4347" s="50" t="s">
        <v>493</v>
      </c>
      <c r="D4347" s="50" t="s">
        <v>259</v>
      </c>
      <c r="E4347" s="50">
        <v>0</v>
      </c>
      <c r="F4347" s="51">
        <v>0.34932081494024803</v>
      </c>
      <c r="G4347" s="51" t="str">
        <v>石田 2022/10/06 (木)
平日夜間</v>
      </c>
    </row>
    <row r="4348" spans="1:7" ht="16.149999999999999" x14ac:dyDescent="0.7">
      <c r="A4348" s="49">
        <v>44813.897523599539</v>
      </c>
      <c r="B4348" s="50" t="s">
        <v>156</v>
      </c>
      <c r="C4348" s="50" t="s">
        <v>494</v>
      </c>
      <c r="D4348" s="50" t="s">
        <v>259</v>
      </c>
      <c r="E4348" s="50">
        <v>0</v>
      </c>
      <c r="F4348" s="51">
        <v>0.89447130579757328</v>
      </c>
      <c r="G4348" s="51" t="str">
        <v>石田 2022/10/07 (金)
平日夜間</v>
      </c>
    </row>
    <row r="4349" spans="1:7" ht="16.149999999999999" x14ac:dyDescent="0.7">
      <c r="A4349" s="49">
        <v>44813.897523599539</v>
      </c>
      <c r="B4349" s="50" t="s">
        <v>156</v>
      </c>
      <c r="C4349" s="50" t="s">
        <v>495</v>
      </c>
      <c r="D4349" s="50" t="s">
        <v>263</v>
      </c>
      <c r="E4349" s="50">
        <v>0</v>
      </c>
      <c r="F4349" s="51">
        <v>0.70385814161516014</v>
      </c>
      <c r="G4349" s="51" t="str">
        <v>石田 2022/10/08 (土)
休日午前</v>
      </c>
    </row>
    <row r="4350" spans="1:7" ht="16.149999999999999" x14ac:dyDescent="0.7">
      <c r="A4350" s="49">
        <v>44813.897523599539</v>
      </c>
      <c r="B4350" s="50" t="s">
        <v>156</v>
      </c>
      <c r="C4350" s="50" t="s">
        <v>496</v>
      </c>
      <c r="D4350" s="50" t="s">
        <v>261</v>
      </c>
      <c r="E4350" s="50">
        <v>0</v>
      </c>
      <c r="F4350" s="51">
        <v>0.57976636507310952</v>
      </c>
      <c r="G4350" s="51" t="str">
        <v>石田 2022/10/08 (土)
休日午後</v>
      </c>
    </row>
    <row r="4351" spans="1:7" ht="16.149999999999999" x14ac:dyDescent="0.7">
      <c r="A4351" s="49">
        <v>44813.897523599539</v>
      </c>
      <c r="B4351" s="50" t="s">
        <v>156</v>
      </c>
      <c r="C4351" s="50" t="s">
        <v>497</v>
      </c>
      <c r="D4351" s="50" t="s">
        <v>263</v>
      </c>
      <c r="E4351" s="50">
        <v>-1</v>
      </c>
      <c r="F4351" s="51">
        <v>-0.67373401491631002</v>
      </c>
      <c r="G4351" s="51" t="str">
        <v>石田 2022/10/09 (日)
休日午前</v>
      </c>
    </row>
    <row r="4352" spans="1:7" ht="16.149999999999999" x14ac:dyDescent="0.7">
      <c r="A4352" s="49">
        <v>44813.897523599539</v>
      </c>
      <c r="B4352" s="50" t="s">
        <v>156</v>
      </c>
      <c r="C4352" s="50" t="s">
        <v>498</v>
      </c>
      <c r="D4352" s="50" t="s">
        <v>261</v>
      </c>
      <c r="E4352" s="50">
        <v>0</v>
      </c>
      <c r="F4352" s="51">
        <v>0.76619327244570834</v>
      </c>
      <c r="G4352" s="51" t="str">
        <v>石田 2022/10/09 (日)
休日午後</v>
      </c>
    </row>
    <row r="4353" spans="1:7" ht="16.149999999999999" x14ac:dyDescent="0.7">
      <c r="A4353" s="49">
        <v>44813.897523599539</v>
      </c>
      <c r="B4353" s="50" t="s">
        <v>156</v>
      </c>
      <c r="C4353" s="50" t="s">
        <v>499</v>
      </c>
      <c r="D4353" s="50" t="s">
        <v>263</v>
      </c>
      <c r="E4353" s="50">
        <v>1</v>
      </c>
      <c r="F4353" s="51">
        <v>1.0979724594943014</v>
      </c>
      <c r="G4353" s="51" t="str">
        <v>石田 2022/10/10 (月)
休日午前</v>
      </c>
    </row>
    <row r="4354" spans="1:7" ht="16.149999999999999" x14ac:dyDescent="0.7">
      <c r="A4354" s="49">
        <v>44813.897523599539</v>
      </c>
      <c r="B4354" s="50" t="s">
        <v>156</v>
      </c>
      <c r="C4354" s="50" t="s">
        <v>500</v>
      </c>
      <c r="D4354" s="50" t="s">
        <v>261</v>
      </c>
      <c r="E4354" s="50">
        <v>-1</v>
      </c>
      <c r="F4354" s="51">
        <v>-0.70128446012410972</v>
      </c>
      <c r="G4354" s="51" t="str">
        <v>石田 2022/10/10 (月)
休日午後</v>
      </c>
    </row>
    <row r="4355" spans="1:7" ht="16.149999999999999" x14ac:dyDescent="0.7">
      <c r="A4355" s="49">
        <v>44813.897523599539</v>
      </c>
      <c r="B4355" s="50" t="s">
        <v>156</v>
      </c>
      <c r="C4355" s="50" t="s">
        <v>501</v>
      </c>
      <c r="D4355" s="50" t="s">
        <v>259</v>
      </c>
      <c r="E4355" s="50">
        <v>0</v>
      </c>
      <c r="F4355" s="51">
        <v>0.91799411104447781</v>
      </c>
      <c r="G4355" s="51" t="str">
        <v>石田 2022/10/11 (火)
平日夜間</v>
      </c>
    </row>
    <row r="4356" spans="1:7" ht="16.149999999999999" x14ac:dyDescent="0.7">
      <c r="A4356" s="49">
        <v>44813.897523599539</v>
      </c>
      <c r="B4356" s="50" t="s">
        <v>156</v>
      </c>
      <c r="C4356" s="50" t="s">
        <v>502</v>
      </c>
      <c r="D4356" s="50" t="s">
        <v>259</v>
      </c>
      <c r="E4356" s="50">
        <v>0</v>
      </c>
      <c r="F4356" s="51">
        <v>0.48335204868192516</v>
      </c>
      <c r="G4356" s="51" t="str">
        <v>石田 2022/10/12 (水)
平日夜間</v>
      </c>
    </row>
    <row r="4357" spans="1:7" ht="16.149999999999999" x14ac:dyDescent="0.7">
      <c r="A4357" s="49">
        <v>44813.897523599539</v>
      </c>
      <c r="B4357" s="50" t="s">
        <v>156</v>
      </c>
      <c r="C4357" s="50" t="s">
        <v>503</v>
      </c>
      <c r="D4357" s="50" t="s">
        <v>259</v>
      </c>
      <c r="E4357" s="50">
        <v>1</v>
      </c>
      <c r="F4357" s="51">
        <v>1.9252108914798389</v>
      </c>
      <c r="G4357" s="51" t="str">
        <v>石田 2022/10/13 (木)
平日夜間</v>
      </c>
    </row>
    <row r="4358" spans="1:7" ht="16.149999999999999" x14ac:dyDescent="0.7">
      <c r="A4358" s="49">
        <v>44813.897523599539</v>
      </c>
      <c r="B4358" s="50" t="s">
        <v>156</v>
      </c>
      <c r="C4358" s="50" t="s">
        <v>504</v>
      </c>
      <c r="D4358" s="50" t="s">
        <v>259</v>
      </c>
      <c r="E4358" s="50">
        <v>0</v>
      </c>
      <c r="F4358" s="51">
        <v>0.24268122449299478</v>
      </c>
      <c r="G4358" s="51" t="str">
        <v>石田 2022/10/14 (金)
平日夜間</v>
      </c>
    </row>
    <row r="4359" spans="1:7" ht="16.149999999999999" x14ac:dyDescent="0.7">
      <c r="A4359" s="49">
        <v>44813.897523599539</v>
      </c>
      <c r="B4359" s="50" t="s">
        <v>156</v>
      </c>
      <c r="C4359" s="50" t="s">
        <v>505</v>
      </c>
      <c r="D4359" s="50" t="s">
        <v>263</v>
      </c>
      <c r="E4359" s="50">
        <v>0</v>
      </c>
      <c r="F4359" s="51">
        <v>0.9185428888868945</v>
      </c>
      <c r="G4359" s="51" t="str">
        <v>石田 2022/10/15 (土)
休日午前</v>
      </c>
    </row>
    <row r="4360" spans="1:7" ht="16.149999999999999" x14ac:dyDescent="0.7">
      <c r="A4360" s="49">
        <v>44813.897523599539</v>
      </c>
      <c r="B4360" s="50" t="s">
        <v>156</v>
      </c>
      <c r="C4360" s="50" t="s">
        <v>506</v>
      </c>
      <c r="D4360" s="50" t="s">
        <v>261</v>
      </c>
      <c r="E4360" s="50">
        <v>0</v>
      </c>
      <c r="F4360" s="51">
        <v>0.62757044549997998</v>
      </c>
      <c r="G4360" s="51" t="str">
        <v>石田 2022/10/15 (土)
休日午後</v>
      </c>
    </row>
    <row r="4361" spans="1:7" ht="16.149999999999999" x14ac:dyDescent="0.7">
      <c r="A4361" s="49">
        <v>44813.897523599539</v>
      </c>
      <c r="B4361" s="50" t="s">
        <v>156</v>
      </c>
      <c r="C4361" s="50" t="s">
        <v>507</v>
      </c>
      <c r="D4361" s="50" t="s">
        <v>263</v>
      </c>
      <c r="E4361" s="50">
        <v>0</v>
      </c>
      <c r="F4361" s="51">
        <v>0.57972405846017794</v>
      </c>
      <c r="G4361" s="51" t="str">
        <v>石田 2022/10/16 (日)
休日午前</v>
      </c>
    </row>
    <row r="4362" spans="1:7" ht="16.149999999999999" x14ac:dyDescent="0.7">
      <c r="A4362" s="49">
        <v>44813.897523599539</v>
      </c>
      <c r="B4362" s="50" t="s">
        <v>156</v>
      </c>
      <c r="C4362" s="50" t="s">
        <v>508</v>
      </c>
      <c r="D4362" s="50" t="s">
        <v>261</v>
      </c>
      <c r="E4362" s="50">
        <v>0</v>
      </c>
      <c r="F4362" s="51">
        <v>0.87980506847499895</v>
      </c>
      <c r="G4362" s="51" t="str">
        <v>石田 2022/10/16 (日)
休日午後</v>
      </c>
    </row>
    <row r="4363" spans="1:7" ht="16.149999999999999" x14ac:dyDescent="0.7">
      <c r="A4363" s="49">
        <v>44813.897523599539</v>
      </c>
      <c r="B4363" s="50" t="s">
        <v>156</v>
      </c>
      <c r="C4363" s="50" t="s">
        <v>509</v>
      </c>
      <c r="D4363" s="50" t="s">
        <v>259</v>
      </c>
      <c r="E4363" s="50">
        <v>0</v>
      </c>
      <c r="F4363" s="51">
        <v>0.85879250548127462</v>
      </c>
      <c r="G4363" s="51" t="str">
        <v>石田 2022/10/17 (月)
平日夜間</v>
      </c>
    </row>
    <row r="4364" spans="1:7" ht="16.149999999999999" x14ac:dyDescent="0.7">
      <c r="A4364" s="49">
        <v>44813.897523599539</v>
      </c>
      <c r="B4364" s="50" t="s">
        <v>156</v>
      </c>
      <c r="C4364" s="50" t="s">
        <v>510</v>
      </c>
      <c r="D4364" s="50" t="s">
        <v>259</v>
      </c>
      <c r="E4364" s="50">
        <v>0</v>
      </c>
      <c r="F4364" s="51">
        <v>0.33945422434284045</v>
      </c>
      <c r="G4364" s="51" t="str">
        <v>石田 2022/10/18 (火)
平日夜間</v>
      </c>
    </row>
    <row r="4365" spans="1:7" ht="16.149999999999999" x14ac:dyDescent="0.7">
      <c r="A4365" s="49">
        <v>44813.897523599539</v>
      </c>
      <c r="B4365" s="50" t="s">
        <v>156</v>
      </c>
      <c r="C4365" s="50" t="s">
        <v>511</v>
      </c>
      <c r="D4365" s="50" t="s">
        <v>259</v>
      </c>
      <c r="E4365" s="50">
        <v>1</v>
      </c>
      <c r="F4365" s="51">
        <v>1.2095292474193149</v>
      </c>
      <c r="G4365" s="51" t="str">
        <v>石田 2022/10/19 (水)
平日夜間</v>
      </c>
    </row>
    <row r="4366" spans="1:7" ht="16.149999999999999" x14ac:dyDescent="0.7">
      <c r="A4366" s="49">
        <v>44813.897523599539</v>
      </c>
      <c r="B4366" s="50" t="s">
        <v>156</v>
      </c>
      <c r="C4366" s="50" t="s">
        <v>512</v>
      </c>
      <c r="D4366" s="50" t="s">
        <v>259</v>
      </c>
      <c r="E4366" s="50">
        <v>0</v>
      </c>
      <c r="F4366" s="51">
        <v>0.40788662954354082</v>
      </c>
      <c r="G4366" s="51" t="str">
        <v>石田 2022/10/20 (木)
平日夜間</v>
      </c>
    </row>
    <row r="4367" spans="1:7" ht="16.149999999999999" x14ac:dyDescent="0.7">
      <c r="A4367" s="49">
        <v>44813.897523599539</v>
      </c>
      <c r="B4367" s="50" t="s">
        <v>156</v>
      </c>
      <c r="C4367" s="50" t="s">
        <v>513</v>
      </c>
      <c r="D4367" s="50" t="s">
        <v>259</v>
      </c>
      <c r="E4367" s="50">
        <v>-1</v>
      </c>
      <c r="F4367" s="51">
        <v>-0.35511100624051717</v>
      </c>
      <c r="G4367" s="51" t="str">
        <v>石田 2022/10/21 (金)
平日夜間</v>
      </c>
    </row>
    <row r="4368" spans="1:7" ht="16.149999999999999" x14ac:dyDescent="0.7">
      <c r="A4368" s="49">
        <v>44813.897523599539</v>
      </c>
      <c r="B4368" s="50" t="s">
        <v>156</v>
      </c>
      <c r="C4368" s="50" t="s">
        <v>514</v>
      </c>
      <c r="D4368" s="50" t="s">
        <v>263</v>
      </c>
      <c r="E4368" s="50">
        <v>-1</v>
      </c>
      <c r="F4368" s="51">
        <v>-0.72017377108769853</v>
      </c>
      <c r="G4368" s="51" t="str">
        <v>石田 2022/10/22 (土)
休日午前</v>
      </c>
    </row>
    <row r="4369" spans="1:7" ht="16.149999999999999" x14ac:dyDescent="0.7">
      <c r="A4369" s="49">
        <v>44813.897523599539</v>
      </c>
      <c r="B4369" s="50" t="s">
        <v>156</v>
      </c>
      <c r="C4369" s="50" t="s">
        <v>515</v>
      </c>
      <c r="D4369" s="50" t="s">
        <v>261</v>
      </c>
      <c r="E4369" s="50">
        <v>-1</v>
      </c>
      <c r="F4369" s="51">
        <v>-0.23087690476505518</v>
      </c>
      <c r="G4369" s="51" t="str">
        <v>石田 2022/10/22 (土)
休日午後</v>
      </c>
    </row>
    <row r="4370" spans="1:7" ht="16.149999999999999" x14ac:dyDescent="0.7">
      <c r="A4370" s="49">
        <v>44813.897523599539</v>
      </c>
      <c r="B4370" s="50" t="s">
        <v>156</v>
      </c>
      <c r="C4370" s="50" t="s">
        <v>516</v>
      </c>
      <c r="D4370" s="50" t="s">
        <v>263</v>
      </c>
      <c r="E4370" s="50">
        <v>0</v>
      </c>
      <c r="F4370" s="51">
        <v>0.36915968254936216</v>
      </c>
      <c r="G4370" s="51" t="str">
        <v>石田 2022/10/23 (日)
休日午前</v>
      </c>
    </row>
    <row r="4371" spans="1:7" ht="16.149999999999999" x14ac:dyDescent="0.7">
      <c r="A4371" s="49">
        <v>44813.897523599539</v>
      </c>
      <c r="B4371" s="50" t="s">
        <v>156</v>
      </c>
      <c r="C4371" s="50" t="s">
        <v>517</v>
      </c>
      <c r="D4371" s="50" t="s">
        <v>261</v>
      </c>
      <c r="E4371" s="50">
        <v>0</v>
      </c>
      <c r="F4371" s="51">
        <v>7.7588979956869863E-2</v>
      </c>
      <c r="G4371" s="51" t="str">
        <v>石田 2022/10/23 (日)
休日午後</v>
      </c>
    </row>
    <row r="4372" spans="1:7" ht="16.149999999999999" x14ac:dyDescent="0.7">
      <c r="A4372" s="49">
        <v>44813.897523599539</v>
      </c>
      <c r="B4372" s="50" t="s">
        <v>156</v>
      </c>
      <c r="C4372" s="50" t="s">
        <v>518</v>
      </c>
      <c r="D4372" s="50" t="s">
        <v>259</v>
      </c>
      <c r="E4372" s="50">
        <v>2</v>
      </c>
      <c r="F4372" s="51">
        <v>2.721847529332492</v>
      </c>
      <c r="G4372" s="51" t="str">
        <v>石田 2022/10/24 (月)
平日夜間</v>
      </c>
    </row>
    <row r="4373" spans="1:7" ht="16.149999999999999" x14ac:dyDescent="0.7">
      <c r="A4373" s="49">
        <v>44813.897523599539</v>
      </c>
      <c r="B4373" s="50" t="s">
        <v>156</v>
      </c>
      <c r="C4373" s="50" t="s">
        <v>519</v>
      </c>
      <c r="D4373" s="50" t="s">
        <v>259</v>
      </c>
      <c r="E4373" s="50">
        <v>-1</v>
      </c>
      <c r="F4373" s="51">
        <v>-0.72691095667076056</v>
      </c>
      <c r="G4373" s="51" t="str">
        <v>石田 2022/10/25 (火)
平日夜間</v>
      </c>
    </row>
    <row r="4374" spans="1:7" ht="16.149999999999999" x14ac:dyDescent="0.7">
      <c r="A4374" s="49">
        <v>44813.897523599539</v>
      </c>
      <c r="B4374" s="50" t="s">
        <v>156</v>
      </c>
      <c r="C4374" s="50" t="s">
        <v>520</v>
      </c>
      <c r="D4374" s="50" t="s">
        <v>259</v>
      </c>
      <c r="E4374" s="50">
        <v>0</v>
      </c>
      <c r="F4374" s="51">
        <v>0.25267824416401496</v>
      </c>
      <c r="G4374" s="51" t="str">
        <v>石田 2022/10/26 (水)
平日夜間</v>
      </c>
    </row>
    <row r="4375" spans="1:7" ht="16.149999999999999" x14ac:dyDescent="0.7">
      <c r="A4375" s="49">
        <v>44813.897523599539</v>
      </c>
      <c r="B4375" s="50" t="s">
        <v>156</v>
      </c>
      <c r="C4375" s="50" t="s">
        <v>521</v>
      </c>
      <c r="D4375" s="50" t="s">
        <v>259</v>
      </c>
      <c r="E4375" s="50">
        <v>1</v>
      </c>
      <c r="F4375" s="51">
        <v>1.3031756025052665</v>
      </c>
      <c r="G4375" s="51" t="str">
        <v>石田 2022/10/27 (木)
平日夜間</v>
      </c>
    </row>
    <row r="4376" spans="1:7" ht="16.149999999999999" x14ac:dyDescent="0.7">
      <c r="A4376" s="49">
        <v>44813.897523599539</v>
      </c>
      <c r="B4376" s="50" t="s">
        <v>156</v>
      </c>
      <c r="C4376" s="50" t="s">
        <v>522</v>
      </c>
      <c r="D4376" s="50" t="s">
        <v>259</v>
      </c>
      <c r="E4376" s="50">
        <v>0</v>
      </c>
      <c r="F4376" s="51">
        <v>0.74744447433462824</v>
      </c>
      <c r="G4376" s="51" t="str">
        <v>石田 2022/10/28 (金)
平日夜間</v>
      </c>
    </row>
    <row r="4377" spans="1:7" ht="16.149999999999999" x14ac:dyDescent="0.7">
      <c r="A4377" s="49">
        <v>44813.897523599539</v>
      </c>
      <c r="B4377" s="50" t="s">
        <v>156</v>
      </c>
      <c r="C4377" s="50" t="s">
        <v>523</v>
      </c>
      <c r="D4377" s="50" t="s">
        <v>263</v>
      </c>
      <c r="E4377" s="50">
        <v>0</v>
      </c>
      <c r="F4377" s="51">
        <v>0.68482594079402759</v>
      </c>
      <c r="G4377" s="51" t="str">
        <v>石田 2022/10/29 (土)
休日午前</v>
      </c>
    </row>
    <row r="4378" spans="1:7" ht="16.149999999999999" x14ac:dyDescent="0.7">
      <c r="A4378" s="49">
        <v>44813.897523599539</v>
      </c>
      <c r="B4378" s="50" t="s">
        <v>156</v>
      </c>
      <c r="C4378" s="50" t="s">
        <v>524</v>
      </c>
      <c r="D4378" s="50" t="s">
        <v>261</v>
      </c>
      <c r="E4378" s="50">
        <v>0</v>
      </c>
      <c r="F4378" s="51">
        <v>0.88166164687730531</v>
      </c>
      <c r="G4378" s="51" t="str">
        <v>石田 2022/10/29 (土)
休日午後</v>
      </c>
    </row>
    <row r="4379" spans="1:7" ht="16.149999999999999" x14ac:dyDescent="0.7">
      <c r="A4379" s="49">
        <v>44813.897523599539</v>
      </c>
      <c r="B4379" s="50" t="s">
        <v>156</v>
      </c>
      <c r="C4379" s="50" t="s">
        <v>525</v>
      </c>
      <c r="D4379" s="50" t="s">
        <v>263</v>
      </c>
      <c r="E4379" s="50">
        <v>0</v>
      </c>
      <c r="F4379" s="51">
        <v>0.19248455745923043</v>
      </c>
      <c r="G4379" s="51" t="str">
        <v>石田 2022/10/30 (日)
休日午前</v>
      </c>
    </row>
    <row r="4380" spans="1:7" ht="16.149999999999999" x14ac:dyDescent="0.7">
      <c r="A4380" s="49">
        <v>44813.897523599539</v>
      </c>
      <c r="B4380" s="50" t="s">
        <v>156</v>
      </c>
      <c r="C4380" s="50" t="s">
        <v>526</v>
      </c>
      <c r="D4380" s="50" t="s">
        <v>261</v>
      </c>
      <c r="E4380" s="50">
        <v>0</v>
      </c>
      <c r="F4380" s="51">
        <v>0.60981169945227931</v>
      </c>
      <c r="G4380" s="51" t="str">
        <v>石田 2022/10/30 (日)
休日午後</v>
      </c>
    </row>
    <row r="4381" spans="1:7" ht="16.149999999999999" x14ac:dyDescent="0.7">
      <c r="A4381" s="49">
        <v>44813.897523599539</v>
      </c>
      <c r="B4381" s="50" t="s">
        <v>156</v>
      </c>
      <c r="C4381" s="50" t="s">
        <v>527</v>
      </c>
      <c r="D4381" s="50" t="s">
        <v>259</v>
      </c>
      <c r="E4381" s="50">
        <v>2</v>
      </c>
      <c r="F4381" s="51">
        <v>2.1629006289471837</v>
      </c>
      <c r="G4381" s="51" t="str">
        <v>石田 2022/10/31 (月)
平日夜間</v>
      </c>
    </row>
    <row r="4382" spans="1:7" ht="16.149999999999999" x14ac:dyDescent="0.7">
      <c r="A4382" s="49">
        <v>44813.903914710652</v>
      </c>
      <c r="B4382" s="50" t="s">
        <v>17</v>
      </c>
      <c r="C4382" s="50" t="s">
        <v>486</v>
      </c>
      <c r="D4382" s="50" t="s">
        <v>263</v>
      </c>
      <c r="E4382" s="50">
        <v>-1</v>
      </c>
      <c r="F4382" s="51">
        <v>-0.4991889268169476</v>
      </c>
      <c r="G4382" s="51" t="str">
        <v>尾田 2022/10/01 (土)
休日午前</v>
      </c>
    </row>
    <row r="4383" spans="1:7" ht="16.149999999999999" x14ac:dyDescent="0.7">
      <c r="A4383" s="49">
        <v>44813.903914710652</v>
      </c>
      <c r="B4383" s="50" t="s">
        <v>17</v>
      </c>
      <c r="C4383" s="50" t="s">
        <v>487</v>
      </c>
      <c r="D4383" s="50" t="s">
        <v>261</v>
      </c>
      <c r="E4383" s="50">
        <v>-1</v>
      </c>
      <c r="F4383" s="51">
        <v>-1.5218589998510224E-2</v>
      </c>
      <c r="G4383" s="51" t="str">
        <v>尾田 2022/10/01 (土)
休日午後</v>
      </c>
    </row>
    <row r="4384" spans="1:7" ht="16.149999999999999" x14ac:dyDescent="0.7">
      <c r="A4384" s="49">
        <v>44813.903914710652</v>
      </c>
      <c r="B4384" s="50" t="s">
        <v>17</v>
      </c>
      <c r="C4384" s="50" t="s">
        <v>488</v>
      </c>
      <c r="D4384" s="50" t="s">
        <v>263</v>
      </c>
      <c r="E4384" s="50">
        <v>-1</v>
      </c>
      <c r="F4384" s="51">
        <v>-0.96047741631334471</v>
      </c>
      <c r="G4384" s="51" t="str">
        <v>尾田 2022/10/02 (日)
休日午前</v>
      </c>
    </row>
    <row r="4385" spans="1:7" ht="16.149999999999999" x14ac:dyDescent="0.7">
      <c r="A4385" s="49">
        <v>44813.903914710652</v>
      </c>
      <c r="B4385" s="50" t="s">
        <v>17</v>
      </c>
      <c r="C4385" s="50" t="s">
        <v>489</v>
      </c>
      <c r="D4385" s="50" t="s">
        <v>261</v>
      </c>
      <c r="E4385" s="50">
        <v>-1</v>
      </c>
      <c r="F4385" s="51">
        <v>-1.8598431150411487E-2</v>
      </c>
      <c r="G4385" s="51" t="str">
        <v>尾田 2022/10/02 (日)
休日午後</v>
      </c>
    </row>
    <row r="4386" spans="1:7" ht="16.149999999999999" x14ac:dyDescent="0.7">
      <c r="A4386" s="49">
        <v>44813.903914710652</v>
      </c>
      <c r="B4386" s="50" t="s">
        <v>17</v>
      </c>
      <c r="C4386" s="50" t="s">
        <v>490</v>
      </c>
      <c r="D4386" s="50" t="s">
        <v>259</v>
      </c>
      <c r="E4386" s="50">
        <v>0</v>
      </c>
      <c r="F4386" s="51">
        <v>0.55965512916545368</v>
      </c>
      <c r="G4386" s="51" t="str">
        <v>尾田 2022/10/03 (月)
平日夜間</v>
      </c>
    </row>
    <row r="4387" spans="1:7" ht="16.149999999999999" x14ac:dyDescent="0.7">
      <c r="A4387" s="49">
        <v>44813.903914710652</v>
      </c>
      <c r="B4387" s="50" t="s">
        <v>17</v>
      </c>
      <c r="C4387" s="50" t="s">
        <v>491</v>
      </c>
      <c r="D4387" s="50" t="s">
        <v>259</v>
      </c>
      <c r="E4387" s="50">
        <v>0</v>
      </c>
      <c r="F4387" s="51">
        <v>0.36268939479783069</v>
      </c>
      <c r="G4387" s="51" t="str">
        <v>尾田 2022/10/04 (火)
平日夜間</v>
      </c>
    </row>
    <row r="4388" spans="1:7" ht="16.149999999999999" x14ac:dyDescent="0.7">
      <c r="A4388" s="49">
        <v>44813.903914710652</v>
      </c>
      <c r="B4388" s="50" t="s">
        <v>17</v>
      </c>
      <c r="C4388" s="50" t="s">
        <v>492</v>
      </c>
      <c r="D4388" s="50" t="s">
        <v>259</v>
      </c>
      <c r="E4388" s="50">
        <v>0</v>
      </c>
      <c r="F4388" s="51">
        <v>0.56273225116440484</v>
      </c>
      <c r="G4388" s="51" t="str">
        <v>尾田 2022/10/05 (水)
平日夜間</v>
      </c>
    </row>
    <row r="4389" spans="1:7" ht="16.149999999999999" x14ac:dyDescent="0.7">
      <c r="A4389" s="49">
        <v>44813.903914710652</v>
      </c>
      <c r="B4389" s="50" t="s">
        <v>17</v>
      </c>
      <c r="C4389" s="50" t="s">
        <v>493</v>
      </c>
      <c r="D4389" s="50" t="s">
        <v>259</v>
      </c>
      <c r="E4389" s="50">
        <v>-1</v>
      </c>
      <c r="F4389" s="51">
        <v>-0.43884464938031376</v>
      </c>
      <c r="G4389" s="51" t="str">
        <v>尾田 2022/10/06 (木)
平日夜間</v>
      </c>
    </row>
    <row r="4390" spans="1:7" ht="16.149999999999999" x14ac:dyDescent="0.7">
      <c r="A4390" s="49">
        <v>44813.903914710652</v>
      </c>
      <c r="B4390" s="50" t="s">
        <v>17</v>
      </c>
      <c r="C4390" s="50" t="s">
        <v>494</v>
      </c>
      <c r="D4390" s="50" t="s">
        <v>259</v>
      </c>
      <c r="E4390" s="50">
        <v>-1</v>
      </c>
      <c r="F4390" s="51">
        <v>-0.17922260718728178</v>
      </c>
      <c r="G4390" s="51" t="str">
        <v>尾田 2022/10/07 (金)
平日夜間</v>
      </c>
    </row>
    <row r="4391" spans="1:7" ht="16.149999999999999" x14ac:dyDescent="0.7">
      <c r="A4391" s="49">
        <v>44813.903914710652</v>
      </c>
      <c r="B4391" s="50" t="s">
        <v>17</v>
      </c>
      <c r="C4391" s="50" t="s">
        <v>495</v>
      </c>
      <c r="D4391" s="50" t="s">
        <v>263</v>
      </c>
      <c r="E4391" s="50">
        <v>-1</v>
      </c>
      <c r="F4391" s="51">
        <v>-0.63649165596987745</v>
      </c>
      <c r="G4391" s="51" t="str">
        <v>尾田 2022/10/08 (土)
休日午前</v>
      </c>
    </row>
    <row r="4392" spans="1:7" ht="16.149999999999999" x14ac:dyDescent="0.7">
      <c r="A4392" s="49">
        <v>44813.903914710652</v>
      </c>
      <c r="B4392" s="50" t="s">
        <v>17</v>
      </c>
      <c r="C4392" s="50" t="s">
        <v>496</v>
      </c>
      <c r="D4392" s="50" t="s">
        <v>261</v>
      </c>
      <c r="E4392" s="50">
        <v>-1</v>
      </c>
      <c r="F4392" s="51">
        <v>-0.23261710470996944</v>
      </c>
      <c r="G4392" s="51" t="str">
        <v>尾田 2022/10/08 (土)
休日午後</v>
      </c>
    </row>
    <row r="4393" spans="1:7" ht="16.149999999999999" x14ac:dyDescent="0.7">
      <c r="A4393" s="49">
        <v>44813.903914710652</v>
      </c>
      <c r="B4393" s="50" t="s">
        <v>17</v>
      </c>
      <c r="C4393" s="50" t="s">
        <v>497</v>
      </c>
      <c r="D4393" s="50" t="s">
        <v>263</v>
      </c>
      <c r="E4393" s="50">
        <v>-1</v>
      </c>
      <c r="F4393" s="51">
        <v>-0.62279844566752796</v>
      </c>
      <c r="G4393" s="51" t="str">
        <v>尾田 2022/10/09 (日)
休日午前</v>
      </c>
    </row>
    <row r="4394" spans="1:7" ht="16.149999999999999" x14ac:dyDescent="0.7">
      <c r="A4394" s="49">
        <v>44813.903914710652</v>
      </c>
      <c r="B4394" s="50" t="s">
        <v>17</v>
      </c>
      <c r="C4394" s="50" t="s">
        <v>498</v>
      </c>
      <c r="D4394" s="50" t="s">
        <v>261</v>
      </c>
      <c r="E4394" s="50">
        <v>-1</v>
      </c>
      <c r="F4394" s="51">
        <v>-0.54418840244181399</v>
      </c>
      <c r="G4394" s="51" t="str">
        <v>尾田 2022/10/09 (日)
休日午後</v>
      </c>
    </row>
    <row r="4395" spans="1:7" ht="16.149999999999999" x14ac:dyDescent="0.7">
      <c r="A4395" s="49">
        <v>44813.903914710652</v>
      </c>
      <c r="B4395" s="50" t="s">
        <v>17</v>
      </c>
      <c r="C4395" s="50" t="s">
        <v>499</v>
      </c>
      <c r="D4395" s="50" t="s">
        <v>263</v>
      </c>
      <c r="E4395" s="50">
        <v>-1</v>
      </c>
      <c r="F4395" s="51">
        <v>-0.69828577660251123</v>
      </c>
      <c r="G4395" s="51" t="str">
        <v>尾田 2022/10/10 (月)
休日午前</v>
      </c>
    </row>
    <row r="4396" spans="1:7" ht="16.149999999999999" x14ac:dyDescent="0.7">
      <c r="A4396" s="49">
        <v>44813.903914710652</v>
      </c>
      <c r="B4396" s="50" t="s">
        <v>17</v>
      </c>
      <c r="C4396" s="50" t="s">
        <v>500</v>
      </c>
      <c r="D4396" s="50" t="s">
        <v>261</v>
      </c>
      <c r="E4396" s="50">
        <v>-1</v>
      </c>
      <c r="F4396" s="51">
        <v>-0.6491744070033505</v>
      </c>
      <c r="G4396" s="51" t="str">
        <v>尾田 2022/10/10 (月)
休日午後</v>
      </c>
    </row>
    <row r="4397" spans="1:7" ht="16.149999999999999" x14ac:dyDescent="0.7">
      <c r="A4397" s="49">
        <v>44813.903914710652</v>
      </c>
      <c r="B4397" s="50" t="s">
        <v>17</v>
      </c>
      <c r="C4397" s="50" t="s">
        <v>501</v>
      </c>
      <c r="D4397" s="50" t="s">
        <v>259</v>
      </c>
      <c r="E4397" s="50">
        <v>0</v>
      </c>
      <c r="F4397" s="51">
        <v>7.7587965494473554E-2</v>
      </c>
      <c r="G4397" s="51" t="str">
        <v>尾田 2022/10/11 (火)
平日夜間</v>
      </c>
    </row>
    <row r="4398" spans="1:7" ht="16.149999999999999" x14ac:dyDescent="0.7">
      <c r="A4398" s="49">
        <v>44813.903914710652</v>
      </c>
      <c r="B4398" s="50" t="s">
        <v>17</v>
      </c>
      <c r="C4398" s="50" t="s">
        <v>502</v>
      </c>
      <c r="D4398" s="50" t="s">
        <v>259</v>
      </c>
      <c r="E4398" s="50">
        <v>0</v>
      </c>
      <c r="F4398" s="51">
        <v>0.69168090587959474</v>
      </c>
      <c r="G4398" s="51" t="str">
        <v>尾田 2022/10/12 (水)
平日夜間</v>
      </c>
    </row>
    <row r="4399" spans="1:7" ht="16.149999999999999" x14ac:dyDescent="0.7">
      <c r="A4399" s="49">
        <v>44813.903914710652</v>
      </c>
      <c r="B4399" s="50" t="s">
        <v>17</v>
      </c>
      <c r="C4399" s="50" t="s">
        <v>503</v>
      </c>
      <c r="D4399" s="50" t="s">
        <v>259</v>
      </c>
      <c r="E4399" s="50">
        <v>-1</v>
      </c>
      <c r="F4399" s="51">
        <v>-0.74049712687764613</v>
      </c>
      <c r="G4399" s="51" t="str">
        <v>尾田 2022/10/13 (木)
平日夜間</v>
      </c>
    </row>
    <row r="4400" spans="1:7" ht="16.149999999999999" x14ac:dyDescent="0.7">
      <c r="A4400" s="49">
        <v>44813.903914710652</v>
      </c>
      <c r="B4400" s="50" t="s">
        <v>17</v>
      </c>
      <c r="C4400" s="50" t="s">
        <v>504</v>
      </c>
      <c r="D4400" s="50" t="s">
        <v>259</v>
      </c>
      <c r="E4400" s="50">
        <v>-1</v>
      </c>
      <c r="F4400" s="51">
        <v>-6.520508406906611E-2</v>
      </c>
      <c r="G4400" s="51" t="str">
        <v>尾田 2022/10/14 (金)
平日夜間</v>
      </c>
    </row>
    <row r="4401" spans="1:7" ht="16.149999999999999" x14ac:dyDescent="0.7">
      <c r="A4401" s="49">
        <v>44813.903914710652</v>
      </c>
      <c r="B4401" s="50" t="s">
        <v>17</v>
      </c>
      <c r="C4401" s="50" t="s">
        <v>505</v>
      </c>
      <c r="D4401" s="50" t="s">
        <v>263</v>
      </c>
      <c r="E4401" s="50">
        <v>-1</v>
      </c>
      <c r="F4401" s="51">
        <v>-0.30333398307154336</v>
      </c>
      <c r="G4401" s="51" t="str">
        <v>尾田 2022/10/15 (土)
休日午前</v>
      </c>
    </row>
    <row r="4402" spans="1:7" ht="16.149999999999999" x14ac:dyDescent="0.7">
      <c r="A4402" s="49">
        <v>44813.903914710652</v>
      </c>
      <c r="B4402" s="50" t="s">
        <v>17</v>
      </c>
      <c r="C4402" s="50" t="s">
        <v>506</v>
      </c>
      <c r="D4402" s="50" t="s">
        <v>261</v>
      </c>
      <c r="E4402" s="50">
        <v>-1</v>
      </c>
      <c r="F4402" s="51">
        <v>-0.95798536024931003</v>
      </c>
      <c r="G4402" s="51" t="str">
        <v>尾田 2022/10/15 (土)
休日午後</v>
      </c>
    </row>
    <row r="4403" spans="1:7" ht="16.149999999999999" x14ac:dyDescent="0.7">
      <c r="A4403" s="49">
        <v>44813.903914710652</v>
      </c>
      <c r="B4403" s="50" t="s">
        <v>17</v>
      </c>
      <c r="C4403" s="50" t="s">
        <v>507</v>
      </c>
      <c r="D4403" s="50" t="s">
        <v>263</v>
      </c>
      <c r="E4403" s="50">
        <v>-1</v>
      </c>
      <c r="F4403" s="51">
        <v>-0.96747497432420659</v>
      </c>
      <c r="G4403" s="51" t="str">
        <v>尾田 2022/10/16 (日)
休日午前</v>
      </c>
    </row>
    <row r="4404" spans="1:7" ht="16.149999999999999" x14ac:dyDescent="0.7">
      <c r="A4404" s="49">
        <v>44813.903914710652</v>
      </c>
      <c r="B4404" s="50" t="s">
        <v>17</v>
      </c>
      <c r="C4404" s="50" t="s">
        <v>508</v>
      </c>
      <c r="D4404" s="50" t="s">
        <v>261</v>
      </c>
      <c r="E4404" s="50">
        <v>-1</v>
      </c>
      <c r="F4404" s="51">
        <v>-0.23241975620688726</v>
      </c>
      <c r="G4404" s="51" t="str">
        <v>尾田 2022/10/16 (日)
休日午後</v>
      </c>
    </row>
    <row r="4405" spans="1:7" ht="16.149999999999999" x14ac:dyDescent="0.7">
      <c r="A4405" s="49">
        <v>44813.903914710652</v>
      </c>
      <c r="B4405" s="50" t="s">
        <v>17</v>
      </c>
      <c r="C4405" s="50" t="s">
        <v>509</v>
      </c>
      <c r="D4405" s="50" t="s">
        <v>259</v>
      </c>
      <c r="E4405" s="50">
        <v>-1</v>
      </c>
      <c r="F4405" s="51">
        <v>-0.64131682039917171</v>
      </c>
      <c r="G4405" s="51" t="str">
        <v>尾田 2022/10/17 (月)
平日夜間</v>
      </c>
    </row>
    <row r="4406" spans="1:7" ht="16.149999999999999" x14ac:dyDescent="0.7">
      <c r="A4406" s="49">
        <v>44813.903914710652</v>
      </c>
      <c r="B4406" s="50" t="s">
        <v>17</v>
      </c>
      <c r="C4406" s="50" t="s">
        <v>510</v>
      </c>
      <c r="D4406" s="50" t="s">
        <v>259</v>
      </c>
      <c r="E4406" s="50">
        <v>0</v>
      </c>
      <c r="F4406" s="51">
        <v>0.48535357558811287</v>
      </c>
      <c r="G4406" s="51" t="str">
        <v>尾田 2022/10/18 (火)
平日夜間</v>
      </c>
    </row>
    <row r="4407" spans="1:7" ht="16.149999999999999" x14ac:dyDescent="0.7">
      <c r="A4407" s="49">
        <v>44813.903914710652</v>
      </c>
      <c r="B4407" s="50" t="s">
        <v>17</v>
      </c>
      <c r="C4407" s="50" t="s">
        <v>511</v>
      </c>
      <c r="D4407" s="50" t="s">
        <v>259</v>
      </c>
      <c r="E4407" s="50">
        <v>0</v>
      </c>
      <c r="F4407" s="51">
        <v>0.79662846610390314</v>
      </c>
      <c r="G4407" s="51" t="str">
        <v>尾田 2022/10/19 (水)
平日夜間</v>
      </c>
    </row>
    <row r="4408" spans="1:7" ht="16.149999999999999" x14ac:dyDescent="0.7">
      <c r="A4408" s="49">
        <v>44813.903914710652</v>
      </c>
      <c r="B4408" s="50" t="s">
        <v>17</v>
      </c>
      <c r="C4408" s="50" t="s">
        <v>512</v>
      </c>
      <c r="D4408" s="50" t="s">
        <v>259</v>
      </c>
      <c r="E4408" s="50">
        <v>-1</v>
      </c>
      <c r="F4408" s="51">
        <v>-0.65978611972255252</v>
      </c>
      <c r="G4408" s="51" t="str">
        <v>尾田 2022/10/20 (木)
平日夜間</v>
      </c>
    </row>
    <row r="4409" spans="1:7" ht="16.149999999999999" x14ac:dyDescent="0.7">
      <c r="A4409" s="49">
        <v>44813.903914710652</v>
      </c>
      <c r="B4409" s="50" t="s">
        <v>17</v>
      </c>
      <c r="C4409" s="50" t="s">
        <v>513</v>
      </c>
      <c r="D4409" s="50" t="s">
        <v>259</v>
      </c>
      <c r="E4409" s="50">
        <v>-1</v>
      </c>
      <c r="F4409" s="51">
        <v>-0.86381259645903419</v>
      </c>
      <c r="G4409" s="51" t="str">
        <v>尾田 2022/10/21 (金)
平日夜間</v>
      </c>
    </row>
    <row r="4410" spans="1:7" ht="16.149999999999999" x14ac:dyDescent="0.7">
      <c r="A4410" s="49">
        <v>44813.903914710652</v>
      </c>
      <c r="B4410" s="50" t="s">
        <v>17</v>
      </c>
      <c r="C4410" s="50" t="s">
        <v>514</v>
      </c>
      <c r="D4410" s="50" t="s">
        <v>263</v>
      </c>
      <c r="E4410" s="50">
        <v>-1</v>
      </c>
      <c r="F4410" s="51">
        <v>-3.9505064415313651E-2</v>
      </c>
      <c r="G4410" s="51" t="str">
        <v>尾田 2022/10/22 (土)
休日午前</v>
      </c>
    </row>
    <row r="4411" spans="1:7" ht="16.149999999999999" x14ac:dyDescent="0.7">
      <c r="A4411" s="49">
        <v>44813.903914710652</v>
      </c>
      <c r="B4411" s="50" t="s">
        <v>17</v>
      </c>
      <c r="C4411" s="50" t="s">
        <v>515</v>
      </c>
      <c r="D4411" s="50" t="s">
        <v>261</v>
      </c>
      <c r="E4411" s="50">
        <v>-1</v>
      </c>
      <c r="F4411" s="51">
        <v>-0.80479730350006617</v>
      </c>
      <c r="G4411" s="51" t="str">
        <v>尾田 2022/10/22 (土)
休日午後</v>
      </c>
    </row>
    <row r="4412" spans="1:7" ht="16.149999999999999" x14ac:dyDescent="0.7">
      <c r="A4412" s="49">
        <v>44813.903914710652</v>
      </c>
      <c r="B4412" s="50" t="s">
        <v>17</v>
      </c>
      <c r="C4412" s="50" t="s">
        <v>516</v>
      </c>
      <c r="D4412" s="50" t="s">
        <v>263</v>
      </c>
      <c r="E4412" s="50">
        <v>-1</v>
      </c>
      <c r="F4412" s="51">
        <v>-0.69396739720383604</v>
      </c>
      <c r="G4412" s="51" t="str">
        <v>尾田 2022/10/23 (日)
休日午前</v>
      </c>
    </row>
    <row r="4413" spans="1:7" ht="16.149999999999999" x14ac:dyDescent="0.7">
      <c r="A4413" s="49">
        <v>44813.903914710652</v>
      </c>
      <c r="B4413" s="50" t="s">
        <v>17</v>
      </c>
      <c r="C4413" s="50" t="s">
        <v>517</v>
      </c>
      <c r="D4413" s="50" t="s">
        <v>261</v>
      </c>
      <c r="E4413" s="50">
        <v>-1</v>
      </c>
      <c r="F4413" s="51">
        <v>-0.77804442893328796</v>
      </c>
      <c r="G4413" s="51" t="str">
        <v>尾田 2022/10/23 (日)
休日午後</v>
      </c>
    </row>
    <row r="4414" spans="1:7" ht="16.149999999999999" x14ac:dyDescent="0.7">
      <c r="A4414" s="49">
        <v>44813.903914710652</v>
      </c>
      <c r="B4414" s="50" t="s">
        <v>17</v>
      </c>
      <c r="C4414" s="50" t="s">
        <v>518</v>
      </c>
      <c r="D4414" s="50" t="s">
        <v>259</v>
      </c>
      <c r="E4414" s="50">
        <v>0</v>
      </c>
      <c r="F4414" s="51">
        <v>0.35541584178009011</v>
      </c>
      <c r="G4414" s="51" t="str">
        <v>尾田 2022/10/24 (月)
平日夜間</v>
      </c>
    </row>
    <row r="4415" spans="1:7" ht="16.149999999999999" x14ac:dyDescent="0.7">
      <c r="A4415" s="49">
        <v>44813.903914710652</v>
      </c>
      <c r="B4415" s="50" t="s">
        <v>17</v>
      </c>
      <c r="C4415" s="50" t="s">
        <v>519</v>
      </c>
      <c r="D4415" s="50" t="s">
        <v>259</v>
      </c>
      <c r="E4415" s="50">
        <v>0</v>
      </c>
      <c r="F4415" s="51">
        <v>0.4948468341042791</v>
      </c>
      <c r="G4415" s="51" t="str">
        <v>尾田 2022/10/25 (火)
平日夜間</v>
      </c>
    </row>
    <row r="4416" spans="1:7" ht="16.149999999999999" x14ac:dyDescent="0.7">
      <c r="A4416" s="49">
        <v>44813.903914710652</v>
      </c>
      <c r="B4416" s="50" t="s">
        <v>17</v>
      </c>
      <c r="C4416" s="50" t="s">
        <v>520</v>
      </c>
      <c r="D4416" s="50" t="s">
        <v>259</v>
      </c>
      <c r="E4416" s="50">
        <v>0</v>
      </c>
      <c r="F4416" s="51">
        <v>0.85238146707611162</v>
      </c>
      <c r="G4416" s="51" t="str">
        <v>尾田 2022/10/26 (水)
平日夜間</v>
      </c>
    </row>
    <row r="4417" spans="1:7" ht="16.149999999999999" x14ac:dyDescent="0.7">
      <c r="A4417" s="49">
        <v>44813.903914710652</v>
      </c>
      <c r="B4417" s="50" t="s">
        <v>17</v>
      </c>
      <c r="C4417" s="50" t="s">
        <v>521</v>
      </c>
      <c r="D4417" s="50" t="s">
        <v>259</v>
      </c>
      <c r="E4417" s="50">
        <v>-1</v>
      </c>
      <c r="F4417" s="51">
        <v>-0.78986030010851072</v>
      </c>
      <c r="G4417" s="51" t="str">
        <v>尾田 2022/10/27 (木)
平日夜間</v>
      </c>
    </row>
    <row r="4418" spans="1:7" ht="16.149999999999999" x14ac:dyDescent="0.7">
      <c r="A4418" s="49">
        <v>44813.903914710652</v>
      </c>
      <c r="B4418" s="50" t="s">
        <v>17</v>
      </c>
      <c r="C4418" s="50" t="s">
        <v>522</v>
      </c>
      <c r="D4418" s="50" t="s">
        <v>259</v>
      </c>
      <c r="E4418" s="50">
        <v>-1</v>
      </c>
      <c r="F4418" s="51">
        <v>-0.91752374410268911</v>
      </c>
      <c r="G4418" s="51" t="str">
        <v>尾田 2022/10/28 (金)
平日夜間</v>
      </c>
    </row>
    <row r="4419" spans="1:7" ht="16.149999999999999" x14ac:dyDescent="0.7">
      <c r="A4419" s="49">
        <v>44813.903914710652</v>
      </c>
      <c r="B4419" s="50" t="s">
        <v>17</v>
      </c>
      <c r="C4419" s="50" t="s">
        <v>523</v>
      </c>
      <c r="D4419" s="50" t="s">
        <v>263</v>
      </c>
      <c r="E4419" s="50">
        <v>-1</v>
      </c>
      <c r="F4419" s="51">
        <v>-7.421102475553365E-2</v>
      </c>
      <c r="G4419" s="51" t="str">
        <v>尾田 2022/10/29 (土)
休日午前</v>
      </c>
    </row>
    <row r="4420" spans="1:7" ht="16.149999999999999" x14ac:dyDescent="0.7">
      <c r="A4420" s="49">
        <v>44813.903914710652</v>
      </c>
      <c r="B4420" s="50" t="s">
        <v>17</v>
      </c>
      <c r="C4420" s="50" t="s">
        <v>524</v>
      </c>
      <c r="D4420" s="50" t="s">
        <v>261</v>
      </c>
      <c r="E4420" s="50">
        <v>-1</v>
      </c>
      <c r="F4420" s="51">
        <v>-0.71180156532037686</v>
      </c>
      <c r="G4420" s="51" t="str">
        <v>尾田 2022/10/29 (土)
休日午後</v>
      </c>
    </row>
    <row r="4421" spans="1:7" ht="16.149999999999999" x14ac:dyDescent="0.7">
      <c r="A4421" s="49">
        <v>44813.903914710652</v>
      </c>
      <c r="B4421" s="50" t="s">
        <v>17</v>
      </c>
      <c r="C4421" s="50" t="s">
        <v>525</v>
      </c>
      <c r="D4421" s="50" t="s">
        <v>263</v>
      </c>
      <c r="E4421" s="50">
        <v>-1</v>
      </c>
      <c r="F4421" s="51">
        <v>-0.81776040309195541</v>
      </c>
      <c r="G4421" s="51" t="str">
        <v>尾田 2022/10/30 (日)
休日午前</v>
      </c>
    </row>
    <row r="4422" spans="1:7" ht="16.149999999999999" x14ac:dyDescent="0.7">
      <c r="A4422" s="49">
        <v>44813.903914710652</v>
      </c>
      <c r="B4422" s="50" t="s">
        <v>17</v>
      </c>
      <c r="C4422" s="50" t="s">
        <v>526</v>
      </c>
      <c r="D4422" s="50" t="s">
        <v>261</v>
      </c>
      <c r="E4422" s="50">
        <v>-1</v>
      </c>
      <c r="F4422" s="51">
        <v>-0.64178559331800722</v>
      </c>
      <c r="G4422" s="51" t="str">
        <v>尾田 2022/10/30 (日)
休日午後</v>
      </c>
    </row>
    <row r="4423" spans="1:7" ht="16.149999999999999" x14ac:dyDescent="0.7">
      <c r="A4423" s="49">
        <v>44813.903914710652</v>
      </c>
      <c r="B4423" s="50" t="s">
        <v>17</v>
      </c>
      <c r="C4423" s="50" t="s">
        <v>527</v>
      </c>
      <c r="D4423" s="50" t="s">
        <v>259</v>
      </c>
      <c r="E4423" s="50">
        <v>-1</v>
      </c>
      <c r="F4423" s="51">
        <v>-0.34551467625565868</v>
      </c>
      <c r="G4423" s="51" t="str">
        <v>尾田 2022/10/31 (月)
平日夜間</v>
      </c>
    </row>
    <row r="4424" spans="1:7" ht="16.149999999999999" x14ac:dyDescent="0.7">
      <c r="A4424" s="49">
        <v>44813.927333703701</v>
      </c>
      <c r="B4424" s="50" t="s">
        <v>148</v>
      </c>
      <c r="C4424" s="50" t="s">
        <v>486</v>
      </c>
      <c r="D4424" s="50" t="s">
        <v>263</v>
      </c>
      <c r="E4424" s="50">
        <v>-1</v>
      </c>
      <c r="F4424" s="51">
        <v>-0.22306123381733922</v>
      </c>
      <c r="G4424" s="51" t="str">
        <v>橋元 2022/10/01 (土)
休日午前</v>
      </c>
    </row>
    <row r="4425" spans="1:7" ht="16.149999999999999" x14ac:dyDescent="0.7">
      <c r="A4425" s="49">
        <v>44813.927333703701</v>
      </c>
      <c r="B4425" s="50" t="s">
        <v>148</v>
      </c>
      <c r="C4425" s="50" t="s">
        <v>487</v>
      </c>
      <c r="D4425" s="50" t="s">
        <v>261</v>
      </c>
      <c r="E4425" s="50">
        <v>-1</v>
      </c>
      <c r="F4425" s="51">
        <v>-0.89436535377724957</v>
      </c>
      <c r="G4425" s="51" t="str">
        <v>橋元 2022/10/01 (土)
休日午後</v>
      </c>
    </row>
    <row r="4426" spans="1:7" ht="16.149999999999999" x14ac:dyDescent="0.7">
      <c r="A4426" s="49">
        <v>44813.927333703701</v>
      </c>
      <c r="B4426" s="50" t="s">
        <v>148</v>
      </c>
      <c r="C4426" s="50" t="s">
        <v>488</v>
      </c>
      <c r="D4426" s="50" t="s">
        <v>263</v>
      </c>
      <c r="E4426" s="50">
        <v>-1</v>
      </c>
      <c r="F4426" s="51">
        <v>-0.9275477158880725</v>
      </c>
      <c r="G4426" s="51" t="str">
        <v>橋元 2022/10/02 (日)
休日午前</v>
      </c>
    </row>
    <row r="4427" spans="1:7" ht="16.149999999999999" x14ac:dyDescent="0.7">
      <c r="A4427" s="49">
        <v>44813.927333703701</v>
      </c>
      <c r="B4427" s="50" t="s">
        <v>148</v>
      </c>
      <c r="C4427" s="50" t="s">
        <v>489</v>
      </c>
      <c r="D4427" s="50" t="s">
        <v>261</v>
      </c>
      <c r="E4427" s="50">
        <v>-1</v>
      </c>
      <c r="F4427" s="51">
        <v>-0.83165870484928672</v>
      </c>
      <c r="G4427" s="51" t="str">
        <v>橋元 2022/10/02 (日)
休日午後</v>
      </c>
    </row>
    <row r="4428" spans="1:7" ht="16.149999999999999" x14ac:dyDescent="0.7">
      <c r="A4428" s="49">
        <v>44813.927333703701</v>
      </c>
      <c r="B4428" s="50" t="s">
        <v>148</v>
      </c>
      <c r="C4428" s="50" t="s">
        <v>490</v>
      </c>
      <c r="D4428" s="50" t="s">
        <v>259</v>
      </c>
      <c r="E4428" s="50">
        <v>0</v>
      </c>
      <c r="F4428" s="51">
        <v>0.95797274106370267</v>
      </c>
      <c r="G4428" s="51" t="str">
        <v>橋元 2022/10/03 (月)
平日夜間</v>
      </c>
    </row>
    <row r="4429" spans="1:7" ht="16.149999999999999" x14ac:dyDescent="0.7">
      <c r="A4429" s="49">
        <v>44813.927333703701</v>
      </c>
      <c r="B4429" s="50" t="s">
        <v>148</v>
      </c>
      <c r="C4429" s="50" t="s">
        <v>491</v>
      </c>
      <c r="D4429" s="50" t="s">
        <v>259</v>
      </c>
      <c r="E4429" s="50">
        <v>1</v>
      </c>
      <c r="F4429" s="51">
        <v>1.5519795806235259</v>
      </c>
      <c r="G4429" s="51" t="str">
        <v>橋元 2022/10/04 (火)
平日夜間</v>
      </c>
    </row>
    <row r="4430" spans="1:7" ht="16.149999999999999" x14ac:dyDescent="0.7">
      <c r="A4430" s="49">
        <v>44813.927333703701</v>
      </c>
      <c r="B4430" s="50" t="s">
        <v>148</v>
      </c>
      <c r="C4430" s="50" t="s">
        <v>492</v>
      </c>
      <c r="D4430" s="50" t="s">
        <v>259</v>
      </c>
      <c r="E4430" s="50">
        <v>1</v>
      </c>
      <c r="F4430" s="51">
        <v>1.6315936864177201</v>
      </c>
      <c r="G4430" s="51" t="str">
        <v>橋元 2022/10/05 (水)
平日夜間</v>
      </c>
    </row>
    <row r="4431" spans="1:7" ht="16.149999999999999" x14ac:dyDescent="0.7">
      <c r="A4431" s="49">
        <v>44813.927333703701</v>
      </c>
      <c r="B4431" s="50" t="s">
        <v>148</v>
      </c>
      <c r="C4431" s="50" t="s">
        <v>493</v>
      </c>
      <c r="D4431" s="50" t="s">
        <v>259</v>
      </c>
      <c r="E4431" s="50">
        <v>1</v>
      </c>
      <c r="F4431" s="51">
        <v>1.3461068218547727</v>
      </c>
      <c r="G4431" s="51" t="str">
        <v>橋元 2022/10/06 (木)
平日夜間</v>
      </c>
    </row>
    <row r="4432" spans="1:7" ht="16.149999999999999" x14ac:dyDescent="0.7">
      <c r="A4432" s="49">
        <v>44813.927333703701</v>
      </c>
      <c r="B4432" s="50" t="s">
        <v>148</v>
      </c>
      <c r="C4432" s="50" t="s">
        <v>494</v>
      </c>
      <c r="D4432" s="50" t="s">
        <v>259</v>
      </c>
      <c r="E4432" s="50">
        <v>-1</v>
      </c>
      <c r="F4432" s="51">
        <v>-0.21115479578323204</v>
      </c>
      <c r="G4432" s="51" t="str">
        <v>橋元 2022/10/07 (金)
平日夜間</v>
      </c>
    </row>
    <row r="4433" spans="1:7" ht="16.149999999999999" x14ac:dyDescent="0.7">
      <c r="A4433" s="49">
        <v>44813.927333703701</v>
      </c>
      <c r="B4433" s="50" t="s">
        <v>148</v>
      </c>
      <c r="C4433" s="50" t="s">
        <v>495</v>
      </c>
      <c r="D4433" s="50" t="s">
        <v>263</v>
      </c>
      <c r="E4433" s="50">
        <v>-1</v>
      </c>
      <c r="F4433" s="51">
        <v>-0.6011825839757714</v>
      </c>
      <c r="G4433" s="51" t="str">
        <v>橋元 2022/10/08 (土)
休日午前</v>
      </c>
    </row>
    <row r="4434" spans="1:7" ht="16.149999999999999" x14ac:dyDescent="0.7">
      <c r="A4434" s="49">
        <v>44813.927333703701</v>
      </c>
      <c r="B4434" s="50" t="s">
        <v>148</v>
      </c>
      <c r="C4434" s="50" t="s">
        <v>496</v>
      </c>
      <c r="D4434" s="50" t="s">
        <v>261</v>
      </c>
      <c r="E4434" s="50">
        <v>-1</v>
      </c>
      <c r="F4434" s="51">
        <v>-0.37052189614761866</v>
      </c>
      <c r="G4434" s="51" t="str">
        <v>橋元 2022/10/08 (土)
休日午後</v>
      </c>
    </row>
    <row r="4435" spans="1:7" ht="16.149999999999999" x14ac:dyDescent="0.7">
      <c r="A4435" s="49">
        <v>44813.927333703701</v>
      </c>
      <c r="B4435" s="50" t="s">
        <v>148</v>
      </c>
      <c r="C4435" s="50" t="s">
        <v>497</v>
      </c>
      <c r="D4435" s="50" t="s">
        <v>263</v>
      </c>
      <c r="E4435" s="50">
        <v>-1</v>
      </c>
      <c r="F4435" s="51">
        <v>-0.80131030554059879</v>
      </c>
      <c r="G4435" s="51" t="str">
        <v>橋元 2022/10/09 (日)
休日午前</v>
      </c>
    </row>
    <row r="4436" spans="1:7" ht="16.149999999999999" x14ac:dyDescent="0.7">
      <c r="A4436" s="49">
        <v>44813.927333703701</v>
      </c>
      <c r="B4436" s="50" t="s">
        <v>148</v>
      </c>
      <c r="C4436" s="50" t="s">
        <v>498</v>
      </c>
      <c r="D4436" s="50" t="s">
        <v>261</v>
      </c>
      <c r="E4436" s="50">
        <v>-1</v>
      </c>
      <c r="F4436" s="51">
        <v>-0.38636504908335145</v>
      </c>
      <c r="G4436" s="51" t="str">
        <v>橋元 2022/10/09 (日)
休日午後</v>
      </c>
    </row>
    <row r="4437" spans="1:7" ht="16.149999999999999" x14ac:dyDescent="0.7">
      <c r="A4437" s="49">
        <v>44813.927333703701</v>
      </c>
      <c r="B4437" s="50" t="s">
        <v>148</v>
      </c>
      <c r="C4437" s="50" t="s">
        <v>499</v>
      </c>
      <c r="D4437" s="50" t="s">
        <v>263</v>
      </c>
      <c r="E4437" s="50">
        <v>-1</v>
      </c>
      <c r="F4437" s="51">
        <v>-0.97133807437005704</v>
      </c>
      <c r="G4437" s="51" t="str">
        <v>橋元 2022/10/10 (月)
休日午前</v>
      </c>
    </row>
    <row r="4438" spans="1:7" ht="16.149999999999999" x14ac:dyDescent="0.7">
      <c r="A4438" s="49">
        <v>44813.927333703701</v>
      </c>
      <c r="B4438" s="50" t="s">
        <v>148</v>
      </c>
      <c r="C4438" s="50" t="s">
        <v>500</v>
      </c>
      <c r="D4438" s="50" t="s">
        <v>261</v>
      </c>
      <c r="E4438" s="50">
        <v>-1</v>
      </c>
      <c r="F4438" s="51">
        <v>-0.434496874677617</v>
      </c>
      <c r="G4438" s="51" t="str">
        <v>橋元 2022/10/10 (月)
休日午後</v>
      </c>
    </row>
    <row r="4439" spans="1:7" ht="16.149999999999999" x14ac:dyDescent="0.7">
      <c r="A4439" s="49">
        <v>44813.927333703701</v>
      </c>
      <c r="B4439" s="50" t="s">
        <v>148</v>
      </c>
      <c r="C4439" s="50" t="s">
        <v>501</v>
      </c>
      <c r="D4439" s="50" t="s">
        <v>259</v>
      </c>
      <c r="E4439" s="50">
        <v>0</v>
      </c>
      <c r="F4439" s="51">
        <v>0.38795196486564443</v>
      </c>
      <c r="G4439" s="51" t="str">
        <v>橋元 2022/10/11 (火)
平日夜間</v>
      </c>
    </row>
    <row r="4440" spans="1:7" ht="16.149999999999999" x14ac:dyDescent="0.7">
      <c r="A4440" s="49">
        <v>44813.927333703701</v>
      </c>
      <c r="B4440" s="50" t="s">
        <v>148</v>
      </c>
      <c r="C4440" s="50" t="s">
        <v>502</v>
      </c>
      <c r="D4440" s="50" t="s">
        <v>259</v>
      </c>
      <c r="E4440" s="50">
        <v>0</v>
      </c>
      <c r="F4440" s="51">
        <v>0.6675539433211426</v>
      </c>
      <c r="G4440" s="51" t="str">
        <v>橋元 2022/10/12 (水)
平日夜間</v>
      </c>
    </row>
    <row r="4441" spans="1:7" ht="16.149999999999999" x14ac:dyDescent="0.7">
      <c r="A4441" s="49">
        <v>44813.927333703701</v>
      </c>
      <c r="B4441" s="50" t="s">
        <v>148</v>
      </c>
      <c r="C4441" s="50" t="s">
        <v>503</v>
      </c>
      <c r="D4441" s="50" t="s">
        <v>259</v>
      </c>
      <c r="E4441" s="50">
        <v>0</v>
      </c>
      <c r="F4441" s="51">
        <v>0.51780823489287675</v>
      </c>
      <c r="G4441" s="51" t="str">
        <v>橋元 2022/10/13 (木)
平日夜間</v>
      </c>
    </row>
    <row r="4442" spans="1:7" ht="16.149999999999999" x14ac:dyDescent="0.7">
      <c r="A4442" s="49">
        <v>44813.927333703701</v>
      </c>
      <c r="B4442" s="50" t="s">
        <v>148</v>
      </c>
      <c r="C4442" s="50" t="s">
        <v>504</v>
      </c>
      <c r="D4442" s="50" t="s">
        <v>259</v>
      </c>
      <c r="E4442" s="50">
        <v>0</v>
      </c>
      <c r="F4442" s="51">
        <v>0.64380115770464497</v>
      </c>
      <c r="G4442" s="51" t="str">
        <v>橋元 2022/10/14 (金)
平日夜間</v>
      </c>
    </row>
    <row r="4443" spans="1:7" ht="16.149999999999999" x14ac:dyDescent="0.7">
      <c r="A4443" s="49">
        <v>44813.927333703701</v>
      </c>
      <c r="B4443" s="50" t="s">
        <v>148</v>
      </c>
      <c r="C4443" s="50" t="s">
        <v>505</v>
      </c>
      <c r="D4443" s="50" t="s">
        <v>263</v>
      </c>
      <c r="E4443" s="50">
        <v>0</v>
      </c>
      <c r="F4443" s="51">
        <v>0.17620468757538932</v>
      </c>
      <c r="G4443" s="51" t="str">
        <v>橋元 2022/10/15 (土)
休日午前</v>
      </c>
    </row>
    <row r="4444" spans="1:7" ht="16.149999999999999" x14ac:dyDescent="0.7">
      <c r="A4444" s="49">
        <v>44813.927333703701</v>
      </c>
      <c r="B4444" s="50" t="s">
        <v>148</v>
      </c>
      <c r="C4444" s="50" t="s">
        <v>506</v>
      </c>
      <c r="D4444" s="50" t="s">
        <v>261</v>
      </c>
      <c r="E4444" s="50">
        <v>0</v>
      </c>
      <c r="F4444" s="51">
        <v>0.53494191226917476</v>
      </c>
      <c r="G4444" s="51" t="str">
        <v>橋元 2022/10/15 (土)
休日午後</v>
      </c>
    </row>
    <row r="4445" spans="1:7" ht="16.149999999999999" x14ac:dyDescent="0.7">
      <c r="A4445" s="49">
        <v>44813.927333703701</v>
      </c>
      <c r="B4445" s="50" t="s">
        <v>148</v>
      </c>
      <c r="C4445" s="50" t="s">
        <v>507</v>
      </c>
      <c r="D4445" s="50" t="s">
        <v>263</v>
      </c>
      <c r="E4445" s="50">
        <v>-1</v>
      </c>
      <c r="F4445" s="51">
        <v>-0.73287774551049956</v>
      </c>
      <c r="G4445" s="51" t="str">
        <v>橋元 2022/10/16 (日)
休日午前</v>
      </c>
    </row>
    <row r="4446" spans="1:7" ht="16.149999999999999" x14ac:dyDescent="0.7">
      <c r="A4446" s="49">
        <v>44813.927333703701</v>
      </c>
      <c r="B4446" s="50" t="s">
        <v>148</v>
      </c>
      <c r="C4446" s="50" t="s">
        <v>508</v>
      </c>
      <c r="D4446" s="50" t="s">
        <v>261</v>
      </c>
      <c r="E4446" s="50">
        <v>-1</v>
      </c>
      <c r="F4446" s="51">
        <v>-0.26265294090027091</v>
      </c>
      <c r="G4446" s="51" t="str">
        <v>橋元 2022/10/16 (日)
休日午後</v>
      </c>
    </row>
    <row r="4447" spans="1:7" ht="16.149999999999999" x14ac:dyDescent="0.7">
      <c r="A4447" s="49">
        <v>44813.927333703701</v>
      </c>
      <c r="B4447" s="50" t="s">
        <v>148</v>
      </c>
      <c r="C4447" s="50" t="s">
        <v>509</v>
      </c>
      <c r="D4447" s="50" t="s">
        <v>259</v>
      </c>
      <c r="E4447" s="50">
        <v>0</v>
      </c>
      <c r="F4447" s="51">
        <v>0.59449534144458194</v>
      </c>
      <c r="G4447" s="51" t="str">
        <v>橋元 2022/10/17 (月)
平日夜間</v>
      </c>
    </row>
    <row r="4448" spans="1:7" ht="16.149999999999999" x14ac:dyDescent="0.7">
      <c r="A4448" s="49">
        <v>44813.927333703701</v>
      </c>
      <c r="B4448" s="50" t="s">
        <v>148</v>
      </c>
      <c r="C4448" s="50" t="s">
        <v>510</v>
      </c>
      <c r="D4448" s="50" t="s">
        <v>259</v>
      </c>
      <c r="E4448" s="50">
        <v>1</v>
      </c>
      <c r="F4448" s="51">
        <v>1.2064932660117786</v>
      </c>
      <c r="G4448" s="51" t="str">
        <v>橋元 2022/10/18 (火)
平日夜間</v>
      </c>
    </row>
    <row r="4449" spans="1:7" ht="16.149999999999999" x14ac:dyDescent="0.7">
      <c r="A4449" s="49">
        <v>44813.927333703701</v>
      </c>
      <c r="B4449" s="50" t="s">
        <v>148</v>
      </c>
      <c r="C4449" s="50" t="s">
        <v>511</v>
      </c>
      <c r="D4449" s="50" t="s">
        <v>259</v>
      </c>
      <c r="E4449" s="50">
        <v>0</v>
      </c>
      <c r="F4449" s="51">
        <v>0.65646064508836277</v>
      </c>
      <c r="G4449" s="51" t="str">
        <v>橋元 2022/10/19 (水)
平日夜間</v>
      </c>
    </row>
    <row r="4450" spans="1:7" ht="16.149999999999999" x14ac:dyDescent="0.7">
      <c r="A4450" s="49">
        <v>44813.927333703701</v>
      </c>
      <c r="B4450" s="50" t="s">
        <v>148</v>
      </c>
      <c r="C4450" s="50" t="s">
        <v>512</v>
      </c>
      <c r="D4450" s="50" t="s">
        <v>259</v>
      </c>
      <c r="E4450" s="50">
        <v>0</v>
      </c>
      <c r="F4450" s="51">
        <v>0.30941114755967036</v>
      </c>
      <c r="G4450" s="51" t="str">
        <v>橋元 2022/10/20 (木)
平日夜間</v>
      </c>
    </row>
    <row r="4451" spans="1:7" ht="16.149999999999999" x14ac:dyDescent="0.7">
      <c r="A4451" s="49">
        <v>44813.927333703701</v>
      </c>
      <c r="B4451" s="50" t="s">
        <v>148</v>
      </c>
      <c r="C4451" s="50" t="s">
        <v>513</v>
      </c>
      <c r="D4451" s="50" t="s">
        <v>259</v>
      </c>
      <c r="E4451" s="50">
        <v>0</v>
      </c>
      <c r="F4451" s="51">
        <v>0.46966214432162512</v>
      </c>
      <c r="G4451" s="51" t="str">
        <v>橋元 2022/10/21 (金)
平日夜間</v>
      </c>
    </row>
    <row r="4452" spans="1:7" ht="16.149999999999999" x14ac:dyDescent="0.7">
      <c r="A4452" s="49">
        <v>44813.927333703701</v>
      </c>
      <c r="B4452" s="50" t="s">
        <v>148</v>
      </c>
      <c r="C4452" s="50" t="s">
        <v>514</v>
      </c>
      <c r="D4452" s="50" t="s">
        <v>263</v>
      </c>
      <c r="E4452" s="50">
        <v>-1</v>
      </c>
      <c r="F4452" s="51">
        <v>-0.3054704038604823</v>
      </c>
      <c r="G4452" s="51" t="str">
        <v>橋元 2022/10/22 (土)
休日午前</v>
      </c>
    </row>
    <row r="4453" spans="1:7" ht="16.149999999999999" x14ac:dyDescent="0.7">
      <c r="A4453" s="49">
        <v>44813.927333703701</v>
      </c>
      <c r="B4453" s="50" t="s">
        <v>148</v>
      </c>
      <c r="C4453" s="50" t="s">
        <v>515</v>
      </c>
      <c r="D4453" s="50" t="s">
        <v>261</v>
      </c>
      <c r="E4453" s="50">
        <v>-1</v>
      </c>
      <c r="F4453" s="51">
        <v>-0.32312138160165094</v>
      </c>
      <c r="G4453" s="51" t="str">
        <v>橋元 2022/10/22 (土)
休日午後</v>
      </c>
    </row>
    <row r="4454" spans="1:7" ht="16.149999999999999" x14ac:dyDescent="0.7">
      <c r="A4454" s="49">
        <v>44813.927333703701</v>
      </c>
      <c r="B4454" s="50" t="s">
        <v>148</v>
      </c>
      <c r="C4454" s="50" t="s">
        <v>516</v>
      </c>
      <c r="D4454" s="50" t="s">
        <v>263</v>
      </c>
      <c r="E4454" s="50">
        <v>-1</v>
      </c>
      <c r="F4454" s="51">
        <v>-0.78596077382084695</v>
      </c>
      <c r="G4454" s="51" t="str">
        <v>橋元 2022/10/23 (日)
休日午前</v>
      </c>
    </row>
    <row r="4455" spans="1:7" ht="16.149999999999999" x14ac:dyDescent="0.7">
      <c r="A4455" s="49">
        <v>44813.927333703701</v>
      </c>
      <c r="B4455" s="50" t="s">
        <v>148</v>
      </c>
      <c r="C4455" s="50" t="s">
        <v>517</v>
      </c>
      <c r="D4455" s="50" t="s">
        <v>261</v>
      </c>
      <c r="E4455" s="50">
        <v>-1</v>
      </c>
      <c r="F4455" s="51">
        <v>-0.52972461100018675</v>
      </c>
      <c r="G4455" s="51" t="str">
        <v>橋元 2022/10/23 (日)
休日午後</v>
      </c>
    </row>
    <row r="4456" spans="1:7" ht="16.149999999999999" x14ac:dyDescent="0.7">
      <c r="A4456" s="49">
        <v>44813.927333703701</v>
      </c>
      <c r="B4456" s="50" t="s">
        <v>148</v>
      </c>
      <c r="C4456" s="50" t="s">
        <v>518</v>
      </c>
      <c r="D4456" s="50" t="s">
        <v>259</v>
      </c>
      <c r="E4456" s="50">
        <v>0</v>
      </c>
      <c r="F4456" s="51">
        <v>0.78249520388099691</v>
      </c>
      <c r="G4456" s="51" t="str">
        <v>橋元 2022/10/24 (月)
平日夜間</v>
      </c>
    </row>
    <row r="4457" spans="1:7" ht="16.149999999999999" x14ac:dyDescent="0.7">
      <c r="A4457" s="49">
        <v>44813.927333703701</v>
      </c>
      <c r="B4457" s="50" t="s">
        <v>148</v>
      </c>
      <c r="C4457" s="50" t="s">
        <v>519</v>
      </c>
      <c r="D4457" s="50" t="s">
        <v>259</v>
      </c>
      <c r="E4457" s="50">
        <v>0</v>
      </c>
      <c r="F4457" s="51">
        <v>0.96376255459302063</v>
      </c>
      <c r="G4457" s="51" t="str">
        <v>橋元 2022/10/25 (火)
平日夜間</v>
      </c>
    </row>
    <row r="4458" spans="1:7" ht="16.149999999999999" x14ac:dyDescent="0.7">
      <c r="A4458" s="49">
        <v>44813.927333703701</v>
      </c>
      <c r="B4458" s="50" t="s">
        <v>148</v>
      </c>
      <c r="C4458" s="50" t="s">
        <v>520</v>
      </c>
      <c r="D4458" s="50" t="s">
        <v>259</v>
      </c>
      <c r="E4458" s="50">
        <v>0</v>
      </c>
      <c r="F4458" s="51">
        <v>0.92803833795786805</v>
      </c>
      <c r="G4458" s="51" t="str">
        <v>橋元 2022/10/26 (水)
平日夜間</v>
      </c>
    </row>
    <row r="4459" spans="1:7" ht="16.149999999999999" x14ac:dyDescent="0.7">
      <c r="A4459" s="49">
        <v>44813.927333703701</v>
      </c>
      <c r="B4459" s="50" t="s">
        <v>148</v>
      </c>
      <c r="C4459" s="50" t="s">
        <v>521</v>
      </c>
      <c r="D4459" s="50" t="s">
        <v>259</v>
      </c>
      <c r="E4459" s="50">
        <v>0</v>
      </c>
      <c r="F4459" s="51">
        <v>0.87101015719286345</v>
      </c>
      <c r="G4459" s="51" t="str">
        <v>橋元 2022/10/27 (木)
平日夜間</v>
      </c>
    </row>
    <row r="4460" spans="1:7" ht="16.149999999999999" x14ac:dyDescent="0.7">
      <c r="A4460" s="49">
        <v>44813.927333703701</v>
      </c>
      <c r="B4460" s="50" t="s">
        <v>148</v>
      </c>
      <c r="C4460" s="50" t="s">
        <v>522</v>
      </c>
      <c r="D4460" s="50" t="s">
        <v>259</v>
      </c>
      <c r="E4460" s="50">
        <v>0</v>
      </c>
      <c r="F4460" s="51">
        <v>0.27446752282224374</v>
      </c>
      <c r="G4460" s="51" t="str">
        <v>橋元 2022/10/28 (金)
平日夜間</v>
      </c>
    </row>
    <row r="4461" spans="1:7" ht="16.149999999999999" x14ac:dyDescent="0.7">
      <c r="A4461" s="49">
        <v>44813.927333703701</v>
      </c>
      <c r="B4461" s="50" t="s">
        <v>148</v>
      </c>
      <c r="C4461" s="50" t="s">
        <v>523</v>
      </c>
      <c r="D4461" s="50" t="s">
        <v>263</v>
      </c>
      <c r="E4461" s="50">
        <v>2</v>
      </c>
      <c r="F4461" s="51">
        <v>2.7402306971026418</v>
      </c>
      <c r="G4461" s="51" t="str">
        <v>橋元 2022/10/29 (土)
休日午前</v>
      </c>
    </row>
    <row r="4462" spans="1:7" ht="16.149999999999999" x14ac:dyDescent="0.7">
      <c r="A4462" s="49">
        <v>44813.927333703701</v>
      </c>
      <c r="B4462" s="50" t="s">
        <v>148</v>
      </c>
      <c r="C4462" s="50" t="s">
        <v>524</v>
      </c>
      <c r="D4462" s="50" t="s">
        <v>261</v>
      </c>
      <c r="E4462" s="50">
        <v>1</v>
      </c>
      <c r="F4462" s="51">
        <v>1.33395381935725</v>
      </c>
      <c r="G4462" s="51" t="str">
        <v>橋元 2022/10/29 (土)
休日午後</v>
      </c>
    </row>
    <row r="4463" spans="1:7" ht="16.149999999999999" x14ac:dyDescent="0.7">
      <c r="A4463" s="49">
        <v>44813.927333703701</v>
      </c>
      <c r="B4463" s="50" t="s">
        <v>148</v>
      </c>
      <c r="C4463" s="50" t="s">
        <v>525</v>
      </c>
      <c r="D4463" s="50" t="s">
        <v>263</v>
      </c>
      <c r="E4463" s="50">
        <v>-1</v>
      </c>
      <c r="F4463" s="51">
        <v>-0.59584825511373585</v>
      </c>
      <c r="G4463" s="51" t="str">
        <v>橋元 2022/10/30 (日)
休日午前</v>
      </c>
    </row>
    <row r="4464" spans="1:7" ht="16.149999999999999" x14ac:dyDescent="0.7">
      <c r="A4464" s="49">
        <v>44813.927333703701</v>
      </c>
      <c r="B4464" s="50" t="s">
        <v>148</v>
      </c>
      <c r="C4464" s="50" t="s">
        <v>526</v>
      </c>
      <c r="D4464" s="50" t="s">
        <v>261</v>
      </c>
      <c r="E4464" s="50">
        <v>-1</v>
      </c>
      <c r="F4464" s="51">
        <v>-0.33055167206580616</v>
      </c>
      <c r="G4464" s="51" t="str">
        <v>橋元 2022/10/30 (日)
休日午後</v>
      </c>
    </row>
    <row r="4465" spans="1:7" ht="16.149999999999999" x14ac:dyDescent="0.7">
      <c r="A4465" s="49">
        <v>44813.927333703701</v>
      </c>
      <c r="B4465" s="50" t="s">
        <v>148</v>
      </c>
      <c r="C4465" s="50" t="s">
        <v>527</v>
      </c>
      <c r="D4465" s="50" t="s">
        <v>259</v>
      </c>
      <c r="E4465" s="50">
        <v>0</v>
      </c>
      <c r="F4465" s="51">
        <v>0.20109045478652332</v>
      </c>
      <c r="G4465" s="51" t="str">
        <v>橋元 2022/10/31 (月)
平日夜間</v>
      </c>
    </row>
    <row r="4466" spans="1:7" ht="16.149999999999999" x14ac:dyDescent="0.7">
      <c r="A4466" s="49">
        <v>44813.970780567135</v>
      </c>
      <c r="B4466" s="50" t="s">
        <v>6</v>
      </c>
      <c r="C4466" s="50" t="s">
        <v>486</v>
      </c>
      <c r="D4466" s="50" t="s">
        <v>263</v>
      </c>
      <c r="E4466" s="50">
        <v>-1</v>
      </c>
      <c r="F4466" s="51">
        <v>-0.91720689157904456</v>
      </c>
      <c r="G4466" s="51" t="str">
        <v>西谷 2022/10/01 (土)
休日午前</v>
      </c>
    </row>
    <row r="4467" spans="1:7" ht="16.149999999999999" x14ac:dyDescent="0.7">
      <c r="A4467" s="49">
        <v>44813.970780567135</v>
      </c>
      <c r="B4467" s="50" t="s">
        <v>6</v>
      </c>
      <c r="C4467" s="50" t="s">
        <v>487</v>
      </c>
      <c r="D4467" s="50" t="s">
        <v>261</v>
      </c>
      <c r="E4467" s="50">
        <v>-1</v>
      </c>
      <c r="F4467" s="51">
        <v>-0.97800230556826406</v>
      </c>
      <c r="G4467" s="51" t="str">
        <v>西谷 2022/10/01 (土)
休日午後</v>
      </c>
    </row>
    <row r="4468" spans="1:7" ht="16.149999999999999" x14ac:dyDescent="0.7">
      <c r="A4468" s="49">
        <v>44813.970780567135</v>
      </c>
      <c r="B4468" s="50" t="s">
        <v>6</v>
      </c>
      <c r="C4468" s="50" t="s">
        <v>488</v>
      </c>
      <c r="D4468" s="50" t="s">
        <v>263</v>
      </c>
      <c r="E4468" s="50">
        <v>-1</v>
      </c>
      <c r="F4468" s="51">
        <v>-0.19934977758538097</v>
      </c>
      <c r="G4468" s="51" t="str">
        <v>西谷 2022/10/02 (日)
休日午前</v>
      </c>
    </row>
    <row r="4469" spans="1:7" ht="16.149999999999999" x14ac:dyDescent="0.7">
      <c r="A4469" s="49">
        <v>44813.970780567135</v>
      </c>
      <c r="B4469" s="50" t="s">
        <v>6</v>
      </c>
      <c r="C4469" s="50" t="s">
        <v>489</v>
      </c>
      <c r="D4469" s="50" t="s">
        <v>261</v>
      </c>
      <c r="E4469" s="50">
        <v>-1</v>
      </c>
      <c r="F4469" s="51">
        <v>-0.23353802534902601</v>
      </c>
      <c r="G4469" s="51" t="str">
        <v>西谷 2022/10/02 (日)
休日午後</v>
      </c>
    </row>
    <row r="4470" spans="1:7" ht="16.149999999999999" x14ac:dyDescent="0.7">
      <c r="A4470" s="49">
        <v>44813.970780567135</v>
      </c>
      <c r="B4470" s="50" t="s">
        <v>6</v>
      </c>
      <c r="C4470" s="50" t="s">
        <v>490</v>
      </c>
      <c r="D4470" s="50" t="s">
        <v>259</v>
      </c>
      <c r="E4470" s="50">
        <v>-1</v>
      </c>
      <c r="F4470" s="51">
        <v>-0.37136773383874822</v>
      </c>
      <c r="G4470" s="51" t="str">
        <v>西谷 2022/10/03 (月)
平日夜間</v>
      </c>
    </row>
    <row r="4471" spans="1:7" ht="16.149999999999999" x14ac:dyDescent="0.7">
      <c r="A4471" s="49">
        <v>44813.970780567135</v>
      </c>
      <c r="B4471" s="50" t="s">
        <v>6</v>
      </c>
      <c r="C4471" s="50" t="s">
        <v>491</v>
      </c>
      <c r="D4471" s="50" t="s">
        <v>259</v>
      </c>
      <c r="E4471" s="50">
        <v>0</v>
      </c>
      <c r="F4471" s="51">
        <v>0.2885960551094322</v>
      </c>
      <c r="G4471" s="51" t="str">
        <v>西谷 2022/10/04 (火)
平日夜間</v>
      </c>
    </row>
    <row r="4472" spans="1:7" ht="16.149999999999999" x14ac:dyDescent="0.7">
      <c r="A4472" s="49">
        <v>44813.970780567135</v>
      </c>
      <c r="B4472" s="50" t="s">
        <v>6</v>
      </c>
      <c r="C4472" s="50" t="s">
        <v>492</v>
      </c>
      <c r="D4472" s="50" t="s">
        <v>259</v>
      </c>
      <c r="E4472" s="50">
        <v>0</v>
      </c>
      <c r="F4472" s="51">
        <v>0.76281990589492765</v>
      </c>
      <c r="G4472" s="51" t="str">
        <v>西谷 2022/10/05 (水)
平日夜間</v>
      </c>
    </row>
    <row r="4473" spans="1:7" ht="16.149999999999999" x14ac:dyDescent="0.7">
      <c r="A4473" s="49">
        <v>44813.970780567135</v>
      </c>
      <c r="B4473" s="50" t="s">
        <v>6</v>
      </c>
      <c r="C4473" s="50" t="s">
        <v>493</v>
      </c>
      <c r="D4473" s="50" t="s">
        <v>259</v>
      </c>
      <c r="E4473" s="50">
        <v>-1</v>
      </c>
      <c r="F4473" s="51">
        <v>-0.49721669679381741</v>
      </c>
      <c r="G4473" s="51" t="str">
        <v>西谷 2022/10/06 (木)
平日夜間</v>
      </c>
    </row>
    <row r="4474" spans="1:7" ht="16.149999999999999" x14ac:dyDescent="0.7">
      <c r="A4474" s="49">
        <v>44813.970780567135</v>
      </c>
      <c r="B4474" s="50" t="s">
        <v>6</v>
      </c>
      <c r="C4474" s="50" t="s">
        <v>494</v>
      </c>
      <c r="D4474" s="50" t="s">
        <v>259</v>
      </c>
      <c r="E4474" s="50">
        <v>-1</v>
      </c>
      <c r="F4474" s="51">
        <v>-0.36688066929769758</v>
      </c>
      <c r="G4474" s="51" t="str">
        <v>西谷 2022/10/07 (金)
平日夜間</v>
      </c>
    </row>
    <row r="4475" spans="1:7" ht="16.149999999999999" x14ac:dyDescent="0.7">
      <c r="A4475" s="49">
        <v>44813.970780567135</v>
      </c>
      <c r="B4475" s="50" t="s">
        <v>6</v>
      </c>
      <c r="C4475" s="50" t="s">
        <v>495</v>
      </c>
      <c r="D4475" s="50" t="s">
        <v>263</v>
      </c>
      <c r="E4475" s="50">
        <v>-1</v>
      </c>
      <c r="F4475" s="51">
        <v>-0.42561558556785584</v>
      </c>
      <c r="G4475" s="51" t="str">
        <v>西谷 2022/10/08 (土)
休日午前</v>
      </c>
    </row>
    <row r="4476" spans="1:7" ht="16.149999999999999" x14ac:dyDescent="0.7">
      <c r="A4476" s="49">
        <v>44813.970780567135</v>
      </c>
      <c r="B4476" s="50" t="s">
        <v>6</v>
      </c>
      <c r="C4476" s="50" t="s">
        <v>496</v>
      </c>
      <c r="D4476" s="50" t="s">
        <v>261</v>
      </c>
      <c r="E4476" s="50">
        <v>-1</v>
      </c>
      <c r="F4476" s="51">
        <v>-0.81488417159363147</v>
      </c>
      <c r="G4476" s="51" t="str">
        <v>西谷 2022/10/08 (土)
休日午後</v>
      </c>
    </row>
    <row r="4477" spans="1:7" ht="16.149999999999999" x14ac:dyDescent="0.7">
      <c r="A4477" s="49">
        <v>44813.970780567135</v>
      </c>
      <c r="B4477" s="50" t="s">
        <v>6</v>
      </c>
      <c r="C4477" s="50" t="s">
        <v>497</v>
      </c>
      <c r="D4477" s="50" t="s">
        <v>263</v>
      </c>
      <c r="E4477" s="50">
        <v>-1</v>
      </c>
      <c r="F4477" s="51">
        <v>-9.1781338254337319E-2</v>
      </c>
      <c r="G4477" s="51" t="str">
        <v>西谷 2022/10/09 (日)
休日午前</v>
      </c>
    </row>
    <row r="4478" spans="1:7" ht="16.149999999999999" x14ac:dyDescent="0.7">
      <c r="A4478" s="49">
        <v>44813.970780567135</v>
      </c>
      <c r="B4478" s="50" t="s">
        <v>6</v>
      </c>
      <c r="C4478" s="50" t="s">
        <v>498</v>
      </c>
      <c r="D4478" s="50" t="s">
        <v>261</v>
      </c>
      <c r="E4478" s="50">
        <v>-1</v>
      </c>
      <c r="F4478" s="51">
        <v>-0.91380634068185196</v>
      </c>
      <c r="G4478" s="51" t="str">
        <v>西谷 2022/10/09 (日)
休日午後</v>
      </c>
    </row>
    <row r="4479" spans="1:7" ht="16.149999999999999" x14ac:dyDescent="0.7">
      <c r="A4479" s="49">
        <v>44813.970780567135</v>
      </c>
      <c r="B4479" s="50" t="s">
        <v>6</v>
      </c>
      <c r="C4479" s="50" t="s">
        <v>499</v>
      </c>
      <c r="D4479" s="50" t="s">
        <v>263</v>
      </c>
      <c r="E4479" s="50">
        <v>-1</v>
      </c>
      <c r="F4479" s="51">
        <v>-0.81084313290711063</v>
      </c>
      <c r="G4479" s="51" t="str">
        <v>西谷 2022/10/10 (月)
休日午前</v>
      </c>
    </row>
    <row r="4480" spans="1:7" ht="16.149999999999999" x14ac:dyDescent="0.7">
      <c r="A4480" s="49">
        <v>44813.970780567135</v>
      </c>
      <c r="B4480" s="50" t="s">
        <v>6</v>
      </c>
      <c r="C4480" s="50" t="s">
        <v>500</v>
      </c>
      <c r="D4480" s="50" t="s">
        <v>261</v>
      </c>
      <c r="E4480" s="50">
        <v>-1</v>
      </c>
      <c r="F4480" s="51">
        <v>-6.8792845995911067E-2</v>
      </c>
      <c r="G4480" s="51" t="str">
        <v>西谷 2022/10/10 (月)
休日午後</v>
      </c>
    </row>
    <row r="4481" spans="1:7" ht="16.149999999999999" x14ac:dyDescent="0.7">
      <c r="A4481" s="49">
        <v>44813.970780567135</v>
      </c>
      <c r="B4481" s="50" t="s">
        <v>6</v>
      </c>
      <c r="C4481" s="50" t="s">
        <v>501</v>
      </c>
      <c r="D4481" s="50" t="s">
        <v>259</v>
      </c>
      <c r="E4481" s="50">
        <v>0</v>
      </c>
      <c r="F4481" s="51">
        <v>0.63205605733857184</v>
      </c>
      <c r="G4481" s="51" t="str">
        <v>西谷 2022/10/11 (火)
平日夜間</v>
      </c>
    </row>
    <row r="4482" spans="1:7" ht="16.149999999999999" x14ac:dyDescent="0.7">
      <c r="A4482" s="49">
        <v>44813.970780567135</v>
      </c>
      <c r="B4482" s="50" t="s">
        <v>6</v>
      </c>
      <c r="C4482" s="50" t="s">
        <v>502</v>
      </c>
      <c r="D4482" s="50" t="s">
        <v>259</v>
      </c>
      <c r="E4482" s="50">
        <v>1</v>
      </c>
      <c r="F4482" s="51">
        <v>1.273253207266297</v>
      </c>
      <c r="G4482" s="51" t="str">
        <v>西谷 2022/10/12 (水)
平日夜間</v>
      </c>
    </row>
    <row r="4483" spans="1:7" ht="16.149999999999999" x14ac:dyDescent="0.7">
      <c r="A4483" s="49">
        <v>44813.970780567135</v>
      </c>
      <c r="B4483" s="50" t="s">
        <v>6</v>
      </c>
      <c r="C4483" s="50" t="s">
        <v>503</v>
      </c>
      <c r="D4483" s="50" t="s">
        <v>259</v>
      </c>
      <c r="E4483" s="50">
        <v>1</v>
      </c>
      <c r="F4483" s="51">
        <v>1.3971599943792361</v>
      </c>
      <c r="G4483" s="51" t="str">
        <v>西谷 2022/10/13 (木)
平日夜間</v>
      </c>
    </row>
    <row r="4484" spans="1:7" ht="16.149999999999999" x14ac:dyDescent="0.7">
      <c r="A4484" s="49">
        <v>44813.970780567135</v>
      </c>
      <c r="B4484" s="50" t="s">
        <v>6</v>
      </c>
      <c r="C4484" s="50" t="s">
        <v>504</v>
      </c>
      <c r="D4484" s="50" t="s">
        <v>259</v>
      </c>
      <c r="E4484" s="50">
        <v>0</v>
      </c>
      <c r="F4484" s="51">
        <v>0.33121483986501077</v>
      </c>
      <c r="G4484" s="51" t="str">
        <v>西谷 2022/10/14 (金)
平日夜間</v>
      </c>
    </row>
    <row r="4485" spans="1:7" ht="16.149999999999999" x14ac:dyDescent="0.7">
      <c r="A4485" s="49">
        <v>44813.970780567135</v>
      </c>
      <c r="B4485" s="50" t="s">
        <v>6</v>
      </c>
      <c r="C4485" s="50" t="s">
        <v>505</v>
      </c>
      <c r="D4485" s="50" t="s">
        <v>263</v>
      </c>
      <c r="E4485" s="50">
        <v>0</v>
      </c>
      <c r="F4485" s="51">
        <v>0.91979299209501852</v>
      </c>
      <c r="G4485" s="51" t="str">
        <v>西谷 2022/10/15 (土)
休日午前</v>
      </c>
    </row>
    <row r="4486" spans="1:7" ht="16.149999999999999" x14ac:dyDescent="0.7">
      <c r="A4486" s="49">
        <v>44813.970780567135</v>
      </c>
      <c r="B4486" s="50" t="s">
        <v>6</v>
      </c>
      <c r="C4486" s="50" t="s">
        <v>506</v>
      </c>
      <c r="D4486" s="50" t="s">
        <v>261</v>
      </c>
      <c r="E4486" s="50">
        <v>0</v>
      </c>
      <c r="F4486" s="51">
        <v>0.50034108742686634</v>
      </c>
      <c r="G4486" s="51" t="str">
        <v>西谷 2022/10/15 (土)
休日午後</v>
      </c>
    </row>
    <row r="4487" spans="1:7" ht="16.149999999999999" x14ac:dyDescent="0.7">
      <c r="A4487" s="49">
        <v>44813.970780567135</v>
      </c>
      <c r="B4487" s="50" t="s">
        <v>6</v>
      </c>
      <c r="C4487" s="50" t="s">
        <v>507</v>
      </c>
      <c r="D4487" s="50" t="s">
        <v>263</v>
      </c>
      <c r="E4487" s="50">
        <v>0</v>
      </c>
      <c r="F4487" s="51">
        <v>0.55657802759747854</v>
      </c>
      <c r="G4487" s="51" t="str">
        <v>西谷 2022/10/16 (日)
休日午前</v>
      </c>
    </row>
    <row r="4488" spans="1:7" ht="16.149999999999999" x14ac:dyDescent="0.7">
      <c r="A4488" s="49">
        <v>44813.970780567135</v>
      </c>
      <c r="B4488" s="50" t="s">
        <v>6</v>
      </c>
      <c r="C4488" s="50" t="s">
        <v>508</v>
      </c>
      <c r="D4488" s="50" t="s">
        <v>261</v>
      </c>
      <c r="E4488" s="50">
        <v>0</v>
      </c>
      <c r="F4488" s="51">
        <v>0.6758936212479929</v>
      </c>
      <c r="G4488" s="51" t="str">
        <v>西谷 2022/10/16 (日)
休日午後</v>
      </c>
    </row>
    <row r="4489" spans="1:7" ht="16.149999999999999" x14ac:dyDescent="0.7">
      <c r="A4489" s="49">
        <v>44813.970780567135</v>
      </c>
      <c r="B4489" s="50" t="s">
        <v>6</v>
      </c>
      <c r="C4489" s="50" t="s">
        <v>509</v>
      </c>
      <c r="D4489" s="50" t="s">
        <v>259</v>
      </c>
      <c r="E4489" s="50">
        <v>0</v>
      </c>
      <c r="F4489" s="51">
        <v>0.49548570701983596</v>
      </c>
      <c r="G4489" s="51" t="str">
        <v>西谷 2022/10/17 (月)
平日夜間</v>
      </c>
    </row>
    <row r="4490" spans="1:7" ht="16.149999999999999" x14ac:dyDescent="0.7">
      <c r="A4490" s="49">
        <v>44813.970780567135</v>
      </c>
      <c r="B4490" s="50" t="s">
        <v>6</v>
      </c>
      <c r="C4490" s="50" t="s">
        <v>510</v>
      </c>
      <c r="D4490" s="50" t="s">
        <v>259</v>
      </c>
      <c r="E4490" s="50">
        <v>1</v>
      </c>
      <c r="F4490" s="51">
        <v>1.1597557045655404</v>
      </c>
      <c r="G4490" s="51" t="str">
        <v>西谷 2022/10/18 (火)
平日夜間</v>
      </c>
    </row>
    <row r="4491" spans="1:7" ht="16.149999999999999" x14ac:dyDescent="0.7">
      <c r="A4491" s="49">
        <v>44813.970780567135</v>
      </c>
      <c r="B4491" s="50" t="s">
        <v>6</v>
      </c>
      <c r="C4491" s="50" t="s">
        <v>511</v>
      </c>
      <c r="D4491" s="50" t="s">
        <v>259</v>
      </c>
      <c r="E4491" s="50">
        <v>1</v>
      </c>
      <c r="F4491" s="51">
        <v>1.5722914658181524</v>
      </c>
      <c r="G4491" s="51" t="str">
        <v>西谷 2022/10/19 (水)
平日夜間</v>
      </c>
    </row>
    <row r="4492" spans="1:7" ht="16.149999999999999" x14ac:dyDescent="0.7">
      <c r="A4492" s="49">
        <v>44813.970780567135</v>
      </c>
      <c r="B4492" s="50" t="s">
        <v>6</v>
      </c>
      <c r="C4492" s="50" t="s">
        <v>512</v>
      </c>
      <c r="D4492" s="50" t="s">
        <v>259</v>
      </c>
      <c r="E4492" s="50">
        <v>1</v>
      </c>
      <c r="F4492" s="51">
        <v>1.1995897933302506</v>
      </c>
      <c r="G4492" s="51" t="str">
        <v>西谷 2022/10/20 (木)
平日夜間</v>
      </c>
    </row>
    <row r="4493" spans="1:7" ht="16.149999999999999" x14ac:dyDescent="0.7">
      <c r="A4493" s="49">
        <v>44813.970780567135</v>
      </c>
      <c r="B4493" s="50" t="s">
        <v>6</v>
      </c>
      <c r="C4493" s="50" t="s">
        <v>513</v>
      </c>
      <c r="D4493" s="50" t="s">
        <v>259</v>
      </c>
      <c r="E4493" s="50">
        <v>0</v>
      </c>
      <c r="F4493" s="51">
        <v>0.23172266538970665</v>
      </c>
      <c r="G4493" s="51" t="str">
        <v>西谷 2022/10/21 (金)
平日夜間</v>
      </c>
    </row>
    <row r="4494" spans="1:7" ht="16.149999999999999" x14ac:dyDescent="0.7">
      <c r="A4494" s="49">
        <v>44813.970780567135</v>
      </c>
      <c r="B4494" s="50" t="s">
        <v>6</v>
      </c>
      <c r="C4494" s="50" t="s">
        <v>514</v>
      </c>
      <c r="D4494" s="50" t="s">
        <v>263</v>
      </c>
      <c r="E4494" s="50">
        <v>0</v>
      </c>
      <c r="F4494" s="51">
        <v>0.77777681468814963</v>
      </c>
      <c r="G4494" s="51" t="str">
        <v>西谷 2022/10/22 (土)
休日午前</v>
      </c>
    </row>
    <row r="4495" spans="1:7" ht="16.149999999999999" x14ac:dyDescent="0.7">
      <c r="A4495" s="49">
        <v>44813.970780567135</v>
      </c>
      <c r="B4495" s="50" t="s">
        <v>6</v>
      </c>
      <c r="C4495" s="50" t="s">
        <v>515</v>
      </c>
      <c r="D4495" s="50" t="s">
        <v>261</v>
      </c>
      <c r="E4495" s="50">
        <v>0</v>
      </c>
      <c r="F4495" s="51">
        <v>0.47630054020720314</v>
      </c>
      <c r="G4495" s="51" t="str">
        <v>西谷 2022/10/22 (土)
休日午後</v>
      </c>
    </row>
    <row r="4496" spans="1:7" ht="16.149999999999999" x14ac:dyDescent="0.7">
      <c r="A4496" s="49">
        <v>44813.970780567135</v>
      </c>
      <c r="B4496" s="50" t="s">
        <v>6</v>
      </c>
      <c r="C4496" s="50" t="s">
        <v>516</v>
      </c>
      <c r="D4496" s="50" t="s">
        <v>263</v>
      </c>
      <c r="E4496" s="50">
        <v>0</v>
      </c>
      <c r="F4496" s="51">
        <v>0.34775852037336263</v>
      </c>
      <c r="G4496" s="51" t="str">
        <v>西谷 2022/10/23 (日)
休日午前</v>
      </c>
    </row>
    <row r="4497" spans="1:7" ht="16.149999999999999" x14ac:dyDescent="0.7">
      <c r="A4497" s="49">
        <v>44813.970780567135</v>
      </c>
      <c r="B4497" s="50" t="s">
        <v>6</v>
      </c>
      <c r="C4497" s="50" t="s">
        <v>517</v>
      </c>
      <c r="D4497" s="50" t="s">
        <v>261</v>
      </c>
      <c r="E4497" s="50">
        <v>0</v>
      </c>
      <c r="F4497" s="51">
        <v>0.31581061342240169</v>
      </c>
      <c r="G4497" s="51" t="str">
        <v>西谷 2022/10/23 (日)
休日午後</v>
      </c>
    </row>
    <row r="4498" spans="1:7" ht="16.149999999999999" x14ac:dyDescent="0.7">
      <c r="A4498" s="49">
        <v>44813.970780567135</v>
      </c>
      <c r="B4498" s="50" t="s">
        <v>6</v>
      </c>
      <c r="C4498" s="50" t="s">
        <v>518</v>
      </c>
      <c r="D4498" s="50" t="s">
        <v>259</v>
      </c>
      <c r="E4498" s="50">
        <v>0</v>
      </c>
      <c r="F4498" s="51">
        <v>0.13928141187662035</v>
      </c>
      <c r="G4498" s="51" t="str">
        <v>西谷 2022/10/24 (月)
平日夜間</v>
      </c>
    </row>
    <row r="4499" spans="1:7" ht="16.149999999999999" x14ac:dyDescent="0.7">
      <c r="A4499" s="49">
        <v>44813.970780567135</v>
      </c>
      <c r="B4499" s="50" t="s">
        <v>6</v>
      </c>
      <c r="C4499" s="50" t="s">
        <v>519</v>
      </c>
      <c r="D4499" s="50" t="s">
        <v>259</v>
      </c>
      <c r="E4499" s="50">
        <v>1</v>
      </c>
      <c r="F4499" s="51">
        <v>1.2814741411449222</v>
      </c>
      <c r="G4499" s="51" t="str">
        <v>西谷 2022/10/25 (火)
平日夜間</v>
      </c>
    </row>
    <row r="4500" spans="1:7" ht="16.149999999999999" x14ac:dyDescent="0.7">
      <c r="A4500" s="49">
        <v>44813.970780567135</v>
      </c>
      <c r="B4500" s="50" t="s">
        <v>6</v>
      </c>
      <c r="C4500" s="50" t="s">
        <v>520</v>
      </c>
      <c r="D4500" s="50" t="s">
        <v>259</v>
      </c>
      <c r="E4500" s="50">
        <v>1</v>
      </c>
      <c r="F4500" s="51">
        <v>1.4419273261652408</v>
      </c>
      <c r="G4500" s="51" t="str">
        <v>西谷 2022/10/26 (水)
平日夜間</v>
      </c>
    </row>
    <row r="4501" spans="1:7" ht="16.149999999999999" x14ac:dyDescent="0.7">
      <c r="A4501" s="49">
        <v>44813.970780567135</v>
      </c>
      <c r="B4501" s="50" t="s">
        <v>6</v>
      </c>
      <c r="C4501" s="50" t="s">
        <v>521</v>
      </c>
      <c r="D4501" s="50" t="s">
        <v>259</v>
      </c>
      <c r="E4501" s="50">
        <v>1</v>
      </c>
      <c r="F4501" s="51">
        <v>1.3275013468149417</v>
      </c>
      <c r="G4501" s="51" t="str">
        <v>西谷 2022/10/27 (木)
平日夜間</v>
      </c>
    </row>
    <row r="4502" spans="1:7" ht="16.149999999999999" x14ac:dyDescent="0.7">
      <c r="A4502" s="49">
        <v>44813.970780567135</v>
      </c>
      <c r="B4502" s="50" t="s">
        <v>6</v>
      </c>
      <c r="C4502" s="50" t="s">
        <v>522</v>
      </c>
      <c r="D4502" s="50" t="s">
        <v>259</v>
      </c>
      <c r="E4502" s="50">
        <v>0</v>
      </c>
      <c r="F4502" s="51">
        <v>0.86624789201502805</v>
      </c>
      <c r="G4502" s="51" t="str">
        <v>西谷 2022/10/28 (金)
平日夜間</v>
      </c>
    </row>
    <row r="4503" spans="1:7" ht="16.149999999999999" x14ac:dyDescent="0.7">
      <c r="A4503" s="49">
        <v>44813.970780567135</v>
      </c>
      <c r="B4503" s="50" t="s">
        <v>6</v>
      </c>
      <c r="C4503" s="50" t="s">
        <v>523</v>
      </c>
      <c r="D4503" s="50" t="s">
        <v>263</v>
      </c>
      <c r="E4503" s="50">
        <v>0</v>
      </c>
      <c r="F4503" s="51">
        <v>0.75532261249076194</v>
      </c>
      <c r="G4503" s="51" t="str">
        <v>西谷 2022/10/29 (土)
休日午前</v>
      </c>
    </row>
    <row r="4504" spans="1:7" ht="16.149999999999999" x14ac:dyDescent="0.7">
      <c r="A4504" s="49">
        <v>44813.970780567135</v>
      </c>
      <c r="B4504" s="50" t="s">
        <v>6</v>
      </c>
      <c r="C4504" s="50" t="s">
        <v>524</v>
      </c>
      <c r="D4504" s="50" t="s">
        <v>261</v>
      </c>
      <c r="E4504" s="50">
        <v>0</v>
      </c>
      <c r="F4504" s="51">
        <v>0.22153140798217885</v>
      </c>
      <c r="G4504" s="51" t="str">
        <v>西谷 2022/10/29 (土)
休日午後</v>
      </c>
    </row>
    <row r="4505" spans="1:7" ht="16.149999999999999" x14ac:dyDescent="0.7">
      <c r="A4505" s="49">
        <v>44813.970780567135</v>
      </c>
      <c r="B4505" s="50" t="s">
        <v>6</v>
      </c>
      <c r="C4505" s="50" t="s">
        <v>525</v>
      </c>
      <c r="D4505" s="50" t="s">
        <v>263</v>
      </c>
      <c r="E4505" s="50">
        <v>0</v>
      </c>
      <c r="F4505" s="51">
        <v>0.21714816172223328</v>
      </c>
      <c r="G4505" s="51" t="str">
        <v>西谷 2022/10/30 (日)
休日午前</v>
      </c>
    </row>
    <row r="4506" spans="1:7" ht="16.149999999999999" x14ac:dyDescent="0.7">
      <c r="A4506" s="49">
        <v>44813.970780567135</v>
      </c>
      <c r="B4506" s="50" t="s">
        <v>6</v>
      </c>
      <c r="C4506" s="50" t="s">
        <v>526</v>
      </c>
      <c r="D4506" s="50" t="s">
        <v>261</v>
      </c>
      <c r="E4506" s="50">
        <v>0</v>
      </c>
      <c r="F4506" s="51">
        <v>0.2349188565329865</v>
      </c>
      <c r="G4506" s="51" t="str">
        <v>西谷 2022/10/30 (日)
休日午後</v>
      </c>
    </row>
    <row r="4507" spans="1:7" ht="16.149999999999999" x14ac:dyDescent="0.7">
      <c r="A4507" s="49">
        <v>44813.970780567135</v>
      </c>
      <c r="B4507" s="50" t="s">
        <v>6</v>
      </c>
      <c r="C4507" s="50" t="s">
        <v>527</v>
      </c>
      <c r="D4507" s="50" t="s">
        <v>259</v>
      </c>
      <c r="E4507" s="50">
        <v>0</v>
      </c>
      <c r="F4507" s="51">
        <v>0.38229506202824104</v>
      </c>
      <c r="G4507" s="51" t="str">
        <v>西谷 2022/10/31 (月)
平日夜間</v>
      </c>
    </row>
    <row r="4508" spans="1:7" ht="16.149999999999999" x14ac:dyDescent="0.7">
      <c r="A4508" s="49">
        <v>44814.434993055555</v>
      </c>
      <c r="B4508" s="50" t="s">
        <v>2</v>
      </c>
      <c r="C4508" s="50" t="s">
        <v>486</v>
      </c>
      <c r="D4508" s="50" t="s">
        <v>263</v>
      </c>
      <c r="E4508" s="50">
        <v>-1</v>
      </c>
      <c r="F4508" s="51">
        <v>-0.52267569751606446</v>
      </c>
      <c r="G4508" s="51" t="str">
        <v>伊藤 2022/10/01 (土)
休日午前</v>
      </c>
    </row>
    <row r="4509" spans="1:7" ht="16.149999999999999" x14ac:dyDescent="0.7">
      <c r="A4509" s="49">
        <v>44814.434993055555</v>
      </c>
      <c r="B4509" s="50" t="s">
        <v>2</v>
      </c>
      <c r="C4509" s="50" t="s">
        <v>487</v>
      </c>
      <c r="D4509" s="50" t="s">
        <v>261</v>
      </c>
      <c r="E4509" s="50">
        <v>-1</v>
      </c>
      <c r="F4509" s="51">
        <v>-0.41067708432667538</v>
      </c>
      <c r="G4509" s="51" t="str">
        <v>伊藤 2022/10/01 (土)
休日午後</v>
      </c>
    </row>
    <row r="4510" spans="1:7" ht="16.149999999999999" x14ac:dyDescent="0.7">
      <c r="A4510" s="49">
        <v>44814.434993055555</v>
      </c>
      <c r="B4510" s="50" t="s">
        <v>2</v>
      </c>
      <c r="C4510" s="50" t="s">
        <v>488</v>
      </c>
      <c r="D4510" s="50" t="s">
        <v>263</v>
      </c>
      <c r="E4510" s="50">
        <v>-1</v>
      </c>
      <c r="F4510" s="51">
        <v>-0.38486284688787364</v>
      </c>
      <c r="G4510" s="51" t="str">
        <v>伊藤 2022/10/02 (日)
休日午前</v>
      </c>
    </row>
    <row r="4511" spans="1:7" ht="16.149999999999999" x14ac:dyDescent="0.7">
      <c r="A4511" s="49">
        <v>44814.434993055555</v>
      </c>
      <c r="B4511" s="50" t="s">
        <v>2</v>
      </c>
      <c r="C4511" s="50" t="s">
        <v>489</v>
      </c>
      <c r="D4511" s="50" t="s">
        <v>261</v>
      </c>
      <c r="E4511" s="50">
        <v>-1</v>
      </c>
      <c r="F4511" s="51">
        <v>-0.60206133942990858</v>
      </c>
      <c r="G4511" s="51" t="str">
        <v>伊藤 2022/10/02 (日)
休日午後</v>
      </c>
    </row>
    <row r="4512" spans="1:7" ht="16.149999999999999" x14ac:dyDescent="0.7">
      <c r="A4512" s="49">
        <v>44814.434993055555</v>
      </c>
      <c r="B4512" s="50" t="s">
        <v>2</v>
      </c>
      <c r="C4512" s="50" t="s">
        <v>490</v>
      </c>
      <c r="D4512" s="50" t="s">
        <v>259</v>
      </c>
      <c r="E4512" s="50">
        <v>-1</v>
      </c>
      <c r="F4512" s="51">
        <v>-0.65402273823675339</v>
      </c>
      <c r="G4512" s="51" t="str">
        <v>伊藤 2022/10/03 (月)
平日夜間</v>
      </c>
    </row>
    <row r="4513" spans="1:7" ht="16.149999999999999" x14ac:dyDescent="0.7">
      <c r="A4513" s="49">
        <v>44814.434993055555</v>
      </c>
      <c r="B4513" s="50" t="s">
        <v>2</v>
      </c>
      <c r="C4513" s="50" t="s">
        <v>491</v>
      </c>
      <c r="D4513" s="50" t="s">
        <v>259</v>
      </c>
      <c r="E4513" s="50">
        <v>-1</v>
      </c>
      <c r="F4513" s="51">
        <v>-5.8540249103041564E-2</v>
      </c>
      <c r="G4513" s="51" t="str">
        <v>伊藤 2022/10/04 (火)
平日夜間</v>
      </c>
    </row>
    <row r="4514" spans="1:7" ht="16.149999999999999" x14ac:dyDescent="0.7">
      <c r="A4514" s="49">
        <v>44814.434993055555</v>
      </c>
      <c r="B4514" s="50" t="s">
        <v>2</v>
      </c>
      <c r="C4514" s="50" t="s">
        <v>492</v>
      </c>
      <c r="D4514" s="50" t="s">
        <v>259</v>
      </c>
      <c r="E4514" s="50">
        <v>-1</v>
      </c>
      <c r="F4514" s="51">
        <v>-0.17927009075088418</v>
      </c>
      <c r="G4514" s="51" t="str">
        <v>伊藤 2022/10/05 (水)
平日夜間</v>
      </c>
    </row>
    <row r="4515" spans="1:7" ht="16.149999999999999" x14ac:dyDescent="0.7">
      <c r="A4515" s="49">
        <v>44814.434993055555</v>
      </c>
      <c r="B4515" s="50" t="s">
        <v>2</v>
      </c>
      <c r="C4515" s="50" t="s">
        <v>493</v>
      </c>
      <c r="D4515" s="50" t="s">
        <v>259</v>
      </c>
      <c r="E4515" s="50">
        <v>-1</v>
      </c>
      <c r="F4515" s="51">
        <v>-0.76029907247402018</v>
      </c>
      <c r="G4515" s="51" t="str">
        <v>伊藤 2022/10/06 (木)
平日夜間</v>
      </c>
    </row>
    <row r="4516" spans="1:7" ht="16.149999999999999" x14ac:dyDescent="0.7">
      <c r="A4516" s="49">
        <v>44814.434993055555</v>
      </c>
      <c r="B4516" s="50" t="s">
        <v>2</v>
      </c>
      <c r="C4516" s="50" t="s">
        <v>494</v>
      </c>
      <c r="D4516" s="50" t="s">
        <v>259</v>
      </c>
      <c r="E4516" s="50">
        <v>-1</v>
      </c>
      <c r="F4516" s="51">
        <v>-0.8887343466089952</v>
      </c>
      <c r="G4516" s="51" t="str">
        <v>伊藤 2022/10/07 (金)
平日夜間</v>
      </c>
    </row>
    <row r="4517" spans="1:7" ht="16.149999999999999" x14ac:dyDescent="0.7">
      <c r="A4517" s="49">
        <v>44814.434993055555</v>
      </c>
      <c r="B4517" s="50" t="s">
        <v>2</v>
      </c>
      <c r="C4517" s="50" t="s">
        <v>495</v>
      </c>
      <c r="D4517" s="50" t="s">
        <v>263</v>
      </c>
      <c r="E4517" s="50">
        <v>-1</v>
      </c>
      <c r="F4517" s="51">
        <v>-0.87839016410146664</v>
      </c>
      <c r="G4517" s="51" t="str">
        <v>伊藤 2022/10/08 (土)
休日午前</v>
      </c>
    </row>
    <row r="4518" spans="1:7" ht="16.149999999999999" x14ac:dyDescent="0.7">
      <c r="A4518" s="49">
        <v>44814.434993055555</v>
      </c>
      <c r="B4518" s="50" t="s">
        <v>2</v>
      </c>
      <c r="C4518" s="50" t="s">
        <v>496</v>
      </c>
      <c r="D4518" s="50" t="s">
        <v>261</v>
      </c>
      <c r="E4518" s="50">
        <v>-1</v>
      </c>
      <c r="F4518" s="51">
        <v>-5.6100016937578712E-2</v>
      </c>
      <c r="G4518" s="51" t="str">
        <v>伊藤 2022/10/08 (土)
休日午後</v>
      </c>
    </row>
    <row r="4519" spans="1:7" ht="16.149999999999999" x14ac:dyDescent="0.7">
      <c r="A4519" s="49">
        <v>44814.434993055555</v>
      </c>
      <c r="B4519" s="50" t="s">
        <v>2</v>
      </c>
      <c r="C4519" s="50" t="s">
        <v>497</v>
      </c>
      <c r="D4519" s="50" t="s">
        <v>263</v>
      </c>
      <c r="E4519" s="50">
        <v>-1</v>
      </c>
      <c r="F4519" s="51">
        <v>-0.31529363906495878</v>
      </c>
      <c r="G4519" s="51" t="str">
        <v>伊藤 2022/10/09 (日)
休日午前</v>
      </c>
    </row>
    <row r="4520" spans="1:7" ht="16.149999999999999" x14ac:dyDescent="0.7">
      <c r="A4520" s="49">
        <v>44814.434993055555</v>
      </c>
      <c r="B4520" s="50" t="s">
        <v>2</v>
      </c>
      <c r="C4520" s="50" t="s">
        <v>498</v>
      </c>
      <c r="D4520" s="50" t="s">
        <v>261</v>
      </c>
      <c r="E4520" s="50">
        <v>-1</v>
      </c>
      <c r="F4520" s="51">
        <v>-0.75048823605964565</v>
      </c>
      <c r="G4520" s="51" t="str">
        <v>伊藤 2022/10/09 (日)
休日午後</v>
      </c>
    </row>
    <row r="4521" spans="1:7" ht="16.149999999999999" x14ac:dyDescent="0.7">
      <c r="A4521" s="49">
        <v>44814.434993055555</v>
      </c>
      <c r="B4521" s="50" t="s">
        <v>2</v>
      </c>
      <c r="C4521" s="50" t="s">
        <v>499</v>
      </c>
      <c r="D4521" s="50" t="s">
        <v>263</v>
      </c>
      <c r="E4521" s="50">
        <v>-1</v>
      </c>
      <c r="F4521" s="51">
        <v>-0.39712249720733417</v>
      </c>
      <c r="G4521" s="51" t="str">
        <v>伊藤 2022/10/10 (月)
休日午前</v>
      </c>
    </row>
    <row r="4522" spans="1:7" ht="16.149999999999999" x14ac:dyDescent="0.7">
      <c r="A4522" s="49">
        <v>44814.434993055555</v>
      </c>
      <c r="B4522" s="50" t="s">
        <v>2</v>
      </c>
      <c r="C4522" s="50" t="s">
        <v>500</v>
      </c>
      <c r="D4522" s="50" t="s">
        <v>261</v>
      </c>
      <c r="E4522" s="50">
        <v>-1</v>
      </c>
      <c r="F4522" s="51">
        <v>-0.61273434451564679</v>
      </c>
      <c r="G4522" s="51" t="str">
        <v>伊藤 2022/10/10 (月)
休日午後</v>
      </c>
    </row>
    <row r="4523" spans="1:7" ht="16.149999999999999" x14ac:dyDescent="0.7">
      <c r="A4523" s="49">
        <v>44814.434993055555</v>
      </c>
      <c r="B4523" s="50" t="s">
        <v>2</v>
      </c>
      <c r="C4523" s="50" t="s">
        <v>501</v>
      </c>
      <c r="D4523" s="50" t="s">
        <v>259</v>
      </c>
      <c r="E4523" s="50">
        <v>-1</v>
      </c>
      <c r="F4523" s="51">
        <v>-0.42548997215894313</v>
      </c>
      <c r="G4523" s="51" t="str">
        <v>伊藤 2022/10/11 (火)
平日夜間</v>
      </c>
    </row>
    <row r="4524" spans="1:7" ht="16.149999999999999" x14ac:dyDescent="0.7">
      <c r="A4524" s="49">
        <v>44814.434993055555</v>
      </c>
      <c r="B4524" s="50" t="s">
        <v>2</v>
      </c>
      <c r="C4524" s="50" t="s">
        <v>502</v>
      </c>
      <c r="D4524" s="50" t="s">
        <v>259</v>
      </c>
      <c r="E4524" s="50">
        <v>-1</v>
      </c>
      <c r="F4524" s="51">
        <v>-0.35646851893622666</v>
      </c>
      <c r="G4524" s="51" t="str">
        <v>伊藤 2022/10/12 (水)
平日夜間</v>
      </c>
    </row>
    <row r="4525" spans="1:7" ht="16.149999999999999" x14ac:dyDescent="0.7">
      <c r="A4525" s="49">
        <v>44814.434993055555</v>
      </c>
      <c r="B4525" s="50" t="s">
        <v>2</v>
      </c>
      <c r="C4525" s="50" t="s">
        <v>503</v>
      </c>
      <c r="D4525" s="50" t="s">
        <v>259</v>
      </c>
      <c r="E4525" s="50">
        <v>-1</v>
      </c>
      <c r="F4525" s="51">
        <v>-0.97765681795635917</v>
      </c>
      <c r="G4525" s="51" t="str">
        <v>伊藤 2022/10/13 (木)
平日夜間</v>
      </c>
    </row>
    <row r="4526" spans="1:7" ht="16.149999999999999" x14ac:dyDescent="0.7">
      <c r="A4526" s="49">
        <v>44814.434993055555</v>
      </c>
      <c r="B4526" s="50" t="s">
        <v>2</v>
      </c>
      <c r="C4526" s="50" t="s">
        <v>504</v>
      </c>
      <c r="D4526" s="50" t="s">
        <v>259</v>
      </c>
      <c r="E4526" s="50">
        <v>-1</v>
      </c>
      <c r="F4526" s="51">
        <v>-2.7595239731631915E-2</v>
      </c>
      <c r="G4526" s="51" t="str">
        <v>伊藤 2022/10/14 (金)
平日夜間</v>
      </c>
    </row>
    <row r="4527" spans="1:7" ht="16.149999999999999" x14ac:dyDescent="0.7">
      <c r="A4527" s="49">
        <v>44814.434993055555</v>
      </c>
      <c r="B4527" s="50" t="s">
        <v>2</v>
      </c>
      <c r="C4527" s="50" t="s">
        <v>505</v>
      </c>
      <c r="D4527" s="50" t="s">
        <v>263</v>
      </c>
      <c r="E4527" s="50">
        <v>-1</v>
      </c>
      <c r="F4527" s="51">
        <v>-0.6508248279783897</v>
      </c>
      <c r="G4527" s="51" t="str">
        <v>伊藤 2022/10/15 (土)
休日午前</v>
      </c>
    </row>
    <row r="4528" spans="1:7" ht="16.149999999999999" x14ac:dyDescent="0.7">
      <c r="A4528" s="49">
        <v>44814.434993055555</v>
      </c>
      <c r="B4528" s="50" t="s">
        <v>2</v>
      </c>
      <c r="C4528" s="50" t="s">
        <v>506</v>
      </c>
      <c r="D4528" s="50" t="s">
        <v>261</v>
      </c>
      <c r="E4528" s="50">
        <v>-1</v>
      </c>
      <c r="F4528" s="51">
        <v>-0.99191693793201519</v>
      </c>
      <c r="G4528" s="51" t="str">
        <v>伊藤 2022/10/15 (土)
休日午後</v>
      </c>
    </row>
    <row r="4529" spans="1:7" ht="16.149999999999999" x14ac:dyDescent="0.7">
      <c r="A4529" s="49">
        <v>44814.434993055555</v>
      </c>
      <c r="B4529" s="50" t="s">
        <v>2</v>
      </c>
      <c r="C4529" s="50" t="s">
        <v>507</v>
      </c>
      <c r="D4529" s="50" t="s">
        <v>263</v>
      </c>
      <c r="E4529" s="50">
        <v>-1</v>
      </c>
      <c r="F4529" s="51">
        <v>-0.64039837965396118</v>
      </c>
      <c r="G4529" s="51" t="str">
        <v>伊藤 2022/10/16 (日)
休日午前</v>
      </c>
    </row>
    <row r="4530" spans="1:7" ht="16.149999999999999" x14ac:dyDescent="0.7">
      <c r="A4530" s="49">
        <v>44814.434993055555</v>
      </c>
      <c r="B4530" s="50" t="s">
        <v>2</v>
      </c>
      <c r="C4530" s="50" t="s">
        <v>508</v>
      </c>
      <c r="D4530" s="50" t="s">
        <v>261</v>
      </c>
      <c r="E4530" s="50">
        <v>-1</v>
      </c>
      <c r="F4530" s="51">
        <v>-0.93378623625144441</v>
      </c>
      <c r="G4530" s="51" t="str">
        <v>伊藤 2022/10/16 (日)
休日午後</v>
      </c>
    </row>
    <row r="4531" spans="1:7" ht="16.149999999999999" x14ac:dyDescent="0.7">
      <c r="A4531" s="49">
        <v>44814.434993055555</v>
      </c>
      <c r="B4531" s="50" t="s">
        <v>2</v>
      </c>
      <c r="C4531" s="50" t="s">
        <v>509</v>
      </c>
      <c r="D4531" s="50" t="s">
        <v>259</v>
      </c>
      <c r="E4531" s="50">
        <v>-1</v>
      </c>
      <c r="F4531" s="51">
        <v>-0.43052078913571767</v>
      </c>
      <c r="G4531" s="51" t="str">
        <v>伊藤 2022/10/17 (月)
平日夜間</v>
      </c>
    </row>
    <row r="4532" spans="1:7" ht="16.149999999999999" x14ac:dyDescent="0.7">
      <c r="A4532" s="49">
        <v>44814.434993055555</v>
      </c>
      <c r="B4532" s="50" t="s">
        <v>2</v>
      </c>
      <c r="C4532" s="50" t="s">
        <v>510</v>
      </c>
      <c r="D4532" s="50" t="s">
        <v>259</v>
      </c>
      <c r="E4532" s="50">
        <v>-1</v>
      </c>
      <c r="F4532" s="51">
        <v>-0.60141969881969493</v>
      </c>
      <c r="G4532" s="51" t="str">
        <v>伊藤 2022/10/18 (火)
平日夜間</v>
      </c>
    </row>
    <row r="4533" spans="1:7" ht="16.149999999999999" x14ac:dyDescent="0.7">
      <c r="A4533" s="49">
        <v>44814.434993055555</v>
      </c>
      <c r="B4533" s="50" t="s">
        <v>2</v>
      </c>
      <c r="C4533" s="50" t="s">
        <v>511</v>
      </c>
      <c r="D4533" s="50" t="s">
        <v>259</v>
      </c>
      <c r="E4533" s="50">
        <v>-1</v>
      </c>
      <c r="F4533" s="51">
        <v>-0.27385445770608596</v>
      </c>
      <c r="G4533" s="51" t="str">
        <v>伊藤 2022/10/19 (水)
平日夜間</v>
      </c>
    </row>
    <row r="4534" spans="1:7" ht="16.149999999999999" x14ac:dyDescent="0.7">
      <c r="A4534" s="49">
        <v>44814.434993055555</v>
      </c>
      <c r="B4534" s="50" t="s">
        <v>2</v>
      </c>
      <c r="C4534" s="50" t="s">
        <v>512</v>
      </c>
      <c r="D4534" s="50" t="s">
        <v>259</v>
      </c>
      <c r="E4534" s="50">
        <v>-1</v>
      </c>
      <c r="F4534" s="51">
        <v>-0.37297660139845989</v>
      </c>
      <c r="G4534" s="51" t="str">
        <v>伊藤 2022/10/20 (木)
平日夜間</v>
      </c>
    </row>
    <row r="4535" spans="1:7" ht="16.149999999999999" x14ac:dyDescent="0.7">
      <c r="A4535" s="49">
        <v>44814.434993055555</v>
      </c>
      <c r="B4535" s="50" t="s">
        <v>2</v>
      </c>
      <c r="C4535" s="50" t="s">
        <v>513</v>
      </c>
      <c r="D4535" s="50" t="s">
        <v>259</v>
      </c>
      <c r="E4535" s="50">
        <v>-1</v>
      </c>
      <c r="F4535" s="51">
        <v>-0.82042727405450533</v>
      </c>
      <c r="G4535" s="51" t="str">
        <v>伊藤 2022/10/21 (金)
平日夜間</v>
      </c>
    </row>
    <row r="4536" spans="1:7" ht="16.149999999999999" x14ac:dyDescent="0.7">
      <c r="A4536" s="49">
        <v>44814.434993055555</v>
      </c>
      <c r="B4536" s="50" t="s">
        <v>2</v>
      </c>
      <c r="C4536" s="50" t="s">
        <v>514</v>
      </c>
      <c r="D4536" s="50" t="s">
        <v>263</v>
      </c>
      <c r="E4536" s="50">
        <v>-1</v>
      </c>
      <c r="F4536" s="51">
        <v>-0.93519763745594919</v>
      </c>
      <c r="G4536" s="51" t="str">
        <v>伊藤 2022/10/22 (土)
休日午前</v>
      </c>
    </row>
    <row r="4537" spans="1:7" ht="16.149999999999999" x14ac:dyDescent="0.7">
      <c r="A4537" s="49">
        <v>44814.434993055555</v>
      </c>
      <c r="B4537" s="50" t="s">
        <v>2</v>
      </c>
      <c r="C4537" s="50" t="s">
        <v>515</v>
      </c>
      <c r="D4537" s="50" t="s">
        <v>261</v>
      </c>
      <c r="E4537" s="50">
        <v>-1</v>
      </c>
      <c r="F4537" s="51">
        <v>-0.95659408418190472</v>
      </c>
      <c r="G4537" s="51" t="str">
        <v>伊藤 2022/10/22 (土)
休日午後</v>
      </c>
    </row>
    <row r="4538" spans="1:7" ht="16.149999999999999" x14ac:dyDescent="0.7">
      <c r="A4538" s="49">
        <v>44814.434993055555</v>
      </c>
      <c r="B4538" s="50" t="s">
        <v>2</v>
      </c>
      <c r="C4538" s="50" t="s">
        <v>516</v>
      </c>
      <c r="D4538" s="50" t="s">
        <v>263</v>
      </c>
      <c r="E4538" s="50">
        <v>-1</v>
      </c>
      <c r="F4538" s="51">
        <v>-0.60390681078555697</v>
      </c>
      <c r="G4538" s="51" t="str">
        <v>伊藤 2022/10/23 (日)
休日午前</v>
      </c>
    </row>
    <row r="4539" spans="1:7" ht="16.149999999999999" x14ac:dyDescent="0.7">
      <c r="A4539" s="49">
        <v>44814.434993055555</v>
      </c>
      <c r="B4539" s="50" t="s">
        <v>2</v>
      </c>
      <c r="C4539" s="50" t="s">
        <v>517</v>
      </c>
      <c r="D4539" s="50" t="s">
        <v>261</v>
      </c>
      <c r="E4539" s="50">
        <v>-1</v>
      </c>
      <c r="F4539" s="51">
        <v>-0.83024796608137863</v>
      </c>
      <c r="G4539" s="51" t="str">
        <v>伊藤 2022/10/23 (日)
休日午後</v>
      </c>
    </row>
    <row r="4540" spans="1:7" ht="16.149999999999999" x14ac:dyDescent="0.7">
      <c r="A4540" s="49">
        <v>44814.434993055555</v>
      </c>
      <c r="B4540" s="50" t="s">
        <v>2</v>
      </c>
      <c r="C4540" s="50" t="s">
        <v>518</v>
      </c>
      <c r="D4540" s="50" t="s">
        <v>259</v>
      </c>
      <c r="E4540" s="50">
        <v>-1</v>
      </c>
      <c r="F4540" s="51">
        <v>-0.76201409707208567</v>
      </c>
      <c r="G4540" s="51" t="str">
        <v>伊藤 2022/10/24 (月)
平日夜間</v>
      </c>
    </row>
    <row r="4541" spans="1:7" ht="16.149999999999999" x14ac:dyDescent="0.7">
      <c r="A4541" s="49">
        <v>44814.434993055555</v>
      </c>
      <c r="B4541" s="50" t="s">
        <v>2</v>
      </c>
      <c r="C4541" s="50" t="s">
        <v>519</v>
      </c>
      <c r="D4541" s="50" t="s">
        <v>259</v>
      </c>
      <c r="E4541" s="50">
        <v>-1</v>
      </c>
      <c r="F4541" s="51">
        <v>-0.73203488299409236</v>
      </c>
      <c r="G4541" s="51" t="str">
        <v>伊藤 2022/10/25 (火)
平日夜間</v>
      </c>
    </row>
    <row r="4542" spans="1:7" ht="16.149999999999999" x14ac:dyDescent="0.7">
      <c r="A4542" s="49">
        <v>44814.434993055555</v>
      </c>
      <c r="B4542" s="50" t="s">
        <v>2</v>
      </c>
      <c r="C4542" s="50" t="s">
        <v>520</v>
      </c>
      <c r="D4542" s="50" t="s">
        <v>259</v>
      </c>
      <c r="E4542" s="50">
        <v>-1</v>
      </c>
      <c r="F4542" s="51">
        <v>-0.19963685210429816</v>
      </c>
      <c r="G4542" s="51" t="str">
        <v>伊藤 2022/10/26 (水)
平日夜間</v>
      </c>
    </row>
    <row r="4543" spans="1:7" ht="16.149999999999999" x14ac:dyDescent="0.7">
      <c r="A4543" s="49">
        <v>44814.434993055555</v>
      </c>
      <c r="B4543" s="50" t="s">
        <v>2</v>
      </c>
      <c r="C4543" s="50" t="s">
        <v>521</v>
      </c>
      <c r="D4543" s="50" t="s">
        <v>259</v>
      </c>
      <c r="E4543" s="50">
        <v>-1</v>
      </c>
      <c r="F4543" s="51">
        <v>-0.3697002934517033</v>
      </c>
      <c r="G4543" s="51" t="str">
        <v>伊藤 2022/10/27 (木)
平日夜間</v>
      </c>
    </row>
    <row r="4544" spans="1:7" ht="16.149999999999999" x14ac:dyDescent="0.7">
      <c r="A4544" s="49">
        <v>44814.434993055555</v>
      </c>
      <c r="B4544" s="50" t="s">
        <v>2</v>
      </c>
      <c r="C4544" s="50" t="s">
        <v>522</v>
      </c>
      <c r="D4544" s="50" t="s">
        <v>259</v>
      </c>
      <c r="E4544" s="50">
        <v>-1</v>
      </c>
      <c r="F4544" s="51">
        <v>-0.50446449807242355</v>
      </c>
      <c r="G4544" s="51" t="str">
        <v>伊藤 2022/10/28 (金)
平日夜間</v>
      </c>
    </row>
    <row r="4545" spans="1:7" ht="16.149999999999999" x14ac:dyDescent="0.7">
      <c r="A4545" s="49">
        <v>44814.434993055555</v>
      </c>
      <c r="B4545" s="50" t="s">
        <v>2</v>
      </c>
      <c r="C4545" s="50" t="s">
        <v>523</v>
      </c>
      <c r="D4545" s="50" t="s">
        <v>263</v>
      </c>
      <c r="E4545" s="50">
        <v>-1</v>
      </c>
      <c r="F4545" s="51">
        <v>-3.8611154250674184E-2</v>
      </c>
      <c r="G4545" s="51" t="str">
        <v>伊藤 2022/10/29 (土)
休日午前</v>
      </c>
    </row>
    <row r="4546" spans="1:7" ht="16.149999999999999" x14ac:dyDescent="0.7">
      <c r="A4546" s="49">
        <v>44814.434993055555</v>
      </c>
      <c r="B4546" s="50" t="s">
        <v>2</v>
      </c>
      <c r="C4546" s="50" t="s">
        <v>524</v>
      </c>
      <c r="D4546" s="50" t="s">
        <v>261</v>
      </c>
      <c r="E4546" s="50">
        <v>-1</v>
      </c>
      <c r="F4546" s="51">
        <v>-0.29522189653121478</v>
      </c>
      <c r="G4546" s="51" t="str">
        <v>伊藤 2022/10/29 (土)
休日午後</v>
      </c>
    </row>
    <row r="4547" spans="1:7" ht="16.149999999999999" x14ac:dyDescent="0.7">
      <c r="A4547" s="49">
        <v>44814.434993055555</v>
      </c>
      <c r="B4547" s="50" t="s">
        <v>2</v>
      </c>
      <c r="C4547" s="50" t="s">
        <v>525</v>
      </c>
      <c r="D4547" s="50" t="s">
        <v>263</v>
      </c>
      <c r="E4547" s="50">
        <v>-1</v>
      </c>
      <c r="F4547" s="51">
        <v>-0.37665118375631934</v>
      </c>
      <c r="G4547" s="51" t="str">
        <v>伊藤 2022/10/30 (日)
休日午前</v>
      </c>
    </row>
    <row r="4548" spans="1:7" ht="16.149999999999999" x14ac:dyDescent="0.7">
      <c r="A4548" s="49">
        <v>44814.434993055555</v>
      </c>
      <c r="B4548" s="50" t="s">
        <v>2</v>
      </c>
      <c r="C4548" s="50" t="s">
        <v>526</v>
      </c>
      <c r="D4548" s="50" t="s">
        <v>261</v>
      </c>
      <c r="E4548" s="50">
        <v>-1</v>
      </c>
      <c r="F4548" s="51">
        <v>-0.49982527831712331</v>
      </c>
      <c r="G4548" s="51" t="str">
        <v>伊藤 2022/10/30 (日)
休日午後</v>
      </c>
    </row>
    <row r="4549" spans="1:7" ht="16.149999999999999" x14ac:dyDescent="0.7">
      <c r="A4549" s="49">
        <v>44814.434993055555</v>
      </c>
      <c r="B4549" s="50" t="s">
        <v>2</v>
      </c>
      <c r="C4549" s="50" t="s">
        <v>527</v>
      </c>
      <c r="D4549" s="50" t="s">
        <v>259</v>
      </c>
      <c r="E4549" s="50">
        <v>-1</v>
      </c>
      <c r="F4549" s="51">
        <v>-0.74635262812127423</v>
      </c>
      <c r="G4549" s="51" t="str">
        <v>伊藤 2022/10/31 (月)
平日夜間</v>
      </c>
    </row>
    <row r="4550" spans="1:7" ht="16.149999999999999" x14ac:dyDescent="0.7">
      <c r="A4550" s="49">
        <v>44814.448596840273</v>
      </c>
      <c r="B4550" s="50" t="s">
        <v>125</v>
      </c>
      <c r="C4550" s="50" t="s">
        <v>486</v>
      </c>
      <c r="D4550" s="50" t="s">
        <v>263</v>
      </c>
      <c r="E4550" s="50">
        <v>-1</v>
      </c>
      <c r="F4550" s="51">
        <v>-0.62383107503523849</v>
      </c>
      <c r="G4550" s="51" t="str">
        <v>笠原 2022/10/01 (土)
休日午前</v>
      </c>
    </row>
    <row r="4551" spans="1:7" ht="16.149999999999999" x14ac:dyDescent="0.7">
      <c r="A4551" s="49">
        <v>44814.448596840273</v>
      </c>
      <c r="B4551" s="50" t="s">
        <v>125</v>
      </c>
      <c r="C4551" s="50" t="s">
        <v>487</v>
      </c>
      <c r="D4551" s="50" t="s">
        <v>261</v>
      </c>
      <c r="E4551" s="50">
        <v>-1</v>
      </c>
      <c r="F4551" s="51">
        <v>-0.8478342691997014</v>
      </c>
      <c r="G4551" s="51" t="str">
        <v>笠原 2022/10/01 (土)
休日午後</v>
      </c>
    </row>
    <row r="4552" spans="1:7" ht="16.149999999999999" x14ac:dyDescent="0.7">
      <c r="A4552" s="49">
        <v>44814.448596840273</v>
      </c>
      <c r="B4552" s="50" t="s">
        <v>125</v>
      </c>
      <c r="C4552" s="50" t="s">
        <v>488</v>
      </c>
      <c r="D4552" s="50" t="s">
        <v>263</v>
      </c>
      <c r="E4552" s="50">
        <v>-1</v>
      </c>
      <c r="F4552" s="51">
        <v>-0.14210991694151831</v>
      </c>
      <c r="G4552" s="51" t="str">
        <v>笠原 2022/10/02 (日)
休日午前</v>
      </c>
    </row>
    <row r="4553" spans="1:7" ht="16.149999999999999" x14ac:dyDescent="0.7">
      <c r="A4553" s="49">
        <v>44814.448596840273</v>
      </c>
      <c r="B4553" s="50" t="s">
        <v>125</v>
      </c>
      <c r="C4553" s="50" t="s">
        <v>489</v>
      </c>
      <c r="D4553" s="50" t="s">
        <v>261</v>
      </c>
      <c r="E4553" s="50">
        <v>-1</v>
      </c>
      <c r="F4553" s="51">
        <v>-0.6587284010764185</v>
      </c>
      <c r="G4553" s="51" t="str">
        <v>笠原 2022/10/02 (日)
休日午後</v>
      </c>
    </row>
    <row r="4554" spans="1:7" ht="16.149999999999999" x14ac:dyDescent="0.7">
      <c r="A4554" s="49">
        <v>44814.448596840273</v>
      </c>
      <c r="B4554" s="50" t="s">
        <v>125</v>
      </c>
      <c r="C4554" s="50" t="s">
        <v>490</v>
      </c>
      <c r="D4554" s="50" t="s">
        <v>259</v>
      </c>
      <c r="E4554" s="50">
        <v>0</v>
      </c>
      <c r="F4554" s="51">
        <v>0.10752649198844599</v>
      </c>
      <c r="G4554" s="51" t="str">
        <v>笠原 2022/10/03 (月)
平日夜間</v>
      </c>
    </row>
    <row r="4555" spans="1:7" ht="16.149999999999999" x14ac:dyDescent="0.7">
      <c r="A4555" s="49">
        <v>44814.448596840273</v>
      </c>
      <c r="B4555" s="50" t="s">
        <v>125</v>
      </c>
      <c r="C4555" s="50" t="s">
        <v>491</v>
      </c>
      <c r="D4555" s="50" t="s">
        <v>259</v>
      </c>
      <c r="E4555" s="50">
        <v>0</v>
      </c>
      <c r="F4555" s="51">
        <v>0.52587554336907871</v>
      </c>
      <c r="G4555" s="51" t="str">
        <v>笠原 2022/10/04 (火)
平日夜間</v>
      </c>
    </row>
    <row r="4556" spans="1:7" ht="16.149999999999999" x14ac:dyDescent="0.7">
      <c r="A4556" s="49">
        <v>44814.448596840273</v>
      </c>
      <c r="B4556" s="50" t="s">
        <v>125</v>
      </c>
      <c r="C4556" s="50" t="s">
        <v>492</v>
      </c>
      <c r="D4556" s="50" t="s">
        <v>259</v>
      </c>
      <c r="E4556" s="50">
        <v>0</v>
      </c>
      <c r="F4556" s="51">
        <v>0.3387207741310867</v>
      </c>
      <c r="G4556" s="51" t="str">
        <v>笠原 2022/10/05 (水)
平日夜間</v>
      </c>
    </row>
    <row r="4557" spans="1:7" ht="16.149999999999999" x14ac:dyDescent="0.7">
      <c r="A4557" s="49">
        <v>44814.448596840273</v>
      </c>
      <c r="B4557" s="50" t="s">
        <v>125</v>
      </c>
      <c r="C4557" s="50" t="s">
        <v>493</v>
      </c>
      <c r="D4557" s="50" t="s">
        <v>259</v>
      </c>
      <c r="E4557" s="50">
        <v>0</v>
      </c>
      <c r="F4557" s="51">
        <v>0.97441627520777496</v>
      </c>
      <c r="G4557" s="51" t="str">
        <v>笠原 2022/10/06 (木)
平日夜間</v>
      </c>
    </row>
    <row r="4558" spans="1:7" ht="16.149999999999999" x14ac:dyDescent="0.7">
      <c r="A4558" s="49">
        <v>44814.448596840273</v>
      </c>
      <c r="B4558" s="50" t="s">
        <v>125</v>
      </c>
      <c r="C4558" s="50" t="s">
        <v>494</v>
      </c>
      <c r="D4558" s="50" t="s">
        <v>259</v>
      </c>
      <c r="E4558" s="50">
        <v>0</v>
      </c>
      <c r="F4558" s="51">
        <v>0.93019679276773526</v>
      </c>
      <c r="G4558" s="51" t="str">
        <v>笠原 2022/10/07 (金)
平日夜間</v>
      </c>
    </row>
    <row r="4559" spans="1:7" ht="16.149999999999999" x14ac:dyDescent="0.7">
      <c r="A4559" s="49">
        <v>44814.448596840273</v>
      </c>
      <c r="B4559" s="50" t="s">
        <v>125</v>
      </c>
      <c r="C4559" s="50" t="s">
        <v>495</v>
      </c>
      <c r="D4559" s="50" t="s">
        <v>263</v>
      </c>
      <c r="E4559" s="50">
        <v>0</v>
      </c>
      <c r="F4559" s="51">
        <v>0.65017458104537784</v>
      </c>
      <c r="G4559" s="51" t="str">
        <v>笠原 2022/10/08 (土)
休日午前</v>
      </c>
    </row>
    <row r="4560" spans="1:7" ht="16.149999999999999" x14ac:dyDescent="0.7">
      <c r="A4560" s="49">
        <v>44814.448596840273</v>
      </c>
      <c r="B4560" s="50" t="s">
        <v>125</v>
      </c>
      <c r="C4560" s="50" t="s">
        <v>496</v>
      </c>
      <c r="D4560" s="50" t="s">
        <v>261</v>
      </c>
      <c r="E4560" s="50">
        <v>0</v>
      </c>
      <c r="F4560" s="51">
        <v>0.59622559740579284</v>
      </c>
      <c r="G4560" s="51" t="str">
        <v>笠原 2022/10/08 (土)
休日午後</v>
      </c>
    </row>
    <row r="4561" spans="1:7" ht="16.149999999999999" x14ac:dyDescent="0.7">
      <c r="A4561" s="49">
        <v>44814.448596840273</v>
      </c>
      <c r="B4561" s="50" t="s">
        <v>125</v>
      </c>
      <c r="C4561" s="50" t="s">
        <v>497</v>
      </c>
      <c r="D4561" s="50" t="s">
        <v>263</v>
      </c>
      <c r="E4561" s="50">
        <v>0</v>
      </c>
      <c r="F4561" s="51">
        <v>0.61285944386269464</v>
      </c>
      <c r="G4561" s="51" t="str">
        <v>笠原 2022/10/09 (日)
休日午前</v>
      </c>
    </row>
    <row r="4562" spans="1:7" ht="16.149999999999999" x14ac:dyDescent="0.7">
      <c r="A4562" s="49">
        <v>44814.448596840273</v>
      </c>
      <c r="B4562" s="50" t="s">
        <v>125</v>
      </c>
      <c r="C4562" s="50" t="s">
        <v>498</v>
      </c>
      <c r="D4562" s="50" t="s">
        <v>261</v>
      </c>
      <c r="E4562" s="50">
        <v>0</v>
      </c>
      <c r="F4562" s="51">
        <v>0.70404955022049975</v>
      </c>
      <c r="G4562" s="51" t="str">
        <v>笠原 2022/10/09 (日)
休日午後</v>
      </c>
    </row>
    <row r="4563" spans="1:7" ht="16.149999999999999" x14ac:dyDescent="0.7">
      <c r="A4563" s="49">
        <v>44814.448596840273</v>
      </c>
      <c r="B4563" s="50" t="s">
        <v>125</v>
      </c>
      <c r="C4563" s="50" t="s">
        <v>499</v>
      </c>
      <c r="D4563" s="50" t="s">
        <v>263</v>
      </c>
      <c r="E4563" s="50">
        <v>0</v>
      </c>
      <c r="F4563" s="51">
        <v>0.46745769654005787</v>
      </c>
      <c r="G4563" s="51" t="str">
        <v>笠原 2022/10/10 (月)
休日午前</v>
      </c>
    </row>
    <row r="4564" spans="1:7" ht="16.149999999999999" x14ac:dyDescent="0.7">
      <c r="A4564" s="49">
        <v>44814.448596840273</v>
      </c>
      <c r="B4564" s="50" t="s">
        <v>125</v>
      </c>
      <c r="C4564" s="50" t="s">
        <v>500</v>
      </c>
      <c r="D4564" s="50" t="s">
        <v>261</v>
      </c>
      <c r="E4564" s="50">
        <v>0</v>
      </c>
      <c r="F4564" s="51">
        <v>0.52291050846325859</v>
      </c>
      <c r="G4564" s="51" t="str">
        <v>笠原 2022/10/10 (月)
休日午後</v>
      </c>
    </row>
    <row r="4565" spans="1:7" ht="16.149999999999999" x14ac:dyDescent="0.7">
      <c r="A4565" s="49">
        <v>44814.448596840273</v>
      </c>
      <c r="B4565" s="50" t="s">
        <v>125</v>
      </c>
      <c r="C4565" s="50" t="s">
        <v>501</v>
      </c>
      <c r="D4565" s="50" t="s">
        <v>259</v>
      </c>
      <c r="E4565" s="50">
        <v>0</v>
      </c>
      <c r="F4565" s="51">
        <v>0.14778504876355569</v>
      </c>
      <c r="G4565" s="51" t="str">
        <v>笠原 2022/10/11 (火)
平日夜間</v>
      </c>
    </row>
    <row r="4566" spans="1:7" ht="16.149999999999999" x14ac:dyDescent="0.7">
      <c r="A4566" s="49">
        <v>44814.448596840273</v>
      </c>
      <c r="B4566" s="50" t="s">
        <v>125</v>
      </c>
      <c r="C4566" s="50" t="s">
        <v>502</v>
      </c>
      <c r="D4566" s="50" t="s">
        <v>259</v>
      </c>
      <c r="E4566" s="50">
        <v>0</v>
      </c>
      <c r="F4566" s="51">
        <v>0.22349579317800372</v>
      </c>
      <c r="G4566" s="51" t="str">
        <v>笠原 2022/10/12 (水)
平日夜間</v>
      </c>
    </row>
    <row r="4567" spans="1:7" ht="16.149999999999999" x14ac:dyDescent="0.7">
      <c r="A4567" s="49">
        <v>44814.448596840273</v>
      </c>
      <c r="B4567" s="50" t="s">
        <v>125</v>
      </c>
      <c r="C4567" s="50" t="s">
        <v>503</v>
      </c>
      <c r="D4567" s="50" t="s">
        <v>259</v>
      </c>
      <c r="E4567" s="50">
        <v>-1</v>
      </c>
      <c r="F4567" s="51">
        <v>-0.75428317393110955</v>
      </c>
      <c r="G4567" s="51" t="str">
        <v>笠原 2022/10/13 (木)
平日夜間</v>
      </c>
    </row>
    <row r="4568" spans="1:7" ht="16.149999999999999" x14ac:dyDescent="0.7">
      <c r="A4568" s="49">
        <v>44814.448596840273</v>
      </c>
      <c r="B4568" s="50" t="s">
        <v>125</v>
      </c>
      <c r="C4568" s="50" t="s">
        <v>504</v>
      </c>
      <c r="D4568" s="50" t="s">
        <v>259</v>
      </c>
      <c r="E4568" s="50">
        <v>2</v>
      </c>
      <c r="F4568" s="51">
        <v>2.9187948614824766</v>
      </c>
      <c r="G4568" s="51" t="str">
        <v>笠原 2022/10/14 (金)
平日夜間</v>
      </c>
    </row>
    <row r="4569" spans="1:7" ht="16.149999999999999" x14ac:dyDescent="0.7">
      <c r="A4569" s="49">
        <v>44814.448596840273</v>
      </c>
      <c r="B4569" s="50" t="s">
        <v>125</v>
      </c>
      <c r="C4569" s="50" t="s">
        <v>505</v>
      </c>
      <c r="D4569" s="50" t="s">
        <v>263</v>
      </c>
      <c r="E4569" s="50">
        <v>-1</v>
      </c>
      <c r="F4569" s="51">
        <v>-0.71276466718469722</v>
      </c>
      <c r="G4569" s="51" t="str">
        <v>笠原 2022/10/15 (土)
休日午前</v>
      </c>
    </row>
    <row r="4570" spans="1:7" ht="16.149999999999999" x14ac:dyDescent="0.7">
      <c r="A4570" s="49">
        <v>44814.448596840273</v>
      </c>
      <c r="B4570" s="50" t="s">
        <v>125</v>
      </c>
      <c r="C4570" s="50" t="s">
        <v>506</v>
      </c>
      <c r="D4570" s="50" t="s">
        <v>261</v>
      </c>
      <c r="E4570" s="50">
        <v>-1</v>
      </c>
      <c r="F4570" s="51">
        <v>-0.531067031104967</v>
      </c>
      <c r="G4570" s="51" t="str">
        <v>笠原 2022/10/15 (土)
休日午後</v>
      </c>
    </row>
    <row r="4571" spans="1:7" ht="16.149999999999999" x14ac:dyDescent="0.7">
      <c r="A4571" s="49">
        <v>44814.448596840273</v>
      </c>
      <c r="B4571" s="50" t="s">
        <v>125</v>
      </c>
      <c r="C4571" s="50" t="s">
        <v>507</v>
      </c>
      <c r="D4571" s="50" t="s">
        <v>263</v>
      </c>
      <c r="E4571" s="50">
        <v>0</v>
      </c>
      <c r="F4571" s="51">
        <v>0.71001082856833864</v>
      </c>
      <c r="G4571" s="51" t="str">
        <v>笠原 2022/10/16 (日)
休日午前</v>
      </c>
    </row>
    <row r="4572" spans="1:7" ht="16.149999999999999" x14ac:dyDescent="0.7">
      <c r="A4572" s="49">
        <v>44814.448596840273</v>
      </c>
      <c r="B4572" s="50" t="s">
        <v>125</v>
      </c>
      <c r="C4572" s="50" t="s">
        <v>508</v>
      </c>
      <c r="D4572" s="50" t="s">
        <v>261</v>
      </c>
      <c r="E4572" s="50">
        <v>0</v>
      </c>
      <c r="F4572" s="51">
        <v>0.59569577393877782</v>
      </c>
      <c r="G4572" s="51" t="str">
        <v>笠原 2022/10/16 (日)
休日午後</v>
      </c>
    </row>
    <row r="4573" spans="1:7" ht="16.149999999999999" x14ac:dyDescent="0.7">
      <c r="A4573" s="49">
        <v>44814.448596840273</v>
      </c>
      <c r="B4573" s="50" t="s">
        <v>125</v>
      </c>
      <c r="C4573" s="50" t="s">
        <v>509</v>
      </c>
      <c r="D4573" s="50" t="s">
        <v>259</v>
      </c>
      <c r="E4573" s="50">
        <v>0</v>
      </c>
      <c r="F4573" s="51">
        <v>0.48109881141429822</v>
      </c>
      <c r="G4573" s="51" t="str">
        <v>笠原 2022/10/17 (月)
平日夜間</v>
      </c>
    </row>
    <row r="4574" spans="1:7" ht="16.149999999999999" x14ac:dyDescent="0.7">
      <c r="A4574" s="49">
        <v>44814.448596840273</v>
      </c>
      <c r="B4574" s="50" t="s">
        <v>125</v>
      </c>
      <c r="C4574" s="50" t="s">
        <v>510</v>
      </c>
      <c r="D4574" s="50" t="s">
        <v>259</v>
      </c>
      <c r="E4574" s="50">
        <v>0</v>
      </c>
      <c r="F4574" s="51">
        <v>0.49599058818332176</v>
      </c>
      <c r="G4574" s="51" t="str">
        <v>笠原 2022/10/18 (火)
平日夜間</v>
      </c>
    </row>
    <row r="4575" spans="1:7" ht="16.149999999999999" x14ac:dyDescent="0.7">
      <c r="A4575" s="49">
        <v>44814.448596840273</v>
      </c>
      <c r="B4575" s="50" t="s">
        <v>125</v>
      </c>
      <c r="C4575" s="50" t="s">
        <v>511</v>
      </c>
      <c r="D4575" s="50" t="s">
        <v>259</v>
      </c>
      <c r="E4575" s="50">
        <v>0</v>
      </c>
      <c r="F4575" s="51">
        <v>0.90469871568007409</v>
      </c>
      <c r="G4575" s="51" t="str">
        <v>笠原 2022/10/19 (水)
平日夜間</v>
      </c>
    </row>
    <row r="4576" spans="1:7" ht="16.149999999999999" x14ac:dyDescent="0.7">
      <c r="A4576" s="49">
        <v>44814.448596840273</v>
      </c>
      <c r="B4576" s="50" t="s">
        <v>125</v>
      </c>
      <c r="C4576" s="50" t="s">
        <v>512</v>
      </c>
      <c r="D4576" s="50" t="s">
        <v>259</v>
      </c>
      <c r="E4576" s="50">
        <v>0</v>
      </c>
      <c r="F4576" s="51">
        <v>0.12495523999352165</v>
      </c>
      <c r="G4576" s="51" t="str">
        <v>笠原 2022/10/20 (木)
平日夜間</v>
      </c>
    </row>
    <row r="4577" spans="1:7" ht="16.149999999999999" x14ac:dyDescent="0.7">
      <c r="A4577" s="49">
        <v>44814.448596840273</v>
      </c>
      <c r="B4577" s="50" t="s">
        <v>125</v>
      </c>
      <c r="C4577" s="50" t="s">
        <v>513</v>
      </c>
      <c r="D4577" s="50" t="s">
        <v>259</v>
      </c>
      <c r="E4577" s="50">
        <v>0</v>
      </c>
      <c r="F4577" s="51">
        <v>0.75294401899697427</v>
      </c>
      <c r="G4577" s="51" t="str">
        <v>笠原 2022/10/21 (金)
平日夜間</v>
      </c>
    </row>
    <row r="4578" spans="1:7" ht="16.149999999999999" x14ac:dyDescent="0.7">
      <c r="A4578" s="49">
        <v>44814.448596840273</v>
      </c>
      <c r="B4578" s="50" t="s">
        <v>125</v>
      </c>
      <c r="C4578" s="50" t="s">
        <v>514</v>
      </c>
      <c r="D4578" s="50" t="s">
        <v>263</v>
      </c>
      <c r="E4578" s="50">
        <v>0</v>
      </c>
      <c r="F4578" s="51">
        <v>0.10542831092760241</v>
      </c>
      <c r="G4578" s="51" t="str">
        <v>笠原 2022/10/22 (土)
休日午前</v>
      </c>
    </row>
    <row r="4579" spans="1:7" ht="16.149999999999999" x14ac:dyDescent="0.7">
      <c r="A4579" s="49">
        <v>44814.448596840273</v>
      </c>
      <c r="B4579" s="50" t="s">
        <v>125</v>
      </c>
      <c r="C4579" s="50" t="s">
        <v>515</v>
      </c>
      <c r="D4579" s="50" t="s">
        <v>261</v>
      </c>
      <c r="E4579" s="50">
        <v>0</v>
      </c>
      <c r="F4579" s="51">
        <v>0.54467061968589014</v>
      </c>
      <c r="G4579" s="51" t="str">
        <v>笠原 2022/10/22 (土)
休日午後</v>
      </c>
    </row>
    <row r="4580" spans="1:7" ht="16.149999999999999" x14ac:dyDescent="0.7">
      <c r="A4580" s="49">
        <v>44814.448596840273</v>
      </c>
      <c r="B4580" s="50" t="s">
        <v>125</v>
      </c>
      <c r="C4580" s="50" t="s">
        <v>516</v>
      </c>
      <c r="D4580" s="50" t="s">
        <v>263</v>
      </c>
      <c r="E4580" s="50">
        <v>1</v>
      </c>
      <c r="F4580" s="51">
        <v>1.1259462468671773</v>
      </c>
      <c r="G4580" s="51" t="str">
        <v>笠原 2022/10/23 (日)
休日午前</v>
      </c>
    </row>
    <row r="4581" spans="1:7" ht="16.149999999999999" x14ac:dyDescent="0.7">
      <c r="A4581" s="49">
        <v>44814.448596840273</v>
      </c>
      <c r="B4581" s="50" t="s">
        <v>125</v>
      </c>
      <c r="C4581" s="50" t="s">
        <v>517</v>
      </c>
      <c r="D4581" s="50" t="s">
        <v>261</v>
      </c>
      <c r="E4581" s="50">
        <v>-1</v>
      </c>
      <c r="F4581" s="51">
        <v>-5.2632885220960102E-3</v>
      </c>
      <c r="G4581" s="51" t="str">
        <v>笠原 2022/10/23 (日)
休日午後</v>
      </c>
    </row>
    <row r="4582" spans="1:7" ht="16.149999999999999" x14ac:dyDescent="0.7">
      <c r="A4582" s="49">
        <v>44814.448596840273</v>
      </c>
      <c r="B4582" s="50" t="s">
        <v>125</v>
      </c>
      <c r="C4582" s="50" t="s">
        <v>518</v>
      </c>
      <c r="D4582" s="50" t="s">
        <v>259</v>
      </c>
      <c r="E4582" s="50">
        <v>-1</v>
      </c>
      <c r="F4582" s="51">
        <v>-0.21829389477243977</v>
      </c>
      <c r="G4582" s="51" t="str">
        <v>笠原 2022/10/24 (月)
平日夜間</v>
      </c>
    </row>
    <row r="4583" spans="1:7" ht="16.149999999999999" x14ac:dyDescent="0.7">
      <c r="A4583" s="49">
        <v>44814.448596840273</v>
      </c>
      <c r="B4583" s="50" t="s">
        <v>125</v>
      </c>
      <c r="C4583" s="50" t="s">
        <v>519</v>
      </c>
      <c r="D4583" s="50" t="s">
        <v>259</v>
      </c>
      <c r="E4583" s="50">
        <v>0</v>
      </c>
      <c r="F4583" s="51">
        <v>0.60951610407903956</v>
      </c>
      <c r="G4583" s="51" t="str">
        <v>笠原 2022/10/25 (火)
平日夜間</v>
      </c>
    </row>
    <row r="4584" spans="1:7" ht="16.149999999999999" x14ac:dyDescent="0.7">
      <c r="A4584" s="49">
        <v>44814.448596840273</v>
      </c>
      <c r="B4584" s="50" t="s">
        <v>125</v>
      </c>
      <c r="C4584" s="50" t="s">
        <v>520</v>
      </c>
      <c r="D4584" s="50" t="s">
        <v>259</v>
      </c>
      <c r="E4584" s="50">
        <v>0</v>
      </c>
      <c r="F4584" s="51">
        <v>0.73600458004189662</v>
      </c>
      <c r="G4584" s="51" t="str">
        <v>笠原 2022/10/26 (水)
平日夜間</v>
      </c>
    </row>
    <row r="4585" spans="1:7" ht="16.149999999999999" x14ac:dyDescent="0.7">
      <c r="A4585" s="49">
        <v>44814.448596840273</v>
      </c>
      <c r="B4585" s="50" t="s">
        <v>125</v>
      </c>
      <c r="C4585" s="50" t="s">
        <v>521</v>
      </c>
      <c r="D4585" s="50" t="s">
        <v>259</v>
      </c>
      <c r="E4585" s="50">
        <v>0</v>
      </c>
      <c r="F4585" s="51">
        <v>0.63374620786423175</v>
      </c>
      <c r="G4585" s="51" t="str">
        <v>笠原 2022/10/27 (木)
平日夜間</v>
      </c>
    </row>
    <row r="4586" spans="1:7" ht="16.149999999999999" x14ac:dyDescent="0.7">
      <c r="A4586" s="49">
        <v>44814.448596840273</v>
      </c>
      <c r="B4586" s="50" t="s">
        <v>125</v>
      </c>
      <c r="C4586" s="50" t="s">
        <v>522</v>
      </c>
      <c r="D4586" s="50" t="s">
        <v>259</v>
      </c>
      <c r="E4586" s="50">
        <v>-1</v>
      </c>
      <c r="F4586" s="51">
        <v>-0.44491141275332113</v>
      </c>
      <c r="G4586" s="51" t="str">
        <v>笠原 2022/10/28 (金)
平日夜間</v>
      </c>
    </row>
    <row r="4587" spans="1:7" ht="16.149999999999999" x14ac:dyDescent="0.7">
      <c r="A4587" s="49">
        <v>44814.448596840273</v>
      </c>
      <c r="B4587" s="50" t="s">
        <v>125</v>
      </c>
      <c r="C4587" s="50" t="s">
        <v>523</v>
      </c>
      <c r="D4587" s="50" t="s">
        <v>263</v>
      </c>
      <c r="E4587" s="50">
        <v>-1</v>
      </c>
      <c r="F4587" s="51">
        <v>-0.48833016359340831</v>
      </c>
      <c r="G4587" s="51" t="str">
        <v>笠原 2022/10/29 (土)
休日午前</v>
      </c>
    </row>
    <row r="4588" spans="1:7" ht="16.149999999999999" x14ac:dyDescent="0.7">
      <c r="A4588" s="49">
        <v>44814.448596840273</v>
      </c>
      <c r="B4588" s="50" t="s">
        <v>125</v>
      </c>
      <c r="C4588" s="50" t="s">
        <v>524</v>
      </c>
      <c r="D4588" s="50" t="s">
        <v>261</v>
      </c>
      <c r="E4588" s="50">
        <v>-1</v>
      </c>
      <c r="F4588" s="51">
        <v>-0.33032135312069943</v>
      </c>
      <c r="G4588" s="51" t="str">
        <v>笠原 2022/10/29 (土)
休日午後</v>
      </c>
    </row>
    <row r="4589" spans="1:7" ht="16.149999999999999" x14ac:dyDescent="0.7">
      <c r="A4589" s="49">
        <v>44814.448596840273</v>
      </c>
      <c r="B4589" s="50" t="s">
        <v>125</v>
      </c>
      <c r="C4589" s="50" t="s">
        <v>525</v>
      </c>
      <c r="D4589" s="50" t="s">
        <v>263</v>
      </c>
      <c r="E4589" s="50">
        <v>0</v>
      </c>
      <c r="F4589" s="51">
        <v>0.45121769330546813</v>
      </c>
      <c r="G4589" s="51" t="str">
        <v>笠原 2022/10/30 (日)
休日午前</v>
      </c>
    </row>
    <row r="4590" spans="1:7" ht="16.149999999999999" x14ac:dyDescent="0.7">
      <c r="A4590" s="49">
        <v>44814.448596840273</v>
      </c>
      <c r="B4590" s="50" t="s">
        <v>125</v>
      </c>
      <c r="C4590" s="50" t="s">
        <v>526</v>
      </c>
      <c r="D4590" s="50" t="s">
        <v>261</v>
      </c>
      <c r="E4590" s="50">
        <v>0</v>
      </c>
      <c r="F4590" s="51">
        <v>0.26981730660529468</v>
      </c>
      <c r="G4590" s="51" t="str">
        <v>笠原 2022/10/30 (日)
休日午後</v>
      </c>
    </row>
    <row r="4591" spans="1:7" ht="16.149999999999999" x14ac:dyDescent="0.7">
      <c r="A4591" s="49">
        <v>44814.448596840273</v>
      </c>
      <c r="B4591" s="50" t="s">
        <v>125</v>
      </c>
      <c r="C4591" s="50" t="s">
        <v>527</v>
      </c>
      <c r="D4591" s="50" t="s">
        <v>259</v>
      </c>
      <c r="E4591" s="50">
        <v>0</v>
      </c>
      <c r="F4591" s="51">
        <v>6.4873355459316384E-2</v>
      </c>
      <c r="G4591" s="51" t="str">
        <v>笠原 2022/10/31 (月)
平日夜間</v>
      </c>
    </row>
    <row r="4592" spans="1:7" ht="16.149999999999999" x14ac:dyDescent="0.7">
      <c r="A4592" s="49">
        <v>44814.594204027773</v>
      </c>
      <c r="B4592" s="50" t="s">
        <v>7</v>
      </c>
      <c r="C4592" s="50" t="s">
        <v>486</v>
      </c>
      <c r="D4592" s="50" t="s">
        <v>263</v>
      </c>
      <c r="E4592" s="50">
        <v>-1</v>
      </c>
      <c r="F4592" s="51">
        <v>-0.38558131492413761</v>
      </c>
      <c r="G4592" s="51" t="str">
        <v>竹藤 2022/10/01 (土)
休日午前</v>
      </c>
    </row>
    <row r="4593" spans="1:7" ht="16.149999999999999" x14ac:dyDescent="0.7">
      <c r="A4593" s="49">
        <v>44814.594204027773</v>
      </c>
      <c r="B4593" s="50" t="s">
        <v>7</v>
      </c>
      <c r="C4593" s="50" t="s">
        <v>487</v>
      </c>
      <c r="D4593" s="50" t="s">
        <v>261</v>
      </c>
      <c r="E4593" s="50">
        <v>-1</v>
      </c>
      <c r="F4593" s="51">
        <v>-0.22343499052356908</v>
      </c>
      <c r="G4593" s="51" t="str">
        <v>竹藤 2022/10/01 (土)
休日午後</v>
      </c>
    </row>
    <row r="4594" spans="1:7" ht="16.149999999999999" x14ac:dyDescent="0.7">
      <c r="A4594" s="49">
        <v>44814.594204027773</v>
      </c>
      <c r="B4594" s="50" t="s">
        <v>7</v>
      </c>
      <c r="C4594" s="50" t="s">
        <v>488</v>
      </c>
      <c r="D4594" s="50" t="s">
        <v>263</v>
      </c>
      <c r="E4594" s="50">
        <v>-1</v>
      </c>
      <c r="F4594" s="51">
        <v>-0.37191784600204802</v>
      </c>
      <c r="G4594" s="51" t="str">
        <v>竹藤 2022/10/02 (日)
休日午前</v>
      </c>
    </row>
    <row r="4595" spans="1:7" ht="16.149999999999999" x14ac:dyDescent="0.7">
      <c r="A4595" s="49">
        <v>44814.594204027773</v>
      </c>
      <c r="B4595" s="50" t="s">
        <v>7</v>
      </c>
      <c r="C4595" s="50" t="s">
        <v>489</v>
      </c>
      <c r="D4595" s="50" t="s">
        <v>261</v>
      </c>
      <c r="E4595" s="50">
        <v>-1</v>
      </c>
      <c r="F4595" s="51">
        <v>-0.2479812323554893</v>
      </c>
      <c r="G4595" s="51" t="str">
        <v>竹藤 2022/10/02 (日)
休日午後</v>
      </c>
    </row>
    <row r="4596" spans="1:7" ht="16.149999999999999" x14ac:dyDescent="0.7">
      <c r="A4596" s="49">
        <v>44814.594204027773</v>
      </c>
      <c r="B4596" s="50" t="s">
        <v>7</v>
      </c>
      <c r="C4596" s="50" t="s">
        <v>490</v>
      </c>
      <c r="D4596" s="50" t="s">
        <v>259</v>
      </c>
      <c r="E4596" s="50">
        <v>0</v>
      </c>
      <c r="F4596" s="51">
        <v>0.96923036515906058</v>
      </c>
      <c r="G4596" s="51" t="str">
        <v>竹藤 2022/10/03 (月)
平日夜間</v>
      </c>
    </row>
    <row r="4597" spans="1:7" ht="16.149999999999999" x14ac:dyDescent="0.7">
      <c r="A4597" s="49">
        <v>44814.594204027773</v>
      </c>
      <c r="B4597" s="50" t="s">
        <v>7</v>
      </c>
      <c r="C4597" s="50" t="s">
        <v>491</v>
      </c>
      <c r="D4597" s="50" t="s">
        <v>259</v>
      </c>
      <c r="E4597" s="50">
        <v>-1</v>
      </c>
      <c r="F4597" s="51">
        <v>-0.75311612726203236</v>
      </c>
      <c r="G4597" s="51" t="str">
        <v>竹藤 2022/10/04 (火)
平日夜間</v>
      </c>
    </row>
    <row r="4598" spans="1:7" ht="16.149999999999999" x14ac:dyDescent="0.7">
      <c r="A4598" s="49">
        <v>44814.594204027773</v>
      </c>
      <c r="B4598" s="50" t="s">
        <v>7</v>
      </c>
      <c r="C4598" s="50" t="s">
        <v>492</v>
      </c>
      <c r="D4598" s="50" t="s">
        <v>259</v>
      </c>
      <c r="E4598" s="50">
        <v>0</v>
      </c>
      <c r="F4598" s="51">
        <v>6.5389256723456635E-2</v>
      </c>
      <c r="G4598" s="51" t="str">
        <v>竹藤 2022/10/05 (水)
平日夜間</v>
      </c>
    </row>
    <row r="4599" spans="1:7" ht="16.149999999999999" x14ac:dyDescent="0.7">
      <c r="A4599" s="49">
        <v>44814.594204027773</v>
      </c>
      <c r="B4599" s="50" t="s">
        <v>7</v>
      </c>
      <c r="C4599" s="50" t="s">
        <v>493</v>
      </c>
      <c r="D4599" s="50" t="s">
        <v>259</v>
      </c>
      <c r="E4599" s="50">
        <v>0</v>
      </c>
      <c r="F4599" s="51">
        <v>0.38742247811860131</v>
      </c>
      <c r="G4599" s="51" t="str">
        <v>竹藤 2022/10/06 (木)
平日夜間</v>
      </c>
    </row>
    <row r="4600" spans="1:7" ht="16.149999999999999" x14ac:dyDescent="0.7">
      <c r="A4600" s="49">
        <v>44814.594204027773</v>
      </c>
      <c r="B4600" s="50" t="s">
        <v>7</v>
      </c>
      <c r="C4600" s="50" t="s">
        <v>494</v>
      </c>
      <c r="D4600" s="50" t="s">
        <v>259</v>
      </c>
      <c r="E4600" s="50">
        <v>-1</v>
      </c>
      <c r="F4600" s="51">
        <v>-5.1745116092804189E-2</v>
      </c>
      <c r="G4600" s="51" t="str">
        <v>竹藤 2022/10/07 (金)
平日夜間</v>
      </c>
    </row>
    <row r="4601" spans="1:7" ht="16.149999999999999" x14ac:dyDescent="0.7">
      <c r="A4601" s="49">
        <v>44814.594204027773</v>
      </c>
      <c r="B4601" s="50" t="s">
        <v>7</v>
      </c>
      <c r="C4601" s="50" t="s">
        <v>495</v>
      </c>
      <c r="D4601" s="50" t="s">
        <v>263</v>
      </c>
      <c r="E4601" s="50">
        <v>-1</v>
      </c>
      <c r="F4601" s="51">
        <v>-0.10633093623256884</v>
      </c>
      <c r="G4601" s="51" t="str">
        <v>竹藤 2022/10/08 (土)
休日午前</v>
      </c>
    </row>
    <row r="4602" spans="1:7" ht="16.149999999999999" x14ac:dyDescent="0.7">
      <c r="A4602" s="49">
        <v>44814.594204027773</v>
      </c>
      <c r="B4602" s="50" t="s">
        <v>7</v>
      </c>
      <c r="C4602" s="50" t="s">
        <v>496</v>
      </c>
      <c r="D4602" s="50" t="s">
        <v>261</v>
      </c>
      <c r="E4602" s="50">
        <v>-1</v>
      </c>
      <c r="F4602" s="51">
        <v>-1.1937270424731139E-2</v>
      </c>
      <c r="G4602" s="51" t="str">
        <v>竹藤 2022/10/08 (土)
休日午後</v>
      </c>
    </row>
    <row r="4603" spans="1:7" ht="16.149999999999999" x14ac:dyDescent="0.7">
      <c r="A4603" s="49">
        <v>44814.594204027773</v>
      </c>
      <c r="B4603" s="50" t="s">
        <v>7</v>
      </c>
      <c r="C4603" s="50" t="s">
        <v>497</v>
      </c>
      <c r="D4603" s="50" t="s">
        <v>263</v>
      </c>
      <c r="E4603" s="50">
        <v>-1</v>
      </c>
      <c r="F4603" s="51">
        <v>-0.57909602487322354</v>
      </c>
      <c r="G4603" s="51" t="str">
        <v>竹藤 2022/10/09 (日)
休日午前</v>
      </c>
    </row>
    <row r="4604" spans="1:7" ht="16.149999999999999" x14ac:dyDescent="0.7">
      <c r="A4604" s="49">
        <v>44814.594204027773</v>
      </c>
      <c r="B4604" s="50" t="s">
        <v>7</v>
      </c>
      <c r="C4604" s="50" t="s">
        <v>498</v>
      </c>
      <c r="D4604" s="50" t="s">
        <v>261</v>
      </c>
      <c r="E4604" s="50">
        <v>-1</v>
      </c>
      <c r="F4604" s="51">
        <v>-0.52662540314729678</v>
      </c>
      <c r="G4604" s="51" t="str">
        <v>竹藤 2022/10/09 (日)
休日午後</v>
      </c>
    </row>
    <row r="4605" spans="1:7" ht="16.149999999999999" x14ac:dyDescent="0.7">
      <c r="A4605" s="49">
        <v>44814.594204027773</v>
      </c>
      <c r="B4605" s="50" t="s">
        <v>7</v>
      </c>
      <c r="C4605" s="50" t="s">
        <v>499</v>
      </c>
      <c r="D4605" s="50" t="s">
        <v>263</v>
      </c>
      <c r="E4605" s="50">
        <v>-1</v>
      </c>
      <c r="F4605" s="51">
        <v>-0.96411358017828963</v>
      </c>
      <c r="G4605" s="51" t="str">
        <v>竹藤 2022/10/10 (月)
休日午前</v>
      </c>
    </row>
    <row r="4606" spans="1:7" ht="16.149999999999999" x14ac:dyDescent="0.7">
      <c r="A4606" s="49">
        <v>44814.594204027773</v>
      </c>
      <c r="B4606" s="50" t="s">
        <v>7</v>
      </c>
      <c r="C4606" s="50" t="s">
        <v>500</v>
      </c>
      <c r="D4606" s="50" t="s">
        <v>261</v>
      </c>
      <c r="E4606" s="50">
        <v>-1</v>
      </c>
      <c r="F4606" s="51">
        <v>-0.42764247836211555</v>
      </c>
      <c r="G4606" s="51" t="str">
        <v>竹藤 2022/10/10 (月)
休日午後</v>
      </c>
    </row>
    <row r="4607" spans="1:7" ht="16.149999999999999" x14ac:dyDescent="0.7">
      <c r="A4607" s="49">
        <v>44814.594204027773</v>
      </c>
      <c r="B4607" s="50" t="s">
        <v>7</v>
      </c>
      <c r="C4607" s="50" t="s">
        <v>501</v>
      </c>
      <c r="D4607" s="50" t="s">
        <v>259</v>
      </c>
      <c r="E4607" s="50">
        <v>-1</v>
      </c>
      <c r="F4607" s="51">
        <v>-0.25541721041844112</v>
      </c>
      <c r="G4607" s="51" t="str">
        <v>竹藤 2022/10/11 (火)
平日夜間</v>
      </c>
    </row>
    <row r="4608" spans="1:7" ht="16.149999999999999" x14ac:dyDescent="0.7">
      <c r="A4608" s="49">
        <v>44814.594204027773</v>
      </c>
      <c r="B4608" s="50" t="s">
        <v>7</v>
      </c>
      <c r="C4608" s="50" t="s">
        <v>502</v>
      </c>
      <c r="D4608" s="50" t="s">
        <v>259</v>
      </c>
      <c r="E4608" s="50">
        <v>0</v>
      </c>
      <c r="F4608" s="51">
        <v>0.85537731222740554</v>
      </c>
      <c r="G4608" s="51" t="str">
        <v>竹藤 2022/10/12 (水)
平日夜間</v>
      </c>
    </row>
    <row r="4609" spans="1:7" ht="16.149999999999999" x14ac:dyDescent="0.7">
      <c r="A4609" s="49">
        <v>44814.594204027773</v>
      </c>
      <c r="B4609" s="50" t="s">
        <v>7</v>
      </c>
      <c r="C4609" s="50" t="s">
        <v>503</v>
      </c>
      <c r="D4609" s="50" t="s">
        <v>259</v>
      </c>
      <c r="E4609" s="50">
        <v>0</v>
      </c>
      <c r="F4609" s="51">
        <v>0.88216597107277051</v>
      </c>
      <c r="G4609" s="51" t="str">
        <v>竹藤 2022/10/13 (木)
平日夜間</v>
      </c>
    </row>
    <row r="4610" spans="1:7" ht="16.149999999999999" x14ac:dyDescent="0.7">
      <c r="A4610" s="49">
        <v>44814.594204027773</v>
      </c>
      <c r="B4610" s="50" t="s">
        <v>7</v>
      </c>
      <c r="C4610" s="50" t="s">
        <v>504</v>
      </c>
      <c r="D4610" s="50" t="s">
        <v>259</v>
      </c>
      <c r="E4610" s="50">
        <v>-1</v>
      </c>
      <c r="F4610" s="51">
        <v>-0.1475927973644493</v>
      </c>
      <c r="G4610" s="51" t="str">
        <v>竹藤 2022/10/14 (金)
平日夜間</v>
      </c>
    </row>
    <row r="4611" spans="1:7" ht="16.149999999999999" x14ac:dyDescent="0.7">
      <c r="A4611" s="49">
        <v>44814.594204027773</v>
      </c>
      <c r="B4611" s="50" t="s">
        <v>7</v>
      </c>
      <c r="C4611" s="50" t="s">
        <v>505</v>
      </c>
      <c r="D4611" s="50" t="s">
        <v>263</v>
      </c>
      <c r="E4611" s="50">
        <v>0</v>
      </c>
      <c r="F4611" s="51">
        <v>0.76821148362687763</v>
      </c>
      <c r="G4611" s="51" t="str">
        <v>竹藤 2022/10/15 (土)
休日午前</v>
      </c>
    </row>
    <row r="4612" spans="1:7" ht="16.149999999999999" x14ac:dyDescent="0.7">
      <c r="A4612" s="49">
        <v>44814.594204027773</v>
      </c>
      <c r="B4612" s="50" t="s">
        <v>7</v>
      </c>
      <c r="C4612" s="50" t="s">
        <v>506</v>
      </c>
      <c r="D4612" s="50" t="s">
        <v>261</v>
      </c>
      <c r="E4612" s="50">
        <v>0</v>
      </c>
      <c r="F4612" s="51">
        <v>0.75581680233131698</v>
      </c>
      <c r="G4612" s="51" t="str">
        <v>竹藤 2022/10/15 (土)
休日午後</v>
      </c>
    </row>
    <row r="4613" spans="1:7" ht="16.149999999999999" x14ac:dyDescent="0.7">
      <c r="A4613" s="49">
        <v>44814.594204027773</v>
      </c>
      <c r="B4613" s="50" t="s">
        <v>7</v>
      </c>
      <c r="C4613" s="50" t="s">
        <v>507</v>
      </c>
      <c r="D4613" s="50" t="s">
        <v>263</v>
      </c>
      <c r="E4613" s="50">
        <v>0</v>
      </c>
      <c r="F4613" s="51">
        <v>0.49872117977161001</v>
      </c>
      <c r="G4613" s="51" t="str">
        <v>竹藤 2022/10/16 (日)
休日午前</v>
      </c>
    </row>
    <row r="4614" spans="1:7" ht="16.149999999999999" x14ac:dyDescent="0.7">
      <c r="A4614" s="49">
        <v>44814.594204027773</v>
      </c>
      <c r="B4614" s="50" t="s">
        <v>7</v>
      </c>
      <c r="C4614" s="50" t="s">
        <v>508</v>
      </c>
      <c r="D4614" s="50" t="s">
        <v>261</v>
      </c>
      <c r="E4614" s="50">
        <v>0</v>
      </c>
      <c r="F4614" s="51">
        <v>0.41015563448069914</v>
      </c>
      <c r="G4614" s="51" t="str">
        <v>竹藤 2022/10/16 (日)
休日午後</v>
      </c>
    </row>
    <row r="4615" spans="1:7" ht="16.149999999999999" x14ac:dyDescent="0.7">
      <c r="A4615" s="49">
        <v>44814.594204027773</v>
      </c>
      <c r="B4615" s="50" t="s">
        <v>7</v>
      </c>
      <c r="C4615" s="50" t="s">
        <v>509</v>
      </c>
      <c r="D4615" s="50" t="s">
        <v>259</v>
      </c>
      <c r="E4615" s="50">
        <v>0</v>
      </c>
      <c r="F4615" s="51">
        <v>0.66192456992608273</v>
      </c>
      <c r="G4615" s="51" t="str">
        <v>竹藤 2022/10/17 (月)
平日夜間</v>
      </c>
    </row>
    <row r="4616" spans="1:7" ht="16.149999999999999" x14ac:dyDescent="0.7">
      <c r="A4616" s="49">
        <v>44814.594204027773</v>
      </c>
      <c r="B4616" s="50" t="s">
        <v>7</v>
      </c>
      <c r="C4616" s="50" t="s">
        <v>510</v>
      </c>
      <c r="D4616" s="50" t="s">
        <v>259</v>
      </c>
      <c r="E4616" s="50">
        <v>-1</v>
      </c>
      <c r="F4616" s="51">
        <v>-0.60684542117507023</v>
      </c>
      <c r="G4616" s="51" t="str">
        <v>竹藤 2022/10/18 (火)
平日夜間</v>
      </c>
    </row>
    <row r="4617" spans="1:7" ht="16.149999999999999" x14ac:dyDescent="0.7">
      <c r="A4617" s="49">
        <v>44814.594204027773</v>
      </c>
      <c r="B4617" s="50" t="s">
        <v>7</v>
      </c>
      <c r="C4617" s="50" t="s">
        <v>511</v>
      </c>
      <c r="D4617" s="50" t="s">
        <v>259</v>
      </c>
      <c r="E4617" s="50">
        <v>0</v>
      </c>
      <c r="F4617" s="51">
        <v>0.15852497763140883</v>
      </c>
      <c r="G4617" s="51" t="str">
        <v>竹藤 2022/10/19 (水)
平日夜間</v>
      </c>
    </row>
    <row r="4618" spans="1:7" ht="16.149999999999999" x14ac:dyDescent="0.7">
      <c r="A4618" s="49">
        <v>44814.594204027773</v>
      </c>
      <c r="B4618" s="50" t="s">
        <v>7</v>
      </c>
      <c r="C4618" s="50" t="s">
        <v>512</v>
      </c>
      <c r="D4618" s="50" t="s">
        <v>259</v>
      </c>
      <c r="E4618" s="50">
        <v>0</v>
      </c>
      <c r="F4618" s="51">
        <v>8.2028668750596445E-2</v>
      </c>
      <c r="G4618" s="51" t="str">
        <v>竹藤 2022/10/20 (木)
平日夜間</v>
      </c>
    </row>
    <row r="4619" spans="1:7" ht="16.149999999999999" x14ac:dyDescent="0.7">
      <c r="A4619" s="49">
        <v>44814.594204027773</v>
      </c>
      <c r="B4619" s="50" t="s">
        <v>7</v>
      </c>
      <c r="C4619" s="50" t="s">
        <v>513</v>
      </c>
      <c r="D4619" s="50" t="s">
        <v>259</v>
      </c>
      <c r="E4619" s="50">
        <v>2</v>
      </c>
      <c r="F4619" s="51">
        <v>2.1763306936752498</v>
      </c>
      <c r="G4619" s="51" t="str">
        <v>竹藤 2022/10/21 (金)
平日夜間</v>
      </c>
    </row>
    <row r="4620" spans="1:7" ht="16.149999999999999" x14ac:dyDescent="0.7">
      <c r="A4620" s="49">
        <v>44814.594204027773</v>
      </c>
      <c r="B4620" s="50" t="s">
        <v>7</v>
      </c>
      <c r="C4620" s="50" t="s">
        <v>514</v>
      </c>
      <c r="D4620" s="50" t="s">
        <v>263</v>
      </c>
      <c r="E4620" s="50">
        <v>-1</v>
      </c>
      <c r="F4620" s="51">
        <v>-0.80570733155968544</v>
      </c>
      <c r="G4620" s="51" t="str">
        <v>竹藤 2022/10/22 (土)
休日午前</v>
      </c>
    </row>
    <row r="4621" spans="1:7" ht="16.149999999999999" x14ac:dyDescent="0.7">
      <c r="A4621" s="49">
        <v>44814.594204027773</v>
      </c>
      <c r="B4621" s="50" t="s">
        <v>7</v>
      </c>
      <c r="C4621" s="50" t="s">
        <v>515</v>
      </c>
      <c r="D4621" s="50" t="s">
        <v>261</v>
      </c>
      <c r="E4621" s="50">
        <v>-1</v>
      </c>
      <c r="F4621" s="51">
        <v>-0.65976902306960827</v>
      </c>
      <c r="G4621" s="51" t="str">
        <v>竹藤 2022/10/22 (土)
休日午後</v>
      </c>
    </row>
    <row r="4622" spans="1:7" ht="16.149999999999999" x14ac:dyDescent="0.7">
      <c r="A4622" s="49">
        <v>44814.594204027773</v>
      </c>
      <c r="B4622" s="50" t="s">
        <v>7</v>
      </c>
      <c r="C4622" s="50" t="s">
        <v>516</v>
      </c>
      <c r="D4622" s="50" t="s">
        <v>263</v>
      </c>
      <c r="E4622" s="50">
        <v>0</v>
      </c>
      <c r="F4622" s="51">
        <v>0.78647252169726722</v>
      </c>
      <c r="G4622" s="51" t="str">
        <v>竹藤 2022/10/23 (日)
休日午前</v>
      </c>
    </row>
    <row r="4623" spans="1:7" ht="16.149999999999999" x14ac:dyDescent="0.7">
      <c r="A4623" s="49">
        <v>44814.594204027773</v>
      </c>
      <c r="B4623" s="50" t="s">
        <v>7</v>
      </c>
      <c r="C4623" s="50" t="s">
        <v>517</v>
      </c>
      <c r="D4623" s="50" t="s">
        <v>261</v>
      </c>
      <c r="E4623" s="50">
        <v>0</v>
      </c>
      <c r="F4623" s="51">
        <v>0.34738061140981324</v>
      </c>
      <c r="G4623" s="51" t="str">
        <v>竹藤 2022/10/23 (日)
休日午後</v>
      </c>
    </row>
    <row r="4624" spans="1:7" ht="16.149999999999999" x14ac:dyDescent="0.7">
      <c r="A4624" s="49">
        <v>44814.594204027773</v>
      </c>
      <c r="B4624" s="50" t="s">
        <v>7</v>
      </c>
      <c r="C4624" s="50" t="s">
        <v>518</v>
      </c>
      <c r="D4624" s="50" t="s">
        <v>259</v>
      </c>
      <c r="E4624" s="50">
        <v>0</v>
      </c>
      <c r="F4624" s="51">
        <v>0.68389740523709275</v>
      </c>
      <c r="G4624" s="51" t="str">
        <v>竹藤 2022/10/24 (月)
平日夜間</v>
      </c>
    </row>
    <row r="4625" spans="1:7" ht="16.149999999999999" x14ac:dyDescent="0.7">
      <c r="A4625" s="49">
        <v>44814.594204027773</v>
      </c>
      <c r="B4625" s="50" t="s">
        <v>7</v>
      </c>
      <c r="C4625" s="50" t="s">
        <v>519</v>
      </c>
      <c r="D4625" s="50" t="s">
        <v>259</v>
      </c>
      <c r="E4625" s="50">
        <v>-1</v>
      </c>
      <c r="F4625" s="51">
        <v>-0.4785304728403279</v>
      </c>
      <c r="G4625" s="51" t="str">
        <v>竹藤 2022/10/25 (火)
平日夜間</v>
      </c>
    </row>
    <row r="4626" spans="1:7" ht="16.149999999999999" x14ac:dyDescent="0.7">
      <c r="A4626" s="49">
        <v>44814.594204027773</v>
      </c>
      <c r="B4626" s="50" t="s">
        <v>7</v>
      </c>
      <c r="C4626" s="50" t="s">
        <v>520</v>
      </c>
      <c r="D4626" s="50" t="s">
        <v>259</v>
      </c>
      <c r="E4626" s="50">
        <v>0</v>
      </c>
      <c r="F4626" s="51">
        <v>0.24834061693347298</v>
      </c>
      <c r="G4626" s="51" t="str">
        <v>竹藤 2022/10/26 (水)
平日夜間</v>
      </c>
    </row>
    <row r="4627" spans="1:7" ht="16.149999999999999" x14ac:dyDescent="0.7">
      <c r="A4627" s="49">
        <v>44814.594204027773</v>
      </c>
      <c r="B4627" s="50" t="s">
        <v>7</v>
      </c>
      <c r="C4627" s="50" t="s">
        <v>521</v>
      </c>
      <c r="D4627" s="50" t="s">
        <v>259</v>
      </c>
      <c r="E4627" s="50">
        <v>0</v>
      </c>
      <c r="F4627" s="51">
        <v>0.20303148454289488</v>
      </c>
      <c r="G4627" s="51" t="str">
        <v>竹藤 2022/10/27 (木)
平日夜間</v>
      </c>
    </row>
    <row r="4628" spans="1:7" ht="16.149999999999999" x14ac:dyDescent="0.7">
      <c r="A4628" s="49">
        <v>44814.594204027773</v>
      </c>
      <c r="B4628" s="50" t="s">
        <v>7</v>
      </c>
      <c r="C4628" s="50" t="s">
        <v>522</v>
      </c>
      <c r="D4628" s="50" t="s">
        <v>259</v>
      </c>
      <c r="E4628" s="50">
        <v>0</v>
      </c>
      <c r="F4628" s="51">
        <v>0.94290661673729637</v>
      </c>
      <c r="G4628" s="51" t="str">
        <v>竹藤 2022/10/28 (金)
平日夜間</v>
      </c>
    </row>
    <row r="4629" spans="1:7" ht="16.149999999999999" x14ac:dyDescent="0.7">
      <c r="A4629" s="49">
        <v>44814.594204027773</v>
      </c>
      <c r="B4629" s="50" t="s">
        <v>7</v>
      </c>
      <c r="C4629" s="50" t="s">
        <v>523</v>
      </c>
      <c r="D4629" s="50" t="s">
        <v>263</v>
      </c>
      <c r="E4629" s="50">
        <v>0</v>
      </c>
      <c r="F4629" s="51">
        <v>0.17523287901691909</v>
      </c>
      <c r="G4629" s="51" t="str">
        <v>竹藤 2022/10/29 (土)
休日午前</v>
      </c>
    </row>
    <row r="4630" spans="1:7" ht="16.149999999999999" x14ac:dyDescent="0.7">
      <c r="A4630" s="49">
        <v>44814.594204027773</v>
      </c>
      <c r="B4630" s="50" t="s">
        <v>7</v>
      </c>
      <c r="C4630" s="50" t="s">
        <v>524</v>
      </c>
      <c r="D4630" s="50" t="s">
        <v>261</v>
      </c>
      <c r="E4630" s="50">
        <v>-1</v>
      </c>
      <c r="F4630" s="51">
        <v>-0.6850944100231835</v>
      </c>
      <c r="G4630" s="51" t="str">
        <v>竹藤 2022/10/29 (土)
休日午後</v>
      </c>
    </row>
    <row r="4631" spans="1:7" ht="16.149999999999999" x14ac:dyDescent="0.7">
      <c r="A4631" s="49">
        <v>44814.594204027773</v>
      </c>
      <c r="B4631" s="50" t="s">
        <v>7</v>
      </c>
      <c r="C4631" s="50" t="s">
        <v>525</v>
      </c>
      <c r="D4631" s="50" t="s">
        <v>263</v>
      </c>
      <c r="E4631" s="50">
        <v>-1</v>
      </c>
      <c r="F4631" s="51">
        <v>-9.9149155023498636E-2</v>
      </c>
      <c r="G4631" s="51" t="str">
        <v>竹藤 2022/10/30 (日)
休日午前</v>
      </c>
    </row>
    <row r="4632" spans="1:7" ht="16.149999999999999" x14ac:dyDescent="0.7">
      <c r="A4632" s="49">
        <v>44814.594204027773</v>
      </c>
      <c r="B4632" s="50" t="s">
        <v>7</v>
      </c>
      <c r="C4632" s="50" t="s">
        <v>526</v>
      </c>
      <c r="D4632" s="50" t="s">
        <v>261</v>
      </c>
      <c r="E4632" s="50">
        <v>2</v>
      </c>
      <c r="F4632" s="51">
        <v>2.3110122650935727</v>
      </c>
      <c r="G4632" s="51" t="str">
        <v>竹藤 2022/10/30 (日)
休日午後</v>
      </c>
    </row>
    <row r="4633" spans="1:7" ht="16.149999999999999" x14ac:dyDescent="0.7">
      <c r="A4633" s="49">
        <v>44814.594204027773</v>
      </c>
      <c r="B4633" s="50" t="s">
        <v>7</v>
      </c>
      <c r="C4633" s="50" t="s">
        <v>527</v>
      </c>
      <c r="D4633" s="50" t="s">
        <v>259</v>
      </c>
      <c r="E4633" s="50">
        <v>-1</v>
      </c>
      <c r="F4633" s="51">
        <v>-0.74469293264735725</v>
      </c>
      <c r="G4633" s="51" t="str">
        <v>竹藤 2022/10/31 (月)
平日夜間</v>
      </c>
    </row>
    <row r="4634" spans="1:7" ht="16.149999999999999" x14ac:dyDescent="0.7">
      <c r="A4634" s="49">
        <v>44815.818404317135</v>
      </c>
      <c r="B4634" s="50" t="s">
        <v>13</v>
      </c>
      <c r="C4634" s="50" t="s">
        <v>486</v>
      </c>
      <c r="D4634" s="50" t="s">
        <v>263</v>
      </c>
      <c r="E4634" s="50">
        <v>-1</v>
      </c>
      <c r="F4634" s="51">
        <v>-0.27866260258060227</v>
      </c>
      <c r="G4634" s="51" t="str">
        <v>新美 2022/10/01 (土)
休日午前</v>
      </c>
    </row>
    <row r="4635" spans="1:7" ht="16.149999999999999" x14ac:dyDescent="0.7">
      <c r="A4635" s="49">
        <v>44815.818404317135</v>
      </c>
      <c r="B4635" s="50" t="s">
        <v>13</v>
      </c>
      <c r="C4635" s="50" t="s">
        <v>487</v>
      </c>
      <c r="D4635" s="50" t="s">
        <v>261</v>
      </c>
      <c r="E4635" s="50">
        <v>-1</v>
      </c>
      <c r="F4635" s="51">
        <v>-0.49231378471454645</v>
      </c>
      <c r="G4635" s="51" t="str">
        <v>新美 2022/10/01 (土)
休日午後</v>
      </c>
    </row>
    <row r="4636" spans="1:7" ht="16.149999999999999" x14ac:dyDescent="0.7">
      <c r="A4636" s="49">
        <v>44815.818404317135</v>
      </c>
      <c r="B4636" s="50" t="s">
        <v>13</v>
      </c>
      <c r="C4636" s="50" t="s">
        <v>488</v>
      </c>
      <c r="D4636" s="50" t="s">
        <v>263</v>
      </c>
      <c r="E4636" s="50">
        <v>0</v>
      </c>
      <c r="F4636" s="51">
        <v>5.8616186665495951E-2</v>
      </c>
      <c r="G4636" s="51" t="str">
        <v>新美 2022/10/02 (日)
休日午前</v>
      </c>
    </row>
    <row r="4637" spans="1:7" ht="16.149999999999999" x14ac:dyDescent="0.7">
      <c r="A4637" s="49">
        <v>44815.818404317135</v>
      </c>
      <c r="B4637" s="50" t="s">
        <v>13</v>
      </c>
      <c r="C4637" s="50" t="s">
        <v>489</v>
      </c>
      <c r="D4637" s="50" t="s">
        <v>261</v>
      </c>
      <c r="E4637" s="50">
        <v>0</v>
      </c>
      <c r="F4637" s="51">
        <v>0.23680564128481207</v>
      </c>
      <c r="G4637" s="51" t="str">
        <v>新美 2022/10/02 (日)
休日午後</v>
      </c>
    </row>
    <row r="4638" spans="1:7" ht="16.149999999999999" x14ac:dyDescent="0.7">
      <c r="A4638" s="49">
        <v>44815.818404317135</v>
      </c>
      <c r="B4638" s="50" t="s">
        <v>13</v>
      </c>
      <c r="C4638" s="50" t="s">
        <v>490</v>
      </c>
      <c r="D4638" s="50" t="s">
        <v>259</v>
      </c>
      <c r="E4638" s="50">
        <v>0</v>
      </c>
      <c r="F4638" s="51">
        <v>3.991606536484027E-2</v>
      </c>
      <c r="G4638" s="51" t="str">
        <v>新美 2022/10/03 (月)
平日夜間</v>
      </c>
    </row>
    <row r="4639" spans="1:7" ht="16.149999999999999" x14ac:dyDescent="0.7">
      <c r="A4639" s="49">
        <v>44815.818404317135</v>
      </c>
      <c r="B4639" s="50" t="s">
        <v>13</v>
      </c>
      <c r="C4639" s="50" t="s">
        <v>491</v>
      </c>
      <c r="D4639" s="50" t="s">
        <v>259</v>
      </c>
      <c r="E4639" s="50">
        <v>0</v>
      </c>
      <c r="F4639" s="51">
        <v>0.97997817977643709</v>
      </c>
      <c r="G4639" s="51" t="str">
        <v>新美 2022/10/04 (火)
平日夜間</v>
      </c>
    </row>
    <row r="4640" spans="1:7" ht="16.149999999999999" x14ac:dyDescent="0.7">
      <c r="A4640" s="49">
        <v>44815.818404317135</v>
      </c>
      <c r="B4640" s="50" t="s">
        <v>13</v>
      </c>
      <c r="C4640" s="50" t="s">
        <v>492</v>
      </c>
      <c r="D4640" s="50" t="s">
        <v>259</v>
      </c>
      <c r="E4640" s="50">
        <v>-1</v>
      </c>
      <c r="F4640" s="51">
        <v>-0.82464398627700963</v>
      </c>
      <c r="G4640" s="51" t="str">
        <v>新美 2022/10/05 (水)
平日夜間</v>
      </c>
    </row>
    <row r="4641" spans="1:7" ht="16.149999999999999" x14ac:dyDescent="0.7">
      <c r="A4641" s="49">
        <v>44815.818404317135</v>
      </c>
      <c r="B4641" s="50" t="s">
        <v>13</v>
      </c>
      <c r="C4641" s="50" t="s">
        <v>493</v>
      </c>
      <c r="D4641" s="50" t="s">
        <v>259</v>
      </c>
      <c r="E4641" s="50">
        <v>0</v>
      </c>
      <c r="F4641" s="51">
        <v>0.46163292233177655</v>
      </c>
      <c r="G4641" s="51" t="str">
        <v>新美 2022/10/06 (木)
平日夜間</v>
      </c>
    </row>
    <row r="4642" spans="1:7" ht="16.149999999999999" x14ac:dyDescent="0.7">
      <c r="A4642" s="49">
        <v>44815.818404317135</v>
      </c>
      <c r="B4642" s="50" t="s">
        <v>13</v>
      </c>
      <c r="C4642" s="50" t="s">
        <v>494</v>
      </c>
      <c r="D4642" s="50" t="s">
        <v>259</v>
      </c>
      <c r="E4642" s="50">
        <v>0</v>
      </c>
      <c r="F4642" s="51">
        <v>0.71856676658059615</v>
      </c>
      <c r="G4642" s="51" t="str">
        <v>新美 2022/10/07 (金)
平日夜間</v>
      </c>
    </row>
    <row r="4643" spans="1:7" ht="16.149999999999999" x14ac:dyDescent="0.7">
      <c r="A4643" s="49">
        <v>44815.818404317135</v>
      </c>
      <c r="B4643" s="50" t="s">
        <v>13</v>
      </c>
      <c r="C4643" s="50" t="s">
        <v>495</v>
      </c>
      <c r="D4643" s="50" t="s">
        <v>263</v>
      </c>
      <c r="E4643" s="50">
        <v>0</v>
      </c>
      <c r="F4643" s="51">
        <v>0.19868504396262465</v>
      </c>
      <c r="G4643" s="51" t="str">
        <v>新美 2022/10/08 (土)
休日午前</v>
      </c>
    </row>
    <row r="4644" spans="1:7" ht="16.149999999999999" x14ac:dyDescent="0.7">
      <c r="A4644" s="49">
        <v>44815.818404317135</v>
      </c>
      <c r="B4644" s="50" t="s">
        <v>13</v>
      </c>
      <c r="C4644" s="50" t="s">
        <v>496</v>
      </c>
      <c r="D4644" s="50" t="s">
        <v>261</v>
      </c>
      <c r="E4644" s="50">
        <v>-1</v>
      </c>
      <c r="F4644" s="51">
        <v>-0.4637092294199141</v>
      </c>
      <c r="G4644" s="51" t="str">
        <v>新美 2022/10/08 (土)
休日午後</v>
      </c>
    </row>
    <row r="4645" spans="1:7" ht="16.149999999999999" x14ac:dyDescent="0.7">
      <c r="A4645" s="49">
        <v>44815.818404317135</v>
      </c>
      <c r="B4645" s="50" t="s">
        <v>13</v>
      </c>
      <c r="C4645" s="50" t="s">
        <v>497</v>
      </c>
      <c r="D4645" s="50" t="s">
        <v>263</v>
      </c>
      <c r="E4645" s="50">
        <v>-1</v>
      </c>
      <c r="F4645" s="51">
        <v>-0.55116417564223141</v>
      </c>
      <c r="G4645" s="51" t="str">
        <v>新美 2022/10/09 (日)
休日午前</v>
      </c>
    </row>
    <row r="4646" spans="1:7" ht="16.149999999999999" x14ac:dyDescent="0.7">
      <c r="A4646" s="49">
        <v>44815.818404317135</v>
      </c>
      <c r="B4646" s="50" t="s">
        <v>13</v>
      </c>
      <c r="C4646" s="50" t="s">
        <v>498</v>
      </c>
      <c r="D4646" s="50" t="s">
        <v>261</v>
      </c>
      <c r="E4646" s="50">
        <v>-1</v>
      </c>
      <c r="F4646" s="51">
        <v>-0.86770572026800652</v>
      </c>
      <c r="G4646" s="51" t="str">
        <v>新美 2022/10/09 (日)
休日午後</v>
      </c>
    </row>
    <row r="4647" spans="1:7" ht="16.149999999999999" x14ac:dyDescent="0.7">
      <c r="A4647" s="49">
        <v>44815.818404317135</v>
      </c>
      <c r="B4647" s="50" t="s">
        <v>13</v>
      </c>
      <c r="C4647" s="50" t="s">
        <v>499</v>
      </c>
      <c r="D4647" s="50" t="s">
        <v>263</v>
      </c>
      <c r="E4647" s="50">
        <v>0</v>
      </c>
      <c r="F4647" s="51">
        <v>0.42106666832797934</v>
      </c>
      <c r="G4647" s="51" t="str">
        <v>新美 2022/10/10 (月)
休日午前</v>
      </c>
    </row>
    <row r="4648" spans="1:7" ht="16.149999999999999" x14ac:dyDescent="0.7">
      <c r="A4648" s="49">
        <v>44815.818404317135</v>
      </c>
      <c r="B4648" s="50" t="s">
        <v>13</v>
      </c>
      <c r="C4648" s="50" t="s">
        <v>500</v>
      </c>
      <c r="D4648" s="50" t="s">
        <v>261</v>
      </c>
      <c r="E4648" s="50">
        <v>-1</v>
      </c>
      <c r="F4648" s="51">
        <v>-5.8605703099391171E-2</v>
      </c>
      <c r="G4648" s="51" t="str">
        <v>新美 2022/10/10 (月)
休日午後</v>
      </c>
    </row>
    <row r="4649" spans="1:7" ht="16.149999999999999" x14ac:dyDescent="0.7">
      <c r="A4649" s="49">
        <v>44815.818404317135</v>
      </c>
      <c r="B4649" s="50" t="s">
        <v>13</v>
      </c>
      <c r="C4649" s="50" t="s">
        <v>501</v>
      </c>
      <c r="D4649" s="50" t="s">
        <v>259</v>
      </c>
      <c r="E4649" s="50">
        <v>0</v>
      </c>
      <c r="F4649" s="51">
        <v>0.79136172758229861</v>
      </c>
      <c r="G4649" s="51" t="str">
        <v>新美 2022/10/11 (火)
平日夜間</v>
      </c>
    </row>
    <row r="4650" spans="1:7" ht="16.149999999999999" x14ac:dyDescent="0.7">
      <c r="A4650" s="49">
        <v>44815.818404317135</v>
      </c>
      <c r="B4650" s="50" t="s">
        <v>13</v>
      </c>
      <c r="C4650" s="50" t="s">
        <v>502</v>
      </c>
      <c r="D4650" s="50" t="s">
        <v>259</v>
      </c>
      <c r="E4650" s="50">
        <v>-1</v>
      </c>
      <c r="F4650" s="51">
        <v>-0.53884252328147197</v>
      </c>
      <c r="G4650" s="51" t="str">
        <v>新美 2022/10/12 (水)
平日夜間</v>
      </c>
    </row>
    <row r="4651" spans="1:7" ht="16.149999999999999" x14ac:dyDescent="0.7">
      <c r="A4651" s="49">
        <v>44815.818404317135</v>
      </c>
      <c r="B4651" s="50" t="s">
        <v>13</v>
      </c>
      <c r="C4651" s="50" t="s">
        <v>503</v>
      </c>
      <c r="D4651" s="50" t="s">
        <v>259</v>
      </c>
      <c r="E4651" s="50">
        <v>0</v>
      </c>
      <c r="F4651" s="51">
        <v>0.29705726382129805</v>
      </c>
      <c r="G4651" s="51" t="str">
        <v>新美 2022/10/13 (木)
平日夜間</v>
      </c>
    </row>
    <row r="4652" spans="1:7" ht="16.149999999999999" x14ac:dyDescent="0.7">
      <c r="A4652" s="49">
        <v>44815.818404317135</v>
      </c>
      <c r="B4652" s="50" t="s">
        <v>13</v>
      </c>
      <c r="C4652" s="50" t="s">
        <v>504</v>
      </c>
      <c r="D4652" s="50" t="s">
        <v>259</v>
      </c>
      <c r="E4652" s="50">
        <v>0</v>
      </c>
      <c r="F4652" s="51">
        <v>0.95590446083885139</v>
      </c>
      <c r="G4652" s="51" t="str">
        <v>新美 2022/10/14 (金)
平日夜間</v>
      </c>
    </row>
    <row r="4653" spans="1:7" ht="16.149999999999999" x14ac:dyDescent="0.7">
      <c r="A4653" s="49">
        <v>44815.818404317135</v>
      </c>
      <c r="B4653" s="50" t="s">
        <v>13</v>
      </c>
      <c r="C4653" s="50" t="s">
        <v>505</v>
      </c>
      <c r="D4653" s="50" t="s">
        <v>263</v>
      </c>
      <c r="E4653" s="50">
        <v>0</v>
      </c>
      <c r="F4653" s="51">
        <v>1.7757622623842728E-2</v>
      </c>
      <c r="G4653" s="51" t="str">
        <v>新美 2022/10/15 (土)
休日午前</v>
      </c>
    </row>
    <row r="4654" spans="1:7" ht="16.149999999999999" x14ac:dyDescent="0.7">
      <c r="A4654" s="49">
        <v>44815.818404317135</v>
      </c>
      <c r="B4654" s="50" t="s">
        <v>13</v>
      </c>
      <c r="C4654" s="50" t="s">
        <v>506</v>
      </c>
      <c r="D4654" s="50" t="s">
        <v>261</v>
      </c>
      <c r="E4654" s="50">
        <v>-1</v>
      </c>
      <c r="F4654" s="51">
        <v>-0.31484301418107741</v>
      </c>
      <c r="G4654" s="51" t="str">
        <v>新美 2022/10/15 (土)
休日午後</v>
      </c>
    </row>
    <row r="4655" spans="1:7" ht="16.149999999999999" x14ac:dyDescent="0.7">
      <c r="A4655" s="49">
        <v>44815.818404317135</v>
      </c>
      <c r="B4655" s="50" t="s">
        <v>13</v>
      </c>
      <c r="C4655" s="50" t="s">
        <v>507</v>
      </c>
      <c r="D4655" s="50" t="s">
        <v>263</v>
      </c>
      <c r="E4655" s="50">
        <v>0</v>
      </c>
      <c r="F4655" s="51">
        <v>0.38353798247851167</v>
      </c>
      <c r="G4655" s="51" t="str">
        <v>新美 2022/10/16 (日)
休日午前</v>
      </c>
    </row>
    <row r="4656" spans="1:7" ht="16.149999999999999" x14ac:dyDescent="0.7">
      <c r="A4656" s="49">
        <v>44815.818404317135</v>
      </c>
      <c r="B4656" s="50" t="s">
        <v>13</v>
      </c>
      <c r="C4656" s="50" t="s">
        <v>508</v>
      </c>
      <c r="D4656" s="50" t="s">
        <v>261</v>
      </c>
      <c r="E4656" s="50">
        <v>-1</v>
      </c>
      <c r="F4656" s="51">
        <v>-0.545943531461341</v>
      </c>
      <c r="G4656" s="51" t="str">
        <v>新美 2022/10/16 (日)
休日午後</v>
      </c>
    </row>
    <row r="4657" spans="1:7" ht="16.149999999999999" x14ac:dyDescent="0.7">
      <c r="A4657" s="49">
        <v>44815.818404317135</v>
      </c>
      <c r="B4657" s="50" t="s">
        <v>13</v>
      </c>
      <c r="C4657" s="50" t="s">
        <v>509</v>
      </c>
      <c r="D4657" s="50" t="s">
        <v>259</v>
      </c>
      <c r="E4657" s="50">
        <v>0</v>
      </c>
      <c r="F4657" s="51">
        <v>0.29180030367916232</v>
      </c>
      <c r="G4657" s="51" t="str">
        <v>新美 2022/10/17 (月)
平日夜間</v>
      </c>
    </row>
    <row r="4658" spans="1:7" ht="16.149999999999999" x14ac:dyDescent="0.7">
      <c r="A4658" s="49">
        <v>44815.818404317135</v>
      </c>
      <c r="B4658" s="50" t="s">
        <v>13</v>
      </c>
      <c r="C4658" s="50" t="s">
        <v>510</v>
      </c>
      <c r="D4658" s="50" t="s">
        <v>259</v>
      </c>
      <c r="E4658" s="50">
        <v>-1</v>
      </c>
      <c r="F4658" s="51">
        <v>-0.33318703424770257</v>
      </c>
      <c r="G4658" s="51" t="str">
        <v>新美 2022/10/18 (火)
平日夜間</v>
      </c>
    </row>
    <row r="4659" spans="1:7" ht="16.149999999999999" x14ac:dyDescent="0.7">
      <c r="A4659" s="49">
        <v>44815.818404317135</v>
      </c>
      <c r="B4659" s="50" t="s">
        <v>13</v>
      </c>
      <c r="C4659" s="50" t="s">
        <v>511</v>
      </c>
      <c r="D4659" s="50" t="s">
        <v>259</v>
      </c>
      <c r="E4659" s="50">
        <v>-1</v>
      </c>
      <c r="F4659" s="51">
        <v>-0.66794744645044934</v>
      </c>
      <c r="G4659" s="51" t="str">
        <v>新美 2022/10/19 (水)
平日夜間</v>
      </c>
    </row>
    <row r="4660" spans="1:7" ht="16.149999999999999" x14ac:dyDescent="0.7">
      <c r="A4660" s="49">
        <v>44815.818404317135</v>
      </c>
      <c r="B4660" s="50" t="s">
        <v>13</v>
      </c>
      <c r="C4660" s="50" t="s">
        <v>512</v>
      </c>
      <c r="D4660" s="50" t="s">
        <v>259</v>
      </c>
      <c r="E4660" s="50">
        <v>-1</v>
      </c>
      <c r="F4660" s="51">
        <v>-0.56506603169953951</v>
      </c>
      <c r="G4660" s="51" t="str">
        <v>新美 2022/10/20 (木)
平日夜間</v>
      </c>
    </row>
    <row r="4661" spans="1:7" ht="16.149999999999999" x14ac:dyDescent="0.7">
      <c r="A4661" s="49">
        <v>44815.818404317135</v>
      </c>
      <c r="B4661" s="50" t="s">
        <v>13</v>
      </c>
      <c r="C4661" s="50" t="s">
        <v>513</v>
      </c>
      <c r="D4661" s="50" t="s">
        <v>259</v>
      </c>
      <c r="E4661" s="50">
        <v>0</v>
      </c>
      <c r="F4661" s="51">
        <v>0.51414867946290621</v>
      </c>
      <c r="G4661" s="51" t="str">
        <v>新美 2022/10/21 (金)
平日夜間</v>
      </c>
    </row>
    <row r="4662" spans="1:7" ht="16.149999999999999" x14ac:dyDescent="0.7">
      <c r="A4662" s="49">
        <v>44815.818404317135</v>
      </c>
      <c r="B4662" s="50" t="s">
        <v>13</v>
      </c>
      <c r="C4662" s="50" t="s">
        <v>514</v>
      </c>
      <c r="D4662" s="50" t="s">
        <v>263</v>
      </c>
      <c r="E4662" s="50">
        <v>0</v>
      </c>
      <c r="F4662" s="51">
        <v>0.61409204545952134</v>
      </c>
      <c r="G4662" s="51" t="str">
        <v>新美 2022/10/22 (土)
休日午前</v>
      </c>
    </row>
    <row r="4663" spans="1:7" ht="16.149999999999999" x14ac:dyDescent="0.7">
      <c r="A4663" s="49">
        <v>44815.818404317135</v>
      </c>
      <c r="B4663" s="50" t="s">
        <v>13</v>
      </c>
      <c r="C4663" s="50" t="s">
        <v>515</v>
      </c>
      <c r="D4663" s="50" t="s">
        <v>261</v>
      </c>
      <c r="E4663" s="50">
        <v>-1</v>
      </c>
      <c r="F4663" s="51">
        <v>-0.51999838450239966</v>
      </c>
      <c r="G4663" s="51" t="str">
        <v>新美 2022/10/22 (土)
休日午後</v>
      </c>
    </row>
    <row r="4664" spans="1:7" ht="16.149999999999999" x14ac:dyDescent="0.7">
      <c r="A4664" s="49">
        <v>44815.818404317135</v>
      </c>
      <c r="B4664" s="50" t="s">
        <v>13</v>
      </c>
      <c r="C4664" s="50" t="s">
        <v>516</v>
      </c>
      <c r="D4664" s="50" t="s">
        <v>263</v>
      </c>
      <c r="E4664" s="50">
        <v>0</v>
      </c>
      <c r="F4664" s="51">
        <v>0.69874803219333215</v>
      </c>
      <c r="G4664" s="51" t="str">
        <v>新美 2022/10/23 (日)
休日午前</v>
      </c>
    </row>
    <row r="4665" spans="1:7" ht="16.149999999999999" x14ac:dyDescent="0.7">
      <c r="A4665" s="49">
        <v>44815.818404317135</v>
      </c>
      <c r="B4665" s="50" t="s">
        <v>13</v>
      </c>
      <c r="C4665" s="50" t="s">
        <v>517</v>
      </c>
      <c r="D4665" s="50" t="s">
        <v>261</v>
      </c>
      <c r="E4665" s="50">
        <v>-1</v>
      </c>
      <c r="F4665" s="51">
        <v>-0.12270818250895776</v>
      </c>
      <c r="G4665" s="51" t="str">
        <v>新美 2022/10/23 (日)
休日午後</v>
      </c>
    </row>
    <row r="4666" spans="1:7" ht="16.149999999999999" x14ac:dyDescent="0.7">
      <c r="A4666" s="49">
        <v>44815.818404317135</v>
      </c>
      <c r="B4666" s="50" t="s">
        <v>13</v>
      </c>
      <c r="C4666" s="50" t="s">
        <v>518</v>
      </c>
      <c r="D4666" s="50" t="s">
        <v>259</v>
      </c>
      <c r="E4666" s="50">
        <v>0</v>
      </c>
      <c r="F4666" s="51">
        <v>0.13225954197150069</v>
      </c>
      <c r="G4666" s="51" t="str">
        <v>新美 2022/10/24 (月)
平日夜間</v>
      </c>
    </row>
    <row r="4667" spans="1:7" ht="16.149999999999999" x14ac:dyDescent="0.7">
      <c r="A4667" s="49">
        <v>44815.818404317135</v>
      </c>
      <c r="B4667" s="50" t="s">
        <v>13</v>
      </c>
      <c r="C4667" s="50" t="s">
        <v>519</v>
      </c>
      <c r="D4667" s="50" t="s">
        <v>259</v>
      </c>
      <c r="E4667" s="50">
        <v>0</v>
      </c>
      <c r="F4667" s="51">
        <v>0.47789403568244926</v>
      </c>
      <c r="G4667" s="51" t="str">
        <v>新美 2022/10/25 (火)
平日夜間</v>
      </c>
    </row>
    <row r="4668" spans="1:7" ht="16.149999999999999" x14ac:dyDescent="0.7">
      <c r="A4668" s="49">
        <v>44815.818404317135</v>
      </c>
      <c r="B4668" s="50" t="s">
        <v>13</v>
      </c>
      <c r="C4668" s="50" t="s">
        <v>520</v>
      </c>
      <c r="D4668" s="50" t="s">
        <v>259</v>
      </c>
      <c r="E4668" s="50">
        <v>-1</v>
      </c>
      <c r="F4668" s="51">
        <v>-0.72899280538679223</v>
      </c>
      <c r="G4668" s="51" t="str">
        <v>新美 2022/10/26 (水)
平日夜間</v>
      </c>
    </row>
    <row r="4669" spans="1:7" ht="16.149999999999999" x14ac:dyDescent="0.7">
      <c r="A4669" s="49">
        <v>44815.818404317135</v>
      </c>
      <c r="B4669" s="50" t="s">
        <v>13</v>
      </c>
      <c r="C4669" s="50" t="s">
        <v>521</v>
      </c>
      <c r="D4669" s="50" t="s">
        <v>259</v>
      </c>
      <c r="E4669" s="50">
        <v>0</v>
      </c>
      <c r="F4669" s="51">
        <v>0.35090665839904056</v>
      </c>
      <c r="G4669" s="51" t="str">
        <v>新美 2022/10/27 (木)
平日夜間</v>
      </c>
    </row>
    <row r="4670" spans="1:7" ht="16.149999999999999" x14ac:dyDescent="0.7">
      <c r="A4670" s="49">
        <v>44815.818404317135</v>
      </c>
      <c r="B4670" s="50" t="s">
        <v>13</v>
      </c>
      <c r="C4670" s="50" t="s">
        <v>522</v>
      </c>
      <c r="D4670" s="50" t="s">
        <v>259</v>
      </c>
      <c r="E4670" s="50">
        <v>0</v>
      </c>
      <c r="F4670" s="51">
        <v>0.64192267920722501</v>
      </c>
      <c r="G4670" s="51" t="str">
        <v>新美 2022/10/28 (金)
平日夜間</v>
      </c>
    </row>
    <row r="4671" spans="1:7" ht="16.149999999999999" x14ac:dyDescent="0.7">
      <c r="A4671" s="49">
        <v>44815.818404317135</v>
      </c>
      <c r="B4671" s="50" t="s">
        <v>13</v>
      </c>
      <c r="C4671" s="50" t="s">
        <v>523</v>
      </c>
      <c r="D4671" s="50" t="s">
        <v>263</v>
      </c>
      <c r="E4671" s="50">
        <v>0</v>
      </c>
      <c r="F4671" s="51">
        <v>0.64787082018061337</v>
      </c>
      <c r="G4671" s="51" t="str">
        <v>新美 2022/10/29 (土)
休日午前</v>
      </c>
    </row>
    <row r="4672" spans="1:7" ht="16.149999999999999" x14ac:dyDescent="0.7">
      <c r="A4672" s="49">
        <v>44815.818404317135</v>
      </c>
      <c r="B4672" s="50" t="s">
        <v>13</v>
      </c>
      <c r="C4672" s="50" t="s">
        <v>524</v>
      </c>
      <c r="D4672" s="50" t="s">
        <v>261</v>
      </c>
      <c r="E4672" s="50">
        <v>-1</v>
      </c>
      <c r="F4672" s="51">
        <v>-0.29627505426374334</v>
      </c>
      <c r="G4672" s="51" t="str">
        <v>新美 2022/10/29 (土)
休日午後</v>
      </c>
    </row>
    <row r="4673" spans="1:7" ht="16.149999999999999" x14ac:dyDescent="0.7">
      <c r="A4673" s="49">
        <v>44815.818404317135</v>
      </c>
      <c r="B4673" s="50" t="s">
        <v>13</v>
      </c>
      <c r="C4673" s="50" t="s">
        <v>525</v>
      </c>
      <c r="D4673" s="50" t="s">
        <v>263</v>
      </c>
      <c r="E4673" s="50">
        <v>0</v>
      </c>
      <c r="F4673" s="51">
        <v>0.33663598066825884</v>
      </c>
      <c r="G4673" s="51" t="str">
        <v>新美 2022/10/30 (日)
休日午前</v>
      </c>
    </row>
    <row r="4674" spans="1:7" ht="16.149999999999999" x14ac:dyDescent="0.7">
      <c r="A4674" s="49">
        <v>44815.818404317135</v>
      </c>
      <c r="B4674" s="50" t="s">
        <v>13</v>
      </c>
      <c r="C4674" s="50" t="s">
        <v>526</v>
      </c>
      <c r="D4674" s="50" t="s">
        <v>261</v>
      </c>
      <c r="E4674" s="50">
        <v>-1</v>
      </c>
      <c r="F4674" s="51">
        <v>-0.43603665273076286</v>
      </c>
      <c r="G4674" s="51" t="str">
        <v>新美 2022/10/30 (日)
休日午後</v>
      </c>
    </row>
    <row r="4675" spans="1:7" ht="16.149999999999999" x14ac:dyDescent="0.7">
      <c r="A4675" s="49">
        <v>44815.818404317135</v>
      </c>
      <c r="B4675" s="50" t="s">
        <v>13</v>
      </c>
      <c r="C4675" s="50" t="s">
        <v>527</v>
      </c>
      <c r="D4675" s="50" t="s">
        <v>259</v>
      </c>
      <c r="E4675" s="50">
        <v>0</v>
      </c>
      <c r="F4675" s="51">
        <v>0.12170611012404287</v>
      </c>
      <c r="G4675" s="51" t="str">
        <v>新美 2022/10/31 (月)
平日夜間</v>
      </c>
    </row>
    <row r="4676" spans="1:7" ht="16.149999999999999" x14ac:dyDescent="0.7">
      <c r="A4676" s="49">
        <v>44817.449623796296</v>
      </c>
      <c r="B4676" s="50" t="s">
        <v>9</v>
      </c>
      <c r="C4676" s="50" t="s">
        <v>486</v>
      </c>
      <c r="D4676" s="50" t="s">
        <v>263</v>
      </c>
      <c r="E4676" s="50">
        <v>-1</v>
      </c>
      <c r="F4676" s="51">
        <v>-0.16230088421621813</v>
      </c>
      <c r="G4676" s="51" t="str">
        <v>山口 2022/10/01 (土)
休日午前</v>
      </c>
    </row>
    <row r="4677" spans="1:7" ht="16.149999999999999" x14ac:dyDescent="0.7">
      <c r="A4677" s="49">
        <v>44817.449623796296</v>
      </c>
      <c r="B4677" s="50" t="s">
        <v>9</v>
      </c>
      <c r="C4677" s="50" t="s">
        <v>487</v>
      </c>
      <c r="D4677" s="50" t="s">
        <v>261</v>
      </c>
      <c r="E4677" s="50">
        <v>-1</v>
      </c>
      <c r="F4677" s="51">
        <v>-0.72545747562433105</v>
      </c>
      <c r="G4677" s="51" t="str">
        <v>山口 2022/10/01 (土)
休日午後</v>
      </c>
    </row>
    <row r="4678" spans="1:7" ht="16.149999999999999" x14ac:dyDescent="0.7">
      <c r="A4678" s="49">
        <v>44817.449623796296</v>
      </c>
      <c r="B4678" s="50" t="s">
        <v>9</v>
      </c>
      <c r="C4678" s="50" t="s">
        <v>488</v>
      </c>
      <c r="D4678" s="50" t="s">
        <v>263</v>
      </c>
      <c r="E4678" s="50">
        <v>-1</v>
      </c>
      <c r="F4678" s="51">
        <v>-0.71444823167488281</v>
      </c>
      <c r="G4678" s="51" t="str">
        <v>山口 2022/10/02 (日)
休日午前</v>
      </c>
    </row>
    <row r="4679" spans="1:7" ht="16.149999999999999" x14ac:dyDescent="0.7">
      <c r="A4679" s="49">
        <v>44817.449623796296</v>
      </c>
      <c r="B4679" s="50" t="s">
        <v>9</v>
      </c>
      <c r="C4679" s="50" t="s">
        <v>489</v>
      </c>
      <c r="D4679" s="50" t="s">
        <v>261</v>
      </c>
      <c r="E4679" s="50">
        <v>-1</v>
      </c>
      <c r="F4679" s="51">
        <v>-0.95173561431413711</v>
      </c>
      <c r="G4679" s="51" t="str">
        <v>山口 2022/10/02 (日)
休日午後</v>
      </c>
    </row>
    <row r="4680" spans="1:7" ht="16.149999999999999" x14ac:dyDescent="0.7">
      <c r="A4680" s="49">
        <v>44817.449623796296</v>
      </c>
      <c r="B4680" s="50" t="s">
        <v>9</v>
      </c>
      <c r="C4680" s="50" t="s">
        <v>490</v>
      </c>
      <c r="D4680" s="50" t="s">
        <v>259</v>
      </c>
      <c r="E4680" s="50">
        <v>-1</v>
      </c>
      <c r="F4680" s="51">
        <v>-0.29749954185201255</v>
      </c>
      <c r="G4680" s="51" t="str">
        <v>山口 2022/10/03 (月)
平日夜間</v>
      </c>
    </row>
    <row r="4681" spans="1:7" ht="16.149999999999999" x14ac:dyDescent="0.7">
      <c r="A4681" s="49">
        <v>44817.449623796296</v>
      </c>
      <c r="B4681" s="50" t="s">
        <v>9</v>
      </c>
      <c r="C4681" s="50" t="s">
        <v>491</v>
      </c>
      <c r="D4681" s="50" t="s">
        <v>259</v>
      </c>
      <c r="E4681" s="50">
        <v>-1</v>
      </c>
      <c r="F4681" s="51">
        <v>-0.5158883610802325</v>
      </c>
      <c r="G4681" s="51" t="str">
        <v>山口 2022/10/04 (火)
平日夜間</v>
      </c>
    </row>
    <row r="4682" spans="1:7" ht="16.149999999999999" x14ac:dyDescent="0.7">
      <c r="A4682" s="49">
        <v>44817.449623796296</v>
      </c>
      <c r="B4682" s="50" t="s">
        <v>9</v>
      </c>
      <c r="C4682" s="50" t="s">
        <v>492</v>
      </c>
      <c r="D4682" s="50" t="s">
        <v>259</v>
      </c>
      <c r="E4682" s="50">
        <v>-1</v>
      </c>
      <c r="F4682" s="51">
        <v>-0.60784641822484375</v>
      </c>
      <c r="G4682" s="51" t="str">
        <v>山口 2022/10/05 (水)
平日夜間</v>
      </c>
    </row>
    <row r="4683" spans="1:7" ht="16.149999999999999" x14ac:dyDescent="0.7">
      <c r="A4683" s="49">
        <v>44817.449623796296</v>
      </c>
      <c r="B4683" s="50" t="s">
        <v>9</v>
      </c>
      <c r="C4683" s="50" t="s">
        <v>493</v>
      </c>
      <c r="D4683" s="50" t="s">
        <v>259</v>
      </c>
      <c r="E4683" s="50">
        <v>-1</v>
      </c>
      <c r="F4683" s="51">
        <v>-0.4289473827336816</v>
      </c>
      <c r="G4683" s="51" t="str">
        <v>山口 2022/10/06 (木)
平日夜間</v>
      </c>
    </row>
    <row r="4684" spans="1:7" ht="16.149999999999999" x14ac:dyDescent="0.7">
      <c r="A4684" s="49">
        <v>44817.449623796296</v>
      </c>
      <c r="B4684" s="50" t="s">
        <v>9</v>
      </c>
      <c r="C4684" s="50" t="s">
        <v>494</v>
      </c>
      <c r="D4684" s="50" t="s">
        <v>259</v>
      </c>
      <c r="E4684" s="50">
        <v>-1</v>
      </c>
      <c r="F4684" s="51">
        <v>-0.56074624967328468</v>
      </c>
      <c r="G4684" s="51" t="str">
        <v>山口 2022/10/07 (金)
平日夜間</v>
      </c>
    </row>
    <row r="4685" spans="1:7" ht="16.149999999999999" x14ac:dyDescent="0.7">
      <c r="A4685" s="49">
        <v>44817.449623796296</v>
      </c>
      <c r="B4685" s="50" t="s">
        <v>9</v>
      </c>
      <c r="C4685" s="50" t="s">
        <v>495</v>
      </c>
      <c r="D4685" s="50" t="s">
        <v>263</v>
      </c>
      <c r="E4685" s="50">
        <v>-1</v>
      </c>
      <c r="F4685" s="51">
        <v>-8.6373442955951285E-2</v>
      </c>
      <c r="G4685" s="51" t="str">
        <v>山口 2022/10/08 (土)
休日午前</v>
      </c>
    </row>
    <row r="4686" spans="1:7" ht="16.149999999999999" x14ac:dyDescent="0.7">
      <c r="A4686" s="49">
        <v>44817.449623796296</v>
      </c>
      <c r="B4686" s="50" t="s">
        <v>9</v>
      </c>
      <c r="C4686" s="50" t="s">
        <v>496</v>
      </c>
      <c r="D4686" s="50" t="s">
        <v>261</v>
      </c>
      <c r="E4686" s="50">
        <v>-1</v>
      </c>
      <c r="F4686" s="51">
        <v>-0.99907188411976589</v>
      </c>
      <c r="G4686" s="51" t="str">
        <v>山口 2022/10/08 (土)
休日午後</v>
      </c>
    </row>
    <row r="4687" spans="1:7" ht="16.149999999999999" x14ac:dyDescent="0.7">
      <c r="A4687" s="49">
        <v>44817.449623796296</v>
      </c>
      <c r="B4687" s="50" t="s">
        <v>9</v>
      </c>
      <c r="C4687" s="50" t="s">
        <v>497</v>
      </c>
      <c r="D4687" s="50" t="s">
        <v>263</v>
      </c>
      <c r="E4687" s="50">
        <v>-1</v>
      </c>
      <c r="F4687" s="51">
        <v>-0.30219181092201475</v>
      </c>
      <c r="G4687" s="51" t="str">
        <v>山口 2022/10/09 (日)
休日午前</v>
      </c>
    </row>
    <row r="4688" spans="1:7" ht="16.149999999999999" x14ac:dyDescent="0.7">
      <c r="A4688" s="49">
        <v>44817.449623796296</v>
      </c>
      <c r="B4688" s="50" t="s">
        <v>9</v>
      </c>
      <c r="C4688" s="50" t="s">
        <v>498</v>
      </c>
      <c r="D4688" s="50" t="s">
        <v>261</v>
      </c>
      <c r="E4688" s="50">
        <v>-1</v>
      </c>
      <c r="F4688" s="51">
        <v>-0.8425242179958885</v>
      </c>
      <c r="G4688" s="51" t="str">
        <v>山口 2022/10/09 (日)
休日午後</v>
      </c>
    </row>
    <row r="4689" spans="1:7" ht="16.149999999999999" x14ac:dyDescent="0.7">
      <c r="A4689" s="49">
        <v>44817.449623796296</v>
      </c>
      <c r="B4689" s="50" t="s">
        <v>9</v>
      </c>
      <c r="C4689" s="50" t="s">
        <v>499</v>
      </c>
      <c r="D4689" s="50" t="s">
        <v>263</v>
      </c>
      <c r="E4689" s="50">
        <v>-1</v>
      </c>
      <c r="F4689" s="51">
        <v>-5.5412838635901629E-2</v>
      </c>
      <c r="G4689" s="51" t="str">
        <v>山口 2022/10/10 (月)
休日午前</v>
      </c>
    </row>
    <row r="4690" spans="1:7" ht="16.149999999999999" x14ac:dyDescent="0.7">
      <c r="A4690" s="49">
        <v>44817.449623796296</v>
      </c>
      <c r="B4690" s="50" t="s">
        <v>9</v>
      </c>
      <c r="C4690" s="50" t="s">
        <v>500</v>
      </c>
      <c r="D4690" s="50" t="s">
        <v>261</v>
      </c>
      <c r="E4690" s="50">
        <v>-1</v>
      </c>
      <c r="F4690" s="51">
        <v>-0.81037188645273672</v>
      </c>
      <c r="G4690" s="51" t="str">
        <v>山口 2022/10/10 (月)
休日午後</v>
      </c>
    </row>
    <row r="4691" spans="1:7" ht="16.149999999999999" x14ac:dyDescent="0.7">
      <c r="A4691" s="49">
        <v>44817.449623796296</v>
      </c>
      <c r="B4691" s="50" t="s">
        <v>9</v>
      </c>
      <c r="C4691" s="50" t="s">
        <v>501</v>
      </c>
      <c r="D4691" s="50" t="s">
        <v>259</v>
      </c>
      <c r="E4691" s="50">
        <v>0</v>
      </c>
      <c r="F4691" s="51">
        <v>0.63814155851718635</v>
      </c>
      <c r="G4691" s="51" t="str">
        <v>山口 2022/10/11 (火)
平日夜間</v>
      </c>
    </row>
    <row r="4692" spans="1:7" ht="16.149999999999999" x14ac:dyDescent="0.7">
      <c r="A4692" s="49">
        <v>44817.449623796296</v>
      </c>
      <c r="B4692" s="50" t="s">
        <v>9</v>
      </c>
      <c r="C4692" s="50" t="s">
        <v>502</v>
      </c>
      <c r="D4692" s="50" t="s">
        <v>259</v>
      </c>
      <c r="E4692" s="50">
        <v>0</v>
      </c>
      <c r="F4692" s="51">
        <v>0.48005234133362507</v>
      </c>
      <c r="G4692" s="51" t="str">
        <v>山口 2022/10/12 (水)
平日夜間</v>
      </c>
    </row>
    <row r="4693" spans="1:7" ht="16.149999999999999" x14ac:dyDescent="0.7">
      <c r="A4693" s="49">
        <v>44817.449623796296</v>
      </c>
      <c r="B4693" s="50" t="s">
        <v>9</v>
      </c>
      <c r="C4693" s="50" t="s">
        <v>503</v>
      </c>
      <c r="D4693" s="50" t="s">
        <v>259</v>
      </c>
      <c r="E4693" s="50">
        <v>0</v>
      </c>
      <c r="F4693" s="51">
        <v>0.85106933135518981</v>
      </c>
      <c r="G4693" s="51" t="str">
        <v>山口 2022/10/13 (木)
平日夜間</v>
      </c>
    </row>
    <row r="4694" spans="1:7" ht="16.149999999999999" x14ac:dyDescent="0.7">
      <c r="A4694" s="49">
        <v>44817.449623796296</v>
      </c>
      <c r="B4694" s="50" t="s">
        <v>9</v>
      </c>
      <c r="C4694" s="50" t="s">
        <v>504</v>
      </c>
      <c r="D4694" s="50" t="s">
        <v>259</v>
      </c>
      <c r="E4694" s="50">
        <v>0</v>
      </c>
      <c r="F4694" s="51">
        <v>0.22382147352453274</v>
      </c>
      <c r="G4694" s="51" t="str">
        <v>山口 2022/10/14 (金)
平日夜間</v>
      </c>
    </row>
    <row r="4695" spans="1:7" ht="16.149999999999999" x14ac:dyDescent="0.7">
      <c r="A4695" s="49">
        <v>44817.449623796296</v>
      </c>
      <c r="B4695" s="50" t="s">
        <v>9</v>
      </c>
      <c r="C4695" s="50" t="s">
        <v>505</v>
      </c>
      <c r="D4695" s="50" t="s">
        <v>263</v>
      </c>
      <c r="E4695" s="50">
        <v>0</v>
      </c>
      <c r="F4695" s="51">
        <v>0.69034258283825389</v>
      </c>
      <c r="G4695" s="51" t="str">
        <v>山口 2022/10/15 (土)
休日午前</v>
      </c>
    </row>
    <row r="4696" spans="1:7" ht="16.149999999999999" x14ac:dyDescent="0.7">
      <c r="A4696" s="49">
        <v>44817.449623796296</v>
      </c>
      <c r="B4696" s="50" t="s">
        <v>9</v>
      </c>
      <c r="C4696" s="50" t="s">
        <v>506</v>
      </c>
      <c r="D4696" s="50" t="s">
        <v>261</v>
      </c>
      <c r="E4696" s="50">
        <v>0</v>
      </c>
      <c r="F4696" s="51">
        <v>0.72760894321759739</v>
      </c>
      <c r="G4696" s="51" t="str">
        <v>山口 2022/10/15 (土)
休日午後</v>
      </c>
    </row>
    <row r="4697" spans="1:7" ht="16.149999999999999" x14ac:dyDescent="0.7">
      <c r="A4697" s="49">
        <v>44817.449623796296</v>
      </c>
      <c r="B4697" s="50" t="s">
        <v>9</v>
      </c>
      <c r="C4697" s="50" t="s">
        <v>507</v>
      </c>
      <c r="D4697" s="50" t="s">
        <v>263</v>
      </c>
      <c r="E4697" s="50">
        <v>0</v>
      </c>
      <c r="F4697" s="51">
        <v>0.14523138842782957</v>
      </c>
      <c r="G4697" s="51" t="str">
        <v>山口 2022/10/16 (日)
休日午前</v>
      </c>
    </row>
    <row r="4698" spans="1:7" ht="16.149999999999999" x14ac:dyDescent="0.7">
      <c r="A4698" s="49">
        <v>44817.449623796296</v>
      </c>
      <c r="B4698" s="50" t="s">
        <v>9</v>
      </c>
      <c r="C4698" s="50" t="s">
        <v>508</v>
      </c>
      <c r="D4698" s="50" t="s">
        <v>261</v>
      </c>
      <c r="E4698" s="50">
        <v>0</v>
      </c>
      <c r="F4698" s="51">
        <v>0.67297902103999174</v>
      </c>
      <c r="G4698" s="51" t="str">
        <v>山口 2022/10/16 (日)
休日午後</v>
      </c>
    </row>
    <row r="4699" spans="1:7" ht="16.149999999999999" x14ac:dyDescent="0.7">
      <c r="A4699" s="49">
        <v>44817.449623796296</v>
      </c>
      <c r="B4699" s="50" t="s">
        <v>9</v>
      </c>
      <c r="C4699" s="50" t="s">
        <v>509</v>
      </c>
      <c r="D4699" s="50" t="s">
        <v>259</v>
      </c>
      <c r="E4699" s="50">
        <v>0</v>
      </c>
      <c r="F4699" s="51">
        <v>0.41807209066468953</v>
      </c>
      <c r="G4699" s="51" t="str">
        <v>山口 2022/10/17 (月)
平日夜間</v>
      </c>
    </row>
    <row r="4700" spans="1:7" ht="16.149999999999999" x14ac:dyDescent="0.7">
      <c r="A4700" s="49">
        <v>44817.449623796296</v>
      </c>
      <c r="B4700" s="50" t="s">
        <v>9</v>
      </c>
      <c r="C4700" s="50" t="s">
        <v>510</v>
      </c>
      <c r="D4700" s="50" t="s">
        <v>259</v>
      </c>
      <c r="E4700" s="50">
        <v>0</v>
      </c>
      <c r="F4700" s="51">
        <v>0.18827020725534238</v>
      </c>
      <c r="G4700" s="51" t="str">
        <v>山口 2022/10/18 (火)
平日夜間</v>
      </c>
    </row>
    <row r="4701" spans="1:7" ht="16.149999999999999" x14ac:dyDescent="0.7">
      <c r="A4701" s="49">
        <v>44817.449623796296</v>
      </c>
      <c r="B4701" s="50" t="s">
        <v>9</v>
      </c>
      <c r="C4701" s="50" t="s">
        <v>511</v>
      </c>
      <c r="D4701" s="50" t="s">
        <v>259</v>
      </c>
      <c r="E4701" s="50">
        <v>-1</v>
      </c>
      <c r="F4701" s="51">
        <v>-0.13269346710265006</v>
      </c>
      <c r="G4701" s="51" t="str">
        <v>山口 2022/10/19 (水)
平日夜間</v>
      </c>
    </row>
    <row r="4702" spans="1:7" ht="16.149999999999999" x14ac:dyDescent="0.7">
      <c r="A4702" s="49">
        <v>44817.449623796296</v>
      </c>
      <c r="B4702" s="50" t="s">
        <v>9</v>
      </c>
      <c r="C4702" s="50" t="s">
        <v>512</v>
      </c>
      <c r="D4702" s="50" t="s">
        <v>259</v>
      </c>
      <c r="E4702" s="50">
        <v>-1</v>
      </c>
      <c r="F4702" s="51">
        <v>-0.72474567207460017</v>
      </c>
      <c r="G4702" s="51" t="str">
        <v>山口 2022/10/20 (木)
平日夜間</v>
      </c>
    </row>
    <row r="4703" spans="1:7" ht="16.149999999999999" x14ac:dyDescent="0.7">
      <c r="A4703" s="49">
        <v>44817.449623796296</v>
      </c>
      <c r="B4703" s="50" t="s">
        <v>9</v>
      </c>
      <c r="C4703" s="50" t="s">
        <v>513</v>
      </c>
      <c r="D4703" s="50" t="s">
        <v>259</v>
      </c>
      <c r="E4703" s="50">
        <v>0</v>
      </c>
      <c r="F4703" s="51">
        <v>0.77167324628124434</v>
      </c>
      <c r="G4703" s="51" t="str">
        <v>山口 2022/10/21 (金)
平日夜間</v>
      </c>
    </row>
    <row r="4704" spans="1:7" ht="16.149999999999999" x14ac:dyDescent="0.7">
      <c r="A4704" s="49">
        <v>44817.449623796296</v>
      </c>
      <c r="B4704" s="50" t="s">
        <v>9</v>
      </c>
      <c r="C4704" s="50" t="s">
        <v>514</v>
      </c>
      <c r="D4704" s="50" t="s">
        <v>263</v>
      </c>
      <c r="E4704" s="50">
        <v>0</v>
      </c>
      <c r="F4704" s="51">
        <v>0.26447054758210431</v>
      </c>
      <c r="G4704" s="51" t="str">
        <v>山口 2022/10/22 (土)
休日午前</v>
      </c>
    </row>
    <row r="4705" spans="1:7" ht="16.149999999999999" x14ac:dyDescent="0.7">
      <c r="A4705" s="49">
        <v>44817.449623796296</v>
      </c>
      <c r="B4705" s="50" t="s">
        <v>9</v>
      </c>
      <c r="C4705" s="50" t="s">
        <v>515</v>
      </c>
      <c r="D4705" s="50" t="s">
        <v>261</v>
      </c>
      <c r="E4705" s="50">
        <v>0</v>
      </c>
      <c r="F4705" s="51">
        <v>0.64073015853967119</v>
      </c>
      <c r="G4705" s="51" t="str">
        <v>山口 2022/10/22 (土)
休日午後</v>
      </c>
    </row>
    <row r="4706" spans="1:7" ht="16.149999999999999" x14ac:dyDescent="0.7">
      <c r="A4706" s="49">
        <v>44817.449623796296</v>
      </c>
      <c r="B4706" s="50" t="s">
        <v>9</v>
      </c>
      <c r="C4706" s="50" t="s">
        <v>516</v>
      </c>
      <c r="D4706" s="50" t="s">
        <v>263</v>
      </c>
      <c r="E4706" s="50">
        <v>0</v>
      </c>
      <c r="F4706" s="51">
        <v>0.76403655304811813</v>
      </c>
      <c r="G4706" s="51" t="str">
        <v>山口 2022/10/23 (日)
休日午前</v>
      </c>
    </row>
    <row r="4707" spans="1:7" ht="16.149999999999999" x14ac:dyDescent="0.7">
      <c r="A4707" s="49">
        <v>44817.449623796296</v>
      </c>
      <c r="B4707" s="50" t="s">
        <v>9</v>
      </c>
      <c r="C4707" s="50" t="s">
        <v>517</v>
      </c>
      <c r="D4707" s="50" t="s">
        <v>261</v>
      </c>
      <c r="E4707" s="50">
        <v>0</v>
      </c>
      <c r="F4707" s="51">
        <v>0.46874655058303327</v>
      </c>
      <c r="G4707" s="51" t="str">
        <v>山口 2022/10/23 (日)
休日午後</v>
      </c>
    </row>
    <row r="4708" spans="1:7" ht="16.149999999999999" x14ac:dyDescent="0.7">
      <c r="A4708" s="49">
        <v>44817.449623796296</v>
      </c>
      <c r="B4708" s="50" t="s">
        <v>9</v>
      </c>
      <c r="C4708" s="50" t="s">
        <v>518</v>
      </c>
      <c r="D4708" s="50" t="s">
        <v>259</v>
      </c>
      <c r="E4708" s="50">
        <v>0</v>
      </c>
      <c r="F4708" s="51">
        <v>3.2448021765910218E-2</v>
      </c>
      <c r="G4708" s="51" t="str">
        <v>山口 2022/10/24 (月)
平日夜間</v>
      </c>
    </row>
    <row r="4709" spans="1:7" ht="16.149999999999999" x14ac:dyDescent="0.7">
      <c r="A4709" s="49">
        <v>44817.449623796296</v>
      </c>
      <c r="B4709" s="50" t="s">
        <v>9</v>
      </c>
      <c r="C4709" s="50" t="s">
        <v>519</v>
      </c>
      <c r="D4709" s="50" t="s">
        <v>259</v>
      </c>
      <c r="E4709" s="50">
        <v>0</v>
      </c>
      <c r="F4709" s="51">
        <v>0.21952465526509024</v>
      </c>
      <c r="G4709" s="51" t="str">
        <v>山口 2022/10/25 (火)
平日夜間</v>
      </c>
    </row>
    <row r="4710" spans="1:7" ht="16.149999999999999" x14ac:dyDescent="0.7">
      <c r="A4710" s="49">
        <v>44817.449623796296</v>
      </c>
      <c r="B4710" s="50" t="s">
        <v>9</v>
      </c>
      <c r="C4710" s="50" t="s">
        <v>520</v>
      </c>
      <c r="D4710" s="50" t="s">
        <v>259</v>
      </c>
      <c r="E4710" s="50">
        <v>0</v>
      </c>
      <c r="F4710" s="51">
        <v>0.9221793247555643</v>
      </c>
      <c r="G4710" s="51" t="str">
        <v>山口 2022/10/26 (水)
平日夜間</v>
      </c>
    </row>
    <row r="4711" spans="1:7" ht="16.149999999999999" x14ac:dyDescent="0.7">
      <c r="A4711" s="49">
        <v>44817.449623796296</v>
      </c>
      <c r="B4711" s="50" t="s">
        <v>9</v>
      </c>
      <c r="C4711" s="50" t="s">
        <v>521</v>
      </c>
      <c r="D4711" s="50" t="s">
        <v>259</v>
      </c>
      <c r="E4711" s="50">
        <v>0</v>
      </c>
      <c r="F4711" s="51">
        <v>0.96375979604210715</v>
      </c>
      <c r="G4711" s="51" t="str">
        <v>山口 2022/10/27 (木)
平日夜間</v>
      </c>
    </row>
    <row r="4712" spans="1:7" ht="16.149999999999999" x14ac:dyDescent="0.7">
      <c r="A4712" s="49">
        <v>44817.449623796296</v>
      </c>
      <c r="B4712" s="50" t="s">
        <v>9</v>
      </c>
      <c r="C4712" s="50" t="s">
        <v>522</v>
      </c>
      <c r="D4712" s="50" t="s">
        <v>259</v>
      </c>
      <c r="E4712" s="50">
        <v>0</v>
      </c>
      <c r="F4712" s="51">
        <v>0.12329042197413709</v>
      </c>
      <c r="G4712" s="51" t="str">
        <v>山口 2022/10/28 (金)
平日夜間</v>
      </c>
    </row>
    <row r="4713" spans="1:7" ht="16.149999999999999" x14ac:dyDescent="0.7">
      <c r="A4713" s="49">
        <v>44817.449623796296</v>
      </c>
      <c r="B4713" s="50" t="s">
        <v>9</v>
      </c>
      <c r="C4713" s="50" t="s">
        <v>523</v>
      </c>
      <c r="D4713" s="50" t="s">
        <v>263</v>
      </c>
      <c r="E4713" s="50">
        <v>0</v>
      </c>
      <c r="F4713" s="51">
        <v>0.40238828128644699</v>
      </c>
      <c r="G4713" s="51" t="str">
        <v>山口 2022/10/29 (土)
休日午前</v>
      </c>
    </row>
    <row r="4714" spans="1:7" ht="16.149999999999999" x14ac:dyDescent="0.7">
      <c r="A4714" s="49">
        <v>44817.449623796296</v>
      </c>
      <c r="B4714" s="50" t="s">
        <v>9</v>
      </c>
      <c r="C4714" s="50" t="s">
        <v>524</v>
      </c>
      <c r="D4714" s="50" t="s">
        <v>261</v>
      </c>
      <c r="E4714" s="50">
        <v>0</v>
      </c>
      <c r="F4714" s="51">
        <v>0.92105943862347606</v>
      </c>
      <c r="G4714" s="51" t="str">
        <v>山口 2022/10/29 (土)
休日午後</v>
      </c>
    </row>
    <row r="4715" spans="1:7" ht="16.149999999999999" x14ac:dyDescent="0.7">
      <c r="A4715" s="49">
        <v>44817.449623796296</v>
      </c>
      <c r="B4715" s="50" t="s">
        <v>9</v>
      </c>
      <c r="C4715" s="50" t="s">
        <v>525</v>
      </c>
      <c r="D4715" s="50" t="s">
        <v>263</v>
      </c>
      <c r="E4715" s="50">
        <v>0</v>
      </c>
      <c r="F4715" s="51">
        <v>0.23497935428118666</v>
      </c>
      <c r="G4715" s="51" t="str">
        <v>山口 2022/10/30 (日)
休日午前</v>
      </c>
    </row>
    <row r="4716" spans="1:7" ht="16.149999999999999" x14ac:dyDescent="0.7">
      <c r="A4716" s="49">
        <v>44817.449623796296</v>
      </c>
      <c r="B4716" s="50" t="s">
        <v>9</v>
      </c>
      <c r="C4716" s="50" t="s">
        <v>526</v>
      </c>
      <c r="D4716" s="50" t="s">
        <v>261</v>
      </c>
      <c r="E4716" s="50">
        <v>0</v>
      </c>
      <c r="F4716" s="51">
        <v>0.84161317377319533</v>
      </c>
      <c r="G4716" s="51" t="str">
        <v>山口 2022/10/30 (日)
休日午後</v>
      </c>
    </row>
    <row r="4717" spans="1:7" ht="16.149999999999999" x14ac:dyDescent="0.7">
      <c r="A4717" s="49">
        <v>44817.449623796296</v>
      </c>
      <c r="B4717" s="50" t="s">
        <v>9</v>
      </c>
      <c r="C4717" s="50" t="s">
        <v>527</v>
      </c>
      <c r="D4717" s="50" t="s">
        <v>259</v>
      </c>
      <c r="E4717" s="50">
        <v>0</v>
      </c>
      <c r="F4717" s="51">
        <v>0.31059511231286541</v>
      </c>
      <c r="G4717" s="51" t="str">
        <v>山口 2022/10/31 (月)
平日夜間</v>
      </c>
    </row>
    <row r="4718" spans="1:7" ht="16.149999999999999" x14ac:dyDescent="0.7">
      <c r="A4718" s="49">
        <v>44817.504631469907</v>
      </c>
      <c r="B4718" s="50" t="s">
        <v>45</v>
      </c>
      <c r="C4718" s="50" t="s">
        <v>486</v>
      </c>
      <c r="D4718" s="50" t="s">
        <v>263</v>
      </c>
      <c r="E4718" s="50">
        <v>-1</v>
      </c>
      <c r="F4718" s="51">
        <v>-7.3796230823167441E-2</v>
      </c>
      <c r="G4718" s="51" t="str">
        <v>松井 2022/10/01 (土)
休日午前</v>
      </c>
    </row>
    <row r="4719" spans="1:7" ht="16.149999999999999" x14ac:dyDescent="0.7">
      <c r="A4719" s="49">
        <v>44817.504631469907</v>
      </c>
      <c r="B4719" s="50" t="s">
        <v>45</v>
      </c>
      <c r="C4719" s="50" t="s">
        <v>487</v>
      </c>
      <c r="D4719" s="50" t="s">
        <v>261</v>
      </c>
      <c r="E4719" s="50">
        <v>-1</v>
      </c>
      <c r="F4719" s="51">
        <v>-0.63766421213719582</v>
      </c>
      <c r="G4719" s="51" t="str">
        <v>松井 2022/10/01 (土)
休日午後</v>
      </c>
    </row>
    <row r="4720" spans="1:7" ht="16.149999999999999" x14ac:dyDescent="0.7">
      <c r="A4720" s="49">
        <v>44817.504631469907</v>
      </c>
      <c r="B4720" s="50" t="s">
        <v>45</v>
      </c>
      <c r="C4720" s="50" t="s">
        <v>488</v>
      </c>
      <c r="D4720" s="50" t="s">
        <v>263</v>
      </c>
      <c r="E4720" s="50">
        <v>0</v>
      </c>
      <c r="F4720" s="51">
        <v>0.51489963477359812</v>
      </c>
      <c r="G4720" s="51" t="str">
        <v>松井 2022/10/02 (日)
休日午前</v>
      </c>
    </row>
    <row r="4721" spans="1:7" ht="16.149999999999999" x14ac:dyDescent="0.7">
      <c r="A4721" s="49">
        <v>44817.504631469907</v>
      </c>
      <c r="B4721" s="50" t="s">
        <v>45</v>
      </c>
      <c r="C4721" s="50" t="s">
        <v>489</v>
      </c>
      <c r="D4721" s="50" t="s">
        <v>261</v>
      </c>
      <c r="E4721" s="50">
        <v>0</v>
      </c>
      <c r="F4721" s="51">
        <v>8.4519361467980003E-2</v>
      </c>
      <c r="G4721" s="51" t="str">
        <v>松井 2022/10/02 (日)
休日午後</v>
      </c>
    </row>
    <row r="4722" spans="1:7" ht="16.149999999999999" x14ac:dyDescent="0.7">
      <c r="A4722" s="49">
        <v>44817.504631469907</v>
      </c>
      <c r="B4722" s="50" t="s">
        <v>45</v>
      </c>
      <c r="C4722" s="50" t="s">
        <v>490</v>
      </c>
      <c r="D4722" s="50" t="s">
        <v>259</v>
      </c>
      <c r="E4722" s="50">
        <v>0</v>
      </c>
      <c r="F4722" s="51">
        <v>0.51307917626782906</v>
      </c>
      <c r="G4722" s="51" t="str">
        <v>松井 2022/10/03 (月)
平日夜間</v>
      </c>
    </row>
    <row r="4723" spans="1:7" ht="16.149999999999999" x14ac:dyDescent="0.7">
      <c r="A4723" s="49">
        <v>44817.504631469907</v>
      </c>
      <c r="B4723" s="50" t="s">
        <v>45</v>
      </c>
      <c r="C4723" s="50" t="s">
        <v>491</v>
      </c>
      <c r="D4723" s="50" t="s">
        <v>259</v>
      </c>
      <c r="E4723" s="50">
        <v>0</v>
      </c>
      <c r="F4723" s="51">
        <v>0.51507116348120108</v>
      </c>
      <c r="G4723" s="51" t="str">
        <v>松井 2022/10/04 (火)
平日夜間</v>
      </c>
    </row>
    <row r="4724" spans="1:7" ht="16.149999999999999" x14ac:dyDescent="0.7">
      <c r="A4724" s="49">
        <v>44817.504631469907</v>
      </c>
      <c r="B4724" s="50" t="s">
        <v>45</v>
      </c>
      <c r="C4724" s="50" t="s">
        <v>492</v>
      </c>
      <c r="D4724" s="50" t="s">
        <v>259</v>
      </c>
      <c r="E4724" s="50">
        <v>0</v>
      </c>
      <c r="F4724" s="51">
        <v>0.31534866253818983</v>
      </c>
      <c r="G4724" s="51" t="str">
        <v>松井 2022/10/05 (水)
平日夜間</v>
      </c>
    </row>
    <row r="4725" spans="1:7" ht="16.149999999999999" x14ac:dyDescent="0.7">
      <c r="A4725" s="49">
        <v>44817.504631469907</v>
      </c>
      <c r="B4725" s="50" t="s">
        <v>45</v>
      </c>
      <c r="C4725" s="50" t="s">
        <v>493</v>
      </c>
      <c r="D4725" s="50" t="s">
        <v>259</v>
      </c>
      <c r="E4725" s="50">
        <v>0</v>
      </c>
      <c r="F4725" s="51">
        <v>0.62470272768025614</v>
      </c>
      <c r="G4725" s="51" t="str">
        <v>松井 2022/10/06 (木)
平日夜間</v>
      </c>
    </row>
    <row r="4726" spans="1:7" ht="16.149999999999999" x14ac:dyDescent="0.7">
      <c r="A4726" s="49">
        <v>44817.504631469907</v>
      </c>
      <c r="B4726" s="50" t="s">
        <v>45</v>
      </c>
      <c r="C4726" s="50" t="s">
        <v>494</v>
      </c>
      <c r="D4726" s="50" t="s">
        <v>259</v>
      </c>
      <c r="E4726" s="50">
        <v>0</v>
      </c>
      <c r="F4726" s="51">
        <v>0.31254453925925341</v>
      </c>
      <c r="G4726" s="51" t="str">
        <v>松井 2022/10/07 (金)
平日夜間</v>
      </c>
    </row>
    <row r="4727" spans="1:7" ht="16.149999999999999" x14ac:dyDescent="0.7">
      <c r="A4727" s="49">
        <v>44817.504631469907</v>
      </c>
      <c r="B4727" s="50" t="s">
        <v>45</v>
      </c>
      <c r="C4727" s="50" t="s">
        <v>495</v>
      </c>
      <c r="D4727" s="50" t="s">
        <v>263</v>
      </c>
      <c r="E4727" s="50">
        <v>-1</v>
      </c>
      <c r="F4727" s="51">
        <v>-0.66099803468593565</v>
      </c>
      <c r="G4727" s="51" t="str">
        <v>松井 2022/10/08 (土)
休日午前</v>
      </c>
    </row>
    <row r="4728" spans="1:7" ht="16.149999999999999" x14ac:dyDescent="0.7">
      <c r="A4728" s="49">
        <v>44817.504631469907</v>
      </c>
      <c r="B4728" s="50" t="s">
        <v>45</v>
      </c>
      <c r="C4728" s="50" t="s">
        <v>496</v>
      </c>
      <c r="D4728" s="50" t="s">
        <v>261</v>
      </c>
      <c r="E4728" s="50">
        <v>-1</v>
      </c>
      <c r="F4728" s="51">
        <v>-0.38978402549923685</v>
      </c>
      <c r="G4728" s="51" t="str">
        <v>松井 2022/10/08 (土)
休日午後</v>
      </c>
    </row>
    <row r="4729" spans="1:7" ht="16.149999999999999" x14ac:dyDescent="0.7">
      <c r="A4729" s="49">
        <v>44817.504631469907</v>
      </c>
      <c r="B4729" s="50" t="s">
        <v>45</v>
      </c>
      <c r="C4729" s="50" t="s">
        <v>497</v>
      </c>
      <c r="D4729" s="50" t="s">
        <v>263</v>
      </c>
      <c r="E4729" s="50">
        <v>-1</v>
      </c>
      <c r="F4729" s="51">
        <v>-0.23387312196557808</v>
      </c>
      <c r="G4729" s="51" t="str">
        <v>松井 2022/10/09 (日)
休日午前</v>
      </c>
    </row>
    <row r="4730" spans="1:7" ht="16.149999999999999" x14ac:dyDescent="0.7">
      <c r="A4730" s="49">
        <v>44817.504631469907</v>
      </c>
      <c r="B4730" s="50" t="s">
        <v>45</v>
      </c>
      <c r="C4730" s="50" t="s">
        <v>498</v>
      </c>
      <c r="D4730" s="50" t="s">
        <v>261</v>
      </c>
      <c r="E4730" s="50">
        <v>-1</v>
      </c>
      <c r="F4730" s="51">
        <v>-0.74262403233171081</v>
      </c>
      <c r="G4730" s="51" t="str">
        <v>松井 2022/10/09 (日)
休日午後</v>
      </c>
    </row>
    <row r="4731" spans="1:7" ht="16.149999999999999" x14ac:dyDescent="0.7">
      <c r="A4731" s="49">
        <v>44817.504631469907</v>
      </c>
      <c r="B4731" s="50" t="s">
        <v>45</v>
      </c>
      <c r="C4731" s="50" t="s">
        <v>499</v>
      </c>
      <c r="D4731" s="50" t="s">
        <v>263</v>
      </c>
      <c r="E4731" s="50">
        <v>-1</v>
      </c>
      <c r="F4731" s="51">
        <v>-0.62066448997959567</v>
      </c>
      <c r="G4731" s="51" t="str">
        <v>松井 2022/10/10 (月)
休日午前</v>
      </c>
    </row>
    <row r="4732" spans="1:7" ht="16.149999999999999" x14ac:dyDescent="0.7">
      <c r="A4732" s="49">
        <v>44817.504631469907</v>
      </c>
      <c r="B4732" s="50" t="s">
        <v>45</v>
      </c>
      <c r="C4732" s="50" t="s">
        <v>500</v>
      </c>
      <c r="D4732" s="50" t="s">
        <v>261</v>
      </c>
      <c r="E4732" s="50">
        <v>-1</v>
      </c>
      <c r="F4732" s="51">
        <v>-0.63168114483879823</v>
      </c>
      <c r="G4732" s="51" t="str">
        <v>松井 2022/10/10 (月)
休日午後</v>
      </c>
    </row>
    <row r="4733" spans="1:7" ht="16.149999999999999" x14ac:dyDescent="0.7">
      <c r="A4733" s="49">
        <v>44817.504631469907</v>
      </c>
      <c r="B4733" s="50" t="s">
        <v>45</v>
      </c>
      <c r="C4733" s="50" t="s">
        <v>501</v>
      </c>
      <c r="D4733" s="50" t="s">
        <v>259</v>
      </c>
      <c r="E4733" s="50">
        <v>0</v>
      </c>
      <c r="F4733" s="51">
        <v>2.6015189474413836E-2</v>
      </c>
      <c r="G4733" s="51" t="str">
        <v>松井 2022/10/11 (火)
平日夜間</v>
      </c>
    </row>
    <row r="4734" spans="1:7" ht="16.149999999999999" x14ac:dyDescent="0.7">
      <c r="A4734" s="49">
        <v>44817.504631469907</v>
      </c>
      <c r="B4734" s="50" t="s">
        <v>45</v>
      </c>
      <c r="C4734" s="50" t="s">
        <v>502</v>
      </c>
      <c r="D4734" s="50" t="s">
        <v>259</v>
      </c>
      <c r="E4734" s="50">
        <v>0</v>
      </c>
      <c r="F4734" s="51">
        <v>0.76758582721669022</v>
      </c>
      <c r="G4734" s="51" t="str">
        <v>松井 2022/10/12 (水)
平日夜間</v>
      </c>
    </row>
    <row r="4735" spans="1:7" ht="16.149999999999999" x14ac:dyDescent="0.7">
      <c r="A4735" s="49">
        <v>44817.504631469907</v>
      </c>
      <c r="B4735" s="50" t="s">
        <v>45</v>
      </c>
      <c r="C4735" s="50" t="s">
        <v>503</v>
      </c>
      <c r="D4735" s="50" t="s">
        <v>259</v>
      </c>
      <c r="E4735" s="50">
        <v>0</v>
      </c>
      <c r="F4735" s="51">
        <v>0.7341856331833625</v>
      </c>
      <c r="G4735" s="51" t="str">
        <v>松井 2022/10/13 (木)
平日夜間</v>
      </c>
    </row>
    <row r="4736" spans="1:7" ht="16.149999999999999" x14ac:dyDescent="0.7">
      <c r="A4736" s="49">
        <v>44817.504631469907</v>
      </c>
      <c r="B4736" s="50" t="s">
        <v>45</v>
      </c>
      <c r="C4736" s="50" t="s">
        <v>504</v>
      </c>
      <c r="D4736" s="50" t="s">
        <v>259</v>
      </c>
      <c r="E4736" s="50">
        <v>0</v>
      </c>
      <c r="F4736" s="51">
        <v>6.5226726120460654E-2</v>
      </c>
      <c r="G4736" s="51" t="str">
        <v>松井 2022/10/14 (金)
平日夜間</v>
      </c>
    </row>
    <row r="4737" spans="1:7" ht="16.149999999999999" x14ac:dyDescent="0.7">
      <c r="A4737" s="49">
        <v>44817.504631469907</v>
      </c>
      <c r="B4737" s="50" t="s">
        <v>45</v>
      </c>
      <c r="C4737" s="50" t="s">
        <v>505</v>
      </c>
      <c r="D4737" s="50" t="s">
        <v>263</v>
      </c>
      <c r="E4737" s="50">
        <v>-1</v>
      </c>
      <c r="F4737" s="51">
        <v>-0.64849424979690862</v>
      </c>
      <c r="G4737" s="51" t="str">
        <v>松井 2022/10/15 (土)
休日午前</v>
      </c>
    </row>
    <row r="4738" spans="1:7" ht="16.149999999999999" x14ac:dyDescent="0.7">
      <c r="A4738" s="49">
        <v>44817.504631469907</v>
      </c>
      <c r="B4738" s="50" t="s">
        <v>45</v>
      </c>
      <c r="C4738" s="50" t="s">
        <v>506</v>
      </c>
      <c r="D4738" s="50" t="s">
        <v>261</v>
      </c>
      <c r="E4738" s="50">
        <v>-1</v>
      </c>
      <c r="F4738" s="51">
        <v>-3.0783213063337866E-2</v>
      </c>
      <c r="G4738" s="51" t="str">
        <v>松井 2022/10/15 (土)
休日午後</v>
      </c>
    </row>
    <row r="4739" spans="1:7" ht="16.149999999999999" x14ac:dyDescent="0.7">
      <c r="A4739" s="49">
        <v>44817.504631469907</v>
      </c>
      <c r="B4739" s="50" t="s">
        <v>45</v>
      </c>
      <c r="C4739" s="50" t="s">
        <v>507</v>
      </c>
      <c r="D4739" s="50" t="s">
        <v>263</v>
      </c>
      <c r="E4739" s="50">
        <v>0</v>
      </c>
      <c r="F4739" s="51">
        <v>0.63428020640765426</v>
      </c>
      <c r="G4739" s="51" t="str">
        <v>松井 2022/10/16 (日)
休日午前</v>
      </c>
    </row>
    <row r="4740" spans="1:7" ht="16.149999999999999" x14ac:dyDescent="0.7">
      <c r="A4740" s="49">
        <v>44817.504631469907</v>
      </c>
      <c r="B4740" s="50" t="s">
        <v>45</v>
      </c>
      <c r="C4740" s="50" t="s">
        <v>508</v>
      </c>
      <c r="D4740" s="50" t="s">
        <v>261</v>
      </c>
      <c r="E4740" s="50">
        <v>-1</v>
      </c>
      <c r="F4740" s="51">
        <v>-0.5028892582119211</v>
      </c>
      <c r="G4740" s="51" t="str">
        <v>松井 2022/10/16 (日)
休日午後</v>
      </c>
    </row>
    <row r="4741" spans="1:7" ht="16.149999999999999" x14ac:dyDescent="0.7">
      <c r="A4741" s="49">
        <v>44817.504631469907</v>
      </c>
      <c r="B4741" s="50" t="s">
        <v>45</v>
      </c>
      <c r="C4741" s="50" t="s">
        <v>509</v>
      </c>
      <c r="D4741" s="50" t="s">
        <v>259</v>
      </c>
      <c r="E4741" s="50">
        <v>0</v>
      </c>
      <c r="F4741" s="51">
        <v>0.60009387356189081</v>
      </c>
      <c r="G4741" s="51" t="str">
        <v>松井 2022/10/17 (月)
平日夜間</v>
      </c>
    </row>
    <row r="4742" spans="1:7" ht="16.149999999999999" x14ac:dyDescent="0.7">
      <c r="A4742" s="49">
        <v>44817.504631469907</v>
      </c>
      <c r="B4742" s="50" t="s">
        <v>45</v>
      </c>
      <c r="C4742" s="50" t="s">
        <v>510</v>
      </c>
      <c r="D4742" s="50" t="s">
        <v>259</v>
      </c>
      <c r="E4742" s="50">
        <v>0</v>
      </c>
      <c r="F4742" s="51">
        <v>0.43376321058541545</v>
      </c>
      <c r="G4742" s="51" t="str">
        <v>松井 2022/10/18 (火)
平日夜間</v>
      </c>
    </row>
    <row r="4743" spans="1:7" ht="16.149999999999999" x14ac:dyDescent="0.7">
      <c r="A4743" s="49">
        <v>44817.504631469907</v>
      </c>
      <c r="B4743" s="50" t="s">
        <v>45</v>
      </c>
      <c r="C4743" s="50" t="s">
        <v>511</v>
      </c>
      <c r="D4743" s="50" t="s">
        <v>259</v>
      </c>
      <c r="E4743" s="50">
        <v>0</v>
      </c>
      <c r="F4743" s="51">
        <v>0.14016006396041814</v>
      </c>
      <c r="G4743" s="51" t="str">
        <v>松井 2022/10/19 (水)
平日夜間</v>
      </c>
    </row>
    <row r="4744" spans="1:7" ht="16.149999999999999" x14ac:dyDescent="0.7">
      <c r="A4744" s="49">
        <v>44817.504631469907</v>
      </c>
      <c r="B4744" s="50" t="s">
        <v>45</v>
      </c>
      <c r="C4744" s="50" t="s">
        <v>512</v>
      </c>
      <c r="D4744" s="50" t="s">
        <v>259</v>
      </c>
      <c r="E4744" s="50">
        <v>0</v>
      </c>
      <c r="F4744" s="51">
        <v>0.20570867893531064</v>
      </c>
      <c r="G4744" s="51" t="str">
        <v>松井 2022/10/20 (木)
平日夜間</v>
      </c>
    </row>
    <row r="4745" spans="1:7" ht="16.149999999999999" x14ac:dyDescent="0.7">
      <c r="A4745" s="49">
        <v>44817.504631469907</v>
      </c>
      <c r="B4745" s="50" t="s">
        <v>45</v>
      </c>
      <c r="C4745" s="50" t="s">
        <v>513</v>
      </c>
      <c r="D4745" s="50" t="s">
        <v>259</v>
      </c>
      <c r="E4745" s="50">
        <v>0</v>
      </c>
      <c r="F4745" s="51">
        <v>0.5552906512445599</v>
      </c>
      <c r="G4745" s="51" t="str">
        <v>松井 2022/10/21 (金)
平日夜間</v>
      </c>
    </row>
    <row r="4746" spans="1:7" ht="16.149999999999999" x14ac:dyDescent="0.7">
      <c r="A4746" s="49">
        <v>44817.504631469907</v>
      </c>
      <c r="B4746" s="50" t="s">
        <v>45</v>
      </c>
      <c r="C4746" s="50" t="s">
        <v>514</v>
      </c>
      <c r="D4746" s="50" t="s">
        <v>263</v>
      </c>
      <c r="E4746" s="50">
        <v>0</v>
      </c>
      <c r="F4746" s="51">
        <v>0.69815636063305453</v>
      </c>
      <c r="G4746" s="51" t="str">
        <v>松井 2022/10/22 (土)
休日午前</v>
      </c>
    </row>
    <row r="4747" spans="1:7" ht="16.149999999999999" x14ac:dyDescent="0.7">
      <c r="A4747" s="49">
        <v>44817.504631469907</v>
      </c>
      <c r="B4747" s="50" t="s">
        <v>45</v>
      </c>
      <c r="C4747" s="50" t="s">
        <v>515</v>
      </c>
      <c r="D4747" s="50" t="s">
        <v>261</v>
      </c>
      <c r="E4747" s="50">
        <v>0</v>
      </c>
      <c r="F4747" s="51">
        <v>0.22960019407569576</v>
      </c>
      <c r="G4747" s="51" t="str">
        <v>松井 2022/10/22 (土)
休日午後</v>
      </c>
    </row>
    <row r="4748" spans="1:7" ht="16.149999999999999" x14ac:dyDescent="0.7">
      <c r="A4748" s="49">
        <v>44817.504631469907</v>
      </c>
      <c r="B4748" s="50" t="s">
        <v>45</v>
      </c>
      <c r="C4748" s="50" t="s">
        <v>516</v>
      </c>
      <c r="D4748" s="50" t="s">
        <v>263</v>
      </c>
      <c r="E4748" s="50">
        <v>-1</v>
      </c>
      <c r="F4748" s="51">
        <v>-0.26120970148545375</v>
      </c>
      <c r="G4748" s="51" t="str">
        <v>松井 2022/10/23 (日)
休日午前</v>
      </c>
    </row>
    <row r="4749" spans="1:7" ht="16.149999999999999" x14ac:dyDescent="0.7">
      <c r="A4749" s="49">
        <v>44817.504631469907</v>
      </c>
      <c r="B4749" s="50" t="s">
        <v>45</v>
      </c>
      <c r="C4749" s="50" t="s">
        <v>517</v>
      </c>
      <c r="D4749" s="50" t="s">
        <v>261</v>
      </c>
      <c r="E4749" s="50">
        <v>-1</v>
      </c>
      <c r="F4749" s="51">
        <v>-0.68185331366109336</v>
      </c>
      <c r="G4749" s="51" t="str">
        <v>松井 2022/10/23 (日)
休日午後</v>
      </c>
    </row>
    <row r="4750" spans="1:7" ht="16.149999999999999" x14ac:dyDescent="0.7">
      <c r="A4750" s="49">
        <v>44817.504631469907</v>
      </c>
      <c r="B4750" s="50" t="s">
        <v>45</v>
      </c>
      <c r="C4750" s="50" t="s">
        <v>518</v>
      </c>
      <c r="D4750" s="50" t="s">
        <v>259</v>
      </c>
      <c r="E4750" s="50">
        <v>0</v>
      </c>
      <c r="F4750" s="51">
        <v>0.5348197690815879</v>
      </c>
      <c r="G4750" s="51" t="str">
        <v>松井 2022/10/24 (月)
平日夜間</v>
      </c>
    </row>
    <row r="4751" spans="1:7" ht="16.149999999999999" x14ac:dyDescent="0.7">
      <c r="A4751" s="49">
        <v>44817.504631469907</v>
      </c>
      <c r="B4751" s="50" t="s">
        <v>45</v>
      </c>
      <c r="C4751" s="50" t="s">
        <v>519</v>
      </c>
      <c r="D4751" s="50" t="s">
        <v>259</v>
      </c>
      <c r="E4751" s="50">
        <v>0</v>
      </c>
      <c r="F4751" s="51">
        <v>0.84023082932037285</v>
      </c>
      <c r="G4751" s="51" t="str">
        <v>松井 2022/10/25 (火)
平日夜間</v>
      </c>
    </row>
    <row r="4752" spans="1:7" ht="16.149999999999999" x14ac:dyDescent="0.7">
      <c r="A4752" s="49">
        <v>44817.504631469907</v>
      </c>
      <c r="B4752" s="50" t="s">
        <v>45</v>
      </c>
      <c r="C4752" s="50" t="s">
        <v>520</v>
      </c>
      <c r="D4752" s="50" t="s">
        <v>259</v>
      </c>
      <c r="E4752" s="50">
        <v>0</v>
      </c>
      <c r="F4752" s="51">
        <v>0.37070787003578043</v>
      </c>
      <c r="G4752" s="51" t="str">
        <v>松井 2022/10/26 (水)
平日夜間</v>
      </c>
    </row>
    <row r="4753" spans="1:7" ht="16.149999999999999" x14ac:dyDescent="0.7">
      <c r="A4753" s="49">
        <v>44817.504631469907</v>
      </c>
      <c r="B4753" s="50" t="s">
        <v>45</v>
      </c>
      <c r="C4753" s="50" t="s">
        <v>521</v>
      </c>
      <c r="D4753" s="50" t="s">
        <v>259</v>
      </c>
      <c r="E4753" s="50">
        <v>0</v>
      </c>
      <c r="F4753" s="51">
        <v>0.23441680799636511</v>
      </c>
      <c r="G4753" s="51" t="str">
        <v>松井 2022/10/27 (木)
平日夜間</v>
      </c>
    </row>
    <row r="4754" spans="1:7" ht="16.149999999999999" x14ac:dyDescent="0.7">
      <c r="A4754" s="49">
        <v>44817.504631469907</v>
      </c>
      <c r="B4754" s="50" t="s">
        <v>45</v>
      </c>
      <c r="C4754" s="50" t="s">
        <v>522</v>
      </c>
      <c r="D4754" s="50" t="s">
        <v>259</v>
      </c>
      <c r="E4754" s="50">
        <v>2</v>
      </c>
      <c r="F4754" s="51">
        <v>2.3942878274614694</v>
      </c>
      <c r="G4754" s="51" t="str">
        <v>松井 2022/10/28 (金)
平日夜間</v>
      </c>
    </row>
    <row r="4755" spans="1:7" ht="16.149999999999999" x14ac:dyDescent="0.7">
      <c r="A4755" s="49">
        <v>44817.504631469907</v>
      </c>
      <c r="B4755" s="50" t="s">
        <v>45</v>
      </c>
      <c r="C4755" s="50" t="s">
        <v>523</v>
      </c>
      <c r="D4755" s="50" t="s">
        <v>263</v>
      </c>
      <c r="E4755" s="50">
        <v>0</v>
      </c>
      <c r="F4755" s="51">
        <v>0.17905395717553962</v>
      </c>
      <c r="G4755" s="51" t="str">
        <v>松井 2022/10/29 (土)
休日午前</v>
      </c>
    </row>
    <row r="4756" spans="1:7" ht="16.149999999999999" x14ac:dyDescent="0.7">
      <c r="A4756" s="49">
        <v>44817.504631469907</v>
      </c>
      <c r="B4756" s="50" t="s">
        <v>45</v>
      </c>
      <c r="C4756" s="50" t="s">
        <v>524</v>
      </c>
      <c r="D4756" s="50" t="s">
        <v>261</v>
      </c>
      <c r="E4756" s="50">
        <v>-1</v>
      </c>
      <c r="F4756" s="51">
        <v>-0.10264090605959719</v>
      </c>
      <c r="G4756" s="51" t="str">
        <v>松井 2022/10/29 (土)
休日午後</v>
      </c>
    </row>
    <row r="4757" spans="1:7" ht="16.149999999999999" x14ac:dyDescent="0.7">
      <c r="A4757" s="49">
        <v>44817.504631469907</v>
      </c>
      <c r="B4757" s="50" t="s">
        <v>45</v>
      </c>
      <c r="C4757" s="50" t="s">
        <v>525</v>
      </c>
      <c r="D4757" s="50" t="s">
        <v>263</v>
      </c>
      <c r="E4757" s="50">
        <v>-1</v>
      </c>
      <c r="F4757" s="51">
        <v>-5.5680367248642559E-2</v>
      </c>
      <c r="G4757" s="51" t="str">
        <v>松井 2022/10/30 (日)
休日午前</v>
      </c>
    </row>
    <row r="4758" spans="1:7" ht="16.149999999999999" x14ac:dyDescent="0.7">
      <c r="A4758" s="49">
        <v>44817.504631469907</v>
      </c>
      <c r="B4758" s="50" t="s">
        <v>45</v>
      </c>
      <c r="C4758" s="50" t="s">
        <v>526</v>
      </c>
      <c r="D4758" s="50" t="s">
        <v>261</v>
      </c>
      <c r="E4758" s="50">
        <v>-1</v>
      </c>
      <c r="F4758" s="51">
        <v>-0.34362712685883134</v>
      </c>
      <c r="G4758" s="51" t="str">
        <v>松井 2022/10/30 (日)
休日午後</v>
      </c>
    </row>
    <row r="4759" spans="1:7" ht="16.149999999999999" x14ac:dyDescent="0.7">
      <c r="A4759" s="49">
        <v>44817.504631469907</v>
      </c>
      <c r="B4759" s="50" t="s">
        <v>45</v>
      </c>
      <c r="C4759" s="50" t="s">
        <v>527</v>
      </c>
      <c r="D4759" s="50" t="s">
        <v>259</v>
      </c>
      <c r="E4759" s="50">
        <v>0</v>
      </c>
      <c r="F4759" s="51">
        <v>0.97643144440671903</v>
      </c>
      <c r="G4759" s="51" t="str">
        <v>松井 2022/10/31 (月)
平日夜間</v>
      </c>
    </row>
    <row r="4760" spans="1:7" ht="16.149999999999999" x14ac:dyDescent="0.7">
      <c r="A4760" s="49">
        <v>44817.561596736108</v>
      </c>
      <c r="B4760" s="50" t="s">
        <v>149</v>
      </c>
      <c r="C4760" s="50" t="s">
        <v>486</v>
      </c>
      <c r="D4760" s="50" t="s">
        <v>263</v>
      </c>
      <c r="E4760" s="50">
        <v>-1</v>
      </c>
      <c r="F4760" s="51">
        <v>-0.42231061615209087</v>
      </c>
      <c r="G4760" s="51" t="str">
        <v>中野 2022/10/01 (土)
休日午前</v>
      </c>
    </row>
    <row r="4761" spans="1:7" ht="16.149999999999999" x14ac:dyDescent="0.7">
      <c r="A4761" s="49">
        <v>44817.561596736108</v>
      </c>
      <c r="B4761" s="50" t="s">
        <v>149</v>
      </c>
      <c r="C4761" s="50" t="s">
        <v>487</v>
      </c>
      <c r="D4761" s="50" t="s">
        <v>261</v>
      </c>
      <c r="E4761" s="50">
        <v>-1</v>
      </c>
      <c r="F4761" s="51">
        <v>-0.55124394517448572</v>
      </c>
      <c r="G4761" s="51" t="str">
        <v>中野 2022/10/01 (土)
休日午後</v>
      </c>
    </row>
    <row r="4762" spans="1:7" ht="16.149999999999999" x14ac:dyDescent="0.7">
      <c r="A4762" s="49">
        <v>44817.561596736108</v>
      </c>
      <c r="B4762" s="50" t="s">
        <v>149</v>
      </c>
      <c r="C4762" s="50" t="s">
        <v>488</v>
      </c>
      <c r="D4762" s="50" t="s">
        <v>263</v>
      </c>
      <c r="E4762" s="50">
        <v>0</v>
      </c>
      <c r="F4762" s="51">
        <v>0.12937638168729237</v>
      </c>
      <c r="G4762" s="51" t="str">
        <v>中野 2022/10/02 (日)
休日午前</v>
      </c>
    </row>
    <row r="4763" spans="1:7" ht="16.149999999999999" x14ac:dyDescent="0.7">
      <c r="A4763" s="49">
        <v>44817.561596736108</v>
      </c>
      <c r="B4763" s="50" t="s">
        <v>149</v>
      </c>
      <c r="C4763" s="50" t="s">
        <v>489</v>
      </c>
      <c r="D4763" s="50" t="s">
        <v>261</v>
      </c>
      <c r="E4763" s="50">
        <v>0</v>
      </c>
      <c r="F4763" s="51">
        <v>0.15615051427120252</v>
      </c>
      <c r="G4763" s="51" t="str">
        <v>中野 2022/10/02 (日)
休日午後</v>
      </c>
    </row>
    <row r="4764" spans="1:7" ht="16.149999999999999" x14ac:dyDescent="0.7">
      <c r="A4764" s="49">
        <v>44817.561596736108</v>
      </c>
      <c r="B4764" s="50" t="s">
        <v>149</v>
      </c>
      <c r="C4764" s="50" t="s">
        <v>490</v>
      </c>
      <c r="D4764" s="50" t="s">
        <v>259</v>
      </c>
      <c r="E4764" s="50">
        <v>0</v>
      </c>
      <c r="F4764" s="51">
        <v>0.91891562093539236</v>
      </c>
      <c r="G4764" s="51" t="str">
        <v>中野 2022/10/03 (月)
平日夜間</v>
      </c>
    </row>
    <row r="4765" spans="1:7" ht="16.149999999999999" x14ac:dyDescent="0.7">
      <c r="A4765" s="49">
        <v>44817.561596736108</v>
      </c>
      <c r="B4765" s="50" t="s">
        <v>149</v>
      </c>
      <c r="C4765" s="50" t="s">
        <v>491</v>
      </c>
      <c r="D4765" s="50" t="s">
        <v>259</v>
      </c>
      <c r="E4765" s="50">
        <v>0</v>
      </c>
      <c r="F4765" s="51">
        <v>0.94365694994588312</v>
      </c>
      <c r="G4765" s="51" t="str">
        <v>中野 2022/10/04 (火)
平日夜間</v>
      </c>
    </row>
    <row r="4766" spans="1:7" ht="16.149999999999999" x14ac:dyDescent="0.7">
      <c r="A4766" s="49">
        <v>44817.561596736108</v>
      </c>
      <c r="B4766" s="50" t="s">
        <v>149</v>
      </c>
      <c r="C4766" s="50" t="s">
        <v>492</v>
      </c>
      <c r="D4766" s="50" t="s">
        <v>259</v>
      </c>
      <c r="E4766" s="50">
        <v>0</v>
      </c>
      <c r="F4766" s="51">
        <v>0.39055877613674439</v>
      </c>
      <c r="G4766" s="51" t="str">
        <v>中野 2022/10/05 (水)
平日夜間</v>
      </c>
    </row>
    <row r="4767" spans="1:7" ht="16.149999999999999" x14ac:dyDescent="0.7">
      <c r="A4767" s="49">
        <v>44817.561596736108</v>
      </c>
      <c r="B4767" s="50" t="s">
        <v>149</v>
      </c>
      <c r="C4767" s="50" t="s">
        <v>493</v>
      </c>
      <c r="D4767" s="50" t="s">
        <v>259</v>
      </c>
      <c r="E4767" s="50">
        <v>0</v>
      </c>
      <c r="F4767" s="51">
        <v>0.76146725589914155</v>
      </c>
      <c r="G4767" s="51" t="str">
        <v>中野 2022/10/06 (木)
平日夜間</v>
      </c>
    </row>
    <row r="4768" spans="1:7" ht="16.149999999999999" x14ac:dyDescent="0.7">
      <c r="A4768" s="49">
        <v>44817.561596736108</v>
      </c>
      <c r="B4768" s="50" t="s">
        <v>149</v>
      </c>
      <c r="C4768" s="50" t="s">
        <v>494</v>
      </c>
      <c r="D4768" s="50" t="s">
        <v>259</v>
      </c>
      <c r="E4768" s="50">
        <v>0</v>
      </c>
      <c r="F4768" s="51">
        <v>0.14546936944139954</v>
      </c>
      <c r="G4768" s="51" t="str">
        <v>中野 2022/10/07 (金)
平日夜間</v>
      </c>
    </row>
    <row r="4769" spans="1:7" ht="16.149999999999999" x14ac:dyDescent="0.7">
      <c r="A4769" s="49">
        <v>44817.561596736108</v>
      </c>
      <c r="B4769" s="50" t="s">
        <v>149</v>
      </c>
      <c r="C4769" s="50" t="s">
        <v>495</v>
      </c>
      <c r="D4769" s="50" t="s">
        <v>263</v>
      </c>
      <c r="E4769" s="50">
        <v>0</v>
      </c>
      <c r="F4769" s="51">
        <v>0.1687366724379431</v>
      </c>
      <c r="G4769" s="51" t="str">
        <v>中野 2022/10/08 (土)
休日午前</v>
      </c>
    </row>
    <row r="4770" spans="1:7" ht="16.149999999999999" x14ac:dyDescent="0.7">
      <c r="A4770" s="49">
        <v>44817.561596736108</v>
      </c>
      <c r="B4770" s="50" t="s">
        <v>149</v>
      </c>
      <c r="C4770" s="50" t="s">
        <v>496</v>
      </c>
      <c r="D4770" s="50" t="s">
        <v>261</v>
      </c>
      <c r="E4770" s="50">
        <v>-1</v>
      </c>
      <c r="F4770" s="51">
        <v>-0.53084403738155972</v>
      </c>
      <c r="G4770" s="51" t="str">
        <v>中野 2022/10/08 (土)
休日午後</v>
      </c>
    </row>
    <row r="4771" spans="1:7" ht="16.149999999999999" x14ac:dyDescent="0.7">
      <c r="A4771" s="49">
        <v>44817.561596736108</v>
      </c>
      <c r="B4771" s="50" t="s">
        <v>149</v>
      </c>
      <c r="C4771" s="50" t="s">
        <v>497</v>
      </c>
      <c r="D4771" s="50" t="s">
        <v>263</v>
      </c>
      <c r="E4771" s="50">
        <v>-1</v>
      </c>
      <c r="F4771" s="51">
        <v>-0.86867291354015141</v>
      </c>
      <c r="G4771" s="51" t="str">
        <v>中野 2022/10/09 (日)
休日午前</v>
      </c>
    </row>
    <row r="4772" spans="1:7" ht="16.149999999999999" x14ac:dyDescent="0.7">
      <c r="A4772" s="49">
        <v>44817.561596736108</v>
      </c>
      <c r="B4772" s="50" t="s">
        <v>149</v>
      </c>
      <c r="C4772" s="50" t="s">
        <v>498</v>
      </c>
      <c r="D4772" s="50" t="s">
        <v>261</v>
      </c>
      <c r="E4772" s="50">
        <v>-1</v>
      </c>
      <c r="F4772" s="51">
        <v>-0.47542525836871996</v>
      </c>
      <c r="G4772" s="51" t="str">
        <v>中野 2022/10/09 (日)
休日午後</v>
      </c>
    </row>
    <row r="4773" spans="1:7" ht="16.149999999999999" x14ac:dyDescent="0.7">
      <c r="A4773" s="49">
        <v>44817.561596736108</v>
      </c>
      <c r="B4773" s="50" t="s">
        <v>149</v>
      </c>
      <c r="C4773" s="50" t="s">
        <v>499</v>
      </c>
      <c r="D4773" s="50" t="s">
        <v>263</v>
      </c>
      <c r="E4773" s="50">
        <v>-1</v>
      </c>
      <c r="F4773" s="51">
        <v>-0.949537793524728</v>
      </c>
      <c r="G4773" s="51" t="str">
        <v>中野 2022/10/10 (月)
休日午前</v>
      </c>
    </row>
    <row r="4774" spans="1:7" ht="16.149999999999999" x14ac:dyDescent="0.7">
      <c r="A4774" s="49">
        <v>44817.561596736108</v>
      </c>
      <c r="B4774" s="50" t="s">
        <v>149</v>
      </c>
      <c r="C4774" s="50" t="s">
        <v>500</v>
      </c>
      <c r="D4774" s="50" t="s">
        <v>261</v>
      </c>
      <c r="E4774" s="50">
        <v>-1</v>
      </c>
      <c r="F4774" s="51">
        <v>-0.77574661942799961</v>
      </c>
      <c r="G4774" s="51" t="str">
        <v>中野 2022/10/10 (月)
休日午後</v>
      </c>
    </row>
    <row r="4775" spans="1:7" ht="16.149999999999999" x14ac:dyDescent="0.7">
      <c r="A4775" s="49">
        <v>44817.561596736108</v>
      </c>
      <c r="B4775" s="50" t="s">
        <v>149</v>
      </c>
      <c r="C4775" s="50" t="s">
        <v>501</v>
      </c>
      <c r="D4775" s="50" t="s">
        <v>259</v>
      </c>
      <c r="E4775" s="50">
        <v>0</v>
      </c>
      <c r="F4775" s="51">
        <v>0.73887008831151424</v>
      </c>
      <c r="G4775" s="51" t="str">
        <v>中野 2022/10/11 (火)
平日夜間</v>
      </c>
    </row>
    <row r="4776" spans="1:7" ht="16.149999999999999" x14ac:dyDescent="0.7">
      <c r="A4776" s="49">
        <v>44817.561596736108</v>
      </c>
      <c r="B4776" s="50" t="s">
        <v>149</v>
      </c>
      <c r="C4776" s="50" t="s">
        <v>502</v>
      </c>
      <c r="D4776" s="50" t="s">
        <v>259</v>
      </c>
      <c r="E4776" s="50">
        <v>0</v>
      </c>
      <c r="F4776" s="51">
        <v>0.52555060515443919</v>
      </c>
      <c r="G4776" s="51" t="str">
        <v>中野 2022/10/12 (水)
平日夜間</v>
      </c>
    </row>
    <row r="4777" spans="1:7" ht="16.149999999999999" x14ac:dyDescent="0.7">
      <c r="A4777" s="49">
        <v>44817.561596736108</v>
      </c>
      <c r="B4777" s="50" t="s">
        <v>149</v>
      </c>
      <c r="C4777" s="50" t="s">
        <v>503</v>
      </c>
      <c r="D4777" s="50" t="s">
        <v>259</v>
      </c>
      <c r="E4777" s="50">
        <v>0</v>
      </c>
      <c r="F4777" s="51">
        <v>0.13690484716929641</v>
      </c>
      <c r="G4777" s="51" t="str">
        <v>中野 2022/10/13 (木)
平日夜間</v>
      </c>
    </row>
    <row r="4778" spans="1:7" ht="16.149999999999999" x14ac:dyDescent="0.7">
      <c r="A4778" s="49">
        <v>44817.561596736108</v>
      </c>
      <c r="B4778" s="50" t="s">
        <v>149</v>
      </c>
      <c r="C4778" s="50" t="s">
        <v>504</v>
      </c>
      <c r="D4778" s="50" t="s">
        <v>259</v>
      </c>
      <c r="E4778" s="50">
        <v>0</v>
      </c>
      <c r="F4778" s="51">
        <v>0.30153869498416808</v>
      </c>
      <c r="G4778" s="51" t="str">
        <v>中野 2022/10/14 (金)
平日夜間</v>
      </c>
    </row>
    <row r="4779" spans="1:7" ht="16.149999999999999" x14ac:dyDescent="0.7">
      <c r="A4779" s="49">
        <v>44817.561596736108</v>
      </c>
      <c r="B4779" s="50" t="s">
        <v>149</v>
      </c>
      <c r="C4779" s="50" t="s">
        <v>505</v>
      </c>
      <c r="D4779" s="50" t="s">
        <v>263</v>
      </c>
      <c r="E4779" s="50">
        <v>0</v>
      </c>
      <c r="F4779" s="51">
        <v>0.42905152026643312</v>
      </c>
      <c r="G4779" s="51" t="str">
        <v>中野 2022/10/15 (土)
休日午前</v>
      </c>
    </row>
    <row r="4780" spans="1:7" ht="16.149999999999999" x14ac:dyDescent="0.7">
      <c r="A4780" s="49">
        <v>44817.561596736108</v>
      </c>
      <c r="B4780" s="50" t="s">
        <v>149</v>
      </c>
      <c r="C4780" s="50" t="s">
        <v>506</v>
      </c>
      <c r="D4780" s="50" t="s">
        <v>261</v>
      </c>
      <c r="E4780" s="50">
        <v>-1</v>
      </c>
      <c r="F4780" s="51">
        <v>-2.256681263874305E-2</v>
      </c>
      <c r="G4780" s="51" t="str">
        <v>中野 2022/10/15 (土)
休日午後</v>
      </c>
    </row>
    <row r="4781" spans="1:7" ht="16.149999999999999" x14ac:dyDescent="0.7">
      <c r="A4781" s="49">
        <v>44817.561596736108</v>
      </c>
      <c r="B4781" s="50" t="s">
        <v>149</v>
      </c>
      <c r="C4781" s="50" t="s">
        <v>507</v>
      </c>
      <c r="D4781" s="50" t="s">
        <v>263</v>
      </c>
      <c r="E4781" s="50">
        <v>0</v>
      </c>
      <c r="F4781" s="51">
        <v>0.29725955238636304</v>
      </c>
      <c r="G4781" s="51" t="str">
        <v>中野 2022/10/16 (日)
休日午前</v>
      </c>
    </row>
    <row r="4782" spans="1:7" ht="16.149999999999999" x14ac:dyDescent="0.7">
      <c r="A4782" s="49">
        <v>44817.561596736108</v>
      </c>
      <c r="B4782" s="50" t="s">
        <v>149</v>
      </c>
      <c r="C4782" s="50" t="s">
        <v>508</v>
      </c>
      <c r="D4782" s="50" t="s">
        <v>261</v>
      </c>
      <c r="E4782" s="50">
        <v>0</v>
      </c>
      <c r="F4782" s="51">
        <v>0.76132648660528379</v>
      </c>
      <c r="G4782" s="51" t="str">
        <v>中野 2022/10/16 (日)
休日午後</v>
      </c>
    </row>
    <row r="4783" spans="1:7" ht="16.149999999999999" x14ac:dyDescent="0.7">
      <c r="A4783" s="49">
        <v>44817.561596736108</v>
      </c>
      <c r="B4783" s="50" t="s">
        <v>149</v>
      </c>
      <c r="C4783" s="50" t="s">
        <v>509</v>
      </c>
      <c r="D4783" s="50" t="s">
        <v>259</v>
      </c>
      <c r="E4783" s="50">
        <v>0</v>
      </c>
      <c r="F4783" s="51">
        <v>7.0808126065949439E-2</v>
      </c>
      <c r="G4783" s="51" t="str">
        <v>中野 2022/10/17 (月)
平日夜間</v>
      </c>
    </row>
    <row r="4784" spans="1:7" ht="16.149999999999999" x14ac:dyDescent="0.7">
      <c r="A4784" s="49">
        <v>44817.561596736108</v>
      </c>
      <c r="B4784" s="50" t="s">
        <v>149</v>
      </c>
      <c r="C4784" s="50" t="s">
        <v>510</v>
      </c>
      <c r="D4784" s="50" t="s">
        <v>259</v>
      </c>
      <c r="E4784" s="50">
        <v>0</v>
      </c>
      <c r="F4784" s="51">
        <v>0.16546749817332973</v>
      </c>
      <c r="G4784" s="51" t="str">
        <v>中野 2022/10/18 (火)
平日夜間</v>
      </c>
    </row>
    <row r="4785" spans="1:7" ht="16.149999999999999" x14ac:dyDescent="0.7">
      <c r="A4785" s="49">
        <v>44817.561596736108</v>
      </c>
      <c r="B4785" s="50" t="s">
        <v>149</v>
      </c>
      <c r="C4785" s="50" t="s">
        <v>511</v>
      </c>
      <c r="D4785" s="50" t="s">
        <v>259</v>
      </c>
      <c r="E4785" s="50">
        <v>0</v>
      </c>
      <c r="F4785" s="51">
        <v>0.7929234441861801</v>
      </c>
      <c r="G4785" s="51" t="str">
        <v>中野 2022/10/19 (水)
平日夜間</v>
      </c>
    </row>
    <row r="4786" spans="1:7" ht="16.149999999999999" x14ac:dyDescent="0.7">
      <c r="A4786" s="49">
        <v>44817.561596736108</v>
      </c>
      <c r="B4786" s="50" t="s">
        <v>149</v>
      </c>
      <c r="C4786" s="50" t="s">
        <v>512</v>
      </c>
      <c r="D4786" s="50" t="s">
        <v>259</v>
      </c>
      <c r="E4786" s="50">
        <v>-1</v>
      </c>
      <c r="F4786" s="51">
        <v>-0.69021407517853706</v>
      </c>
      <c r="G4786" s="51" t="str">
        <v>中野 2022/10/20 (木)
平日夜間</v>
      </c>
    </row>
    <row r="4787" spans="1:7" ht="16.149999999999999" x14ac:dyDescent="0.7">
      <c r="A4787" s="49">
        <v>44817.561596736108</v>
      </c>
      <c r="B4787" s="50" t="s">
        <v>149</v>
      </c>
      <c r="C4787" s="50" t="s">
        <v>513</v>
      </c>
      <c r="D4787" s="50" t="s">
        <v>259</v>
      </c>
      <c r="E4787" s="50">
        <v>-1</v>
      </c>
      <c r="F4787" s="51">
        <v>-0.3445466596300677</v>
      </c>
      <c r="G4787" s="51" t="str">
        <v>中野 2022/10/21 (金)
平日夜間</v>
      </c>
    </row>
    <row r="4788" spans="1:7" ht="16.149999999999999" x14ac:dyDescent="0.7">
      <c r="A4788" s="49">
        <v>44817.561596736108</v>
      </c>
      <c r="B4788" s="50" t="s">
        <v>149</v>
      </c>
      <c r="C4788" s="50" t="s">
        <v>514</v>
      </c>
      <c r="D4788" s="50" t="s">
        <v>263</v>
      </c>
      <c r="E4788" s="50">
        <v>-1</v>
      </c>
      <c r="F4788" s="51">
        <v>-0.52238743623946737</v>
      </c>
      <c r="G4788" s="51" t="str">
        <v>中野 2022/10/22 (土)
休日午前</v>
      </c>
    </row>
    <row r="4789" spans="1:7" ht="16.149999999999999" x14ac:dyDescent="0.7">
      <c r="A4789" s="49">
        <v>44817.561596736108</v>
      </c>
      <c r="B4789" s="50" t="s">
        <v>149</v>
      </c>
      <c r="C4789" s="50" t="s">
        <v>515</v>
      </c>
      <c r="D4789" s="50" t="s">
        <v>261</v>
      </c>
      <c r="E4789" s="50">
        <v>-1</v>
      </c>
      <c r="F4789" s="51">
        <v>-0.84350383764953341</v>
      </c>
      <c r="G4789" s="51" t="str">
        <v>中野 2022/10/22 (土)
休日午後</v>
      </c>
    </row>
    <row r="4790" spans="1:7" ht="16.149999999999999" x14ac:dyDescent="0.7">
      <c r="A4790" s="49">
        <v>44817.561596736108</v>
      </c>
      <c r="B4790" s="50" t="s">
        <v>149</v>
      </c>
      <c r="C4790" s="50" t="s">
        <v>516</v>
      </c>
      <c r="D4790" s="50" t="s">
        <v>263</v>
      </c>
      <c r="E4790" s="50">
        <v>-1</v>
      </c>
      <c r="F4790" s="51">
        <v>-0.61548636097787202</v>
      </c>
      <c r="G4790" s="51" t="str">
        <v>中野 2022/10/23 (日)
休日午前</v>
      </c>
    </row>
    <row r="4791" spans="1:7" ht="16.149999999999999" x14ac:dyDescent="0.7">
      <c r="A4791" s="49">
        <v>44817.561596736108</v>
      </c>
      <c r="B4791" s="50" t="s">
        <v>149</v>
      </c>
      <c r="C4791" s="50" t="s">
        <v>517</v>
      </c>
      <c r="D4791" s="50" t="s">
        <v>261</v>
      </c>
      <c r="E4791" s="50">
        <v>-1</v>
      </c>
      <c r="F4791" s="51">
        <v>-0.27586663368909625</v>
      </c>
      <c r="G4791" s="51" t="str">
        <v>中野 2022/10/23 (日)
休日午後</v>
      </c>
    </row>
    <row r="4792" spans="1:7" ht="16.149999999999999" x14ac:dyDescent="0.7">
      <c r="A4792" s="49">
        <v>44817.561596736108</v>
      </c>
      <c r="B4792" s="50" t="s">
        <v>149</v>
      </c>
      <c r="C4792" s="50" t="s">
        <v>518</v>
      </c>
      <c r="D4792" s="50" t="s">
        <v>259</v>
      </c>
      <c r="E4792" s="50">
        <v>0</v>
      </c>
      <c r="F4792" s="51">
        <v>0.55924789055463364</v>
      </c>
      <c r="G4792" s="51" t="str">
        <v>中野 2022/10/24 (月)
平日夜間</v>
      </c>
    </row>
    <row r="4793" spans="1:7" ht="16.149999999999999" x14ac:dyDescent="0.7">
      <c r="A4793" s="49">
        <v>44817.561596736108</v>
      </c>
      <c r="B4793" s="50" t="s">
        <v>149</v>
      </c>
      <c r="C4793" s="50" t="s">
        <v>519</v>
      </c>
      <c r="D4793" s="50" t="s">
        <v>259</v>
      </c>
      <c r="E4793" s="50">
        <v>0</v>
      </c>
      <c r="F4793" s="51">
        <v>3.5621076510311322E-2</v>
      </c>
      <c r="G4793" s="51" t="str">
        <v>中野 2022/10/25 (火)
平日夜間</v>
      </c>
    </row>
    <row r="4794" spans="1:7" ht="16.149999999999999" x14ac:dyDescent="0.7">
      <c r="A4794" s="49">
        <v>44817.561596736108</v>
      </c>
      <c r="B4794" s="50" t="s">
        <v>149</v>
      </c>
      <c r="C4794" s="50" t="s">
        <v>520</v>
      </c>
      <c r="D4794" s="50" t="s">
        <v>259</v>
      </c>
      <c r="E4794" s="50">
        <v>0</v>
      </c>
      <c r="F4794" s="51">
        <v>0.51742422685675948</v>
      </c>
      <c r="G4794" s="51" t="str">
        <v>中野 2022/10/26 (水)
平日夜間</v>
      </c>
    </row>
    <row r="4795" spans="1:7" ht="16.149999999999999" x14ac:dyDescent="0.7">
      <c r="A4795" s="49">
        <v>44817.561596736108</v>
      </c>
      <c r="B4795" s="50" t="s">
        <v>149</v>
      </c>
      <c r="C4795" s="50" t="s">
        <v>521</v>
      </c>
      <c r="D4795" s="50" t="s">
        <v>259</v>
      </c>
      <c r="E4795" s="50">
        <v>0</v>
      </c>
      <c r="F4795" s="51">
        <v>0.4968283112902514</v>
      </c>
      <c r="G4795" s="51" t="str">
        <v>中野 2022/10/27 (木)
平日夜間</v>
      </c>
    </row>
    <row r="4796" spans="1:7" ht="16.149999999999999" x14ac:dyDescent="0.7">
      <c r="A4796" s="49">
        <v>44817.561596736108</v>
      </c>
      <c r="B4796" s="50" t="s">
        <v>149</v>
      </c>
      <c r="C4796" s="50" t="s">
        <v>522</v>
      </c>
      <c r="D4796" s="50" t="s">
        <v>259</v>
      </c>
      <c r="E4796" s="50">
        <v>-1</v>
      </c>
      <c r="F4796" s="51">
        <v>-0.81258966552619016</v>
      </c>
      <c r="G4796" s="51" t="str">
        <v>中野 2022/10/28 (金)
平日夜間</v>
      </c>
    </row>
    <row r="4797" spans="1:7" ht="16.149999999999999" x14ac:dyDescent="0.7">
      <c r="A4797" s="49">
        <v>44817.561596736108</v>
      </c>
      <c r="B4797" s="50" t="s">
        <v>149</v>
      </c>
      <c r="C4797" s="50" t="s">
        <v>523</v>
      </c>
      <c r="D4797" s="50" t="s">
        <v>263</v>
      </c>
      <c r="E4797" s="50">
        <v>0</v>
      </c>
      <c r="F4797" s="51">
        <v>0.63814246076681336</v>
      </c>
      <c r="G4797" s="51" t="str">
        <v>中野 2022/10/29 (土)
休日午前</v>
      </c>
    </row>
    <row r="4798" spans="1:7" ht="16.149999999999999" x14ac:dyDescent="0.7">
      <c r="A4798" s="49">
        <v>44817.561596736108</v>
      </c>
      <c r="B4798" s="50" t="s">
        <v>149</v>
      </c>
      <c r="C4798" s="50" t="s">
        <v>524</v>
      </c>
      <c r="D4798" s="50" t="s">
        <v>261</v>
      </c>
      <c r="E4798" s="50">
        <v>-1</v>
      </c>
      <c r="F4798" s="51">
        <v>-5.5160344916495907E-2</v>
      </c>
      <c r="G4798" s="51" t="str">
        <v>中野 2022/10/29 (土)
休日午後</v>
      </c>
    </row>
    <row r="4799" spans="1:7" ht="16.149999999999999" x14ac:dyDescent="0.7">
      <c r="A4799" s="49">
        <v>44817.561596736108</v>
      </c>
      <c r="B4799" s="50" t="s">
        <v>149</v>
      </c>
      <c r="C4799" s="50" t="s">
        <v>525</v>
      </c>
      <c r="D4799" s="50" t="s">
        <v>263</v>
      </c>
      <c r="E4799" s="50">
        <v>-1</v>
      </c>
      <c r="F4799" s="51">
        <v>-0.773111890693708</v>
      </c>
      <c r="G4799" s="51" t="str">
        <v>中野 2022/10/30 (日)
休日午前</v>
      </c>
    </row>
    <row r="4800" spans="1:7" ht="16.149999999999999" x14ac:dyDescent="0.7">
      <c r="A4800" s="49">
        <v>44817.561596736108</v>
      </c>
      <c r="B4800" s="50" t="s">
        <v>149</v>
      </c>
      <c r="C4800" s="50" t="s">
        <v>526</v>
      </c>
      <c r="D4800" s="50" t="s">
        <v>261</v>
      </c>
      <c r="E4800" s="50">
        <v>-1</v>
      </c>
      <c r="F4800" s="51">
        <v>-0.43109829987273396</v>
      </c>
      <c r="G4800" s="51" t="str">
        <v>中野 2022/10/30 (日)
休日午後</v>
      </c>
    </row>
    <row r="4801" spans="1:7" ht="16.149999999999999" x14ac:dyDescent="0.7">
      <c r="A4801" s="49">
        <v>44817.561596736108</v>
      </c>
      <c r="B4801" s="50" t="s">
        <v>149</v>
      </c>
      <c r="C4801" s="50" t="s">
        <v>527</v>
      </c>
      <c r="D4801" s="50" t="s">
        <v>259</v>
      </c>
      <c r="E4801" s="50">
        <v>0</v>
      </c>
      <c r="F4801" s="51">
        <v>0.45740257142253515</v>
      </c>
      <c r="G4801" s="51" t="str">
        <v>中野 2022/10/31 (月)
平日夜間</v>
      </c>
    </row>
    <row r="4802" spans="1:7" ht="16.149999999999999" x14ac:dyDescent="0.7">
      <c r="A4802" s="49">
        <v>44817.785638020832</v>
      </c>
      <c r="B4802" s="50" t="s">
        <v>127</v>
      </c>
      <c r="C4802" s="50" t="s">
        <v>486</v>
      </c>
      <c r="D4802" s="50" t="s">
        <v>263</v>
      </c>
      <c r="E4802" s="50">
        <v>-1</v>
      </c>
      <c r="F4802" s="51">
        <v>-0.84693502024923406</v>
      </c>
      <c r="G4802" s="51" t="str">
        <v>稲葉 2022/10/01 (土)
休日午前</v>
      </c>
    </row>
    <row r="4803" spans="1:7" ht="16.149999999999999" x14ac:dyDescent="0.7">
      <c r="A4803" s="49">
        <v>44817.785638020832</v>
      </c>
      <c r="B4803" s="50" t="s">
        <v>127</v>
      </c>
      <c r="C4803" s="50" t="s">
        <v>487</v>
      </c>
      <c r="D4803" s="50" t="s">
        <v>261</v>
      </c>
      <c r="E4803" s="50">
        <v>-1</v>
      </c>
      <c r="F4803" s="51">
        <v>-0.12495831110732736</v>
      </c>
      <c r="G4803" s="51" t="str">
        <v>稲葉 2022/10/01 (土)
休日午後</v>
      </c>
    </row>
    <row r="4804" spans="1:7" ht="16.149999999999999" x14ac:dyDescent="0.7">
      <c r="A4804" s="49">
        <v>44817.785638020832</v>
      </c>
      <c r="B4804" s="50" t="s">
        <v>127</v>
      </c>
      <c r="C4804" s="50" t="s">
        <v>488</v>
      </c>
      <c r="D4804" s="50" t="s">
        <v>263</v>
      </c>
      <c r="E4804" s="50">
        <v>-1</v>
      </c>
      <c r="F4804" s="51">
        <v>-0.57416848364147444</v>
      </c>
      <c r="G4804" s="51" t="str">
        <v>稲葉 2022/10/02 (日)
休日午前</v>
      </c>
    </row>
    <row r="4805" spans="1:7" ht="16.149999999999999" x14ac:dyDescent="0.7">
      <c r="A4805" s="49">
        <v>44817.785638020832</v>
      </c>
      <c r="B4805" s="50" t="s">
        <v>127</v>
      </c>
      <c r="C4805" s="50" t="s">
        <v>489</v>
      </c>
      <c r="D4805" s="50" t="s">
        <v>261</v>
      </c>
      <c r="E4805" s="50">
        <v>0</v>
      </c>
      <c r="F4805" s="51">
        <v>0.25899121877689324</v>
      </c>
      <c r="G4805" s="51" t="str">
        <v>稲葉 2022/10/02 (日)
休日午後</v>
      </c>
    </row>
    <row r="4806" spans="1:7" ht="16.149999999999999" x14ac:dyDescent="0.7">
      <c r="A4806" s="49">
        <v>44817.785638020832</v>
      </c>
      <c r="B4806" s="50" t="s">
        <v>127</v>
      </c>
      <c r="C4806" s="50" t="s">
        <v>490</v>
      </c>
      <c r="D4806" s="50" t="s">
        <v>259</v>
      </c>
      <c r="E4806" s="50">
        <v>0</v>
      </c>
      <c r="F4806" s="51">
        <v>0.54742081622980421</v>
      </c>
      <c r="G4806" s="51" t="str">
        <v>稲葉 2022/10/03 (月)
平日夜間</v>
      </c>
    </row>
    <row r="4807" spans="1:7" ht="16.149999999999999" x14ac:dyDescent="0.7">
      <c r="A4807" s="49">
        <v>44817.785638020832</v>
      </c>
      <c r="B4807" s="50" t="s">
        <v>127</v>
      </c>
      <c r="C4807" s="50" t="s">
        <v>491</v>
      </c>
      <c r="D4807" s="50" t="s">
        <v>259</v>
      </c>
      <c r="E4807" s="50">
        <v>0</v>
      </c>
      <c r="F4807" s="51">
        <v>0.49924048112123853</v>
      </c>
      <c r="G4807" s="51" t="str">
        <v>稲葉 2022/10/04 (火)
平日夜間</v>
      </c>
    </row>
    <row r="4808" spans="1:7" ht="16.149999999999999" x14ac:dyDescent="0.7">
      <c r="A4808" s="49">
        <v>44817.785638020832</v>
      </c>
      <c r="B4808" s="50" t="s">
        <v>127</v>
      </c>
      <c r="C4808" s="50" t="s">
        <v>492</v>
      </c>
      <c r="D4808" s="50" t="s">
        <v>259</v>
      </c>
      <c r="E4808" s="50">
        <v>0</v>
      </c>
      <c r="F4808" s="51">
        <v>0.3617813212044223</v>
      </c>
      <c r="G4808" s="51" t="str">
        <v>稲葉 2022/10/05 (水)
平日夜間</v>
      </c>
    </row>
    <row r="4809" spans="1:7" ht="16.149999999999999" x14ac:dyDescent="0.7">
      <c r="A4809" s="49">
        <v>44817.785638020832</v>
      </c>
      <c r="B4809" s="50" t="s">
        <v>127</v>
      </c>
      <c r="C4809" s="50" t="s">
        <v>493</v>
      </c>
      <c r="D4809" s="50" t="s">
        <v>259</v>
      </c>
      <c r="E4809" s="50">
        <v>0</v>
      </c>
      <c r="F4809" s="51">
        <v>0.62863725598029774</v>
      </c>
      <c r="G4809" s="51" t="str">
        <v>稲葉 2022/10/06 (木)
平日夜間</v>
      </c>
    </row>
    <row r="4810" spans="1:7" ht="16.149999999999999" x14ac:dyDescent="0.7">
      <c r="A4810" s="49">
        <v>44817.785638020832</v>
      </c>
      <c r="B4810" s="50" t="s">
        <v>127</v>
      </c>
      <c r="C4810" s="50" t="s">
        <v>494</v>
      </c>
      <c r="D4810" s="50" t="s">
        <v>259</v>
      </c>
      <c r="E4810" s="50">
        <v>0</v>
      </c>
      <c r="F4810" s="51">
        <v>0.18029747266777396</v>
      </c>
      <c r="G4810" s="51" t="str">
        <v>稲葉 2022/10/07 (金)
平日夜間</v>
      </c>
    </row>
    <row r="4811" spans="1:7" ht="16.149999999999999" x14ac:dyDescent="0.7">
      <c r="A4811" s="49">
        <v>44817.785638020832</v>
      </c>
      <c r="B4811" s="50" t="s">
        <v>127</v>
      </c>
      <c r="C4811" s="50" t="s">
        <v>495</v>
      </c>
      <c r="D4811" s="50" t="s">
        <v>263</v>
      </c>
      <c r="E4811" s="50">
        <v>0</v>
      </c>
      <c r="F4811" s="51">
        <v>0.82773224878408369</v>
      </c>
      <c r="G4811" s="51" t="str">
        <v>稲葉 2022/10/08 (土)
休日午前</v>
      </c>
    </row>
    <row r="4812" spans="1:7" ht="16.149999999999999" x14ac:dyDescent="0.7">
      <c r="A4812" s="49">
        <v>44817.785638020832</v>
      </c>
      <c r="B4812" s="50" t="s">
        <v>127</v>
      </c>
      <c r="C4812" s="50" t="s">
        <v>496</v>
      </c>
      <c r="D4812" s="50" t="s">
        <v>261</v>
      </c>
      <c r="E4812" s="50">
        <v>0</v>
      </c>
      <c r="F4812" s="51">
        <v>0.13898800235883213</v>
      </c>
      <c r="G4812" s="51" t="str">
        <v>稲葉 2022/10/08 (土)
休日午後</v>
      </c>
    </row>
    <row r="4813" spans="1:7" ht="16.149999999999999" x14ac:dyDescent="0.7">
      <c r="A4813" s="49">
        <v>44817.785638020832</v>
      </c>
      <c r="B4813" s="50" t="s">
        <v>127</v>
      </c>
      <c r="C4813" s="50" t="s">
        <v>497</v>
      </c>
      <c r="D4813" s="50" t="s">
        <v>263</v>
      </c>
      <c r="E4813" s="50">
        <v>0</v>
      </c>
      <c r="F4813" s="51">
        <v>0.47863811765735509</v>
      </c>
      <c r="G4813" s="51" t="str">
        <v>稲葉 2022/10/09 (日)
休日午前</v>
      </c>
    </row>
    <row r="4814" spans="1:7" ht="16.149999999999999" x14ac:dyDescent="0.7">
      <c r="A4814" s="49">
        <v>44817.785638020832</v>
      </c>
      <c r="B4814" s="50" t="s">
        <v>127</v>
      </c>
      <c r="C4814" s="50" t="s">
        <v>498</v>
      </c>
      <c r="D4814" s="50" t="s">
        <v>261</v>
      </c>
      <c r="E4814" s="50">
        <v>0</v>
      </c>
      <c r="F4814" s="51">
        <v>0.15852611583561926</v>
      </c>
      <c r="G4814" s="51" t="str">
        <v>稲葉 2022/10/09 (日)
休日午後</v>
      </c>
    </row>
    <row r="4815" spans="1:7" ht="16.149999999999999" x14ac:dyDescent="0.7">
      <c r="A4815" s="49">
        <v>44817.785638020832</v>
      </c>
      <c r="B4815" s="50" t="s">
        <v>127</v>
      </c>
      <c r="C4815" s="50" t="s">
        <v>499</v>
      </c>
      <c r="D4815" s="50" t="s">
        <v>263</v>
      </c>
      <c r="E4815" s="50">
        <v>0</v>
      </c>
      <c r="F4815" s="51">
        <v>0.69195757956394166</v>
      </c>
      <c r="G4815" s="51" t="str">
        <v>稲葉 2022/10/10 (月)
休日午前</v>
      </c>
    </row>
    <row r="4816" spans="1:7" ht="16.149999999999999" x14ac:dyDescent="0.7">
      <c r="A4816" s="49">
        <v>44817.785638020832</v>
      </c>
      <c r="B4816" s="50" t="s">
        <v>127</v>
      </c>
      <c r="C4816" s="50" t="s">
        <v>500</v>
      </c>
      <c r="D4816" s="50" t="s">
        <v>261</v>
      </c>
      <c r="E4816" s="50">
        <v>0</v>
      </c>
      <c r="F4816" s="51">
        <v>0.66849734754194179</v>
      </c>
      <c r="G4816" s="51" t="str">
        <v>稲葉 2022/10/10 (月)
休日午後</v>
      </c>
    </row>
    <row r="4817" spans="1:7" ht="16.149999999999999" x14ac:dyDescent="0.7">
      <c r="A4817" s="49">
        <v>44817.785638020832</v>
      </c>
      <c r="B4817" s="50" t="s">
        <v>127</v>
      </c>
      <c r="C4817" s="50" t="s">
        <v>501</v>
      </c>
      <c r="D4817" s="50" t="s">
        <v>259</v>
      </c>
      <c r="E4817" s="50">
        <v>0</v>
      </c>
      <c r="F4817" s="51">
        <v>9.2158431024296217E-3</v>
      </c>
      <c r="G4817" s="51" t="str">
        <v>稲葉 2022/10/11 (火)
平日夜間</v>
      </c>
    </row>
    <row r="4818" spans="1:7" ht="16.149999999999999" x14ac:dyDescent="0.7">
      <c r="A4818" s="49">
        <v>44817.785638020832</v>
      </c>
      <c r="B4818" s="50" t="s">
        <v>127</v>
      </c>
      <c r="C4818" s="50" t="s">
        <v>502</v>
      </c>
      <c r="D4818" s="50" t="s">
        <v>259</v>
      </c>
      <c r="E4818" s="50">
        <v>0</v>
      </c>
      <c r="F4818" s="51">
        <v>0.90684691135190865</v>
      </c>
      <c r="G4818" s="51" t="str">
        <v>稲葉 2022/10/12 (水)
平日夜間</v>
      </c>
    </row>
    <row r="4819" spans="1:7" ht="16.149999999999999" x14ac:dyDescent="0.7">
      <c r="A4819" s="49">
        <v>44817.785638020832</v>
      </c>
      <c r="B4819" s="50" t="s">
        <v>127</v>
      </c>
      <c r="C4819" s="50" t="s">
        <v>503</v>
      </c>
      <c r="D4819" s="50" t="s">
        <v>259</v>
      </c>
      <c r="E4819" s="50">
        <v>0</v>
      </c>
      <c r="F4819" s="51">
        <v>0.47275132847909562</v>
      </c>
      <c r="G4819" s="51" t="str">
        <v>稲葉 2022/10/13 (木)
平日夜間</v>
      </c>
    </row>
    <row r="4820" spans="1:7" ht="16.149999999999999" x14ac:dyDescent="0.7">
      <c r="A4820" s="49">
        <v>44817.785638020832</v>
      </c>
      <c r="B4820" s="50" t="s">
        <v>127</v>
      </c>
      <c r="C4820" s="50" t="s">
        <v>504</v>
      </c>
      <c r="D4820" s="50" t="s">
        <v>259</v>
      </c>
      <c r="E4820" s="50">
        <v>0</v>
      </c>
      <c r="F4820" s="51">
        <v>0.60983074327796194</v>
      </c>
      <c r="G4820" s="51" t="str">
        <v>稲葉 2022/10/14 (金)
平日夜間</v>
      </c>
    </row>
    <row r="4821" spans="1:7" ht="16.149999999999999" x14ac:dyDescent="0.7">
      <c r="A4821" s="49">
        <v>44817.785638020832</v>
      </c>
      <c r="B4821" s="50" t="s">
        <v>127</v>
      </c>
      <c r="C4821" s="50" t="s">
        <v>505</v>
      </c>
      <c r="D4821" s="50" t="s">
        <v>263</v>
      </c>
      <c r="E4821" s="50">
        <v>0</v>
      </c>
      <c r="F4821" s="51">
        <v>0.84264101957664606</v>
      </c>
      <c r="G4821" s="51" t="str">
        <v>稲葉 2022/10/15 (土)
休日午前</v>
      </c>
    </row>
    <row r="4822" spans="1:7" ht="16.149999999999999" x14ac:dyDescent="0.7">
      <c r="A4822" s="49">
        <v>44817.785638020832</v>
      </c>
      <c r="B4822" s="50" t="s">
        <v>127</v>
      </c>
      <c r="C4822" s="50" t="s">
        <v>506</v>
      </c>
      <c r="D4822" s="50" t="s">
        <v>261</v>
      </c>
      <c r="E4822" s="50">
        <v>0</v>
      </c>
      <c r="F4822" s="51">
        <v>0.19094961662036813</v>
      </c>
      <c r="G4822" s="51" t="str">
        <v>稲葉 2022/10/15 (土)
休日午後</v>
      </c>
    </row>
    <row r="4823" spans="1:7" ht="16.149999999999999" x14ac:dyDescent="0.7">
      <c r="A4823" s="49">
        <v>44817.785638020832</v>
      </c>
      <c r="B4823" s="50" t="s">
        <v>127</v>
      </c>
      <c r="C4823" s="50" t="s">
        <v>507</v>
      </c>
      <c r="D4823" s="50" t="s">
        <v>263</v>
      </c>
      <c r="E4823" s="50">
        <v>0</v>
      </c>
      <c r="F4823" s="51">
        <v>0.69818512625614626</v>
      </c>
      <c r="G4823" s="51" t="str">
        <v>稲葉 2022/10/16 (日)
休日午前</v>
      </c>
    </row>
    <row r="4824" spans="1:7" ht="16.149999999999999" x14ac:dyDescent="0.7">
      <c r="A4824" s="49">
        <v>44817.785638020832</v>
      </c>
      <c r="B4824" s="50" t="s">
        <v>127</v>
      </c>
      <c r="C4824" s="50" t="s">
        <v>508</v>
      </c>
      <c r="D4824" s="50" t="s">
        <v>261</v>
      </c>
      <c r="E4824" s="50">
        <v>0</v>
      </c>
      <c r="F4824" s="51">
        <v>0.62813593567185744</v>
      </c>
      <c r="G4824" s="51" t="str">
        <v>稲葉 2022/10/16 (日)
休日午後</v>
      </c>
    </row>
    <row r="4825" spans="1:7" ht="16.149999999999999" x14ac:dyDescent="0.7">
      <c r="A4825" s="49">
        <v>44817.785638020832</v>
      </c>
      <c r="B4825" s="50" t="s">
        <v>127</v>
      </c>
      <c r="C4825" s="50" t="s">
        <v>509</v>
      </c>
      <c r="D4825" s="50" t="s">
        <v>259</v>
      </c>
      <c r="E4825" s="50">
        <v>0</v>
      </c>
      <c r="F4825" s="51">
        <v>0.18612506884559465</v>
      </c>
      <c r="G4825" s="51" t="str">
        <v>稲葉 2022/10/17 (月)
平日夜間</v>
      </c>
    </row>
    <row r="4826" spans="1:7" ht="16.149999999999999" x14ac:dyDescent="0.7">
      <c r="A4826" s="49">
        <v>44817.785638020832</v>
      </c>
      <c r="B4826" s="50" t="s">
        <v>127</v>
      </c>
      <c r="C4826" s="50" t="s">
        <v>510</v>
      </c>
      <c r="D4826" s="50" t="s">
        <v>259</v>
      </c>
      <c r="E4826" s="50">
        <v>0</v>
      </c>
      <c r="F4826" s="51">
        <v>0.41390644321997372</v>
      </c>
      <c r="G4826" s="51" t="str">
        <v>稲葉 2022/10/18 (火)
平日夜間</v>
      </c>
    </row>
    <row r="4827" spans="1:7" ht="16.149999999999999" x14ac:dyDescent="0.7">
      <c r="A4827" s="49">
        <v>44817.785638020832</v>
      </c>
      <c r="B4827" s="50" t="s">
        <v>127</v>
      </c>
      <c r="C4827" s="50" t="s">
        <v>511</v>
      </c>
      <c r="D4827" s="50" t="s">
        <v>259</v>
      </c>
      <c r="E4827" s="50">
        <v>0</v>
      </c>
      <c r="F4827" s="51">
        <v>0.13238256038278196</v>
      </c>
      <c r="G4827" s="51" t="str">
        <v>稲葉 2022/10/19 (水)
平日夜間</v>
      </c>
    </row>
    <row r="4828" spans="1:7" ht="16.149999999999999" x14ac:dyDescent="0.7">
      <c r="A4828" s="49">
        <v>44817.785638020832</v>
      </c>
      <c r="B4828" s="50" t="s">
        <v>127</v>
      </c>
      <c r="C4828" s="50" t="s">
        <v>512</v>
      </c>
      <c r="D4828" s="50" t="s">
        <v>259</v>
      </c>
      <c r="E4828" s="50">
        <v>0</v>
      </c>
      <c r="F4828" s="51">
        <v>0.75097626827806652</v>
      </c>
      <c r="G4828" s="51" t="str">
        <v>稲葉 2022/10/20 (木)
平日夜間</v>
      </c>
    </row>
    <row r="4829" spans="1:7" ht="16.149999999999999" x14ac:dyDescent="0.7">
      <c r="A4829" s="49">
        <v>44817.785638020832</v>
      </c>
      <c r="B4829" s="50" t="s">
        <v>127</v>
      </c>
      <c r="C4829" s="50" t="s">
        <v>513</v>
      </c>
      <c r="D4829" s="50" t="s">
        <v>259</v>
      </c>
      <c r="E4829" s="50">
        <v>0</v>
      </c>
      <c r="F4829" s="51">
        <v>0.87415304690540174</v>
      </c>
      <c r="G4829" s="51" t="str">
        <v>稲葉 2022/10/21 (金)
平日夜間</v>
      </c>
    </row>
    <row r="4830" spans="1:7" ht="16.149999999999999" x14ac:dyDescent="0.7">
      <c r="A4830" s="49">
        <v>44817.785638020832</v>
      </c>
      <c r="B4830" s="50" t="s">
        <v>127</v>
      </c>
      <c r="C4830" s="50" t="s">
        <v>514</v>
      </c>
      <c r="D4830" s="50" t="s">
        <v>263</v>
      </c>
      <c r="E4830" s="50">
        <v>1</v>
      </c>
      <c r="F4830" s="51">
        <v>1.0924302378517203</v>
      </c>
      <c r="G4830" s="51" t="str">
        <v>稲葉 2022/10/22 (土)
休日午前</v>
      </c>
    </row>
    <row r="4831" spans="1:7" ht="16.149999999999999" x14ac:dyDescent="0.7">
      <c r="A4831" s="49">
        <v>44817.785638020832</v>
      </c>
      <c r="B4831" s="50" t="s">
        <v>127</v>
      </c>
      <c r="C4831" s="50" t="s">
        <v>515</v>
      </c>
      <c r="D4831" s="50" t="s">
        <v>261</v>
      </c>
      <c r="E4831" s="50">
        <v>-1</v>
      </c>
      <c r="F4831" s="51">
        <v>-0.91762055574638257</v>
      </c>
      <c r="G4831" s="51" t="str">
        <v>稲葉 2022/10/22 (土)
休日午後</v>
      </c>
    </row>
    <row r="4832" spans="1:7" ht="16.149999999999999" x14ac:dyDescent="0.7">
      <c r="A4832" s="49">
        <v>44817.785638020832</v>
      </c>
      <c r="B4832" s="50" t="s">
        <v>127</v>
      </c>
      <c r="C4832" s="50" t="s">
        <v>516</v>
      </c>
      <c r="D4832" s="50" t="s">
        <v>263</v>
      </c>
      <c r="E4832" s="50">
        <v>0</v>
      </c>
      <c r="F4832" s="51">
        <v>0.87233672939719953</v>
      </c>
      <c r="G4832" s="51" t="str">
        <v>稲葉 2022/10/23 (日)
休日午前</v>
      </c>
    </row>
    <row r="4833" spans="1:7" ht="16.149999999999999" x14ac:dyDescent="0.7">
      <c r="A4833" s="49">
        <v>44817.785638020832</v>
      </c>
      <c r="B4833" s="50" t="s">
        <v>127</v>
      </c>
      <c r="C4833" s="50" t="s">
        <v>517</v>
      </c>
      <c r="D4833" s="50" t="s">
        <v>261</v>
      </c>
      <c r="E4833" s="50">
        <v>-1</v>
      </c>
      <c r="F4833" s="51">
        <v>-6.385777616965993E-2</v>
      </c>
      <c r="G4833" s="51" t="str">
        <v>稲葉 2022/10/23 (日)
休日午後</v>
      </c>
    </row>
    <row r="4834" spans="1:7" ht="16.149999999999999" x14ac:dyDescent="0.7">
      <c r="A4834" s="49">
        <v>44817.785638020832</v>
      </c>
      <c r="B4834" s="50" t="s">
        <v>127</v>
      </c>
      <c r="C4834" s="50" t="s">
        <v>518</v>
      </c>
      <c r="D4834" s="50" t="s">
        <v>259</v>
      </c>
      <c r="E4834" s="50">
        <v>0</v>
      </c>
      <c r="F4834" s="51">
        <v>0.74565548360475487</v>
      </c>
      <c r="G4834" s="51" t="str">
        <v>稲葉 2022/10/24 (月)
平日夜間</v>
      </c>
    </row>
    <row r="4835" spans="1:7" ht="16.149999999999999" x14ac:dyDescent="0.7">
      <c r="A4835" s="49">
        <v>44817.785638020832</v>
      </c>
      <c r="B4835" s="50" t="s">
        <v>127</v>
      </c>
      <c r="C4835" s="50" t="s">
        <v>519</v>
      </c>
      <c r="D4835" s="50" t="s">
        <v>259</v>
      </c>
      <c r="E4835" s="50">
        <v>0</v>
      </c>
      <c r="F4835" s="51">
        <v>0.47067822945647841</v>
      </c>
      <c r="G4835" s="51" t="str">
        <v>稲葉 2022/10/25 (火)
平日夜間</v>
      </c>
    </row>
    <row r="4836" spans="1:7" ht="16.149999999999999" x14ac:dyDescent="0.7">
      <c r="A4836" s="49">
        <v>44817.785638020832</v>
      </c>
      <c r="B4836" s="50" t="s">
        <v>127</v>
      </c>
      <c r="C4836" s="50" t="s">
        <v>520</v>
      </c>
      <c r="D4836" s="50" t="s">
        <v>259</v>
      </c>
      <c r="E4836" s="50">
        <v>0</v>
      </c>
      <c r="F4836" s="51">
        <v>0.37960322559382087</v>
      </c>
      <c r="G4836" s="51" t="str">
        <v>稲葉 2022/10/26 (水)
平日夜間</v>
      </c>
    </row>
    <row r="4837" spans="1:7" ht="16.149999999999999" x14ac:dyDescent="0.7">
      <c r="A4837" s="49">
        <v>44817.785638020832</v>
      </c>
      <c r="B4837" s="50" t="s">
        <v>127</v>
      </c>
      <c r="C4837" s="50" t="s">
        <v>521</v>
      </c>
      <c r="D4837" s="50" t="s">
        <v>259</v>
      </c>
      <c r="E4837" s="50">
        <v>0</v>
      </c>
      <c r="F4837" s="51">
        <v>0.88716912004471982</v>
      </c>
      <c r="G4837" s="51" t="str">
        <v>稲葉 2022/10/27 (木)
平日夜間</v>
      </c>
    </row>
    <row r="4838" spans="1:7" ht="16.149999999999999" x14ac:dyDescent="0.7">
      <c r="A4838" s="49">
        <v>44817.785638020832</v>
      </c>
      <c r="B4838" s="50" t="s">
        <v>127</v>
      </c>
      <c r="C4838" s="50" t="s">
        <v>522</v>
      </c>
      <c r="D4838" s="50" t="s">
        <v>259</v>
      </c>
      <c r="E4838" s="50">
        <v>0</v>
      </c>
      <c r="F4838" s="51">
        <v>0.58423341420755781</v>
      </c>
      <c r="G4838" s="51" t="str">
        <v>稲葉 2022/10/28 (金)
平日夜間</v>
      </c>
    </row>
    <row r="4839" spans="1:7" ht="16.149999999999999" x14ac:dyDescent="0.7">
      <c r="A4839" s="49">
        <v>44817.785638020832</v>
      </c>
      <c r="B4839" s="50" t="s">
        <v>127</v>
      </c>
      <c r="C4839" s="50" t="s">
        <v>523</v>
      </c>
      <c r="D4839" s="50" t="s">
        <v>263</v>
      </c>
      <c r="E4839" s="50">
        <v>0</v>
      </c>
      <c r="F4839" s="51">
        <v>0.96823591055662717</v>
      </c>
      <c r="G4839" s="51" t="str">
        <v>稲葉 2022/10/29 (土)
休日午前</v>
      </c>
    </row>
    <row r="4840" spans="1:7" ht="16.149999999999999" x14ac:dyDescent="0.7">
      <c r="A4840" s="49">
        <v>44817.785638020832</v>
      </c>
      <c r="B4840" s="50" t="s">
        <v>127</v>
      </c>
      <c r="C4840" s="50" t="s">
        <v>524</v>
      </c>
      <c r="D4840" s="50" t="s">
        <v>261</v>
      </c>
      <c r="E4840" s="50">
        <v>0</v>
      </c>
      <c r="F4840" s="51">
        <v>0.4312086162055675</v>
      </c>
      <c r="G4840" s="51" t="str">
        <v>稲葉 2022/10/29 (土)
休日午後</v>
      </c>
    </row>
    <row r="4841" spans="1:7" ht="16.149999999999999" x14ac:dyDescent="0.7">
      <c r="A4841" s="49">
        <v>44817.785638020832</v>
      </c>
      <c r="B4841" s="50" t="s">
        <v>127</v>
      </c>
      <c r="C4841" s="50" t="s">
        <v>525</v>
      </c>
      <c r="D4841" s="50" t="s">
        <v>263</v>
      </c>
      <c r="E4841" s="50">
        <v>0</v>
      </c>
      <c r="F4841" s="51">
        <v>0.29130623637815112</v>
      </c>
      <c r="G4841" s="51" t="str">
        <v>稲葉 2022/10/30 (日)
休日午前</v>
      </c>
    </row>
    <row r="4842" spans="1:7" ht="16.149999999999999" x14ac:dyDescent="0.7">
      <c r="A4842" s="49">
        <v>44817.785638020832</v>
      </c>
      <c r="B4842" s="50" t="s">
        <v>127</v>
      </c>
      <c r="C4842" s="50" t="s">
        <v>526</v>
      </c>
      <c r="D4842" s="50" t="s">
        <v>261</v>
      </c>
      <c r="E4842" s="50">
        <v>0</v>
      </c>
      <c r="F4842" s="51">
        <v>0.7558075066411909</v>
      </c>
      <c r="G4842" s="51" t="str">
        <v>稲葉 2022/10/30 (日)
休日午後</v>
      </c>
    </row>
    <row r="4843" spans="1:7" ht="16.149999999999999" x14ac:dyDescent="0.7">
      <c r="A4843" s="49">
        <v>44817.785638020832</v>
      </c>
      <c r="B4843" s="50" t="s">
        <v>127</v>
      </c>
      <c r="C4843" s="50" t="s">
        <v>527</v>
      </c>
      <c r="D4843" s="50" t="s">
        <v>259</v>
      </c>
      <c r="E4843" s="50">
        <v>0</v>
      </c>
      <c r="F4843" s="51">
        <v>0.684049981155467</v>
      </c>
      <c r="G4843" s="51" t="str">
        <v>稲葉 2022/10/31 (月)
平日夜間</v>
      </c>
    </row>
    <row r="4844" spans="1:7" ht="16.149999999999999" x14ac:dyDescent="0.7">
      <c r="A4844" s="49">
        <v>44817.921001608796</v>
      </c>
      <c r="B4844" s="50" t="s">
        <v>8</v>
      </c>
      <c r="C4844" s="50" t="s">
        <v>486</v>
      </c>
      <c r="D4844" s="50" t="s">
        <v>263</v>
      </c>
      <c r="E4844" s="50">
        <v>2</v>
      </c>
      <c r="F4844" s="51">
        <v>2.6300725869180344</v>
      </c>
      <c r="G4844" s="51" t="str">
        <v>宗 2022/10/01 (土)
休日午前</v>
      </c>
    </row>
    <row r="4845" spans="1:7" ht="16.149999999999999" x14ac:dyDescent="0.7">
      <c r="A4845" s="49">
        <v>44817.921001608796</v>
      </c>
      <c r="B4845" s="50" t="s">
        <v>8</v>
      </c>
      <c r="C4845" s="50" t="s">
        <v>487</v>
      </c>
      <c r="D4845" s="50" t="s">
        <v>261</v>
      </c>
      <c r="E4845" s="50">
        <v>-1</v>
      </c>
      <c r="F4845" s="51">
        <v>-0.89227422997790939</v>
      </c>
      <c r="G4845" s="51" t="str">
        <v>宗 2022/10/01 (土)
休日午後</v>
      </c>
    </row>
    <row r="4846" spans="1:7" ht="16.149999999999999" x14ac:dyDescent="0.7">
      <c r="A4846" s="49">
        <v>44817.921001608796</v>
      </c>
      <c r="B4846" s="50" t="s">
        <v>8</v>
      </c>
      <c r="C4846" s="50" t="s">
        <v>488</v>
      </c>
      <c r="D4846" s="50" t="s">
        <v>263</v>
      </c>
      <c r="E4846" s="50">
        <v>-1</v>
      </c>
      <c r="F4846" s="51">
        <v>-0.56186726178805491</v>
      </c>
      <c r="G4846" s="51" t="str">
        <v>宗 2022/10/02 (日)
休日午前</v>
      </c>
    </row>
    <row r="4847" spans="1:7" ht="16.149999999999999" x14ac:dyDescent="0.7">
      <c r="A4847" s="49">
        <v>44817.921001608796</v>
      </c>
      <c r="B4847" s="50" t="s">
        <v>8</v>
      </c>
      <c r="C4847" s="50" t="s">
        <v>489</v>
      </c>
      <c r="D4847" s="50" t="s">
        <v>261</v>
      </c>
      <c r="E4847" s="50">
        <v>-1</v>
      </c>
      <c r="F4847" s="51">
        <v>-0.8940443468068211</v>
      </c>
      <c r="G4847" s="51" t="str">
        <v>宗 2022/10/02 (日)
休日午後</v>
      </c>
    </row>
    <row r="4848" spans="1:7" ht="16.149999999999999" x14ac:dyDescent="0.7">
      <c r="A4848" s="49">
        <v>44817.921001608796</v>
      </c>
      <c r="B4848" s="50" t="s">
        <v>8</v>
      </c>
      <c r="C4848" s="50" t="s">
        <v>490</v>
      </c>
      <c r="D4848" s="50" t="s">
        <v>259</v>
      </c>
      <c r="E4848" s="50">
        <v>0</v>
      </c>
      <c r="F4848" s="51">
        <v>0.38636792165863887</v>
      </c>
      <c r="G4848" s="51" t="str">
        <v>宗 2022/10/03 (月)
平日夜間</v>
      </c>
    </row>
    <row r="4849" spans="1:7" ht="16.149999999999999" x14ac:dyDescent="0.7">
      <c r="A4849" s="49">
        <v>44817.921001608796</v>
      </c>
      <c r="B4849" s="50" t="s">
        <v>8</v>
      </c>
      <c r="C4849" s="50" t="s">
        <v>491</v>
      </c>
      <c r="D4849" s="50" t="s">
        <v>259</v>
      </c>
      <c r="E4849" s="50">
        <v>0</v>
      </c>
      <c r="F4849" s="51">
        <v>7.3770215306103282E-2</v>
      </c>
      <c r="G4849" s="51" t="str">
        <v>宗 2022/10/04 (火)
平日夜間</v>
      </c>
    </row>
    <row r="4850" spans="1:7" ht="16.149999999999999" x14ac:dyDescent="0.7">
      <c r="A4850" s="49">
        <v>44817.921001608796</v>
      </c>
      <c r="B4850" s="50" t="s">
        <v>8</v>
      </c>
      <c r="C4850" s="50" t="s">
        <v>492</v>
      </c>
      <c r="D4850" s="50" t="s">
        <v>259</v>
      </c>
      <c r="E4850" s="50">
        <v>0</v>
      </c>
      <c r="F4850" s="51">
        <v>0.24298325844488278</v>
      </c>
      <c r="G4850" s="51" t="str">
        <v>宗 2022/10/05 (水)
平日夜間</v>
      </c>
    </row>
    <row r="4851" spans="1:7" ht="16.149999999999999" x14ac:dyDescent="0.7">
      <c r="A4851" s="49">
        <v>44817.921001608796</v>
      </c>
      <c r="B4851" s="50" t="s">
        <v>8</v>
      </c>
      <c r="C4851" s="50" t="s">
        <v>493</v>
      </c>
      <c r="D4851" s="50" t="s">
        <v>259</v>
      </c>
      <c r="E4851" s="50">
        <v>0</v>
      </c>
      <c r="F4851" s="51">
        <v>0.79836939308601917</v>
      </c>
      <c r="G4851" s="51" t="str">
        <v>宗 2022/10/06 (木)
平日夜間</v>
      </c>
    </row>
    <row r="4852" spans="1:7" ht="16.149999999999999" x14ac:dyDescent="0.7">
      <c r="A4852" s="49">
        <v>44817.921001608796</v>
      </c>
      <c r="B4852" s="50" t="s">
        <v>8</v>
      </c>
      <c r="C4852" s="50" t="s">
        <v>494</v>
      </c>
      <c r="D4852" s="50" t="s">
        <v>259</v>
      </c>
      <c r="E4852" s="50">
        <v>0</v>
      </c>
      <c r="F4852" s="51">
        <v>0.42823596296772926</v>
      </c>
      <c r="G4852" s="51" t="str">
        <v>宗 2022/10/07 (金)
平日夜間</v>
      </c>
    </row>
    <row r="4853" spans="1:7" ht="16.149999999999999" x14ac:dyDescent="0.7">
      <c r="A4853" s="49">
        <v>44817.921001608796</v>
      </c>
      <c r="B4853" s="50" t="s">
        <v>8</v>
      </c>
      <c r="C4853" s="50" t="s">
        <v>495</v>
      </c>
      <c r="D4853" s="50" t="s">
        <v>263</v>
      </c>
      <c r="E4853" s="50">
        <v>-1</v>
      </c>
      <c r="F4853" s="51">
        <v>-0.30687236008509355</v>
      </c>
      <c r="G4853" s="51" t="str">
        <v>宗 2022/10/08 (土)
休日午前</v>
      </c>
    </row>
    <row r="4854" spans="1:7" ht="16.149999999999999" x14ac:dyDescent="0.7">
      <c r="A4854" s="49">
        <v>44817.921001608796</v>
      </c>
      <c r="B4854" s="50" t="s">
        <v>8</v>
      </c>
      <c r="C4854" s="50" t="s">
        <v>496</v>
      </c>
      <c r="D4854" s="50" t="s">
        <v>261</v>
      </c>
      <c r="E4854" s="50">
        <v>-1</v>
      </c>
      <c r="F4854" s="51">
        <v>-0.49776919360314853</v>
      </c>
      <c r="G4854" s="51" t="str">
        <v>宗 2022/10/08 (土)
休日午後</v>
      </c>
    </row>
    <row r="4855" spans="1:7" ht="16.149999999999999" x14ac:dyDescent="0.7">
      <c r="A4855" s="49">
        <v>44817.921001608796</v>
      </c>
      <c r="B4855" s="50" t="s">
        <v>8</v>
      </c>
      <c r="C4855" s="50" t="s">
        <v>497</v>
      </c>
      <c r="D4855" s="50" t="s">
        <v>263</v>
      </c>
      <c r="E4855" s="50">
        <v>-1</v>
      </c>
      <c r="F4855" s="51">
        <v>-0.2076560281166755</v>
      </c>
      <c r="G4855" s="51" t="str">
        <v>宗 2022/10/09 (日)
休日午前</v>
      </c>
    </row>
    <row r="4856" spans="1:7" ht="16.149999999999999" x14ac:dyDescent="0.7">
      <c r="A4856" s="49">
        <v>44817.921001608796</v>
      </c>
      <c r="B4856" s="50" t="s">
        <v>8</v>
      </c>
      <c r="C4856" s="50" t="s">
        <v>498</v>
      </c>
      <c r="D4856" s="50" t="s">
        <v>261</v>
      </c>
      <c r="E4856" s="50">
        <v>-1</v>
      </c>
      <c r="F4856" s="51">
        <v>-0.69179105542603514</v>
      </c>
      <c r="G4856" s="51" t="str">
        <v>宗 2022/10/09 (日)
休日午後</v>
      </c>
    </row>
    <row r="4857" spans="1:7" ht="16.149999999999999" x14ac:dyDescent="0.7">
      <c r="A4857" s="49">
        <v>44817.921001608796</v>
      </c>
      <c r="B4857" s="50" t="s">
        <v>8</v>
      </c>
      <c r="C4857" s="50" t="s">
        <v>499</v>
      </c>
      <c r="D4857" s="50" t="s">
        <v>263</v>
      </c>
      <c r="E4857" s="50">
        <v>0</v>
      </c>
      <c r="F4857" s="51">
        <v>0.50360524880990432</v>
      </c>
      <c r="G4857" s="51" t="str">
        <v>宗 2022/10/10 (月)
休日午前</v>
      </c>
    </row>
    <row r="4858" spans="1:7" ht="16.149999999999999" x14ac:dyDescent="0.7">
      <c r="A4858" s="49">
        <v>44817.921001608796</v>
      </c>
      <c r="B4858" s="50" t="s">
        <v>8</v>
      </c>
      <c r="C4858" s="50" t="s">
        <v>500</v>
      </c>
      <c r="D4858" s="50" t="s">
        <v>261</v>
      </c>
      <c r="E4858" s="50">
        <v>0</v>
      </c>
      <c r="F4858" s="51">
        <v>0.37113923627488532</v>
      </c>
      <c r="G4858" s="51" t="str">
        <v>宗 2022/10/10 (月)
休日午後</v>
      </c>
    </row>
    <row r="4859" spans="1:7" ht="16.149999999999999" x14ac:dyDescent="0.7">
      <c r="A4859" s="49">
        <v>44817.921001608796</v>
      </c>
      <c r="B4859" s="50" t="s">
        <v>8</v>
      </c>
      <c r="C4859" s="50" t="s">
        <v>501</v>
      </c>
      <c r="D4859" s="50" t="s">
        <v>259</v>
      </c>
      <c r="E4859" s="50">
        <v>0</v>
      </c>
      <c r="F4859" s="51">
        <v>0.58261755611009636</v>
      </c>
      <c r="G4859" s="51" t="str">
        <v>宗 2022/10/11 (火)
平日夜間</v>
      </c>
    </row>
    <row r="4860" spans="1:7" ht="16.149999999999999" x14ac:dyDescent="0.7">
      <c r="A4860" s="49">
        <v>44817.921001608796</v>
      </c>
      <c r="B4860" s="50" t="s">
        <v>8</v>
      </c>
      <c r="C4860" s="50" t="s">
        <v>502</v>
      </c>
      <c r="D4860" s="50" t="s">
        <v>259</v>
      </c>
      <c r="E4860" s="50">
        <v>0</v>
      </c>
      <c r="F4860" s="51">
        <v>0.47481080315220847</v>
      </c>
      <c r="G4860" s="51" t="str">
        <v>宗 2022/10/12 (水)
平日夜間</v>
      </c>
    </row>
    <row r="4861" spans="1:7" ht="16.149999999999999" x14ac:dyDescent="0.7">
      <c r="A4861" s="49">
        <v>44817.921001608796</v>
      </c>
      <c r="B4861" s="50" t="s">
        <v>8</v>
      </c>
      <c r="C4861" s="50" t="s">
        <v>503</v>
      </c>
      <c r="D4861" s="50" t="s">
        <v>259</v>
      </c>
      <c r="E4861" s="50">
        <v>0</v>
      </c>
      <c r="F4861" s="51">
        <v>0.98562420205228984</v>
      </c>
      <c r="G4861" s="51" t="str">
        <v>宗 2022/10/13 (木)
平日夜間</v>
      </c>
    </row>
    <row r="4862" spans="1:7" ht="16.149999999999999" x14ac:dyDescent="0.7">
      <c r="A4862" s="49">
        <v>44817.921001608796</v>
      </c>
      <c r="B4862" s="50" t="s">
        <v>8</v>
      </c>
      <c r="C4862" s="50" t="s">
        <v>504</v>
      </c>
      <c r="D4862" s="50" t="s">
        <v>259</v>
      </c>
      <c r="E4862" s="50">
        <v>0</v>
      </c>
      <c r="F4862" s="51">
        <v>0.43399476016731064</v>
      </c>
      <c r="G4862" s="51" t="str">
        <v>宗 2022/10/14 (金)
平日夜間</v>
      </c>
    </row>
    <row r="4863" spans="1:7" ht="16.149999999999999" x14ac:dyDescent="0.7">
      <c r="A4863" s="49">
        <v>44817.921001608796</v>
      </c>
      <c r="B4863" s="50" t="s">
        <v>8</v>
      </c>
      <c r="C4863" s="50" t="s">
        <v>505</v>
      </c>
      <c r="D4863" s="50" t="s">
        <v>263</v>
      </c>
      <c r="E4863" s="50">
        <v>-1</v>
      </c>
      <c r="F4863" s="51">
        <v>-0.5752359628849768</v>
      </c>
      <c r="G4863" s="51" t="str">
        <v>宗 2022/10/15 (土)
休日午前</v>
      </c>
    </row>
    <row r="4864" spans="1:7" ht="16.149999999999999" x14ac:dyDescent="0.7">
      <c r="A4864" s="49">
        <v>44817.921001608796</v>
      </c>
      <c r="B4864" s="50" t="s">
        <v>8</v>
      </c>
      <c r="C4864" s="50" t="s">
        <v>506</v>
      </c>
      <c r="D4864" s="50" t="s">
        <v>261</v>
      </c>
      <c r="E4864" s="50">
        <v>-1</v>
      </c>
      <c r="F4864" s="51">
        <v>-0.94487118081451649</v>
      </c>
      <c r="G4864" s="51" t="str">
        <v>宗 2022/10/15 (土)
休日午後</v>
      </c>
    </row>
    <row r="4865" spans="1:7" ht="16.149999999999999" x14ac:dyDescent="0.7">
      <c r="A4865" s="49">
        <v>44817.921001608796</v>
      </c>
      <c r="B4865" s="50" t="s">
        <v>8</v>
      </c>
      <c r="C4865" s="50" t="s">
        <v>507</v>
      </c>
      <c r="D4865" s="50" t="s">
        <v>263</v>
      </c>
      <c r="E4865" s="50">
        <v>-1</v>
      </c>
      <c r="F4865" s="51">
        <v>-0.85233291637989184</v>
      </c>
      <c r="G4865" s="51" t="str">
        <v>宗 2022/10/16 (日)
休日午前</v>
      </c>
    </row>
    <row r="4866" spans="1:7" ht="16.149999999999999" x14ac:dyDescent="0.7">
      <c r="A4866" s="49">
        <v>44817.921001608796</v>
      </c>
      <c r="B4866" s="50" t="s">
        <v>8</v>
      </c>
      <c r="C4866" s="50" t="s">
        <v>508</v>
      </c>
      <c r="D4866" s="50" t="s">
        <v>261</v>
      </c>
      <c r="E4866" s="50">
        <v>-1</v>
      </c>
      <c r="F4866" s="51">
        <v>-0.16622328821705046</v>
      </c>
      <c r="G4866" s="51" t="str">
        <v>宗 2022/10/16 (日)
休日午後</v>
      </c>
    </row>
    <row r="4867" spans="1:7" ht="16.149999999999999" x14ac:dyDescent="0.7">
      <c r="A4867" s="49">
        <v>44817.921001608796</v>
      </c>
      <c r="B4867" s="50" t="s">
        <v>8</v>
      </c>
      <c r="C4867" s="50" t="s">
        <v>509</v>
      </c>
      <c r="D4867" s="50" t="s">
        <v>259</v>
      </c>
      <c r="E4867" s="50">
        <v>0</v>
      </c>
      <c r="F4867" s="51">
        <v>0.22743997467859267</v>
      </c>
      <c r="G4867" s="51" t="str">
        <v>宗 2022/10/17 (月)
平日夜間</v>
      </c>
    </row>
    <row r="4868" spans="1:7" ht="16.149999999999999" x14ac:dyDescent="0.7">
      <c r="A4868" s="49">
        <v>44817.921001608796</v>
      </c>
      <c r="B4868" s="50" t="s">
        <v>8</v>
      </c>
      <c r="C4868" s="50" t="s">
        <v>510</v>
      </c>
      <c r="D4868" s="50" t="s">
        <v>259</v>
      </c>
      <c r="E4868" s="50">
        <v>0</v>
      </c>
      <c r="F4868" s="51">
        <v>0.45652134510783737</v>
      </c>
      <c r="G4868" s="51" t="str">
        <v>宗 2022/10/18 (火)
平日夜間</v>
      </c>
    </row>
    <row r="4869" spans="1:7" ht="16.149999999999999" x14ac:dyDescent="0.7">
      <c r="A4869" s="49">
        <v>44817.921001608796</v>
      </c>
      <c r="B4869" s="50" t="s">
        <v>8</v>
      </c>
      <c r="C4869" s="50" t="s">
        <v>511</v>
      </c>
      <c r="D4869" s="50" t="s">
        <v>259</v>
      </c>
      <c r="E4869" s="50">
        <v>0</v>
      </c>
      <c r="F4869" s="51">
        <v>0.33905852966513783</v>
      </c>
      <c r="G4869" s="51" t="str">
        <v>宗 2022/10/19 (水)
平日夜間</v>
      </c>
    </row>
    <row r="4870" spans="1:7" ht="16.149999999999999" x14ac:dyDescent="0.7">
      <c r="A4870" s="49">
        <v>44817.921001608796</v>
      </c>
      <c r="B4870" s="50" t="s">
        <v>8</v>
      </c>
      <c r="C4870" s="50" t="s">
        <v>512</v>
      </c>
      <c r="D4870" s="50" t="s">
        <v>259</v>
      </c>
      <c r="E4870" s="50">
        <v>0</v>
      </c>
      <c r="F4870" s="51">
        <v>0.44393352592247992</v>
      </c>
      <c r="G4870" s="51" t="str">
        <v>宗 2022/10/20 (木)
平日夜間</v>
      </c>
    </row>
    <row r="4871" spans="1:7" ht="16.149999999999999" x14ac:dyDescent="0.7">
      <c r="A4871" s="49">
        <v>44817.921001608796</v>
      </c>
      <c r="B4871" s="50" t="s">
        <v>8</v>
      </c>
      <c r="C4871" s="50" t="s">
        <v>513</v>
      </c>
      <c r="D4871" s="50" t="s">
        <v>259</v>
      </c>
      <c r="E4871" s="50">
        <v>0</v>
      </c>
      <c r="F4871" s="51">
        <v>0.9199002739472677</v>
      </c>
      <c r="G4871" s="51" t="str">
        <v>宗 2022/10/21 (金)
平日夜間</v>
      </c>
    </row>
    <row r="4872" spans="1:7" ht="16.149999999999999" x14ac:dyDescent="0.7">
      <c r="A4872" s="49">
        <v>44817.921001608796</v>
      </c>
      <c r="B4872" s="50" t="s">
        <v>8</v>
      </c>
      <c r="C4872" s="50" t="s">
        <v>514</v>
      </c>
      <c r="D4872" s="50" t="s">
        <v>263</v>
      </c>
      <c r="E4872" s="50">
        <v>-1</v>
      </c>
      <c r="F4872" s="51">
        <v>-5.4825077462892224E-3</v>
      </c>
      <c r="G4872" s="51" t="str">
        <v>宗 2022/10/22 (土)
休日午前</v>
      </c>
    </row>
    <row r="4873" spans="1:7" ht="16.149999999999999" x14ac:dyDescent="0.7">
      <c r="A4873" s="49">
        <v>44817.921001608796</v>
      </c>
      <c r="B4873" s="50" t="s">
        <v>8</v>
      </c>
      <c r="C4873" s="50" t="s">
        <v>515</v>
      </c>
      <c r="D4873" s="50" t="s">
        <v>261</v>
      </c>
      <c r="E4873" s="50">
        <v>-1</v>
      </c>
      <c r="F4873" s="51">
        <v>-0.53215058048437425</v>
      </c>
      <c r="G4873" s="51" t="str">
        <v>宗 2022/10/22 (土)
休日午後</v>
      </c>
    </row>
    <row r="4874" spans="1:7" ht="16.149999999999999" x14ac:dyDescent="0.7">
      <c r="A4874" s="49">
        <v>44817.921001608796</v>
      </c>
      <c r="B4874" s="50" t="s">
        <v>8</v>
      </c>
      <c r="C4874" s="50" t="s">
        <v>516</v>
      </c>
      <c r="D4874" s="50" t="s">
        <v>263</v>
      </c>
      <c r="E4874" s="50">
        <v>-1</v>
      </c>
      <c r="F4874" s="51">
        <v>-0.62369717236756084</v>
      </c>
      <c r="G4874" s="51" t="str">
        <v>宗 2022/10/23 (日)
休日午前</v>
      </c>
    </row>
    <row r="4875" spans="1:7" ht="16.149999999999999" x14ac:dyDescent="0.7">
      <c r="A4875" s="49">
        <v>44817.921001608796</v>
      </c>
      <c r="B4875" s="50" t="s">
        <v>8</v>
      </c>
      <c r="C4875" s="50" t="s">
        <v>517</v>
      </c>
      <c r="D4875" s="50" t="s">
        <v>261</v>
      </c>
      <c r="E4875" s="50">
        <v>-1</v>
      </c>
      <c r="F4875" s="51">
        <v>-0.36716512331458051</v>
      </c>
      <c r="G4875" s="51" t="str">
        <v>宗 2022/10/23 (日)
休日午後</v>
      </c>
    </row>
    <row r="4876" spans="1:7" ht="16.149999999999999" x14ac:dyDescent="0.7">
      <c r="A4876" s="49">
        <v>44817.921001608796</v>
      </c>
      <c r="B4876" s="50" t="s">
        <v>8</v>
      </c>
      <c r="C4876" s="50" t="s">
        <v>518</v>
      </c>
      <c r="D4876" s="50" t="s">
        <v>259</v>
      </c>
      <c r="E4876" s="50">
        <v>0</v>
      </c>
      <c r="F4876" s="51">
        <v>0.4705618294588787</v>
      </c>
      <c r="G4876" s="51" t="str">
        <v>宗 2022/10/24 (月)
平日夜間</v>
      </c>
    </row>
    <row r="4877" spans="1:7" ht="16.149999999999999" x14ac:dyDescent="0.7">
      <c r="A4877" s="49">
        <v>44817.921001608796</v>
      </c>
      <c r="B4877" s="50" t="s">
        <v>8</v>
      </c>
      <c r="C4877" s="50" t="s">
        <v>519</v>
      </c>
      <c r="D4877" s="50" t="s">
        <v>259</v>
      </c>
      <c r="E4877" s="50">
        <v>0</v>
      </c>
      <c r="F4877" s="51">
        <v>0.45349999444298117</v>
      </c>
      <c r="G4877" s="51" t="str">
        <v>宗 2022/10/25 (火)
平日夜間</v>
      </c>
    </row>
    <row r="4878" spans="1:7" ht="16.149999999999999" x14ac:dyDescent="0.7">
      <c r="A4878" s="49">
        <v>44817.921001608796</v>
      </c>
      <c r="B4878" s="50" t="s">
        <v>8</v>
      </c>
      <c r="C4878" s="50" t="s">
        <v>520</v>
      </c>
      <c r="D4878" s="50" t="s">
        <v>259</v>
      </c>
      <c r="E4878" s="50">
        <v>0</v>
      </c>
      <c r="F4878" s="51">
        <v>0.23828914083182706</v>
      </c>
      <c r="G4878" s="51" t="str">
        <v>宗 2022/10/26 (水)
平日夜間</v>
      </c>
    </row>
    <row r="4879" spans="1:7" ht="16.149999999999999" x14ac:dyDescent="0.7">
      <c r="A4879" s="49">
        <v>44817.921001608796</v>
      </c>
      <c r="B4879" s="50" t="s">
        <v>8</v>
      </c>
      <c r="C4879" s="50" t="s">
        <v>521</v>
      </c>
      <c r="D4879" s="50" t="s">
        <v>259</v>
      </c>
      <c r="E4879" s="50">
        <v>0</v>
      </c>
      <c r="F4879" s="51">
        <v>0.47584655172459978</v>
      </c>
      <c r="G4879" s="51" t="str">
        <v>宗 2022/10/27 (木)
平日夜間</v>
      </c>
    </row>
    <row r="4880" spans="1:7" ht="16.149999999999999" x14ac:dyDescent="0.7">
      <c r="A4880" s="49">
        <v>44817.921001608796</v>
      </c>
      <c r="B4880" s="50" t="s">
        <v>8</v>
      </c>
      <c r="C4880" s="50" t="s">
        <v>522</v>
      </c>
      <c r="D4880" s="50" t="s">
        <v>259</v>
      </c>
      <c r="E4880" s="50">
        <v>0</v>
      </c>
      <c r="F4880" s="51">
        <v>0.35245551118569751</v>
      </c>
      <c r="G4880" s="51" t="str">
        <v>宗 2022/10/28 (金)
平日夜間</v>
      </c>
    </row>
    <row r="4881" spans="1:7" ht="16.149999999999999" x14ac:dyDescent="0.7">
      <c r="A4881" s="49">
        <v>44817.921001608796</v>
      </c>
      <c r="B4881" s="50" t="s">
        <v>8</v>
      </c>
      <c r="C4881" s="50" t="s">
        <v>523</v>
      </c>
      <c r="D4881" s="50" t="s">
        <v>263</v>
      </c>
      <c r="E4881" s="50">
        <v>-1</v>
      </c>
      <c r="F4881" s="51">
        <v>-0.29433922874582263</v>
      </c>
      <c r="G4881" s="51" t="str">
        <v>宗 2022/10/29 (土)
休日午前</v>
      </c>
    </row>
    <row r="4882" spans="1:7" ht="16.149999999999999" x14ac:dyDescent="0.7">
      <c r="A4882" s="49">
        <v>44817.921001608796</v>
      </c>
      <c r="B4882" s="50" t="s">
        <v>8</v>
      </c>
      <c r="C4882" s="50" t="s">
        <v>524</v>
      </c>
      <c r="D4882" s="50" t="s">
        <v>261</v>
      </c>
      <c r="E4882" s="50">
        <v>-1</v>
      </c>
      <c r="F4882" s="51">
        <v>-0.71162609415841005</v>
      </c>
      <c r="G4882" s="51" t="str">
        <v>宗 2022/10/29 (土)
休日午後</v>
      </c>
    </row>
    <row r="4883" spans="1:7" ht="16.149999999999999" x14ac:dyDescent="0.7">
      <c r="A4883" s="49">
        <v>44817.921001608796</v>
      </c>
      <c r="B4883" s="50" t="s">
        <v>8</v>
      </c>
      <c r="C4883" s="50" t="s">
        <v>525</v>
      </c>
      <c r="D4883" s="50" t="s">
        <v>263</v>
      </c>
      <c r="E4883" s="50">
        <v>-1</v>
      </c>
      <c r="F4883" s="51">
        <v>-0.26333936961370141</v>
      </c>
      <c r="G4883" s="51" t="str">
        <v>宗 2022/10/30 (日)
休日午前</v>
      </c>
    </row>
    <row r="4884" spans="1:7" ht="16.149999999999999" x14ac:dyDescent="0.7">
      <c r="A4884" s="49">
        <v>44817.921001608796</v>
      </c>
      <c r="B4884" s="50" t="s">
        <v>8</v>
      </c>
      <c r="C4884" s="50" t="s">
        <v>526</v>
      </c>
      <c r="D4884" s="50" t="s">
        <v>261</v>
      </c>
      <c r="E4884" s="50">
        <v>-1</v>
      </c>
      <c r="F4884" s="51">
        <v>-0.50527172727393355</v>
      </c>
      <c r="G4884" s="51" t="str">
        <v>宗 2022/10/30 (日)
休日午後</v>
      </c>
    </row>
    <row r="4885" spans="1:7" ht="16.149999999999999" x14ac:dyDescent="0.7">
      <c r="A4885" s="49">
        <v>44817.921001608796</v>
      </c>
      <c r="B4885" s="50" t="s">
        <v>8</v>
      </c>
      <c r="C4885" s="50" t="s">
        <v>527</v>
      </c>
      <c r="D4885" s="50" t="s">
        <v>259</v>
      </c>
      <c r="E4885" s="50">
        <v>0</v>
      </c>
      <c r="F4885" s="51">
        <v>0.95011451143657366</v>
      </c>
      <c r="G4885" s="51" t="str">
        <v>宗 2022/10/31 (月)
平日夜間</v>
      </c>
    </row>
    <row r="4886" spans="1:7" ht="16.149999999999999" x14ac:dyDescent="0.7">
      <c r="A4886" s="49">
        <v>44819.465841354162</v>
      </c>
      <c r="B4886" s="50" t="s">
        <v>38</v>
      </c>
      <c r="C4886" s="50" t="s">
        <v>486</v>
      </c>
      <c r="D4886" s="50" t="s">
        <v>263</v>
      </c>
      <c r="E4886" s="50">
        <v>0</v>
      </c>
      <c r="F4886" s="51">
        <v>0.20527597990555457</v>
      </c>
      <c r="G4886" s="51" t="str">
        <v>森岳 2022/10/01 (土)
休日午前</v>
      </c>
    </row>
    <row r="4887" spans="1:7" ht="16.149999999999999" x14ac:dyDescent="0.7">
      <c r="A4887" s="49">
        <v>44819.465841354162</v>
      </c>
      <c r="B4887" s="50" t="s">
        <v>38</v>
      </c>
      <c r="C4887" s="50" t="s">
        <v>487</v>
      </c>
      <c r="D4887" s="50" t="s">
        <v>261</v>
      </c>
      <c r="E4887" s="50">
        <v>0</v>
      </c>
      <c r="F4887" s="51">
        <v>0.60876773398977813</v>
      </c>
      <c r="G4887" s="51" t="str">
        <v>森岳 2022/10/01 (土)
休日午後</v>
      </c>
    </row>
    <row r="4888" spans="1:7" ht="16.149999999999999" x14ac:dyDescent="0.7">
      <c r="A4888" s="49">
        <v>44819.465841354162</v>
      </c>
      <c r="B4888" s="50" t="s">
        <v>38</v>
      </c>
      <c r="C4888" s="50" t="s">
        <v>488</v>
      </c>
      <c r="D4888" s="50" t="s">
        <v>263</v>
      </c>
      <c r="E4888" s="50">
        <v>-1</v>
      </c>
      <c r="F4888" s="51">
        <v>-0.78866260065360883</v>
      </c>
      <c r="G4888" s="51" t="str">
        <v>森岳 2022/10/02 (日)
休日午前</v>
      </c>
    </row>
    <row r="4889" spans="1:7" ht="16.149999999999999" x14ac:dyDescent="0.7">
      <c r="A4889" s="49">
        <v>44819.465841354162</v>
      </c>
      <c r="B4889" s="50" t="s">
        <v>38</v>
      </c>
      <c r="C4889" s="50" t="s">
        <v>489</v>
      </c>
      <c r="D4889" s="50" t="s">
        <v>261</v>
      </c>
      <c r="E4889" s="50">
        <v>-1</v>
      </c>
      <c r="F4889" s="51">
        <v>-0.67301583361509731</v>
      </c>
      <c r="G4889" s="51" t="str">
        <v>森岳 2022/10/02 (日)
休日午後</v>
      </c>
    </row>
    <row r="4890" spans="1:7" ht="16.149999999999999" x14ac:dyDescent="0.7">
      <c r="A4890" s="49">
        <v>44819.465841354162</v>
      </c>
      <c r="B4890" s="50" t="s">
        <v>38</v>
      </c>
      <c r="C4890" s="50" t="s">
        <v>490</v>
      </c>
      <c r="D4890" s="50" t="s">
        <v>259</v>
      </c>
      <c r="E4890" s="50">
        <v>0</v>
      </c>
      <c r="F4890" s="51">
        <v>0.53382240842559137</v>
      </c>
      <c r="G4890" s="51" t="str">
        <v>森岳 2022/10/03 (月)
平日夜間</v>
      </c>
    </row>
    <row r="4891" spans="1:7" ht="16.149999999999999" x14ac:dyDescent="0.7">
      <c r="A4891" s="49">
        <v>44819.465841354162</v>
      </c>
      <c r="B4891" s="50" t="s">
        <v>38</v>
      </c>
      <c r="C4891" s="50" t="s">
        <v>491</v>
      </c>
      <c r="D4891" s="50" t="s">
        <v>259</v>
      </c>
      <c r="E4891" s="50">
        <v>0</v>
      </c>
      <c r="F4891" s="51">
        <v>0.11770162230176595</v>
      </c>
      <c r="G4891" s="51" t="str">
        <v>森岳 2022/10/04 (火)
平日夜間</v>
      </c>
    </row>
    <row r="4892" spans="1:7" ht="16.149999999999999" x14ac:dyDescent="0.7">
      <c r="A4892" s="49">
        <v>44819.465841354162</v>
      </c>
      <c r="B4892" s="50" t="s">
        <v>38</v>
      </c>
      <c r="C4892" s="50" t="s">
        <v>492</v>
      </c>
      <c r="D4892" s="50" t="s">
        <v>259</v>
      </c>
      <c r="E4892" s="50">
        <v>-1</v>
      </c>
      <c r="F4892" s="51">
        <v>-0.47976647892317326</v>
      </c>
      <c r="G4892" s="51" t="str">
        <v>森岳 2022/10/05 (水)
平日夜間</v>
      </c>
    </row>
    <row r="4893" spans="1:7" ht="16.149999999999999" x14ac:dyDescent="0.7">
      <c r="A4893" s="49">
        <v>44819.465841354162</v>
      </c>
      <c r="B4893" s="50" t="s">
        <v>38</v>
      </c>
      <c r="C4893" s="50" t="s">
        <v>493</v>
      </c>
      <c r="D4893" s="50" t="s">
        <v>259</v>
      </c>
      <c r="E4893" s="50">
        <v>0</v>
      </c>
      <c r="F4893" s="51">
        <v>8.7999528988526254E-2</v>
      </c>
      <c r="G4893" s="51" t="str">
        <v>森岳 2022/10/06 (木)
平日夜間</v>
      </c>
    </row>
    <row r="4894" spans="1:7" ht="16.149999999999999" x14ac:dyDescent="0.7">
      <c r="A4894" s="49">
        <v>44819.465841354162</v>
      </c>
      <c r="B4894" s="50" t="s">
        <v>38</v>
      </c>
      <c r="C4894" s="50" t="s">
        <v>494</v>
      </c>
      <c r="D4894" s="50" t="s">
        <v>259</v>
      </c>
      <c r="E4894" s="50">
        <v>0</v>
      </c>
      <c r="F4894" s="51">
        <v>0.43719506090098337</v>
      </c>
      <c r="G4894" s="51" t="str">
        <v>森岳 2022/10/07 (金)
平日夜間</v>
      </c>
    </row>
    <row r="4895" spans="1:7" ht="16.149999999999999" x14ac:dyDescent="0.7">
      <c r="A4895" s="49">
        <v>44819.465841354162</v>
      </c>
      <c r="B4895" s="50" t="s">
        <v>38</v>
      </c>
      <c r="C4895" s="50" t="s">
        <v>495</v>
      </c>
      <c r="D4895" s="50" t="s">
        <v>263</v>
      </c>
      <c r="E4895" s="50">
        <v>-1</v>
      </c>
      <c r="F4895" s="51">
        <v>-0.12712900055449694</v>
      </c>
      <c r="G4895" s="51" t="str">
        <v>森岳 2022/10/08 (土)
休日午前</v>
      </c>
    </row>
    <row r="4896" spans="1:7" ht="16.149999999999999" x14ac:dyDescent="0.7">
      <c r="A4896" s="49">
        <v>44819.465841354162</v>
      </c>
      <c r="B4896" s="50" t="s">
        <v>38</v>
      </c>
      <c r="C4896" s="50" t="s">
        <v>496</v>
      </c>
      <c r="D4896" s="50" t="s">
        <v>261</v>
      </c>
      <c r="E4896" s="50">
        <v>-1</v>
      </c>
      <c r="F4896" s="51">
        <v>-0.34809755232124306</v>
      </c>
      <c r="G4896" s="51" t="str">
        <v>森岳 2022/10/08 (土)
休日午後</v>
      </c>
    </row>
    <row r="4897" spans="1:7" ht="16.149999999999999" x14ac:dyDescent="0.7">
      <c r="A4897" s="49">
        <v>44819.465841354162</v>
      </c>
      <c r="B4897" s="50" t="s">
        <v>38</v>
      </c>
      <c r="C4897" s="50" t="s">
        <v>497</v>
      </c>
      <c r="D4897" s="50" t="s">
        <v>263</v>
      </c>
      <c r="E4897" s="50">
        <v>2</v>
      </c>
      <c r="F4897" s="51">
        <v>2.3127327159019289</v>
      </c>
      <c r="G4897" s="51" t="str">
        <v>森岳 2022/10/09 (日)
休日午前</v>
      </c>
    </row>
    <row r="4898" spans="1:7" ht="16.149999999999999" x14ac:dyDescent="0.7">
      <c r="A4898" s="49">
        <v>44819.465841354162</v>
      </c>
      <c r="B4898" s="50" t="s">
        <v>38</v>
      </c>
      <c r="C4898" s="50" t="s">
        <v>498</v>
      </c>
      <c r="D4898" s="50" t="s">
        <v>261</v>
      </c>
      <c r="E4898" s="50">
        <v>-1</v>
      </c>
      <c r="F4898" s="51">
        <v>-0.63172296776013837</v>
      </c>
      <c r="G4898" s="51" t="str">
        <v>森岳 2022/10/09 (日)
休日午後</v>
      </c>
    </row>
    <row r="4899" spans="1:7" ht="16.149999999999999" x14ac:dyDescent="0.7">
      <c r="A4899" s="49">
        <v>44819.465841354162</v>
      </c>
      <c r="B4899" s="50" t="s">
        <v>38</v>
      </c>
      <c r="C4899" s="50" t="s">
        <v>499</v>
      </c>
      <c r="D4899" s="50" t="s">
        <v>263</v>
      </c>
      <c r="E4899" s="50">
        <v>2</v>
      </c>
      <c r="F4899" s="51">
        <v>2.570169046402448</v>
      </c>
      <c r="G4899" s="51" t="str">
        <v>森岳 2022/10/10 (月)
休日午前</v>
      </c>
    </row>
    <row r="4900" spans="1:7" ht="16.149999999999999" x14ac:dyDescent="0.7">
      <c r="A4900" s="49">
        <v>44819.465841354162</v>
      </c>
      <c r="B4900" s="50" t="s">
        <v>38</v>
      </c>
      <c r="C4900" s="50" t="s">
        <v>500</v>
      </c>
      <c r="D4900" s="50" t="s">
        <v>261</v>
      </c>
      <c r="E4900" s="50">
        <v>-1</v>
      </c>
      <c r="F4900" s="51">
        <v>-0.5963459420522188</v>
      </c>
      <c r="G4900" s="51" t="str">
        <v>森岳 2022/10/10 (月)
休日午後</v>
      </c>
    </row>
    <row r="4901" spans="1:7" ht="16.149999999999999" x14ac:dyDescent="0.7">
      <c r="A4901" s="49">
        <v>44819.465841354162</v>
      </c>
      <c r="B4901" s="50" t="s">
        <v>38</v>
      </c>
      <c r="C4901" s="50" t="s">
        <v>501</v>
      </c>
      <c r="D4901" s="50" t="s">
        <v>259</v>
      </c>
      <c r="E4901" s="50">
        <v>-1</v>
      </c>
      <c r="F4901" s="51">
        <v>-0.336304620248842</v>
      </c>
      <c r="G4901" s="51" t="str">
        <v>森岳 2022/10/11 (火)
平日夜間</v>
      </c>
    </row>
    <row r="4902" spans="1:7" ht="16.149999999999999" x14ac:dyDescent="0.7">
      <c r="A4902" s="49">
        <v>44819.465841354162</v>
      </c>
      <c r="B4902" s="50" t="s">
        <v>38</v>
      </c>
      <c r="C4902" s="50" t="s">
        <v>502</v>
      </c>
      <c r="D4902" s="50" t="s">
        <v>259</v>
      </c>
      <c r="E4902" s="50">
        <v>-1</v>
      </c>
      <c r="F4902" s="51">
        <v>-0.35420448525006321</v>
      </c>
      <c r="G4902" s="51" t="str">
        <v>森岳 2022/10/12 (水)
平日夜間</v>
      </c>
    </row>
    <row r="4903" spans="1:7" ht="16.149999999999999" x14ac:dyDescent="0.7">
      <c r="A4903" s="49">
        <v>44819.465841354162</v>
      </c>
      <c r="B4903" s="50" t="s">
        <v>38</v>
      </c>
      <c r="C4903" s="50" t="s">
        <v>503</v>
      </c>
      <c r="D4903" s="50" t="s">
        <v>259</v>
      </c>
      <c r="E4903" s="50">
        <v>0</v>
      </c>
      <c r="F4903" s="51">
        <v>7.8516852424415307E-2</v>
      </c>
      <c r="G4903" s="51" t="str">
        <v>森岳 2022/10/13 (木)
平日夜間</v>
      </c>
    </row>
    <row r="4904" spans="1:7" ht="16.149999999999999" x14ac:dyDescent="0.7">
      <c r="A4904" s="49">
        <v>44819.465841354162</v>
      </c>
      <c r="B4904" s="50" t="s">
        <v>38</v>
      </c>
      <c r="C4904" s="50" t="s">
        <v>504</v>
      </c>
      <c r="D4904" s="50" t="s">
        <v>259</v>
      </c>
      <c r="E4904" s="50">
        <v>0</v>
      </c>
      <c r="F4904" s="51">
        <v>0.50123360059652189</v>
      </c>
      <c r="G4904" s="51" t="str">
        <v>森岳 2022/10/14 (金)
平日夜間</v>
      </c>
    </row>
    <row r="4905" spans="1:7" ht="16.149999999999999" x14ac:dyDescent="0.7">
      <c r="A4905" s="49">
        <v>44819.465841354162</v>
      </c>
      <c r="B4905" s="50" t="s">
        <v>38</v>
      </c>
      <c r="C4905" s="50" t="s">
        <v>505</v>
      </c>
      <c r="D4905" s="50" t="s">
        <v>263</v>
      </c>
      <c r="E4905" s="50">
        <v>-1</v>
      </c>
      <c r="F4905" s="51">
        <v>-0.23852129712491199</v>
      </c>
      <c r="G4905" s="51" t="str">
        <v>森岳 2022/10/15 (土)
休日午前</v>
      </c>
    </row>
    <row r="4906" spans="1:7" ht="16.149999999999999" x14ac:dyDescent="0.7">
      <c r="A4906" s="49">
        <v>44819.465841354162</v>
      </c>
      <c r="B4906" s="50" t="s">
        <v>38</v>
      </c>
      <c r="C4906" s="50" t="s">
        <v>506</v>
      </c>
      <c r="D4906" s="50" t="s">
        <v>261</v>
      </c>
      <c r="E4906" s="50">
        <v>0</v>
      </c>
      <c r="F4906" s="51">
        <v>0.26579773736727663</v>
      </c>
      <c r="G4906" s="51" t="str">
        <v>森岳 2022/10/15 (土)
休日午後</v>
      </c>
    </row>
    <row r="4907" spans="1:7" ht="16.149999999999999" x14ac:dyDescent="0.7">
      <c r="A4907" s="49">
        <v>44819.465841354162</v>
      </c>
      <c r="B4907" s="50" t="s">
        <v>38</v>
      </c>
      <c r="C4907" s="50" t="s">
        <v>507</v>
      </c>
      <c r="D4907" s="50" t="s">
        <v>263</v>
      </c>
      <c r="E4907" s="50">
        <v>0</v>
      </c>
      <c r="F4907" s="51">
        <v>0.49206709629526002</v>
      </c>
      <c r="G4907" s="51" t="str">
        <v>森岳 2022/10/16 (日)
休日午前</v>
      </c>
    </row>
    <row r="4908" spans="1:7" ht="16.149999999999999" x14ac:dyDescent="0.7">
      <c r="A4908" s="49">
        <v>44819.465841354162</v>
      </c>
      <c r="B4908" s="50" t="s">
        <v>38</v>
      </c>
      <c r="C4908" s="50" t="s">
        <v>508</v>
      </c>
      <c r="D4908" s="50" t="s">
        <v>261</v>
      </c>
      <c r="E4908" s="50">
        <v>0</v>
      </c>
      <c r="F4908" s="51">
        <v>0.45638183371583452</v>
      </c>
      <c r="G4908" s="51" t="str">
        <v>森岳 2022/10/16 (日)
休日午後</v>
      </c>
    </row>
    <row r="4909" spans="1:7" ht="16.149999999999999" x14ac:dyDescent="0.7">
      <c r="A4909" s="49">
        <v>44819.465841354162</v>
      </c>
      <c r="B4909" s="50" t="s">
        <v>38</v>
      </c>
      <c r="C4909" s="50" t="s">
        <v>509</v>
      </c>
      <c r="D4909" s="50" t="s">
        <v>259</v>
      </c>
      <c r="E4909" s="50">
        <v>-1</v>
      </c>
      <c r="F4909" s="51">
        <v>-0.16889073050881831</v>
      </c>
      <c r="G4909" s="51" t="str">
        <v>森岳 2022/10/17 (月)
平日夜間</v>
      </c>
    </row>
    <row r="4910" spans="1:7" ht="16.149999999999999" x14ac:dyDescent="0.7">
      <c r="A4910" s="49">
        <v>44819.465841354162</v>
      </c>
      <c r="B4910" s="50" t="s">
        <v>38</v>
      </c>
      <c r="C4910" s="50" t="s">
        <v>510</v>
      </c>
      <c r="D4910" s="50" t="s">
        <v>259</v>
      </c>
      <c r="E4910" s="50">
        <v>-1</v>
      </c>
      <c r="F4910" s="51">
        <v>-0.9740887104041156</v>
      </c>
      <c r="G4910" s="51" t="str">
        <v>森岳 2022/10/18 (火)
平日夜間</v>
      </c>
    </row>
    <row r="4911" spans="1:7" ht="16.149999999999999" x14ac:dyDescent="0.7">
      <c r="A4911" s="49">
        <v>44819.465841354162</v>
      </c>
      <c r="B4911" s="50" t="s">
        <v>38</v>
      </c>
      <c r="C4911" s="50" t="s">
        <v>511</v>
      </c>
      <c r="D4911" s="50" t="s">
        <v>259</v>
      </c>
      <c r="E4911" s="50">
        <v>-1</v>
      </c>
      <c r="F4911" s="51">
        <v>-0.75057173625940199</v>
      </c>
      <c r="G4911" s="51" t="str">
        <v>森岳 2022/10/19 (水)
平日夜間</v>
      </c>
    </row>
    <row r="4912" spans="1:7" ht="16.149999999999999" x14ac:dyDescent="0.7">
      <c r="A4912" s="49">
        <v>44819.465841354162</v>
      </c>
      <c r="B4912" s="50" t="s">
        <v>38</v>
      </c>
      <c r="C4912" s="50" t="s">
        <v>512</v>
      </c>
      <c r="D4912" s="50" t="s">
        <v>259</v>
      </c>
      <c r="E4912" s="50">
        <v>0</v>
      </c>
      <c r="F4912" s="51">
        <v>0.7675068364548554</v>
      </c>
      <c r="G4912" s="51" t="str">
        <v>森岳 2022/10/20 (木)
平日夜間</v>
      </c>
    </row>
    <row r="4913" spans="1:7" ht="16.149999999999999" x14ac:dyDescent="0.7">
      <c r="A4913" s="49">
        <v>44819.465841354162</v>
      </c>
      <c r="B4913" s="50" t="s">
        <v>38</v>
      </c>
      <c r="C4913" s="50" t="s">
        <v>513</v>
      </c>
      <c r="D4913" s="50" t="s">
        <v>259</v>
      </c>
      <c r="E4913" s="50">
        <v>0</v>
      </c>
      <c r="F4913" s="51">
        <v>0.82296409134221138</v>
      </c>
      <c r="G4913" s="51" t="str">
        <v>森岳 2022/10/21 (金)
平日夜間</v>
      </c>
    </row>
    <row r="4914" spans="1:7" ht="16.149999999999999" x14ac:dyDescent="0.7">
      <c r="A4914" s="49">
        <v>44819.465841354162</v>
      </c>
      <c r="B4914" s="50" t="s">
        <v>38</v>
      </c>
      <c r="C4914" s="50" t="s">
        <v>514</v>
      </c>
      <c r="D4914" s="50" t="s">
        <v>263</v>
      </c>
      <c r="E4914" s="50">
        <v>-1</v>
      </c>
      <c r="F4914" s="51">
        <v>-0.18013932965370238</v>
      </c>
      <c r="G4914" s="51" t="str">
        <v>森岳 2022/10/22 (土)
休日午前</v>
      </c>
    </row>
    <row r="4915" spans="1:7" ht="16.149999999999999" x14ac:dyDescent="0.7">
      <c r="A4915" s="49">
        <v>44819.465841354162</v>
      </c>
      <c r="B4915" s="50" t="s">
        <v>38</v>
      </c>
      <c r="C4915" s="50" t="s">
        <v>515</v>
      </c>
      <c r="D4915" s="50" t="s">
        <v>261</v>
      </c>
      <c r="E4915" s="50">
        <v>-1</v>
      </c>
      <c r="F4915" s="51">
        <v>-0.42701475979892645</v>
      </c>
      <c r="G4915" s="51" t="str">
        <v>森岳 2022/10/22 (土)
休日午後</v>
      </c>
    </row>
    <row r="4916" spans="1:7" ht="16.149999999999999" x14ac:dyDescent="0.7">
      <c r="A4916" s="49">
        <v>44819.465841354162</v>
      </c>
      <c r="B4916" s="50" t="s">
        <v>38</v>
      </c>
      <c r="C4916" s="50" t="s">
        <v>516</v>
      </c>
      <c r="D4916" s="50" t="s">
        <v>263</v>
      </c>
      <c r="E4916" s="50">
        <v>-1</v>
      </c>
      <c r="F4916" s="51">
        <v>-0.27060377879230058</v>
      </c>
      <c r="G4916" s="51" t="str">
        <v>森岳 2022/10/23 (日)
休日午前</v>
      </c>
    </row>
    <row r="4917" spans="1:7" ht="16.149999999999999" x14ac:dyDescent="0.7">
      <c r="A4917" s="49">
        <v>44819.465841354162</v>
      </c>
      <c r="B4917" s="50" t="s">
        <v>38</v>
      </c>
      <c r="C4917" s="50" t="s">
        <v>517</v>
      </c>
      <c r="D4917" s="50" t="s">
        <v>261</v>
      </c>
      <c r="E4917" s="50">
        <v>-1</v>
      </c>
      <c r="F4917" s="51">
        <v>-0.57132622335648997</v>
      </c>
      <c r="G4917" s="51" t="str">
        <v>森岳 2022/10/23 (日)
休日午後</v>
      </c>
    </row>
    <row r="4918" spans="1:7" ht="16.149999999999999" x14ac:dyDescent="0.7">
      <c r="A4918" s="49">
        <v>44819.465841354162</v>
      </c>
      <c r="B4918" s="50" t="s">
        <v>38</v>
      </c>
      <c r="C4918" s="50" t="s">
        <v>518</v>
      </c>
      <c r="D4918" s="50" t="s">
        <v>259</v>
      </c>
      <c r="E4918" s="50">
        <v>-1</v>
      </c>
      <c r="F4918" s="51">
        <v>-0.24664293609330357</v>
      </c>
      <c r="G4918" s="51" t="str">
        <v>森岳 2022/10/24 (月)
平日夜間</v>
      </c>
    </row>
    <row r="4919" spans="1:7" ht="16.149999999999999" x14ac:dyDescent="0.7">
      <c r="A4919" s="49">
        <v>44819.465841354162</v>
      </c>
      <c r="B4919" s="50" t="s">
        <v>38</v>
      </c>
      <c r="C4919" s="50" t="s">
        <v>519</v>
      </c>
      <c r="D4919" s="50" t="s">
        <v>259</v>
      </c>
      <c r="E4919" s="50">
        <v>-1</v>
      </c>
      <c r="F4919" s="51">
        <v>-0.73587644892474224</v>
      </c>
      <c r="G4919" s="51" t="str">
        <v>森岳 2022/10/25 (火)
平日夜間</v>
      </c>
    </row>
    <row r="4920" spans="1:7" ht="16.149999999999999" x14ac:dyDescent="0.7">
      <c r="A4920" s="49">
        <v>44819.465841354162</v>
      </c>
      <c r="B4920" s="50" t="s">
        <v>38</v>
      </c>
      <c r="C4920" s="50" t="s">
        <v>520</v>
      </c>
      <c r="D4920" s="50" t="s">
        <v>259</v>
      </c>
      <c r="E4920" s="50">
        <v>-1</v>
      </c>
      <c r="F4920" s="51">
        <v>-7.7302404002334457E-2</v>
      </c>
      <c r="G4920" s="51" t="str">
        <v>森岳 2022/10/26 (水)
平日夜間</v>
      </c>
    </row>
    <row r="4921" spans="1:7" ht="16.149999999999999" x14ac:dyDescent="0.7">
      <c r="A4921" s="49">
        <v>44819.465841354162</v>
      </c>
      <c r="B4921" s="50" t="s">
        <v>38</v>
      </c>
      <c r="C4921" s="50" t="s">
        <v>521</v>
      </c>
      <c r="D4921" s="50" t="s">
        <v>259</v>
      </c>
      <c r="E4921" s="50">
        <v>-1</v>
      </c>
      <c r="F4921" s="51">
        <v>-0.59699919423444592</v>
      </c>
      <c r="G4921" s="51" t="str">
        <v>森岳 2022/10/27 (木)
平日夜間</v>
      </c>
    </row>
    <row r="4922" spans="1:7" ht="16.149999999999999" x14ac:dyDescent="0.7">
      <c r="A4922" s="49">
        <v>44819.465841354162</v>
      </c>
      <c r="B4922" s="50" t="s">
        <v>38</v>
      </c>
      <c r="C4922" s="50" t="s">
        <v>522</v>
      </c>
      <c r="D4922" s="50" t="s">
        <v>259</v>
      </c>
      <c r="E4922" s="50">
        <v>-1</v>
      </c>
      <c r="F4922" s="51">
        <v>-0.24672802733985377</v>
      </c>
      <c r="G4922" s="51" t="str">
        <v>森岳 2022/10/28 (金)
平日夜間</v>
      </c>
    </row>
    <row r="4923" spans="1:7" ht="16.149999999999999" x14ac:dyDescent="0.7">
      <c r="A4923" s="49">
        <v>44819.465841354162</v>
      </c>
      <c r="B4923" s="50" t="s">
        <v>38</v>
      </c>
      <c r="C4923" s="50" t="s">
        <v>523</v>
      </c>
      <c r="D4923" s="50" t="s">
        <v>263</v>
      </c>
      <c r="E4923" s="50">
        <v>-1</v>
      </c>
      <c r="F4923" s="51">
        <v>-0.29673146272333706</v>
      </c>
      <c r="G4923" s="51" t="str">
        <v>森岳 2022/10/29 (土)
休日午前</v>
      </c>
    </row>
    <row r="4924" spans="1:7" ht="16.149999999999999" x14ac:dyDescent="0.7">
      <c r="A4924" s="49">
        <v>44819.465841354162</v>
      </c>
      <c r="B4924" s="50" t="s">
        <v>38</v>
      </c>
      <c r="C4924" s="50" t="s">
        <v>524</v>
      </c>
      <c r="D4924" s="50" t="s">
        <v>261</v>
      </c>
      <c r="E4924" s="50">
        <v>-1</v>
      </c>
      <c r="F4924" s="51">
        <v>-0.48472237996242673</v>
      </c>
      <c r="G4924" s="51" t="str">
        <v>森岳 2022/10/29 (土)
休日午後</v>
      </c>
    </row>
    <row r="4925" spans="1:7" ht="16.149999999999999" x14ac:dyDescent="0.7">
      <c r="A4925" s="49">
        <v>44819.465841354162</v>
      </c>
      <c r="B4925" s="50" t="s">
        <v>38</v>
      </c>
      <c r="C4925" s="50" t="s">
        <v>525</v>
      </c>
      <c r="D4925" s="50" t="s">
        <v>263</v>
      </c>
      <c r="E4925" s="50">
        <v>-1</v>
      </c>
      <c r="F4925" s="51">
        <v>-0.65878744389558475</v>
      </c>
      <c r="G4925" s="51" t="str">
        <v>森岳 2022/10/30 (日)
休日午前</v>
      </c>
    </row>
    <row r="4926" spans="1:7" ht="16.149999999999999" x14ac:dyDescent="0.7">
      <c r="A4926" s="49">
        <v>44819.465841354162</v>
      </c>
      <c r="B4926" s="50" t="s">
        <v>38</v>
      </c>
      <c r="C4926" s="50" t="s">
        <v>526</v>
      </c>
      <c r="D4926" s="50" t="s">
        <v>261</v>
      </c>
      <c r="E4926" s="50">
        <v>-1</v>
      </c>
      <c r="F4926" s="51">
        <v>-0.38746353588096882</v>
      </c>
      <c r="G4926" s="51" t="str">
        <v>森岳 2022/10/30 (日)
休日午後</v>
      </c>
    </row>
    <row r="4927" spans="1:7" ht="16.149999999999999" x14ac:dyDescent="0.7">
      <c r="A4927" s="49">
        <v>44819.465841354162</v>
      </c>
      <c r="B4927" s="50" t="s">
        <v>38</v>
      </c>
      <c r="C4927" s="50" t="s">
        <v>527</v>
      </c>
      <c r="D4927" s="50" t="s">
        <v>259</v>
      </c>
      <c r="E4927" s="50">
        <v>-1</v>
      </c>
      <c r="F4927" s="51">
        <v>-0.81005466207238697</v>
      </c>
      <c r="G4927" s="51" t="str">
        <v>森岳 2022/10/31 (月)
平日夜間</v>
      </c>
    </row>
    <row r="4928" spans="1:7" ht="16.149999999999999" x14ac:dyDescent="0.7">
      <c r="A4928" s="49">
        <v>44819.47342336805</v>
      </c>
      <c r="B4928" s="50" t="s">
        <v>4</v>
      </c>
      <c r="C4928" s="50" t="s">
        <v>486</v>
      </c>
      <c r="D4928" s="50" t="s">
        <v>263</v>
      </c>
      <c r="E4928" s="50">
        <v>-1</v>
      </c>
      <c r="F4928" s="51">
        <v>-0.41262152735260238</v>
      </c>
      <c r="G4928" s="51" t="str">
        <v>井上 2022/10/01 (土)
休日午前</v>
      </c>
    </row>
    <row r="4929" spans="1:7" ht="16.149999999999999" x14ac:dyDescent="0.7">
      <c r="A4929" s="49">
        <v>44819.47342336805</v>
      </c>
      <c r="B4929" s="50" t="s">
        <v>4</v>
      </c>
      <c r="C4929" s="50" t="s">
        <v>487</v>
      </c>
      <c r="D4929" s="50" t="s">
        <v>261</v>
      </c>
      <c r="E4929" s="50">
        <v>-1</v>
      </c>
      <c r="F4929" s="51">
        <v>-0.94708143765171338</v>
      </c>
      <c r="G4929" s="51" t="str">
        <v>井上 2022/10/01 (土)
休日午後</v>
      </c>
    </row>
    <row r="4930" spans="1:7" ht="16.149999999999999" x14ac:dyDescent="0.7">
      <c r="A4930" s="49">
        <v>44819.47342336805</v>
      </c>
      <c r="B4930" s="50" t="s">
        <v>4</v>
      </c>
      <c r="C4930" s="50" t="s">
        <v>488</v>
      </c>
      <c r="D4930" s="50" t="s">
        <v>263</v>
      </c>
      <c r="E4930" s="50">
        <v>-1</v>
      </c>
      <c r="F4930" s="51">
        <v>-0.32185754632418107</v>
      </c>
      <c r="G4930" s="51" t="str">
        <v>井上 2022/10/02 (日)
休日午前</v>
      </c>
    </row>
    <row r="4931" spans="1:7" ht="16.149999999999999" x14ac:dyDescent="0.7">
      <c r="A4931" s="49">
        <v>44819.47342336805</v>
      </c>
      <c r="B4931" s="50" t="s">
        <v>4</v>
      </c>
      <c r="C4931" s="50" t="s">
        <v>489</v>
      </c>
      <c r="D4931" s="50" t="s">
        <v>261</v>
      </c>
      <c r="E4931" s="50">
        <v>-1</v>
      </c>
      <c r="F4931" s="51">
        <v>-0.51271154142145425</v>
      </c>
      <c r="G4931" s="51" t="str">
        <v>井上 2022/10/02 (日)
休日午後</v>
      </c>
    </row>
    <row r="4932" spans="1:7" ht="16.149999999999999" x14ac:dyDescent="0.7">
      <c r="A4932" s="49">
        <v>44819.47342336805</v>
      </c>
      <c r="B4932" s="50" t="s">
        <v>4</v>
      </c>
      <c r="C4932" s="50" t="s">
        <v>490</v>
      </c>
      <c r="D4932" s="50" t="s">
        <v>259</v>
      </c>
      <c r="E4932" s="50">
        <v>-1</v>
      </c>
      <c r="F4932" s="51">
        <v>-0.62440589768296051</v>
      </c>
      <c r="G4932" s="51" t="str">
        <v>井上 2022/10/03 (月)
平日夜間</v>
      </c>
    </row>
    <row r="4933" spans="1:7" ht="16.149999999999999" x14ac:dyDescent="0.7">
      <c r="A4933" s="49">
        <v>44819.47342336805</v>
      </c>
      <c r="B4933" s="50" t="s">
        <v>4</v>
      </c>
      <c r="C4933" s="50" t="s">
        <v>491</v>
      </c>
      <c r="D4933" s="50" t="s">
        <v>259</v>
      </c>
      <c r="E4933" s="50">
        <v>-1</v>
      </c>
      <c r="F4933" s="51">
        <v>-0.30179277893742684</v>
      </c>
      <c r="G4933" s="51" t="str">
        <v>井上 2022/10/04 (火)
平日夜間</v>
      </c>
    </row>
    <row r="4934" spans="1:7" ht="16.149999999999999" x14ac:dyDescent="0.7">
      <c r="A4934" s="49">
        <v>44819.47342336805</v>
      </c>
      <c r="B4934" s="50" t="s">
        <v>4</v>
      </c>
      <c r="C4934" s="50" t="s">
        <v>492</v>
      </c>
      <c r="D4934" s="50" t="s">
        <v>259</v>
      </c>
      <c r="E4934" s="50">
        <v>-1</v>
      </c>
      <c r="F4934" s="51">
        <v>-0.80048371780085437</v>
      </c>
      <c r="G4934" s="51" t="str">
        <v>井上 2022/10/05 (水)
平日夜間</v>
      </c>
    </row>
    <row r="4935" spans="1:7" ht="16.149999999999999" x14ac:dyDescent="0.7">
      <c r="A4935" s="49">
        <v>44819.47342336805</v>
      </c>
      <c r="B4935" s="50" t="s">
        <v>4</v>
      </c>
      <c r="C4935" s="50" t="s">
        <v>493</v>
      </c>
      <c r="D4935" s="50" t="s">
        <v>259</v>
      </c>
      <c r="E4935" s="50">
        <v>-1</v>
      </c>
      <c r="F4935" s="51">
        <v>-0.61309029039323448</v>
      </c>
      <c r="G4935" s="51" t="str">
        <v>井上 2022/10/06 (木)
平日夜間</v>
      </c>
    </row>
    <row r="4936" spans="1:7" ht="16.149999999999999" x14ac:dyDescent="0.7">
      <c r="A4936" s="49">
        <v>44819.47342336805</v>
      </c>
      <c r="B4936" s="50" t="s">
        <v>4</v>
      </c>
      <c r="C4936" s="50" t="s">
        <v>494</v>
      </c>
      <c r="D4936" s="50" t="s">
        <v>259</v>
      </c>
      <c r="E4936" s="50">
        <v>-1</v>
      </c>
      <c r="F4936" s="51">
        <v>-0.22762649243383337</v>
      </c>
      <c r="G4936" s="51" t="str">
        <v>井上 2022/10/07 (金)
平日夜間</v>
      </c>
    </row>
    <row r="4937" spans="1:7" ht="16.149999999999999" x14ac:dyDescent="0.7">
      <c r="A4937" s="49">
        <v>44819.47342336805</v>
      </c>
      <c r="B4937" s="50" t="s">
        <v>4</v>
      </c>
      <c r="C4937" s="50" t="s">
        <v>495</v>
      </c>
      <c r="D4937" s="50" t="s">
        <v>263</v>
      </c>
      <c r="E4937" s="50">
        <v>-1</v>
      </c>
      <c r="F4937" s="51">
        <v>-6.7632403178883305E-2</v>
      </c>
      <c r="G4937" s="51" t="str">
        <v>井上 2022/10/08 (土)
休日午前</v>
      </c>
    </row>
    <row r="4938" spans="1:7" ht="16.149999999999999" x14ac:dyDescent="0.7">
      <c r="A4938" s="49">
        <v>44819.47342336805</v>
      </c>
      <c r="B4938" s="50" t="s">
        <v>4</v>
      </c>
      <c r="C4938" s="50" t="s">
        <v>496</v>
      </c>
      <c r="D4938" s="50" t="s">
        <v>261</v>
      </c>
      <c r="E4938" s="50">
        <v>-1</v>
      </c>
      <c r="F4938" s="51">
        <v>-0.79295526534208571</v>
      </c>
      <c r="G4938" s="51" t="str">
        <v>井上 2022/10/08 (土)
休日午後</v>
      </c>
    </row>
    <row r="4939" spans="1:7" ht="16.149999999999999" x14ac:dyDescent="0.7">
      <c r="A4939" s="49">
        <v>44819.47342336805</v>
      </c>
      <c r="B4939" s="50" t="s">
        <v>4</v>
      </c>
      <c r="C4939" s="50" t="s">
        <v>497</v>
      </c>
      <c r="D4939" s="50" t="s">
        <v>263</v>
      </c>
      <c r="E4939" s="50">
        <v>-1</v>
      </c>
      <c r="F4939" s="51">
        <v>-0.95411600914639783</v>
      </c>
      <c r="G4939" s="51" t="str">
        <v>井上 2022/10/09 (日)
休日午前</v>
      </c>
    </row>
    <row r="4940" spans="1:7" ht="16.149999999999999" x14ac:dyDescent="0.7">
      <c r="A4940" s="49">
        <v>44819.47342336805</v>
      </c>
      <c r="B4940" s="50" t="s">
        <v>4</v>
      </c>
      <c r="C4940" s="50" t="s">
        <v>498</v>
      </c>
      <c r="D4940" s="50" t="s">
        <v>261</v>
      </c>
      <c r="E4940" s="50">
        <v>-1</v>
      </c>
      <c r="F4940" s="51">
        <v>-0.15629852876894956</v>
      </c>
      <c r="G4940" s="51" t="str">
        <v>井上 2022/10/09 (日)
休日午後</v>
      </c>
    </row>
    <row r="4941" spans="1:7" ht="16.149999999999999" x14ac:dyDescent="0.7">
      <c r="A4941" s="49">
        <v>44819.47342336805</v>
      </c>
      <c r="B4941" s="50" t="s">
        <v>4</v>
      </c>
      <c r="C4941" s="50" t="s">
        <v>499</v>
      </c>
      <c r="D4941" s="50" t="s">
        <v>263</v>
      </c>
      <c r="E4941" s="50">
        <v>-1</v>
      </c>
      <c r="F4941" s="51">
        <v>-0.24777279942233332</v>
      </c>
      <c r="G4941" s="51" t="str">
        <v>井上 2022/10/10 (月)
休日午前</v>
      </c>
    </row>
    <row r="4942" spans="1:7" ht="16.149999999999999" x14ac:dyDescent="0.7">
      <c r="A4942" s="49">
        <v>44819.47342336805</v>
      </c>
      <c r="B4942" s="50" t="s">
        <v>4</v>
      </c>
      <c r="C4942" s="50" t="s">
        <v>500</v>
      </c>
      <c r="D4942" s="50" t="s">
        <v>261</v>
      </c>
      <c r="E4942" s="50">
        <v>-1</v>
      </c>
      <c r="F4942" s="51">
        <v>-0.66234323330444833</v>
      </c>
      <c r="G4942" s="51" t="str">
        <v>井上 2022/10/10 (月)
休日午後</v>
      </c>
    </row>
    <row r="4943" spans="1:7" ht="16.149999999999999" x14ac:dyDescent="0.7">
      <c r="A4943" s="49">
        <v>44819.47342336805</v>
      </c>
      <c r="B4943" s="50" t="s">
        <v>4</v>
      </c>
      <c r="C4943" s="50" t="s">
        <v>501</v>
      </c>
      <c r="D4943" s="50" t="s">
        <v>259</v>
      </c>
      <c r="E4943" s="50">
        <v>-1</v>
      </c>
      <c r="F4943" s="51">
        <v>-0.77866796484131484</v>
      </c>
      <c r="G4943" s="51" t="str">
        <v>井上 2022/10/11 (火)
平日夜間</v>
      </c>
    </row>
    <row r="4944" spans="1:7" ht="16.149999999999999" x14ac:dyDescent="0.7">
      <c r="A4944" s="49">
        <v>44819.47342336805</v>
      </c>
      <c r="B4944" s="50" t="s">
        <v>4</v>
      </c>
      <c r="C4944" s="50" t="s">
        <v>502</v>
      </c>
      <c r="D4944" s="50" t="s">
        <v>259</v>
      </c>
      <c r="E4944" s="50">
        <v>0</v>
      </c>
      <c r="F4944" s="51">
        <v>0.97278613961168192</v>
      </c>
      <c r="G4944" s="51" t="str">
        <v>井上 2022/10/12 (水)
平日夜間</v>
      </c>
    </row>
    <row r="4945" spans="1:7" ht="16.149999999999999" x14ac:dyDescent="0.7">
      <c r="A4945" s="49">
        <v>44819.47342336805</v>
      </c>
      <c r="B4945" s="50" t="s">
        <v>4</v>
      </c>
      <c r="C4945" s="50" t="s">
        <v>503</v>
      </c>
      <c r="D4945" s="50" t="s">
        <v>259</v>
      </c>
      <c r="E4945" s="50">
        <v>0</v>
      </c>
      <c r="F4945" s="51">
        <v>0.52414575571263855</v>
      </c>
      <c r="G4945" s="51" t="str">
        <v>井上 2022/10/13 (木)
平日夜間</v>
      </c>
    </row>
    <row r="4946" spans="1:7" ht="16.149999999999999" x14ac:dyDescent="0.7">
      <c r="A4946" s="49">
        <v>44819.47342336805</v>
      </c>
      <c r="B4946" s="50" t="s">
        <v>4</v>
      </c>
      <c r="C4946" s="50" t="s">
        <v>504</v>
      </c>
      <c r="D4946" s="50" t="s">
        <v>259</v>
      </c>
      <c r="E4946" s="50">
        <v>-1</v>
      </c>
      <c r="F4946" s="51">
        <v>-0.66418753060662361</v>
      </c>
      <c r="G4946" s="51" t="str">
        <v>井上 2022/10/14 (金)
平日夜間</v>
      </c>
    </row>
    <row r="4947" spans="1:7" ht="16.149999999999999" x14ac:dyDescent="0.7">
      <c r="A4947" s="49">
        <v>44819.47342336805</v>
      </c>
      <c r="B4947" s="50" t="s">
        <v>4</v>
      </c>
      <c r="C4947" s="50" t="s">
        <v>505</v>
      </c>
      <c r="D4947" s="50" t="s">
        <v>263</v>
      </c>
      <c r="E4947" s="50">
        <v>-1</v>
      </c>
      <c r="F4947" s="51">
        <v>-8.8251444188079287E-2</v>
      </c>
      <c r="G4947" s="51" t="str">
        <v>井上 2022/10/15 (土)
休日午前</v>
      </c>
    </row>
    <row r="4948" spans="1:7" ht="16.149999999999999" x14ac:dyDescent="0.7">
      <c r="A4948" s="49">
        <v>44819.47342336805</v>
      </c>
      <c r="B4948" s="50" t="s">
        <v>4</v>
      </c>
      <c r="C4948" s="50" t="s">
        <v>506</v>
      </c>
      <c r="D4948" s="50" t="s">
        <v>261</v>
      </c>
      <c r="E4948" s="50">
        <v>0</v>
      </c>
      <c r="F4948" s="51">
        <v>8.7644298997595627E-2</v>
      </c>
      <c r="G4948" s="51" t="str">
        <v>井上 2022/10/15 (土)
休日午後</v>
      </c>
    </row>
    <row r="4949" spans="1:7" ht="16.149999999999999" x14ac:dyDescent="0.7">
      <c r="A4949" s="49">
        <v>44819.47342336805</v>
      </c>
      <c r="B4949" s="50" t="s">
        <v>4</v>
      </c>
      <c r="C4949" s="50" t="s">
        <v>507</v>
      </c>
      <c r="D4949" s="50" t="s">
        <v>263</v>
      </c>
      <c r="E4949" s="50">
        <v>-1</v>
      </c>
      <c r="F4949" s="51">
        <v>-6.7586294511183809E-2</v>
      </c>
      <c r="G4949" s="51" t="str">
        <v>井上 2022/10/16 (日)
休日午前</v>
      </c>
    </row>
    <row r="4950" spans="1:7" ht="16.149999999999999" x14ac:dyDescent="0.7">
      <c r="A4950" s="49">
        <v>44819.47342336805</v>
      </c>
      <c r="B4950" s="50" t="s">
        <v>4</v>
      </c>
      <c r="C4950" s="50" t="s">
        <v>508</v>
      </c>
      <c r="D4950" s="50" t="s">
        <v>261</v>
      </c>
      <c r="E4950" s="50">
        <v>-1</v>
      </c>
      <c r="F4950" s="51">
        <v>-0.50921123964991355</v>
      </c>
      <c r="G4950" s="51" t="str">
        <v>井上 2022/10/16 (日)
休日午後</v>
      </c>
    </row>
    <row r="4951" spans="1:7" ht="16.149999999999999" x14ac:dyDescent="0.7">
      <c r="A4951" s="49">
        <v>44819.47342336805</v>
      </c>
      <c r="B4951" s="50" t="s">
        <v>4</v>
      </c>
      <c r="C4951" s="50" t="s">
        <v>509</v>
      </c>
      <c r="D4951" s="50" t="s">
        <v>259</v>
      </c>
      <c r="E4951" s="50">
        <v>-1</v>
      </c>
      <c r="F4951" s="51">
        <v>-0.5066928950256413</v>
      </c>
      <c r="G4951" s="51" t="str">
        <v>井上 2022/10/17 (月)
平日夜間</v>
      </c>
    </row>
    <row r="4952" spans="1:7" ht="16.149999999999999" x14ac:dyDescent="0.7">
      <c r="A4952" s="49">
        <v>44819.47342336805</v>
      </c>
      <c r="B4952" s="50" t="s">
        <v>4</v>
      </c>
      <c r="C4952" s="50" t="s">
        <v>510</v>
      </c>
      <c r="D4952" s="50" t="s">
        <v>259</v>
      </c>
      <c r="E4952" s="50">
        <v>-1</v>
      </c>
      <c r="F4952" s="51">
        <v>-6.7911156714523635E-2</v>
      </c>
      <c r="G4952" s="51" t="str">
        <v>井上 2022/10/18 (火)
平日夜間</v>
      </c>
    </row>
    <row r="4953" spans="1:7" ht="16.149999999999999" x14ac:dyDescent="0.7">
      <c r="A4953" s="49">
        <v>44819.47342336805</v>
      </c>
      <c r="B4953" s="50" t="s">
        <v>4</v>
      </c>
      <c r="C4953" s="50" t="s">
        <v>511</v>
      </c>
      <c r="D4953" s="50" t="s">
        <v>259</v>
      </c>
      <c r="E4953" s="50">
        <v>-1</v>
      </c>
      <c r="F4953" s="51">
        <v>-0.26460204432213152</v>
      </c>
      <c r="G4953" s="51" t="str">
        <v>井上 2022/10/19 (水)
平日夜間</v>
      </c>
    </row>
    <row r="4954" spans="1:7" ht="16.149999999999999" x14ac:dyDescent="0.7">
      <c r="A4954" s="49">
        <v>44819.47342336805</v>
      </c>
      <c r="B4954" s="50" t="s">
        <v>4</v>
      </c>
      <c r="C4954" s="50" t="s">
        <v>512</v>
      </c>
      <c r="D4954" s="50" t="s">
        <v>259</v>
      </c>
      <c r="E4954" s="50">
        <v>-1</v>
      </c>
      <c r="F4954" s="51">
        <v>-0.3787615532800761</v>
      </c>
      <c r="G4954" s="51" t="str">
        <v>井上 2022/10/20 (木)
平日夜間</v>
      </c>
    </row>
    <row r="4955" spans="1:7" ht="16.149999999999999" x14ac:dyDescent="0.7">
      <c r="A4955" s="49">
        <v>44819.47342336805</v>
      </c>
      <c r="B4955" s="50" t="s">
        <v>4</v>
      </c>
      <c r="C4955" s="50" t="s">
        <v>513</v>
      </c>
      <c r="D4955" s="50" t="s">
        <v>259</v>
      </c>
      <c r="E4955" s="50">
        <v>2</v>
      </c>
      <c r="F4955" s="51">
        <v>2.1124474105949549</v>
      </c>
      <c r="G4955" s="51" t="str">
        <v>井上 2022/10/21 (金)
平日夜間</v>
      </c>
    </row>
    <row r="4956" spans="1:7" ht="16.149999999999999" x14ac:dyDescent="0.7">
      <c r="A4956" s="49">
        <v>44819.47342336805</v>
      </c>
      <c r="B4956" s="50" t="s">
        <v>4</v>
      </c>
      <c r="C4956" s="50" t="s">
        <v>514</v>
      </c>
      <c r="D4956" s="50" t="s">
        <v>263</v>
      </c>
      <c r="E4956" s="50">
        <v>-1</v>
      </c>
      <c r="F4956" s="51">
        <v>-0.11233957065662459</v>
      </c>
      <c r="G4956" s="51" t="str">
        <v>井上 2022/10/22 (土)
休日午前</v>
      </c>
    </row>
    <row r="4957" spans="1:7" ht="16.149999999999999" x14ac:dyDescent="0.7">
      <c r="A4957" s="49">
        <v>44819.47342336805</v>
      </c>
      <c r="B4957" s="50" t="s">
        <v>4</v>
      </c>
      <c r="C4957" s="50" t="s">
        <v>515</v>
      </c>
      <c r="D4957" s="50" t="s">
        <v>261</v>
      </c>
      <c r="E4957" s="50">
        <v>-1</v>
      </c>
      <c r="F4957" s="51">
        <v>-0.14005528212552165</v>
      </c>
      <c r="G4957" s="51" t="str">
        <v>井上 2022/10/22 (土)
休日午後</v>
      </c>
    </row>
    <row r="4958" spans="1:7" ht="16.149999999999999" x14ac:dyDescent="0.7">
      <c r="A4958" s="49">
        <v>44819.47342336805</v>
      </c>
      <c r="B4958" s="50" t="s">
        <v>4</v>
      </c>
      <c r="C4958" s="50" t="s">
        <v>516</v>
      </c>
      <c r="D4958" s="50" t="s">
        <v>263</v>
      </c>
      <c r="E4958" s="50">
        <v>-1</v>
      </c>
      <c r="F4958" s="51">
        <v>-0.38701574320209553</v>
      </c>
      <c r="G4958" s="51" t="str">
        <v>井上 2022/10/23 (日)
休日午前</v>
      </c>
    </row>
    <row r="4959" spans="1:7" ht="16.149999999999999" x14ac:dyDescent="0.7">
      <c r="A4959" s="49">
        <v>44819.47342336805</v>
      </c>
      <c r="B4959" s="50" t="s">
        <v>4</v>
      </c>
      <c r="C4959" s="50" t="s">
        <v>517</v>
      </c>
      <c r="D4959" s="50" t="s">
        <v>261</v>
      </c>
      <c r="E4959" s="50">
        <v>-1</v>
      </c>
      <c r="F4959" s="51">
        <v>-0.35932458714033166</v>
      </c>
      <c r="G4959" s="51" t="str">
        <v>井上 2022/10/23 (日)
休日午後</v>
      </c>
    </row>
    <row r="4960" spans="1:7" ht="16.149999999999999" x14ac:dyDescent="0.7">
      <c r="A4960" s="49">
        <v>44819.47342336805</v>
      </c>
      <c r="B4960" s="50" t="s">
        <v>4</v>
      </c>
      <c r="C4960" s="50" t="s">
        <v>518</v>
      </c>
      <c r="D4960" s="50" t="s">
        <v>259</v>
      </c>
      <c r="E4960" s="50">
        <v>-1</v>
      </c>
      <c r="F4960" s="51">
        <v>-9.9761859233969075E-2</v>
      </c>
      <c r="G4960" s="51" t="str">
        <v>井上 2022/10/24 (月)
平日夜間</v>
      </c>
    </row>
    <row r="4961" spans="1:7" ht="16.149999999999999" x14ac:dyDescent="0.7">
      <c r="A4961" s="49">
        <v>44819.47342336805</v>
      </c>
      <c r="B4961" s="50" t="s">
        <v>4</v>
      </c>
      <c r="C4961" s="50" t="s">
        <v>519</v>
      </c>
      <c r="D4961" s="50" t="s">
        <v>259</v>
      </c>
      <c r="E4961" s="50">
        <v>-1</v>
      </c>
      <c r="F4961" s="51">
        <v>-0.12498311584120225</v>
      </c>
      <c r="G4961" s="51" t="str">
        <v>井上 2022/10/25 (火)
平日夜間</v>
      </c>
    </row>
    <row r="4962" spans="1:7" ht="16.149999999999999" x14ac:dyDescent="0.7">
      <c r="A4962" s="49">
        <v>44819.47342336805</v>
      </c>
      <c r="B4962" s="50" t="s">
        <v>4</v>
      </c>
      <c r="C4962" s="50" t="s">
        <v>520</v>
      </c>
      <c r="D4962" s="50" t="s">
        <v>259</v>
      </c>
      <c r="E4962" s="50">
        <v>0</v>
      </c>
      <c r="F4962" s="51">
        <v>0.66621657320174155</v>
      </c>
      <c r="G4962" s="51" t="str">
        <v>井上 2022/10/26 (水)
平日夜間</v>
      </c>
    </row>
    <row r="4963" spans="1:7" ht="16.149999999999999" x14ac:dyDescent="0.7">
      <c r="A4963" s="49">
        <v>44819.47342336805</v>
      </c>
      <c r="B4963" s="50" t="s">
        <v>4</v>
      </c>
      <c r="C4963" s="50" t="s">
        <v>521</v>
      </c>
      <c r="D4963" s="50" t="s">
        <v>259</v>
      </c>
      <c r="E4963" s="50">
        <v>0</v>
      </c>
      <c r="F4963" s="51">
        <v>0.22274642602495165</v>
      </c>
      <c r="G4963" s="51" t="str">
        <v>井上 2022/10/27 (木)
平日夜間</v>
      </c>
    </row>
    <row r="4964" spans="1:7" ht="16.149999999999999" x14ac:dyDescent="0.7">
      <c r="A4964" s="49">
        <v>44819.47342336805</v>
      </c>
      <c r="B4964" s="50" t="s">
        <v>4</v>
      </c>
      <c r="C4964" s="50" t="s">
        <v>522</v>
      </c>
      <c r="D4964" s="50" t="s">
        <v>259</v>
      </c>
      <c r="E4964" s="50">
        <v>0</v>
      </c>
      <c r="F4964" s="51">
        <v>0.13063272227315581</v>
      </c>
      <c r="G4964" s="51" t="str">
        <v>井上 2022/10/28 (金)
平日夜間</v>
      </c>
    </row>
    <row r="4965" spans="1:7" ht="16.149999999999999" x14ac:dyDescent="0.7">
      <c r="A4965" s="49">
        <v>44819.47342336805</v>
      </c>
      <c r="B4965" s="50" t="s">
        <v>4</v>
      </c>
      <c r="C4965" s="50" t="s">
        <v>523</v>
      </c>
      <c r="D4965" s="50" t="s">
        <v>263</v>
      </c>
      <c r="E4965" s="50">
        <v>0</v>
      </c>
      <c r="F4965" s="51">
        <v>0.80505917520459103</v>
      </c>
      <c r="G4965" s="51" t="str">
        <v>井上 2022/10/29 (土)
休日午前</v>
      </c>
    </row>
    <row r="4966" spans="1:7" ht="16.149999999999999" x14ac:dyDescent="0.7">
      <c r="A4966" s="49">
        <v>44819.47342336805</v>
      </c>
      <c r="B4966" s="50" t="s">
        <v>4</v>
      </c>
      <c r="C4966" s="50" t="s">
        <v>524</v>
      </c>
      <c r="D4966" s="50" t="s">
        <v>261</v>
      </c>
      <c r="E4966" s="50">
        <v>-1</v>
      </c>
      <c r="F4966" s="51">
        <v>-0.30808420559255056</v>
      </c>
      <c r="G4966" s="51" t="str">
        <v>井上 2022/10/29 (土)
休日午後</v>
      </c>
    </row>
    <row r="4967" spans="1:7" ht="16.149999999999999" x14ac:dyDescent="0.7">
      <c r="A4967" s="49">
        <v>44819.47342336805</v>
      </c>
      <c r="B4967" s="50" t="s">
        <v>4</v>
      </c>
      <c r="C4967" s="50" t="s">
        <v>525</v>
      </c>
      <c r="D4967" s="50" t="s">
        <v>263</v>
      </c>
      <c r="E4967" s="50">
        <v>-1</v>
      </c>
      <c r="F4967" s="51">
        <v>-0.48506617689472376</v>
      </c>
      <c r="G4967" s="51" t="str">
        <v>井上 2022/10/30 (日)
休日午前</v>
      </c>
    </row>
    <row r="4968" spans="1:7" ht="16.149999999999999" x14ac:dyDescent="0.7">
      <c r="A4968" s="49">
        <v>44819.47342336805</v>
      </c>
      <c r="B4968" s="50" t="s">
        <v>4</v>
      </c>
      <c r="C4968" s="50" t="s">
        <v>526</v>
      </c>
      <c r="D4968" s="50" t="s">
        <v>261</v>
      </c>
      <c r="E4968" s="50">
        <v>-1</v>
      </c>
      <c r="F4968" s="51">
        <v>-0.13989246694143453</v>
      </c>
      <c r="G4968" s="51" t="str">
        <v>井上 2022/10/30 (日)
休日午後</v>
      </c>
    </row>
    <row r="4969" spans="1:7" ht="16.149999999999999" x14ac:dyDescent="0.7">
      <c r="A4969" s="49">
        <v>44819.47342336805</v>
      </c>
      <c r="B4969" s="50" t="s">
        <v>4</v>
      </c>
      <c r="C4969" s="50" t="s">
        <v>527</v>
      </c>
      <c r="D4969" s="50" t="s">
        <v>259</v>
      </c>
      <c r="E4969" s="50">
        <v>0</v>
      </c>
      <c r="F4969" s="51">
        <v>0.73901902270657249</v>
      </c>
      <c r="G4969" s="51" t="str">
        <v>井上 2022/10/31 (月)
平日夜間</v>
      </c>
    </row>
    <row r="4970" spans="1:7" ht="16.149999999999999" x14ac:dyDescent="0.7">
      <c r="A4970" s="49">
        <v>44819.521981655096</v>
      </c>
      <c r="B4970" s="50" t="s">
        <v>16</v>
      </c>
      <c r="C4970" s="50" t="s">
        <v>486</v>
      </c>
      <c r="D4970" s="50" t="s">
        <v>263</v>
      </c>
      <c r="E4970" s="50">
        <v>0</v>
      </c>
      <c r="F4970" s="51">
        <v>0.16452747997224537</v>
      </c>
      <c r="G4970" s="51" t="str">
        <v>吉田 2022/10/01 (土)
休日午前</v>
      </c>
    </row>
    <row r="4971" spans="1:7" ht="16.149999999999999" x14ac:dyDescent="0.7">
      <c r="A4971" s="49">
        <v>44819.521981655096</v>
      </c>
      <c r="B4971" s="50" t="s">
        <v>16</v>
      </c>
      <c r="C4971" s="50" t="s">
        <v>487</v>
      </c>
      <c r="D4971" s="50" t="s">
        <v>261</v>
      </c>
      <c r="E4971" s="50">
        <v>0</v>
      </c>
      <c r="F4971" s="51">
        <v>0.95017966709718116</v>
      </c>
      <c r="G4971" s="51" t="str">
        <v>吉田 2022/10/01 (土)
休日午後</v>
      </c>
    </row>
    <row r="4972" spans="1:7" ht="16.149999999999999" x14ac:dyDescent="0.7">
      <c r="A4972" s="49">
        <v>44819.521981655096</v>
      </c>
      <c r="B4972" s="50" t="s">
        <v>16</v>
      </c>
      <c r="C4972" s="50" t="s">
        <v>488</v>
      </c>
      <c r="D4972" s="50" t="s">
        <v>263</v>
      </c>
      <c r="E4972" s="50">
        <v>0</v>
      </c>
      <c r="F4972" s="51">
        <v>0.32745737347581749</v>
      </c>
      <c r="G4972" s="51" t="str">
        <v>吉田 2022/10/02 (日)
休日午前</v>
      </c>
    </row>
    <row r="4973" spans="1:7" ht="16.149999999999999" x14ac:dyDescent="0.7">
      <c r="A4973" s="49">
        <v>44819.521981655096</v>
      </c>
      <c r="B4973" s="50" t="s">
        <v>16</v>
      </c>
      <c r="C4973" s="50" t="s">
        <v>489</v>
      </c>
      <c r="D4973" s="50" t="s">
        <v>261</v>
      </c>
      <c r="E4973" s="50">
        <v>0</v>
      </c>
      <c r="F4973" s="51">
        <v>0.22416932579971949</v>
      </c>
      <c r="G4973" s="51" t="str">
        <v>吉田 2022/10/02 (日)
休日午後</v>
      </c>
    </row>
    <row r="4974" spans="1:7" ht="16.149999999999999" x14ac:dyDescent="0.7">
      <c r="A4974" s="49">
        <v>44819.521981655096</v>
      </c>
      <c r="B4974" s="50" t="s">
        <v>16</v>
      </c>
      <c r="C4974" s="50" t="s">
        <v>490</v>
      </c>
      <c r="D4974" s="50" t="s">
        <v>259</v>
      </c>
      <c r="E4974" s="50">
        <v>0</v>
      </c>
      <c r="F4974" s="51">
        <v>0.3184198416799191</v>
      </c>
      <c r="G4974" s="51" t="str">
        <v>吉田 2022/10/03 (月)
平日夜間</v>
      </c>
    </row>
    <row r="4975" spans="1:7" ht="16.149999999999999" x14ac:dyDescent="0.7">
      <c r="A4975" s="49">
        <v>44819.521981655096</v>
      </c>
      <c r="B4975" s="50" t="s">
        <v>16</v>
      </c>
      <c r="C4975" s="50" t="s">
        <v>491</v>
      </c>
      <c r="D4975" s="50" t="s">
        <v>259</v>
      </c>
      <c r="E4975" s="50">
        <v>-1</v>
      </c>
      <c r="F4975" s="51">
        <v>-0.17954686520923024</v>
      </c>
      <c r="G4975" s="51" t="str">
        <v>吉田 2022/10/04 (火)
平日夜間</v>
      </c>
    </row>
    <row r="4976" spans="1:7" ht="16.149999999999999" x14ac:dyDescent="0.7">
      <c r="A4976" s="49">
        <v>44819.521981655096</v>
      </c>
      <c r="B4976" s="50" t="s">
        <v>16</v>
      </c>
      <c r="C4976" s="50" t="s">
        <v>492</v>
      </c>
      <c r="D4976" s="50" t="s">
        <v>259</v>
      </c>
      <c r="E4976" s="50">
        <v>0</v>
      </c>
      <c r="F4976" s="51">
        <v>0.41449474244805007</v>
      </c>
      <c r="G4976" s="51" t="str">
        <v>吉田 2022/10/05 (水)
平日夜間</v>
      </c>
    </row>
    <row r="4977" spans="1:7" ht="16.149999999999999" x14ac:dyDescent="0.7">
      <c r="A4977" s="49">
        <v>44819.521981655096</v>
      </c>
      <c r="B4977" s="50" t="s">
        <v>16</v>
      </c>
      <c r="C4977" s="50" t="s">
        <v>493</v>
      </c>
      <c r="D4977" s="50" t="s">
        <v>259</v>
      </c>
      <c r="E4977" s="50">
        <v>0</v>
      </c>
      <c r="F4977" s="51">
        <v>0.71892642980430344</v>
      </c>
      <c r="G4977" s="51" t="str">
        <v>吉田 2022/10/06 (木)
平日夜間</v>
      </c>
    </row>
    <row r="4978" spans="1:7" ht="16.149999999999999" x14ac:dyDescent="0.7">
      <c r="A4978" s="49">
        <v>44819.521981655096</v>
      </c>
      <c r="B4978" s="50" t="s">
        <v>16</v>
      </c>
      <c r="C4978" s="50" t="s">
        <v>494</v>
      </c>
      <c r="D4978" s="50" t="s">
        <v>259</v>
      </c>
      <c r="E4978" s="50">
        <v>0</v>
      </c>
      <c r="F4978" s="51">
        <v>0.72796814529957121</v>
      </c>
      <c r="G4978" s="51" t="str">
        <v>吉田 2022/10/07 (金)
平日夜間</v>
      </c>
    </row>
    <row r="4979" spans="1:7" ht="16.149999999999999" x14ac:dyDescent="0.7">
      <c r="A4979" s="49">
        <v>44819.521981655096</v>
      </c>
      <c r="B4979" s="50" t="s">
        <v>16</v>
      </c>
      <c r="C4979" s="50" t="s">
        <v>495</v>
      </c>
      <c r="D4979" s="50" t="s">
        <v>263</v>
      </c>
      <c r="E4979" s="50">
        <v>0</v>
      </c>
      <c r="F4979" s="51">
        <v>0.94819866908558614</v>
      </c>
      <c r="G4979" s="51" t="str">
        <v>吉田 2022/10/08 (土)
休日午前</v>
      </c>
    </row>
    <row r="4980" spans="1:7" ht="16.149999999999999" x14ac:dyDescent="0.7">
      <c r="A4980" s="49">
        <v>44819.521981655096</v>
      </c>
      <c r="B4980" s="50" t="s">
        <v>16</v>
      </c>
      <c r="C4980" s="50" t="s">
        <v>496</v>
      </c>
      <c r="D4980" s="50" t="s">
        <v>261</v>
      </c>
      <c r="E4980" s="50">
        <v>0</v>
      </c>
      <c r="F4980" s="51">
        <v>5.1448496892859463E-2</v>
      </c>
      <c r="G4980" s="51" t="str">
        <v>吉田 2022/10/08 (土)
休日午後</v>
      </c>
    </row>
    <row r="4981" spans="1:7" ht="16.149999999999999" x14ac:dyDescent="0.7">
      <c r="A4981" s="49">
        <v>44819.521981655096</v>
      </c>
      <c r="B4981" s="50" t="s">
        <v>16</v>
      </c>
      <c r="C4981" s="50" t="s">
        <v>497</v>
      </c>
      <c r="D4981" s="50" t="s">
        <v>263</v>
      </c>
      <c r="E4981" s="50">
        <v>-1</v>
      </c>
      <c r="F4981" s="51">
        <v>-0.34309478489001299</v>
      </c>
      <c r="G4981" s="51" t="str">
        <v>吉田 2022/10/09 (日)
休日午前</v>
      </c>
    </row>
    <row r="4982" spans="1:7" ht="16.149999999999999" x14ac:dyDescent="0.7">
      <c r="A4982" s="49">
        <v>44819.521981655096</v>
      </c>
      <c r="B4982" s="50" t="s">
        <v>16</v>
      </c>
      <c r="C4982" s="50" t="s">
        <v>498</v>
      </c>
      <c r="D4982" s="50" t="s">
        <v>261</v>
      </c>
      <c r="E4982" s="50">
        <v>-1</v>
      </c>
      <c r="F4982" s="51">
        <v>-0.1550931347105089</v>
      </c>
      <c r="G4982" s="51" t="str">
        <v>吉田 2022/10/09 (日)
休日午後</v>
      </c>
    </row>
    <row r="4983" spans="1:7" ht="16.149999999999999" x14ac:dyDescent="0.7">
      <c r="A4983" s="49">
        <v>44819.521981655096</v>
      </c>
      <c r="B4983" s="50" t="s">
        <v>16</v>
      </c>
      <c r="C4983" s="50" t="s">
        <v>499</v>
      </c>
      <c r="D4983" s="50" t="s">
        <v>263</v>
      </c>
      <c r="E4983" s="50">
        <v>0</v>
      </c>
      <c r="F4983" s="51">
        <v>1.9076282397170408E-2</v>
      </c>
      <c r="G4983" s="51" t="str">
        <v>吉田 2022/10/10 (月)
休日午前</v>
      </c>
    </row>
    <row r="4984" spans="1:7" ht="16.149999999999999" x14ac:dyDescent="0.7">
      <c r="A4984" s="49">
        <v>44819.521981655096</v>
      </c>
      <c r="B4984" s="50" t="s">
        <v>16</v>
      </c>
      <c r="C4984" s="50" t="s">
        <v>500</v>
      </c>
      <c r="D4984" s="50" t="s">
        <v>261</v>
      </c>
      <c r="E4984" s="50">
        <v>2</v>
      </c>
      <c r="F4984" s="51">
        <v>2.7271649122975141</v>
      </c>
      <c r="G4984" s="51" t="str">
        <v>吉田 2022/10/10 (月)
休日午後</v>
      </c>
    </row>
    <row r="4985" spans="1:7" ht="16.149999999999999" x14ac:dyDescent="0.7">
      <c r="A4985" s="49">
        <v>44819.521981655096</v>
      </c>
      <c r="B4985" s="50" t="s">
        <v>16</v>
      </c>
      <c r="C4985" s="50" t="s">
        <v>501</v>
      </c>
      <c r="D4985" s="50" t="s">
        <v>259</v>
      </c>
      <c r="E4985" s="50">
        <v>-1</v>
      </c>
      <c r="F4985" s="51">
        <v>-0.26415049906488686</v>
      </c>
      <c r="G4985" s="51" t="str">
        <v>吉田 2022/10/11 (火)
平日夜間</v>
      </c>
    </row>
    <row r="4986" spans="1:7" ht="16.149999999999999" x14ac:dyDescent="0.7">
      <c r="A4986" s="49">
        <v>44819.521981655096</v>
      </c>
      <c r="B4986" s="50" t="s">
        <v>16</v>
      </c>
      <c r="C4986" s="50" t="s">
        <v>502</v>
      </c>
      <c r="D4986" s="50" t="s">
        <v>259</v>
      </c>
      <c r="E4986" s="50">
        <v>0</v>
      </c>
      <c r="F4986" s="51">
        <v>0.63761122780424651</v>
      </c>
      <c r="G4986" s="51" t="str">
        <v>吉田 2022/10/12 (水)
平日夜間</v>
      </c>
    </row>
    <row r="4987" spans="1:7" ht="16.149999999999999" x14ac:dyDescent="0.7">
      <c r="A4987" s="49">
        <v>44819.521981655096</v>
      </c>
      <c r="B4987" s="50" t="s">
        <v>16</v>
      </c>
      <c r="C4987" s="50" t="s">
        <v>503</v>
      </c>
      <c r="D4987" s="50" t="s">
        <v>259</v>
      </c>
      <c r="E4987" s="50">
        <v>0</v>
      </c>
      <c r="F4987" s="51">
        <v>0.11573612828614999</v>
      </c>
      <c r="G4987" s="51" t="str">
        <v>吉田 2022/10/13 (木)
平日夜間</v>
      </c>
    </row>
    <row r="4988" spans="1:7" ht="16.149999999999999" x14ac:dyDescent="0.7">
      <c r="A4988" s="49">
        <v>44819.521981655096</v>
      </c>
      <c r="B4988" s="50" t="s">
        <v>16</v>
      </c>
      <c r="C4988" s="50" t="s">
        <v>504</v>
      </c>
      <c r="D4988" s="50" t="s">
        <v>259</v>
      </c>
      <c r="E4988" s="50">
        <v>0</v>
      </c>
      <c r="F4988" s="51">
        <v>0.11122186616518981</v>
      </c>
      <c r="G4988" s="51" t="str">
        <v>吉田 2022/10/14 (金)
平日夜間</v>
      </c>
    </row>
    <row r="4989" spans="1:7" ht="16.149999999999999" x14ac:dyDescent="0.7">
      <c r="A4989" s="49">
        <v>44819.521981655096</v>
      </c>
      <c r="B4989" s="50" t="s">
        <v>16</v>
      </c>
      <c r="C4989" s="50" t="s">
        <v>505</v>
      </c>
      <c r="D4989" s="50" t="s">
        <v>263</v>
      </c>
      <c r="E4989" s="50">
        <v>0</v>
      </c>
      <c r="F4989" s="51">
        <v>0.98810744154150365</v>
      </c>
      <c r="G4989" s="51" t="str">
        <v>吉田 2022/10/15 (土)
休日午前</v>
      </c>
    </row>
    <row r="4990" spans="1:7" ht="16.149999999999999" x14ac:dyDescent="0.7">
      <c r="A4990" s="49">
        <v>44819.521981655096</v>
      </c>
      <c r="B4990" s="50" t="s">
        <v>16</v>
      </c>
      <c r="C4990" s="50" t="s">
        <v>506</v>
      </c>
      <c r="D4990" s="50" t="s">
        <v>261</v>
      </c>
      <c r="E4990" s="50">
        <v>0</v>
      </c>
      <c r="F4990" s="51">
        <v>0.49425084797778118</v>
      </c>
      <c r="G4990" s="51" t="str">
        <v>吉田 2022/10/15 (土)
休日午後</v>
      </c>
    </row>
    <row r="4991" spans="1:7" ht="16.149999999999999" x14ac:dyDescent="0.7">
      <c r="A4991" s="49">
        <v>44819.521981655096</v>
      </c>
      <c r="B4991" s="50" t="s">
        <v>16</v>
      </c>
      <c r="C4991" s="50" t="s">
        <v>507</v>
      </c>
      <c r="D4991" s="50" t="s">
        <v>263</v>
      </c>
      <c r="E4991" s="50">
        <v>0</v>
      </c>
      <c r="F4991" s="51">
        <v>0.21757646918004903</v>
      </c>
      <c r="G4991" s="51" t="str">
        <v>吉田 2022/10/16 (日)
休日午前</v>
      </c>
    </row>
    <row r="4992" spans="1:7" ht="16.149999999999999" x14ac:dyDescent="0.7">
      <c r="A4992" s="49">
        <v>44819.521981655096</v>
      </c>
      <c r="B4992" s="50" t="s">
        <v>16</v>
      </c>
      <c r="C4992" s="50" t="s">
        <v>508</v>
      </c>
      <c r="D4992" s="50" t="s">
        <v>261</v>
      </c>
      <c r="E4992" s="50">
        <v>0</v>
      </c>
      <c r="F4992" s="51">
        <v>0.90967889215378861</v>
      </c>
      <c r="G4992" s="51" t="str">
        <v>吉田 2022/10/16 (日)
休日午後</v>
      </c>
    </row>
    <row r="4993" spans="1:7" ht="16.149999999999999" x14ac:dyDescent="0.7">
      <c r="A4993" s="49">
        <v>44819.521981655096</v>
      </c>
      <c r="B4993" s="50" t="s">
        <v>16</v>
      </c>
      <c r="C4993" s="50" t="s">
        <v>509</v>
      </c>
      <c r="D4993" s="50" t="s">
        <v>259</v>
      </c>
      <c r="E4993" s="50">
        <v>0</v>
      </c>
      <c r="F4993" s="51">
        <v>0.54827491335243717</v>
      </c>
      <c r="G4993" s="51" t="str">
        <v>吉田 2022/10/17 (月)
平日夜間</v>
      </c>
    </row>
    <row r="4994" spans="1:7" ht="16.149999999999999" x14ac:dyDescent="0.7">
      <c r="A4994" s="49">
        <v>44819.521981655096</v>
      </c>
      <c r="B4994" s="50" t="s">
        <v>16</v>
      </c>
      <c r="C4994" s="50" t="s">
        <v>510</v>
      </c>
      <c r="D4994" s="50" t="s">
        <v>259</v>
      </c>
      <c r="E4994" s="50">
        <v>-1</v>
      </c>
      <c r="F4994" s="51">
        <v>-0.58572923451972159</v>
      </c>
      <c r="G4994" s="51" t="str">
        <v>吉田 2022/10/18 (火)
平日夜間</v>
      </c>
    </row>
    <row r="4995" spans="1:7" ht="16.149999999999999" x14ac:dyDescent="0.7">
      <c r="A4995" s="49">
        <v>44819.521981655096</v>
      </c>
      <c r="B4995" s="50" t="s">
        <v>16</v>
      </c>
      <c r="C4995" s="50" t="s">
        <v>511</v>
      </c>
      <c r="D4995" s="50" t="s">
        <v>259</v>
      </c>
      <c r="E4995" s="50">
        <v>-1</v>
      </c>
      <c r="F4995" s="51">
        <v>-0.66272632032272649</v>
      </c>
      <c r="G4995" s="51" t="str">
        <v>吉田 2022/10/19 (水)
平日夜間</v>
      </c>
    </row>
    <row r="4996" spans="1:7" ht="16.149999999999999" x14ac:dyDescent="0.7">
      <c r="A4996" s="49">
        <v>44819.521981655096</v>
      </c>
      <c r="B4996" s="50" t="s">
        <v>16</v>
      </c>
      <c r="C4996" s="50" t="s">
        <v>512</v>
      </c>
      <c r="D4996" s="50" t="s">
        <v>259</v>
      </c>
      <c r="E4996" s="50">
        <v>0</v>
      </c>
      <c r="F4996" s="51">
        <v>0.51207622853192603</v>
      </c>
      <c r="G4996" s="51" t="str">
        <v>吉田 2022/10/20 (木)
平日夜間</v>
      </c>
    </row>
    <row r="4997" spans="1:7" ht="16.149999999999999" x14ac:dyDescent="0.7">
      <c r="A4997" s="49">
        <v>44819.521981655096</v>
      </c>
      <c r="B4997" s="50" t="s">
        <v>16</v>
      </c>
      <c r="C4997" s="50" t="s">
        <v>513</v>
      </c>
      <c r="D4997" s="50" t="s">
        <v>259</v>
      </c>
      <c r="E4997" s="50">
        <v>0</v>
      </c>
      <c r="F4997" s="51">
        <v>0.90431418398240004</v>
      </c>
      <c r="G4997" s="51" t="str">
        <v>吉田 2022/10/21 (金)
平日夜間</v>
      </c>
    </row>
    <row r="4998" spans="1:7" ht="16.149999999999999" x14ac:dyDescent="0.7">
      <c r="A4998" s="49">
        <v>44819.521981655096</v>
      </c>
      <c r="B4998" s="50" t="s">
        <v>16</v>
      </c>
      <c r="C4998" s="50" t="s">
        <v>514</v>
      </c>
      <c r="D4998" s="50" t="s">
        <v>263</v>
      </c>
      <c r="E4998" s="50">
        <v>0</v>
      </c>
      <c r="F4998" s="51">
        <v>0.68259737368645523</v>
      </c>
      <c r="G4998" s="51" t="str">
        <v>吉田 2022/10/22 (土)
休日午前</v>
      </c>
    </row>
    <row r="4999" spans="1:7" ht="16.149999999999999" x14ac:dyDescent="0.7">
      <c r="A4999" s="49">
        <v>44819.521981655096</v>
      </c>
      <c r="B4999" s="50" t="s">
        <v>16</v>
      </c>
      <c r="C4999" s="50" t="s">
        <v>515</v>
      </c>
      <c r="D4999" s="50" t="s">
        <v>261</v>
      </c>
      <c r="E4999" s="50">
        <v>0</v>
      </c>
      <c r="F4999" s="51">
        <v>0.39585926216521083</v>
      </c>
      <c r="G4999" s="51" t="str">
        <v>吉田 2022/10/22 (土)
休日午後</v>
      </c>
    </row>
    <row r="5000" spans="1:7" ht="16.149999999999999" x14ac:dyDescent="0.7">
      <c r="A5000" s="49">
        <v>44819.521981655096</v>
      </c>
      <c r="B5000" s="50" t="s">
        <v>16</v>
      </c>
      <c r="C5000" s="50" t="s">
        <v>516</v>
      </c>
      <c r="D5000" s="50" t="s">
        <v>263</v>
      </c>
      <c r="E5000" s="50">
        <v>0</v>
      </c>
      <c r="F5000" s="51">
        <v>0.53831890325564746</v>
      </c>
      <c r="G5000" s="51" t="str">
        <v>吉田 2022/10/23 (日)
休日午前</v>
      </c>
    </row>
    <row r="5001" spans="1:7" ht="16.149999999999999" x14ac:dyDescent="0.7">
      <c r="A5001" s="49">
        <v>44819.521981655096</v>
      </c>
      <c r="B5001" s="50" t="s">
        <v>16</v>
      </c>
      <c r="C5001" s="50" t="s">
        <v>517</v>
      </c>
      <c r="D5001" s="50" t="s">
        <v>261</v>
      </c>
      <c r="E5001" s="50">
        <v>0</v>
      </c>
      <c r="F5001" s="51">
        <v>0.4999633521759077</v>
      </c>
      <c r="G5001" s="51" t="str">
        <v>吉田 2022/10/23 (日)
休日午後</v>
      </c>
    </row>
    <row r="5002" spans="1:7" ht="16.149999999999999" x14ac:dyDescent="0.7">
      <c r="A5002" s="49">
        <v>44819.521981655096</v>
      </c>
      <c r="B5002" s="50" t="s">
        <v>16</v>
      </c>
      <c r="C5002" s="50" t="s">
        <v>518</v>
      </c>
      <c r="D5002" s="50" t="s">
        <v>259</v>
      </c>
      <c r="E5002" s="50">
        <v>0</v>
      </c>
      <c r="F5002" s="51">
        <v>0.17047916240360261</v>
      </c>
      <c r="G5002" s="51" t="str">
        <v>吉田 2022/10/24 (月)
平日夜間</v>
      </c>
    </row>
    <row r="5003" spans="1:7" ht="16.149999999999999" x14ac:dyDescent="0.7">
      <c r="A5003" s="49">
        <v>44819.521981655096</v>
      </c>
      <c r="B5003" s="50" t="s">
        <v>16</v>
      </c>
      <c r="C5003" s="50" t="s">
        <v>519</v>
      </c>
      <c r="D5003" s="50" t="s">
        <v>259</v>
      </c>
      <c r="E5003" s="50">
        <v>-1</v>
      </c>
      <c r="F5003" s="51">
        <v>-0.60520885079996245</v>
      </c>
      <c r="G5003" s="51" t="str">
        <v>吉田 2022/10/25 (火)
平日夜間</v>
      </c>
    </row>
    <row r="5004" spans="1:7" ht="16.149999999999999" x14ac:dyDescent="0.7">
      <c r="A5004" s="49">
        <v>44819.521981655096</v>
      </c>
      <c r="B5004" s="50" t="s">
        <v>16</v>
      </c>
      <c r="C5004" s="50" t="s">
        <v>520</v>
      </c>
      <c r="D5004" s="50" t="s">
        <v>259</v>
      </c>
      <c r="E5004" s="50">
        <v>0</v>
      </c>
      <c r="F5004" s="51">
        <v>0.13740830756542444</v>
      </c>
      <c r="G5004" s="51" t="str">
        <v>吉田 2022/10/26 (水)
平日夜間</v>
      </c>
    </row>
    <row r="5005" spans="1:7" ht="16.149999999999999" x14ac:dyDescent="0.7">
      <c r="A5005" s="49">
        <v>44819.521981655096</v>
      </c>
      <c r="B5005" s="50" t="s">
        <v>16</v>
      </c>
      <c r="C5005" s="50" t="s">
        <v>521</v>
      </c>
      <c r="D5005" s="50" t="s">
        <v>259</v>
      </c>
      <c r="E5005" s="50">
        <v>0</v>
      </c>
      <c r="F5005" s="51">
        <v>0.23746031288130598</v>
      </c>
      <c r="G5005" s="51" t="str">
        <v>吉田 2022/10/27 (木)
平日夜間</v>
      </c>
    </row>
    <row r="5006" spans="1:7" ht="16.149999999999999" x14ac:dyDescent="0.7">
      <c r="A5006" s="49">
        <v>44819.521981655096</v>
      </c>
      <c r="B5006" s="50" t="s">
        <v>16</v>
      </c>
      <c r="C5006" s="50" t="s">
        <v>522</v>
      </c>
      <c r="D5006" s="50" t="s">
        <v>259</v>
      </c>
      <c r="E5006" s="50">
        <v>0</v>
      </c>
      <c r="F5006" s="51">
        <v>9.9224808861903879E-2</v>
      </c>
      <c r="G5006" s="51" t="str">
        <v>吉田 2022/10/28 (金)
平日夜間</v>
      </c>
    </row>
    <row r="5007" spans="1:7" ht="16.149999999999999" x14ac:dyDescent="0.7">
      <c r="A5007" s="49">
        <v>44819.521981655096</v>
      </c>
      <c r="B5007" s="50" t="s">
        <v>16</v>
      </c>
      <c r="C5007" s="50" t="s">
        <v>523</v>
      </c>
      <c r="D5007" s="50" t="s">
        <v>263</v>
      </c>
      <c r="E5007" s="50">
        <v>0</v>
      </c>
      <c r="F5007" s="51">
        <v>0.67142624329150058</v>
      </c>
      <c r="G5007" s="51" t="str">
        <v>吉田 2022/10/29 (土)
休日午前</v>
      </c>
    </row>
    <row r="5008" spans="1:7" ht="16.149999999999999" x14ac:dyDescent="0.7">
      <c r="A5008" s="49">
        <v>44819.521981655096</v>
      </c>
      <c r="B5008" s="50" t="s">
        <v>16</v>
      </c>
      <c r="C5008" s="50" t="s">
        <v>524</v>
      </c>
      <c r="D5008" s="50" t="s">
        <v>261</v>
      </c>
      <c r="E5008" s="50">
        <v>0</v>
      </c>
      <c r="F5008" s="51">
        <v>0.65124822605177934</v>
      </c>
      <c r="G5008" s="51" t="str">
        <v>吉田 2022/10/29 (土)
休日午後</v>
      </c>
    </row>
    <row r="5009" spans="1:7" ht="16.149999999999999" x14ac:dyDescent="0.7">
      <c r="A5009" s="49">
        <v>44819.521981655096</v>
      </c>
      <c r="B5009" s="50" t="s">
        <v>16</v>
      </c>
      <c r="C5009" s="50" t="s">
        <v>525</v>
      </c>
      <c r="D5009" s="50" t="s">
        <v>263</v>
      </c>
      <c r="E5009" s="50">
        <v>0</v>
      </c>
      <c r="F5009" s="51">
        <v>0.15029539686548699</v>
      </c>
      <c r="G5009" s="51" t="str">
        <v>吉田 2022/10/30 (日)
休日午前</v>
      </c>
    </row>
    <row r="5010" spans="1:7" ht="16.149999999999999" x14ac:dyDescent="0.7">
      <c r="A5010" s="49">
        <v>44819.521981655096</v>
      </c>
      <c r="B5010" s="50" t="s">
        <v>16</v>
      </c>
      <c r="C5010" s="50" t="s">
        <v>526</v>
      </c>
      <c r="D5010" s="50" t="s">
        <v>261</v>
      </c>
      <c r="E5010" s="50">
        <v>0</v>
      </c>
      <c r="F5010" s="51">
        <v>0.60453952570000613</v>
      </c>
      <c r="G5010" s="51" t="str">
        <v>吉田 2022/10/30 (日)
休日午後</v>
      </c>
    </row>
    <row r="5011" spans="1:7" ht="16.149999999999999" x14ac:dyDescent="0.7">
      <c r="A5011" s="49">
        <v>44819.521981655096</v>
      </c>
      <c r="B5011" s="50" t="s">
        <v>16</v>
      </c>
      <c r="C5011" s="50" t="s">
        <v>527</v>
      </c>
      <c r="D5011" s="50" t="s">
        <v>259</v>
      </c>
      <c r="E5011" s="50">
        <v>0</v>
      </c>
      <c r="F5011" s="51">
        <v>0.78017288214311198</v>
      </c>
      <c r="G5011" s="51" t="str">
        <v>吉田 2022/10/31 (月)
平日夜間</v>
      </c>
    </row>
    <row r="5012" spans="1:7" ht="16.149999999999999" x14ac:dyDescent="0.7">
      <c r="A5012" s="49">
        <v>44819.852713599539</v>
      </c>
      <c r="B5012" s="50" t="s">
        <v>14</v>
      </c>
      <c r="C5012" s="50" t="s">
        <v>486</v>
      </c>
      <c r="D5012" s="50" t="s">
        <v>263</v>
      </c>
      <c r="E5012" s="50">
        <v>-1</v>
      </c>
      <c r="F5012" s="51">
        <v>-0.49615030005904281</v>
      </c>
      <c r="G5012" s="51" t="str">
        <v>林智 2022/10/01 (土)
休日午前</v>
      </c>
    </row>
    <row r="5013" spans="1:7" ht="16.149999999999999" x14ac:dyDescent="0.7">
      <c r="A5013" s="49">
        <v>44819.852713599539</v>
      </c>
      <c r="B5013" s="50" t="s">
        <v>14</v>
      </c>
      <c r="C5013" s="50" t="s">
        <v>487</v>
      </c>
      <c r="D5013" s="50" t="s">
        <v>261</v>
      </c>
      <c r="E5013" s="50">
        <v>-1</v>
      </c>
      <c r="F5013" s="51">
        <v>-0.74525277742110529</v>
      </c>
      <c r="G5013" s="51" t="str">
        <v>林智 2022/10/01 (土)
休日午後</v>
      </c>
    </row>
    <row r="5014" spans="1:7" ht="16.149999999999999" x14ac:dyDescent="0.7">
      <c r="A5014" s="49">
        <v>44819.852713599539</v>
      </c>
      <c r="B5014" s="50" t="s">
        <v>14</v>
      </c>
      <c r="C5014" s="50" t="s">
        <v>488</v>
      </c>
      <c r="D5014" s="50" t="s">
        <v>263</v>
      </c>
      <c r="E5014" s="50">
        <v>0</v>
      </c>
      <c r="F5014" s="51">
        <v>0.83390797148201146</v>
      </c>
      <c r="G5014" s="51" t="str">
        <v>林智 2022/10/02 (日)
休日午前</v>
      </c>
    </row>
    <row r="5015" spans="1:7" ht="16.149999999999999" x14ac:dyDescent="0.7">
      <c r="A5015" s="49">
        <v>44819.852713599539</v>
      </c>
      <c r="B5015" s="50" t="s">
        <v>14</v>
      </c>
      <c r="C5015" s="50" t="s">
        <v>489</v>
      </c>
      <c r="D5015" s="50" t="s">
        <v>261</v>
      </c>
      <c r="E5015" s="50">
        <v>2</v>
      </c>
      <c r="F5015" s="51">
        <v>2.8593851664573116</v>
      </c>
      <c r="G5015" s="51" t="str">
        <v>林智 2022/10/02 (日)
休日午後</v>
      </c>
    </row>
    <row r="5016" spans="1:7" ht="16.149999999999999" x14ac:dyDescent="0.7">
      <c r="A5016" s="49">
        <v>44819.852713599539</v>
      </c>
      <c r="B5016" s="50" t="s">
        <v>14</v>
      </c>
      <c r="C5016" s="50" t="s">
        <v>490</v>
      </c>
      <c r="D5016" s="50" t="s">
        <v>259</v>
      </c>
      <c r="E5016" s="50">
        <v>-1</v>
      </c>
      <c r="F5016" s="51">
        <v>-0.59618360637464529</v>
      </c>
      <c r="G5016" s="51" t="str">
        <v>林智 2022/10/03 (月)
平日夜間</v>
      </c>
    </row>
    <row r="5017" spans="1:7" ht="16.149999999999999" x14ac:dyDescent="0.7">
      <c r="A5017" s="49">
        <v>44819.852713599539</v>
      </c>
      <c r="B5017" s="50" t="s">
        <v>14</v>
      </c>
      <c r="C5017" s="50" t="s">
        <v>491</v>
      </c>
      <c r="D5017" s="50" t="s">
        <v>259</v>
      </c>
      <c r="E5017" s="50">
        <v>0</v>
      </c>
      <c r="F5017" s="51">
        <v>0.47553715243106165</v>
      </c>
      <c r="G5017" s="51" t="str">
        <v>林智 2022/10/04 (火)
平日夜間</v>
      </c>
    </row>
    <row r="5018" spans="1:7" ht="16.149999999999999" x14ac:dyDescent="0.7">
      <c r="A5018" s="49">
        <v>44819.852713599539</v>
      </c>
      <c r="B5018" s="50" t="s">
        <v>14</v>
      </c>
      <c r="C5018" s="50" t="s">
        <v>492</v>
      </c>
      <c r="D5018" s="50" t="s">
        <v>259</v>
      </c>
      <c r="E5018" s="50">
        <v>-1</v>
      </c>
      <c r="F5018" s="51">
        <v>-0.32201424832560632</v>
      </c>
      <c r="G5018" s="51" t="str">
        <v>林智 2022/10/05 (水)
平日夜間</v>
      </c>
    </row>
    <row r="5019" spans="1:7" ht="16.149999999999999" x14ac:dyDescent="0.7">
      <c r="A5019" s="49">
        <v>44819.852713599539</v>
      </c>
      <c r="B5019" s="50" t="s">
        <v>14</v>
      </c>
      <c r="C5019" s="50" t="s">
        <v>493</v>
      </c>
      <c r="D5019" s="50" t="s">
        <v>259</v>
      </c>
      <c r="E5019" s="50">
        <v>0</v>
      </c>
      <c r="F5019" s="51">
        <v>0.49917455571489833</v>
      </c>
      <c r="G5019" s="51" t="str">
        <v>林智 2022/10/06 (木)
平日夜間</v>
      </c>
    </row>
    <row r="5020" spans="1:7" ht="16.149999999999999" x14ac:dyDescent="0.7">
      <c r="A5020" s="49">
        <v>44819.852713599539</v>
      </c>
      <c r="B5020" s="50" t="s">
        <v>14</v>
      </c>
      <c r="C5020" s="50" t="s">
        <v>494</v>
      </c>
      <c r="D5020" s="50" t="s">
        <v>259</v>
      </c>
      <c r="E5020" s="50">
        <v>0</v>
      </c>
      <c r="F5020" s="51">
        <v>5.5332882540346295E-2</v>
      </c>
      <c r="G5020" s="51" t="str">
        <v>林智 2022/10/07 (金)
平日夜間</v>
      </c>
    </row>
    <row r="5021" spans="1:7" ht="16.149999999999999" x14ac:dyDescent="0.7">
      <c r="A5021" s="49">
        <v>44819.852713599539</v>
      </c>
      <c r="B5021" s="50" t="s">
        <v>14</v>
      </c>
      <c r="C5021" s="50" t="s">
        <v>495</v>
      </c>
      <c r="D5021" s="50" t="s">
        <v>263</v>
      </c>
      <c r="E5021" s="50">
        <v>0</v>
      </c>
      <c r="F5021" s="51">
        <v>0.94054597669318052</v>
      </c>
      <c r="G5021" s="51" t="str">
        <v>林智 2022/10/08 (土)
休日午前</v>
      </c>
    </row>
    <row r="5022" spans="1:7" ht="16.149999999999999" x14ac:dyDescent="0.7">
      <c r="A5022" s="49">
        <v>44819.852713599539</v>
      </c>
      <c r="B5022" s="50" t="s">
        <v>14</v>
      </c>
      <c r="C5022" s="50" t="s">
        <v>496</v>
      </c>
      <c r="D5022" s="50" t="s">
        <v>261</v>
      </c>
      <c r="E5022" s="50">
        <v>0</v>
      </c>
      <c r="F5022" s="51">
        <v>0.17697260698281747</v>
      </c>
      <c r="G5022" s="51" t="str">
        <v>林智 2022/10/08 (土)
休日午後</v>
      </c>
    </row>
    <row r="5023" spans="1:7" ht="16.149999999999999" x14ac:dyDescent="0.7">
      <c r="A5023" s="49">
        <v>44819.852713599539</v>
      </c>
      <c r="B5023" s="50" t="s">
        <v>14</v>
      </c>
      <c r="C5023" s="50" t="s">
        <v>497</v>
      </c>
      <c r="D5023" s="50" t="s">
        <v>263</v>
      </c>
      <c r="E5023" s="50">
        <v>-1</v>
      </c>
      <c r="F5023" s="51">
        <v>-0.86320054598641915</v>
      </c>
      <c r="G5023" s="51" t="str">
        <v>林智 2022/10/09 (日)
休日午前</v>
      </c>
    </row>
    <row r="5024" spans="1:7" ht="16.149999999999999" x14ac:dyDescent="0.7">
      <c r="A5024" s="49">
        <v>44819.852713599539</v>
      </c>
      <c r="B5024" s="50" t="s">
        <v>14</v>
      </c>
      <c r="C5024" s="50" t="s">
        <v>498</v>
      </c>
      <c r="D5024" s="50" t="s">
        <v>261</v>
      </c>
      <c r="E5024" s="50">
        <v>-1</v>
      </c>
      <c r="F5024" s="51">
        <v>-0.82654224234847229</v>
      </c>
      <c r="G5024" s="51" t="str">
        <v>林智 2022/10/09 (日)
休日午後</v>
      </c>
    </row>
    <row r="5025" spans="1:7" ht="16.149999999999999" x14ac:dyDescent="0.7">
      <c r="A5025" s="49">
        <v>44819.852713599539</v>
      </c>
      <c r="B5025" s="50" t="s">
        <v>14</v>
      </c>
      <c r="C5025" s="50" t="s">
        <v>499</v>
      </c>
      <c r="D5025" s="50" t="s">
        <v>263</v>
      </c>
      <c r="E5025" s="50">
        <v>-1</v>
      </c>
      <c r="F5025" s="51">
        <v>-0.38784318238916793</v>
      </c>
      <c r="G5025" s="51" t="str">
        <v>林智 2022/10/10 (月)
休日午前</v>
      </c>
    </row>
    <row r="5026" spans="1:7" ht="16.149999999999999" x14ac:dyDescent="0.7">
      <c r="A5026" s="49">
        <v>44819.852713599539</v>
      </c>
      <c r="B5026" s="50" t="s">
        <v>14</v>
      </c>
      <c r="C5026" s="50" t="s">
        <v>500</v>
      </c>
      <c r="D5026" s="50" t="s">
        <v>261</v>
      </c>
      <c r="E5026" s="50">
        <v>-1</v>
      </c>
      <c r="F5026" s="51">
        <v>-0.6321952422260968</v>
      </c>
      <c r="G5026" s="51" t="str">
        <v>林智 2022/10/10 (月)
休日午後</v>
      </c>
    </row>
    <row r="5027" spans="1:7" ht="16.149999999999999" x14ac:dyDescent="0.7">
      <c r="A5027" s="49">
        <v>44819.852713599539</v>
      </c>
      <c r="B5027" s="50" t="s">
        <v>14</v>
      </c>
      <c r="C5027" s="50" t="s">
        <v>501</v>
      </c>
      <c r="D5027" s="50" t="s">
        <v>259</v>
      </c>
      <c r="E5027" s="50">
        <v>0</v>
      </c>
      <c r="F5027" s="51">
        <v>0.60656158339727329</v>
      </c>
      <c r="G5027" s="51" t="str">
        <v>林智 2022/10/11 (火)
平日夜間</v>
      </c>
    </row>
    <row r="5028" spans="1:7" ht="16.149999999999999" x14ac:dyDescent="0.7">
      <c r="A5028" s="49">
        <v>44819.852713599539</v>
      </c>
      <c r="B5028" s="50" t="s">
        <v>14</v>
      </c>
      <c r="C5028" s="50" t="s">
        <v>502</v>
      </c>
      <c r="D5028" s="50" t="s">
        <v>259</v>
      </c>
      <c r="E5028" s="50">
        <v>0</v>
      </c>
      <c r="F5028" s="51">
        <v>0.79445064722416614</v>
      </c>
      <c r="G5028" s="51" t="str">
        <v>林智 2022/10/12 (水)
平日夜間</v>
      </c>
    </row>
    <row r="5029" spans="1:7" ht="16.149999999999999" x14ac:dyDescent="0.7">
      <c r="A5029" s="49">
        <v>44819.852713599539</v>
      </c>
      <c r="B5029" s="50" t="s">
        <v>14</v>
      </c>
      <c r="C5029" s="50" t="s">
        <v>503</v>
      </c>
      <c r="D5029" s="50" t="s">
        <v>259</v>
      </c>
      <c r="E5029" s="50">
        <v>0</v>
      </c>
      <c r="F5029" s="51">
        <v>0.29544032901926243</v>
      </c>
      <c r="G5029" s="51" t="str">
        <v>林智 2022/10/13 (木)
平日夜間</v>
      </c>
    </row>
    <row r="5030" spans="1:7" ht="16.149999999999999" x14ac:dyDescent="0.7">
      <c r="A5030" s="49">
        <v>44819.852713599539</v>
      </c>
      <c r="B5030" s="50" t="s">
        <v>14</v>
      </c>
      <c r="C5030" s="50" t="s">
        <v>504</v>
      </c>
      <c r="D5030" s="50" t="s">
        <v>259</v>
      </c>
      <c r="E5030" s="50">
        <v>-1</v>
      </c>
      <c r="F5030" s="51">
        <v>-0.40848456710743308</v>
      </c>
      <c r="G5030" s="51" t="str">
        <v>林智 2022/10/14 (金)
平日夜間</v>
      </c>
    </row>
    <row r="5031" spans="1:7" ht="16.149999999999999" x14ac:dyDescent="0.7">
      <c r="A5031" s="49">
        <v>44819.852713599539</v>
      </c>
      <c r="B5031" s="50" t="s">
        <v>14</v>
      </c>
      <c r="C5031" s="50" t="s">
        <v>505</v>
      </c>
      <c r="D5031" s="50" t="s">
        <v>263</v>
      </c>
      <c r="E5031" s="50">
        <v>-1</v>
      </c>
      <c r="F5031" s="51">
        <v>-0.9833866541505365</v>
      </c>
      <c r="G5031" s="51" t="str">
        <v>林智 2022/10/15 (土)
休日午前</v>
      </c>
    </row>
    <row r="5032" spans="1:7" ht="16.149999999999999" x14ac:dyDescent="0.7">
      <c r="A5032" s="49">
        <v>44819.852713599539</v>
      </c>
      <c r="B5032" s="50" t="s">
        <v>14</v>
      </c>
      <c r="C5032" s="50" t="s">
        <v>506</v>
      </c>
      <c r="D5032" s="50" t="s">
        <v>261</v>
      </c>
      <c r="E5032" s="50">
        <v>-1</v>
      </c>
      <c r="F5032" s="51">
        <v>-0.77840534802920058</v>
      </c>
      <c r="G5032" s="51" t="str">
        <v>林智 2022/10/15 (土)
休日午後</v>
      </c>
    </row>
    <row r="5033" spans="1:7" ht="16.149999999999999" x14ac:dyDescent="0.7">
      <c r="A5033" s="49">
        <v>44819.852713599539</v>
      </c>
      <c r="B5033" s="50" t="s">
        <v>14</v>
      </c>
      <c r="C5033" s="50" t="s">
        <v>507</v>
      </c>
      <c r="D5033" s="50" t="s">
        <v>263</v>
      </c>
      <c r="E5033" s="50">
        <v>-1</v>
      </c>
      <c r="F5033" s="51">
        <v>-0.68242365973475017</v>
      </c>
      <c r="G5033" s="51" t="str">
        <v>林智 2022/10/16 (日)
休日午前</v>
      </c>
    </row>
    <row r="5034" spans="1:7" ht="16.149999999999999" x14ac:dyDescent="0.7">
      <c r="A5034" s="49">
        <v>44819.852713599539</v>
      </c>
      <c r="B5034" s="50" t="s">
        <v>14</v>
      </c>
      <c r="C5034" s="50" t="s">
        <v>508</v>
      </c>
      <c r="D5034" s="50" t="s">
        <v>261</v>
      </c>
      <c r="E5034" s="50">
        <v>-1</v>
      </c>
      <c r="F5034" s="51">
        <v>-0.18428340873610649</v>
      </c>
      <c r="G5034" s="51" t="str">
        <v>林智 2022/10/16 (日)
休日午後</v>
      </c>
    </row>
    <row r="5035" spans="1:7" ht="16.149999999999999" x14ac:dyDescent="0.7">
      <c r="A5035" s="49">
        <v>44819.852713599539</v>
      </c>
      <c r="B5035" s="50" t="s">
        <v>14</v>
      </c>
      <c r="C5035" s="50" t="s">
        <v>509</v>
      </c>
      <c r="D5035" s="50" t="s">
        <v>259</v>
      </c>
      <c r="E5035" s="50">
        <v>-1</v>
      </c>
      <c r="F5035" s="51">
        <v>-0.43714069503460395</v>
      </c>
      <c r="G5035" s="51" t="str">
        <v>林智 2022/10/17 (月)
平日夜間</v>
      </c>
    </row>
    <row r="5036" spans="1:7" ht="16.149999999999999" x14ac:dyDescent="0.7">
      <c r="A5036" s="49">
        <v>44819.852713599539</v>
      </c>
      <c r="B5036" s="50" t="s">
        <v>14</v>
      </c>
      <c r="C5036" s="50" t="s">
        <v>510</v>
      </c>
      <c r="D5036" s="50" t="s">
        <v>259</v>
      </c>
      <c r="E5036" s="50">
        <v>-1</v>
      </c>
      <c r="F5036" s="51">
        <v>-0.73115539360445969</v>
      </c>
      <c r="G5036" s="51" t="str">
        <v>林智 2022/10/18 (火)
平日夜間</v>
      </c>
    </row>
    <row r="5037" spans="1:7" ht="16.149999999999999" x14ac:dyDescent="0.7">
      <c r="A5037" s="49">
        <v>44819.852713599539</v>
      </c>
      <c r="B5037" s="50" t="s">
        <v>14</v>
      </c>
      <c r="C5037" s="50" t="s">
        <v>511</v>
      </c>
      <c r="D5037" s="50" t="s">
        <v>259</v>
      </c>
      <c r="E5037" s="50">
        <v>-1</v>
      </c>
      <c r="F5037" s="51">
        <v>-0.24956714136220315</v>
      </c>
      <c r="G5037" s="51" t="str">
        <v>林智 2022/10/19 (水)
平日夜間</v>
      </c>
    </row>
    <row r="5038" spans="1:7" ht="16.149999999999999" x14ac:dyDescent="0.7">
      <c r="A5038" s="49">
        <v>44819.852713599539</v>
      </c>
      <c r="B5038" s="50" t="s">
        <v>14</v>
      </c>
      <c r="C5038" s="50" t="s">
        <v>512</v>
      </c>
      <c r="D5038" s="50" t="s">
        <v>259</v>
      </c>
      <c r="E5038" s="50">
        <v>-1</v>
      </c>
      <c r="F5038" s="51">
        <v>-0.84069327449959164</v>
      </c>
      <c r="G5038" s="51" t="str">
        <v>林智 2022/10/20 (木)
平日夜間</v>
      </c>
    </row>
    <row r="5039" spans="1:7" ht="16.149999999999999" x14ac:dyDescent="0.7">
      <c r="A5039" s="49">
        <v>44819.852713599539</v>
      </c>
      <c r="B5039" s="50" t="s">
        <v>14</v>
      </c>
      <c r="C5039" s="50" t="s">
        <v>513</v>
      </c>
      <c r="D5039" s="50" t="s">
        <v>259</v>
      </c>
      <c r="E5039" s="50">
        <v>-1</v>
      </c>
      <c r="F5039" s="51">
        <v>-0.20196912967417302</v>
      </c>
      <c r="G5039" s="51" t="str">
        <v>林智 2022/10/21 (金)
平日夜間</v>
      </c>
    </row>
    <row r="5040" spans="1:7" ht="16.149999999999999" x14ac:dyDescent="0.7">
      <c r="A5040" s="49">
        <v>44819.852713599539</v>
      </c>
      <c r="B5040" s="50" t="s">
        <v>14</v>
      </c>
      <c r="C5040" s="50" t="s">
        <v>514</v>
      </c>
      <c r="D5040" s="50" t="s">
        <v>263</v>
      </c>
      <c r="E5040" s="50">
        <v>-1</v>
      </c>
      <c r="F5040" s="51">
        <v>-0.93447161266960754</v>
      </c>
      <c r="G5040" s="51" t="str">
        <v>林智 2022/10/22 (土)
休日午前</v>
      </c>
    </row>
    <row r="5041" spans="1:7" ht="16.149999999999999" x14ac:dyDescent="0.7">
      <c r="A5041" s="49">
        <v>44819.852713599539</v>
      </c>
      <c r="B5041" s="50" t="s">
        <v>14</v>
      </c>
      <c r="C5041" s="50" t="s">
        <v>515</v>
      </c>
      <c r="D5041" s="50" t="s">
        <v>261</v>
      </c>
      <c r="E5041" s="50">
        <v>-1</v>
      </c>
      <c r="F5041" s="51">
        <v>-0.15825271050361822</v>
      </c>
      <c r="G5041" s="51" t="str">
        <v>林智 2022/10/22 (土)
休日午後</v>
      </c>
    </row>
    <row r="5042" spans="1:7" ht="16.149999999999999" x14ac:dyDescent="0.7">
      <c r="A5042" s="49">
        <v>44819.852713599539</v>
      </c>
      <c r="B5042" s="50" t="s">
        <v>14</v>
      </c>
      <c r="C5042" s="50" t="s">
        <v>516</v>
      </c>
      <c r="D5042" s="50" t="s">
        <v>263</v>
      </c>
      <c r="E5042" s="50">
        <v>-1</v>
      </c>
      <c r="F5042" s="51">
        <v>-0.46375235217179145</v>
      </c>
      <c r="G5042" s="51" t="str">
        <v>林智 2022/10/23 (日)
休日午前</v>
      </c>
    </row>
    <row r="5043" spans="1:7" ht="16.149999999999999" x14ac:dyDescent="0.7">
      <c r="A5043" s="49">
        <v>44819.852713599539</v>
      </c>
      <c r="B5043" s="50" t="s">
        <v>14</v>
      </c>
      <c r="C5043" s="50" t="s">
        <v>517</v>
      </c>
      <c r="D5043" s="50" t="s">
        <v>261</v>
      </c>
      <c r="E5043" s="50">
        <v>-1</v>
      </c>
      <c r="F5043" s="51">
        <v>-7.0411717631779336E-2</v>
      </c>
      <c r="G5043" s="51" t="str">
        <v>林智 2022/10/23 (日)
休日午後</v>
      </c>
    </row>
    <row r="5044" spans="1:7" ht="16.149999999999999" x14ac:dyDescent="0.7">
      <c r="A5044" s="49">
        <v>44819.852713599539</v>
      </c>
      <c r="B5044" s="50" t="s">
        <v>14</v>
      </c>
      <c r="C5044" s="50" t="s">
        <v>518</v>
      </c>
      <c r="D5044" s="50" t="s">
        <v>259</v>
      </c>
      <c r="E5044" s="50">
        <v>-1</v>
      </c>
      <c r="F5044" s="51">
        <v>-0.25987960688089973</v>
      </c>
      <c r="G5044" s="51" t="str">
        <v>林智 2022/10/24 (月)
平日夜間</v>
      </c>
    </row>
    <row r="5045" spans="1:7" ht="16.149999999999999" x14ac:dyDescent="0.7">
      <c r="A5045" s="49">
        <v>44819.852713599539</v>
      </c>
      <c r="B5045" s="50" t="s">
        <v>14</v>
      </c>
      <c r="C5045" s="50" t="s">
        <v>519</v>
      </c>
      <c r="D5045" s="50" t="s">
        <v>259</v>
      </c>
      <c r="E5045" s="50">
        <v>-1</v>
      </c>
      <c r="F5045" s="51">
        <v>-0.50598976809370644</v>
      </c>
      <c r="G5045" s="51" t="str">
        <v>林智 2022/10/25 (火)
平日夜間</v>
      </c>
    </row>
    <row r="5046" spans="1:7" ht="16.149999999999999" x14ac:dyDescent="0.7">
      <c r="A5046" s="49">
        <v>44819.852713599539</v>
      </c>
      <c r="B5046" s="50" t="s">
        <v>14</v>
      </c>
      <c r="C5046" s="50" t="s">
        <v>520</v>
      </c>
      <c r="D5046" s="50" t="s">
        <v>259</v>
      </c>
      <c r="E5046" s="50">
        <v>-1</v>
      </c>
      <c r="F5046" s="51">
        <v>-0.88012637302816343</v>
      </c>
      <c r="G5046" s="51" t="str">
        <v>林智 2022/10/26 (水)
平日夜間</v>
      </c>
    </row>
    <row r="5047" spans="1:7" ht="16.149999999999999" x14ac:dyDescent="0.7">
      <c r="A5047" s="49">
        <v>44819.852713599539</v>
      </c>
      <c r="B5047" s="50" t="s">
        <v>14</v>
      </c>
      <c r="C5047" s="50" t="s">
        <v>521</v>
      </c>
      <c r="D5047" s="50" t="s">
        <v>259</v>
      </c>
      <c r="E5047" s="50">
        <v>-1</v>
      </c>
      <c r="F5047" s="51">
        <v>-1.3068007129058978E-2</v>
      </c>
      <c r="G5047" s="51" t="str">
        <v>林智 2022/10/27 (木)
平日夜間</v>
      </c>
    </row>
    <row r="5048" spans="1:7" ht="16.149999999999999" x14ac:dyDescent="0.7">
      <c r="A5048" s="49">
        <v>44819.852713599539</v>
      </c>
      <c r="B5048" s="50" t="s">
        <v>14</v>
      </c>
      <c r="C5048" s="50" t="s">
        <v>522</v>
      </c>
      <c r="D5048" s="50" t="s">
        <v>259</v>
      </c>
      <c r="E5048" s="50">
        <v>-1</v>
      </c>
      <c r="F5048" s="51">
        <v>-0.63296976690916451</v>
      </c>
      <c r="G5048" s="51" t="str">
        <v>林智 2022/10/28 (金)
平日夜間</v>
      </c>
    </row>
    <row r="5049" spans="1:7" ht="16.149999999999999" x14ac:dyDescent="0.7">
      <c r="A5049" s="49">
        <v>44819.852713599539</v>
      </c>
      <c r="B5049" s="50" t="s">
        <v>14</v>
      </c>
      <c r="C5049" s="50" t="s">
        <v>523</v>
      </c>
      <c r="D5049" s="50" t="s">
        <v>263</v>
      </c>
      <c r="E5049" s="50">
        <v>0</v>
      </c>
      <c r="F5049" s="51">
        <v>0.85672372300231836</v>
      </c>
      <c r="G5049" s="51" t="str">
        <v>林智 2022/10/29 (土)
休日午前</v>
      </c>
    </row>
    <row r="5050" spans="1:7" ht="16.149999999999999" x14ac:dyDescent="0.7">
      <c r="A5050" s="49">
        <v>44819.852713599539</v>
      </c>
      <c r="B5050" s="50" t="s">
        <v>14</v>
      </c>
      <c r="C5050" s="50" t="s">
        <v>524</v>
      </c>
      <c r="D5050" s="50" t="s">
        <v>261</v>
      </c>
      <c r="E5050" s="50">
        <v>-1</v>
      </c>
      <c r="F5050" s="51">
        <v>-0.36441193331453814</v>
      </c>
      <c r="G5050" s="51" t="str">
        <v>林智 2022/10/29 (土)
休日午後</v>
      </c>
    </row>
    <row r="5051" spans="1:7" ht="16.149999999999999" x14ac:dyDescent="0.7">
      <c r="A5051" s="49">
        <v>44819.852713599539</v>
      </c>
      <c r="B5051" s="50" t="s">
        <v>14</v>
      </c>
      <c r="C5051" s="50" t="s">
        <v>525</v>
      </c>
      <c r="D5051" s="50" t="s">
        <v>263</v>
      </c>
      <c r="E5051" s="50">
        <v>-1</v>
      </c>
      <c r="F5051" s="51">
        <v>-0.4203925218775757</v>
      </c>
      <c r="G5051" s="51" t="str">
        <v>林智 2022/10/30 (日)
休日午前</v>
      </c>
    </row>
    <row r="5052" spans="1:7" ht="16.149999999999999" x14ac:dyDescent="0.7">
      <c r="A5052" s="49">
        <v>44819.852713599539</v>
      </c>
      <c r="B5052" s="50" t="s">
        <v>14</v>
      </c>
      <c r="C5052" s="50" t="s">
        <v>526</v>
      </c>
      <c r="D5052" s="50" t="s">
        <v>261</v>
      </c>
      <c r="E5052" s="50">
        <v>-1</v>
      </c>
      <c r="F5052" s="51">
        <v>-0.86122702559354325</v>
      </c>
      <c r="G5052" s="51" t="str">
        <v>林智 2022/10/30 (日)
休日午後</v>
      </c>
    </row>
    <row r="5053" spans="1:7" ht="16.149999999999999" x14ac:dyDescent="0.7">
      <c r="A5053" s="49">
        <v>44819.852713599539</v>
      </c>
      <c r="B5053" s="50" t="s">
        <v>14</v>
      </c>
      <c r="C5053" s="50" t="s">
        <v>527</v>
      </c>
      <c r="D5053" s="50" t="s">
        <v>259</v>
      </c>
      <c r="E5053" s="50">
        <v>0</v>
      </c>
      <c r="F5053" s="51">
        <v>0.25589298754846279</v>
      </c>
      <c r="G5053" s="51" t="str">
        <v>林智 2022/10/31 (月)
平日夜間</v>
      </c>
    </row>
    <row r="5054" spans="1:7" ht="16.149999999999999" x14ac:dyDescent="0.7">
      <c r="A5054" s="49">
        <v>44819.902645092589</v>
      </c>
      <c r="B5054" s="50" t="s">
        <v>11</v>
      </c>
      <c r="C5054" s="50" t="s">
        <v>486</v>
      </c>
      <c r="D5054" s="50" t="s">
        <v>263</v>
      </c>
      <c r="E5054" s="50">
        <v>1</v>
      </c>
      <c r="F5054" s="51">
        <v>1.0771855599857862</v>
      </c>
      <c r="G5054" s="51" t="str">
        <v>宮坂 2022/10/01 (土)
休日午前</v>
      </c>
    </row>
    <row r="5055" spans="1:7" ht="16.149999999999999" x14ac:dyDescent="0.7">
      <c r="A5055" s="49">
        <v>44819.902645092589</v>
      </c>
      <c r="B5055" s="50" t="s">
        <v>11</v>
      </c>
      <c r="C5055" s="50" t="s">
        <v>487</v>
      </c>
      <c r="D5055" s="50" t="s">
        <v>261</v>
      </c>
      <c r="E5055" s="50">
        <v>0</v>
      </c>
      <c r="F5055" s="51">
        <v>0.57825357085615403</v>
      </c>
      <c r="G5055" s="51" t="str">
        <v>宮坂 2022/10/01 (土)
休日午後</v>
      </c>
    </row>
    <row r="5056" spans="1:7" ht="16.149999999999999" x14ac:dyDescent="0.7">
      <c r="A5056" s="49">
        <v>44819.902645092589</v>
      </c>
      <c r="B5056" s="50" t="s">
        <v>11</v>
      </c>
      <c r="C5056" s="50" t="s">
        <v>488</v>
      </c>
      <c r="D5056" s="50" t="s">
        <v>263</v>
      </c>
      <c r="E5056" s="50">
        <v>1</v>
      </c>
      <c r="F5056" s="51">
        <v>1.7206156550383047</v>
      </c>
      <c r="G5056" s="51" t="str">
        <v>宮坂 2022/10/02 (日)
休日午前</v>
      </c>
    </row>
    <row r="5057" spans="1:7" ht="16.149999999999999" x14ac:dyDescent="0.7">
      <c r="A5057" s="49">
        <v>44819.902645092589</v>
      </c>
      <c r="B5057" s="50" t="s">
        <v>11</v>
      </c>
      <c r="C5057" s="50" t="s">
        <v>489</v>
      </c>
      <c r="D5057" s="50" t="s">
        <v>261</v>
      </c>
      <c r="E5057" s="50">
        <v>0</v>
      </c>
      <c r="F5057" s="51">
        <v>0.44149784625233113</v>
      </c>
      <c r="G5057" s="51" t="str">
        <v>宮坂 2022/10/02 (日)
休日午後</v>
      </c>
    </row>
    <row r="5058" spans="1:7" ht="16.149999999999999" x14ac:dyDescent="0.7">
      <c r="A5058" s="49">
        <v>44819.902645092589</v>
      </c>
      <c r="B5058" s="50" t="s">
        <v>11</v>
      </c>
      <c r="C5058" s="50" t="s">
        <v>490</v>
      </c>
      <c r="D5058" s="50" t="s">
        <v>259</v>
      </c>
      <c r="E5058" s="50">
        <v>0</v>
      </c>
      <c r="F5058" s="51">
        <v>0.85566724205479439</v>
      </c>
      <c r="G5058" s="51" t="str">
        <v>宮坂 2022/10/03 (月)
平日夜間</v>
      </c>
    </row>
    <row r="5059" spans="1:7" ht="16.149999999999999" x14ac:dyDescent="0.7">
      <c r="A5059" s="49">
        <v>44819.902645092589</v>
      </c>
      <c r="B5059" s="50" t="s">
        <v>11</v>
      </c>
      <c r="C5059" s="50" t="s">
        <v>491</v>
      </c>
      <c r="D5059" s="50" t="s">
        <v>259</v>
      </c>
      <c r="E5059" s="50">
        <v>0</v>
      </c>
      <c r="F5059" s="51">
        <v>0.24107749375268739</v>
      </c>
      <c r="G5059" s="51" t="str">
        <v>宮坂 2022/10/04 (火)
平日夜間</v>
      </c>
    </row>
    <row r="5060" spans="1:7" ht="16.149999999999999" x14ac:dyDescent="0.7">
      <c r="A5060" s="49">
        <v>44819.902645092589</v>
      </c>
      <c r="B5060" s="50" t="s">
        <v>11</v>
      </c>
      <c r="C5060" s="50" t="s">
        <v>492</v>
      </c>
      <c r="D5060" s="50" t="s">
        <v>259</v>
      </c>
      <c r="E5060" s="50">
        <v>0</v>
      </c>
      <c r="F5060" s="51">
        <v>0.52283446648342102</v>
      </c>
      <c r="G5060" s="51" t="str">
        <v>宮坂 2022/10/05 (水)
平日夜間</v>
      </c>
    </row>
    <row r="5061" spans="1:7" ht="16.149999999999999" x14ac:dyDescent="0.7">
      <c r="A5061" s="49">
        <v>44819.902645092589</v>
      </c>
      <c r="B5061" s="50" t="s">
        <v>11</v>
      </c>
      <c r="C5061" s="50" t="s">
        <v>493</v>
      </c>
      <c r="D5061" s="50" t="s">
        <v>259</v>
      </c>
      <c r="E5061" s="50">
        <v>0</v>
      </c>
      <c r="F5061" s="51">
        <v>3.9250099280569328E-2</v>
      </c>
      <c r="G5061" s="51" t="str">
        <v>宮坂 2022/10/06 (木)
平日夜間</v>
      </c>
    </row>
    <row r="5062" spans="1:7" ht="16.149999999999999" x14ac:dyDescent="0.7">
      <c r="A5062" s="49">
        <v>44819.902645092589</v>
      </c>
      <c r="B5062" s="50" t="s">
        <v>11</v>
      </c>
      <c r="C5062" s="50" t="s">
        <v>494</v>
      </c>
      <c r="D5062" s="50" t="s">
        <v>259</v>
      </c>
      <c r="E5062" s="50">
        <v>2</v>
      </c>
      <c r="F5062" s="51">
        <v>2.2883307663805521</v>
      </c>
      <c r="G5062" s="51" t="str">
        <v>宮坂 2022/10/07 (金)
平日夜間</v>
      </c>
    </row>
    <row r="5063" spans="1:7" ht="16.149999999999999" x14ac:dyDescent="0.7">
      <c r="A5063" s="49">
        <v>44819.902645092589</v>
      </c>
      <c r="B5063" s="50" t="s">
        <v>11</v>
      </c>
      <c r="C5063" s="50" t="s">
        <v>495</v>
      </c>
      <c r="D5063" s="50" t="s">
        <v>263</v>
      </c>
      <c r="E5063" s="50">
        <v>-1</v>
      </c>
      <c r="F5063" s="51">
        <v>-0.6929595408613165</v>
      </c>
      <c r="G5063" s="51" t="str">
        <v>宮坂 2022/10/08 (土)
休日午前</v>
      </c>
    </row>
    <row r="5064" spans="1:7" ht="16.149999999999999" x14ac:dyDescent="0.7">
      <c r="A5064" s="49">
        <v>44819.902645092589</v>
      </c>
      <c r="B5064" s="50" t="s">
        <v>11</v>
      </c>
      <c r="C5064" s="50" t="s">
        <v>496</v>
      </c>
      <c r="D5064" s="50" t="s">
        <v>261</v>
      </c>
      <c r="E5064" s="50">
        <v>-1</v>
      </c>
      <c r="F5064" s="51">
        <v>-0.79200205837442006</v>
      </c>
      <c r="G5064" s="51" t="str">
        <v>宮坂 2022/10/08 (土)
休日午後</v>
      </c>
    </row>
    <row r="5065" spans="1:7" ht="16.149999999999999" x14ac:dyDescent="0.7">
      <c r="A5065" s="49">
        <v>44819.902645092589</v>
      </c>
      <c r="B5065" s="50" t="s">
        <v>11</v>
      </c>
      <c r="C5065" s="50" t="s">
        <v>497</v>
      </c>
      <c r="D5065" s="50" t="s">
        <v>263</v>
      </c>
      <c r="E5065" s="50">
        <v>1</v>
      </c>
      <c r="F5065" s="51">
        <v>1.5949652064208548</v>
      </c>
      <c r="G5065" s="51" t="str">
        <v>宮坂 2022/10/09 (日)
休日午前</v>
      </c>
    </row>
    <row r="5066" spans="1:7" ht="16.149999999999999" x14ac:dyDescent="0.7">
      <c r="A5066" s="49">
        <v>44819.902645092589</v>
      </c>
      <c r="B5066" s="50" t="s">
        <v>11</v>
      </c>
      <c r="C5066" s="50" t="s">
        <v>498</v>
      </c>
      <c r="D5066" s="50" t="s">
        <v>261</v>
      </c>
      <c r="E5066" s="50">
        <v>0</v>
      </c>
      <c r="F5066" s="51">
        <v>0.69376768028164548</v>
      </c>
      <c r="G5066" s="51" t="str">
        <v>宮坂 2022/10/09 (日)
休日午後</v>
      </c>
    </row>
    <row r="5067" spans="1:7" ht="16.149999999999999" x14ac:dyDescent="0.7">
      <c r="A5067" s="49">
        <v>44819.902645092589</v>
      </c>
      <c r="B5067" s="50" t="s">
        <v>11</v>
      </c>
      <c r="C5067" s="50" t="s">
        <v>499</v>
      </c>
      <c r="D5067" s="50" t="s">
        <v>263</v>
      </c>
      <c r="E5067" s="50">
        <v>1</v>
      </c>
      <c r="F5067" s="51">
        <v>1.2381819585208054</v>
      </c>
      <c r="G5067" s="51" t="str">
        <v>宮坂 2022/10/10 (月)
休日午前</v>
      </c>
    </row>
    <row r="5068" spans="1:7" ht="16.149999999999999" x14ac:dyDescent="0.7">
      <c r="A5068" s="49">
        <v>44819.902645092589</v>
      </c>
      <c r="B5068" s="50" t="s">
        <v>11</v>
      </c>
      <c r="C5068" s="50" t="s">
        <v>500</v>
      </c>
      <c r="D5068" s="50" t="s">
        <v>261</v>
      </c>
      <c r="E5068" s="50">
        <v>0</v>
      </c>
      <c r="F5068" s="51">
        <v>0.60761023635793165</v>
      </c>
      <c r="G5068" s="51" t="str">
        <v>宮坂 2022/10/10 (月)
休日午後</v>
      </c>
    </row>
    <row r="5069" spans="1:7" ht="16.149999999999999" x14ac:dyDescent="0.7">
      <c r="A5069" s="49">
        <v>44819.902645092589</v>
      </c>
      <c r="B5069" s="50" t="s">
        <v>11</v>
      </c>
      <c r="C5069" s="50" t="s">
        <v>501</v>
      </c>
      <c r="D5069" s="50" t="s">
        <v>259</v>
      </c>
      <c r="E5069" s="50">
        <v>0</v>
      </c>
      <c r="F5069" s="51">
        <v>0.35394585035331527</v>
      </c>
      <c r="G5069" s="51" t="str">
        <v>宮坂 2022/10/11 (火)
平日夜間</v>
      </c>
    </row>
    <row r="5070" spans="1:7" ht="16.149999999999999" x14ac:dyDescent="0.7">
      <c r="A5070" s="49">
        <v>44819.902645092589</v>
      </c>
      <c r="B5070" s="50" t="s">
        <v>11</v>
      </c>
      <c r="C5070" s="50" t="s">
        <v>502</v>
      </c>
      <c r="D5070" s="50" t="s">
        <v>259</v>
      </c>
      <c r="E5070" s="50">
        <v>0</v>
      </c>
      <c r="F5070" s="51">
        <v>0.1229398094164007</v>
      </c>
      <c r="G5070" s="51" t="str">
        <v>宮坂 2022/10/12 (水)
平日夜間</v>
      </c>
    </row>
    <row r="5071" spans="1:7" ht="16.149999999999999" x14ac:dyDescent="0.7">
      <c r="A5071" s="49">
        <v>44819.902645092589</v>
      </c>
      <c r="B5071" s="50" t="s">
        <v>11</v>
      </c>
      <c r="C5071" s="50" t="s">
        <v>503</v>
      </c>
      <c r="D5071" s="50" t="s">
        <v>259</v>
      </c>
      <c r="E5071" s="50">
        <v>0</v>
      </c>
      <c r="F5071" s="51">
        <v>0.72030532243847234</v>
      </c>
      <c r="G5071" s="51" t="str">
        <v>宮坂 2022/10/13 (木)
平日夜間</v>
      </c>
    </row>
    <row r="5072" spans="1:7" ht="16.149999999999999" x14ac:dyDescent="0.7">
      <c r="A5072" s="49">
        <v>44819.902645092589</v>
      </c>
      <c r="B5072" s="50" t="s">
        <v>11</v>
      </c>
      <c r="C5072" s="50" t="s">
        <v>504</v>
      </c>
      <c r="D5072" s="50" t="s">
        <v>259</v>
      </c>
      <c r="E5072" s="50">
        <v>1</v>
      </c>
      <c r="F5072" s="51">
        <v>1.7226556688014216</v>
      </c>
      <c r="G5072" s="51" t="str">
        <v>宮坂 2022/10/14 (金)
平日夜間</v>
      </c>
    </row>
    <row r="5073" spans="1:7" ht="16.149999999999999" x14ac:dyDescent="0.7">
      <c r="A5073" s="49">
        <v>44819.902645092589</v>
      </c>
      <c r="B5073" s="50" t="s">
        <v>11</v>
      </c>
      <c r="C5073" s="50" t="s">
        <v>505</v>
      </c>
      <c r="D5073" s="50" t="s">
        <v>263</v>
      </c>
      <c r="E5073" s="50">
        <v>1</v>
      </c>
      <c r="F5073" s="51">
        <v>1.0262409477393366</v>
      </c>
      <c r="G5073" s="51" t="str">
        <v>宮坂 2022/10/15 (土)
休日午前</v>
      </c>
    </row>
    <row r="5074" spans="1:7" ht="16.149999999999999" x14ac:dyDescent="0.7">
      <c r="A5074" s="49">
        <v>44819.902645092589</v>
      </c>
      <c r="B5074" s="50" t="s">
        <v>11</v>
      </c>
      <c r="C5074" s="50" t="s">
        <v>506</v>
      </c>
      <c r="D5074" s="50" t="s">
        <v>261</v>
      </c>
      <c r="E5074" s="50">
        <v>0</v>
      </c>
      <c r="F5074" s="51">
        <v>0.41932986167581077</v>
      </c>
      <c r="G5074" s="51" t="str">
        <v>宮坂 2022/10/15 (土)
休日午後</v>
      </c>
    </row>
    <row r="5075" spans="1:7" ht="16.149999999999999" x14ac:dyDescent="0.7">
      <c r="A5075" s="49">
        <v>44819.902645092589</v>
      </c>
      <c r="B5075" s="50" t="s">
        <v>11</v>
      </c>
      <c r="C5075" s="50" t="s">
        <v>507</v>
      </c>
      <c r="D5075" s="50" t="s">
        <v>263</v>
      </c>
      <c r="E5075" s="50">
        <v>1</v>
      </c>
      <c r="F5075" s="51">
        <v>1.0290915270383436</v>
      </c>
      <c r="G5075" s="51" t="str">
        <v>宮坂 2022/10/16 (日)
休日午前</v>
      </c>
    </row>
    <row r="5076" spans="1:7" ht="16.149999999999999" x14ac:dyDescent="0.7">
      <c r="A5076" s="49">
        <v>44819.902645092589</v>
      </c>
      <c r="B5076" s="50" t="s">
        <v>11</v>
      </c>
      <c r="C5076" s="50" t="s">
        <v>508</v>
      </c>
      <c r="D5076" s="50" t="s">
        <v>261</v>
      </c>
      <c r="E5076" s="50">
        <v>0</v>
      </c>
      <c r="F5076" s="51">
        <v>0.52232848555444433</v>
      </c>
      <c r="G5076" s="51" t="str">
        <v>宮坂 2022/10/16 (日)
休日午後</v>
      </c>
    </row>
    <row r="5077" spans="1:7" ht="16.149999999999999" x14ac:dyDescent="0.7">
      <c r="A5077" s="49">
        <v>44819.902645092589</v>
      </c>
      <c r="B5077" s="50" t="s">
        <v>11</v>
      </c>
      <c r="C5077" s="50" t="s">
        <v>509</v>
      </c>
      <c r="D5077" s="50" t="s">
        <v>259</v>
      </c>
      <c r="E5077" s="50">
        <v>0</v>
      </c>
      <c r="F5077" s="51">
        <v>0.60343230923001867</v>
      </c>
      <c r="G5077" s="51" t="str">
        <v>宮坂 2022/10/17 (月)
平日夜間</v>
      </c>
    </row>
    <row r="5078" spans="1:7" ht="16.149999999999999" x14ac:dyDescent="0.7">
      <c r="A5078" s="49">
        <v>44819.902645092589</v>
      </c>
      <c r="B5078" s="50" t="s">
        <v>11</v>
      </c>
      <c r="C5078" s="50" t="s">
        <v>510</v>
      </c>
      <c r="D5078" s="50" t="s">
        <v>259</v>
      </c>
      <c r="E5078" s="50">
        <v>0</v>
      </c>
      <c r="F5078" s="51">
        <v>0.55403918870495517</v>
      </c>
      <c r="G5078" s="51" t="str">
        <v>宮坂 2022/10/18 (火)
平日夜間</v>
      </c>
    </row>
    <row r="5079" spans="1:7" ht="16.149999999999999" x14ac:dyDescent="0.7">
      <c r="A5079" s="49">
        <v>44819.902645092589</v>
      </c>
      <c r="B5079" s="50" t="s">
        <v>11</v>
      </c>
      <c r="C5079" s="50" t="s">
        <v>511</v>
      </c>
      <c r="D5079" s="50" t="s">
        <v>259</v>
      </c>
      <c r="E5079" s="50">
        <v>0</v>
      </c>
      <c r="F5079" s="51">
        <v>0.85566411010915622</v>
      </c>
      <c r="G5079" s="51" t="str">
        <v>宮坂 2022/10/19 (水)
平日夜間</v>
      </c>
    </row>
    <row r="5080" spans="1:7" ht="16.149999999999999" x14ac:dyDescent="0.7">
      <c r="A5080" s="49">
        <v>44819.902645092589</v>
      </c>
      <c r="B5080" s="50" t="s">
        <v>11</v>
      </c>
      <c r="C5080" s="50" t="s">
        <v>512</v>
      </c>
      <c r="D5080" s="50" t="s">
        <v>259</v>
      </c>
      <c r="E5080" s="50">
        <v>0</v>
      </c>
      <c r="F5080" s="51">
        <v>0.63841425893491555</v>
      </c>
      <c r="G5080" s="51" t="str">
        <v>宮坂 2022/10/20 (木)
平日夜間</v>
      </c>
    </row>
    <row r="5081" spans="1:7" ht="16.149999999999999" x14ac:dyDescent="0.7">
      <c r="A5081" s="49">
        <v>44819.902645092589</v>
      </c>
      <c r="B5081" s="50" t="s">
        <v>11</v>
      </c>
      <c r="C5081" s="50" t="s">
        <v>513</v>
      </c>
      <c r="D5081" s="50" t="s">
        <v>259</v>
      </c>
      <c r="E5081" s="50">
        <v>1</v>
      </c>
      <c r="F5081" s="51">
        <v>1.2883054249351604</v>
      </c>
      <c r="G5081" s="51" t="str">
        <v>宮坂 2022/10/21 (金)
平日夜間</v>
      </c>
    </row>
    <row r="5082" spans="1:7" ht="16.149999999999999" x14ac:dyDescent="0.7">
      <c r="A5082" s="49">
        <v>44819.902645092589</v>
      </c>
      <c r="B5082" s="50" t="s">
        <v>11</v>
      </c>
      <c r="C5082" s="50" t="s">
        <v>514</v>
      </c>
      <c r="D5082" s="50" t="s">
        <v>263</v>
      </c>
      <c r="E5082" s="50">
        <v>1</v>
      </c>
      <c r="F5082" s="51">
        <v>1.9523583768983099</v>
      </c>
      <c r="G5082" s="51" t="str">
        <v>宮坂 2022/10/22 (土)
休日午前</v>
      </c>
    </row>
    <row r="5083" spans="1:7" ht="16.149999999999999" x14ac:dyDescent="0.7">
      <c r="A5083" s="49">
        <v>44819.902645092589</v>
      </c>
      <c r="B5083" s="50" t="s">
        <v>11</v>
      </c>
      <c r="C5083" s="50" t="s">
        <v>515</v>
      </c>
      <c r="D5083" s="50" t="s">
        <v>261</v>
      </c>
      <c r="E5083" s="50">
        <v>0</v>
      </c>
      <c r="F5083" s="51">
        <v>0.77591091237608767</v>
      </c>
      <c r="G5083" s="51" t="str">
        <v>宮坂 2022/10/22 (土)
休日午後</v>
      </c>
    </row>
    <row r="5084" spans="1:7" ht="16.149999999999999" x14ac:dyDescent="0.7">
      <c r="A5084" s="49">
        <v>44819.902645092589</v>
      </c>
      <c r="B5084" s="50" t="s">
        <v>11</v>
      </c>
      <c r="C5084" s="50" t="s">
        <v>516</v>
      </c>
      <c r="D5084" s="50" t="s">
        <v>263</v>
      </c>
      <c r="E5084" s="50">
        <v>1</v>
      </c>
      <c r="F5084" s="51">
        <v>1.5650633153422646</v>
      </c>
      <c r="G5084" s="51" t="str">
        <v>宮坂 2022/10/23 (日)
休日午前</v>
      </c>
    </row>
    <row r="5085" spans="1:7" ht="16.149999999999999" x14ac:dyDescent="0.7">
      <c r="A5085" s="49">
        <v>44819.902645092589</v>
      </c>
      <c r="B5085" s="50" t="s">
        <v>11</v>
      </c>
      <c r="C5085" s="50" t="s">
        <v>517</v>
      </c>
      <c r="D5085" s="50" t="s">
        <v>261</v>
      </c>
      <c r="E5085" s="50">
        <v>0</v>
      </c>
      <c r="F5085" s="51">
        <v>1.1074820911760375E-2</v>
      </c>
      <c r="G5085" s="51" t="str">
        <v>宮坂 2022/10/23 (日)
休日午後</v>
      </c>
    </row>
    <row r="5086" spans="1:7" ht="16.149999999999999" x14ac:dyDescent="0.7">
      <c r="A5086" s="49">
        <v>44819.902645092589</v>
      </c>
      <c r="B5086" s="50" t="s">
        <v>11</v>
      </c>
      <c r="C5086" s="50" t="s">
        <v>518</v>
      </c>
      <c r="D5086" s="50" t="s">
        <v>259</v>
      </c>
      <c r="E5086" s="50">
        <v>0</v>
      </c>
      <c r="F5086" s="51">
        <v>0.87461904323834183</v>
      </c>
      <c r="G5086" s="51" t="str">
        <v>宮坂 2022/10/24 (月)
平日夜間</v>
      </c>
    </row>
    <row r="5087" spans="1:7" ht="16.149999999999999" x14ac:dyDescent="0.7">
      <c r="A5087" s="49">
        <v>44819.902645092589</v>
      </c>
      <c r="B5087" s="50" t="s">
        <v>11</v>
      </c>
      <c r="C5087" s="50" t="s">
        <v>519</v>
      </c>
      <c r="D5087" s="50" t="s">
        <v>259</v>
      </c>
      <c r="E5087" s="50">
        <v>0</v>
      </c>
      <c r="F5087" s="51">
        <v>0.62807267810413503</v>
      </c>
      <c r="G5087" s="51" t="str">
        <v>宮坂 2022/10/25 (火)
平日夜間</v>
      </c>
    </row>
    <row r="5088" spans="1:7" ht="16.149999999999999" x14ac:dyDescent="0.7">
      <c r="A5088" s="49">
        <v>44819.902645092589</v>
      </c>
      <c r="B5088" s="50" t="s">
        <v>11</v>
      </c>
      <c r="C5088" s="50" t="s">
        <v>520</v>
      </c>
      <c r="D5088" s="50" t="s">
        <v>259</v>
      </c>
      <c r="E5088" s="50">
        <v>0</v>
      </c>
      <c r="F5088" s="51">
        <v>0.59246741632085809</v>
      </c>
      <c r="G5088" s="51" t="str">
        <v>宮坂 2022/10/26 (水)
平日夜間</v>
      </c>
    </row>
    <row r="5089" spans="1:7" ht="16.149999999999999" x14ac:dyDescent="0.7">
      <c r="A5089" s="49">
        <v>44819.902645092589</v>
      </c>
      <c r="B5089" s="50" t="s">
        <v>11</v>
      </c>
      <c r="C5089" s="50" t="s">
        <v>521</v>
      </c>
      <c r="D5089" s="50" t="s">
        <v>259</v>
      </c>
      <c r="E5089" s="50">
        <v>0</v>
      </c>
      <c r="F5089" s="51">
        <v>0.53265055977952436</v>
      </c>
      <c r="G5089" s="51" t="str">
        <v>宮坂 2022/10/27 (木)
平日夜間</v>
      </c>
    </row>
    <row r="5090" spans="1:7" ht="16.149999999999999" x14ac:dyDescent="0.7">
      <c r="A5090" s="49">
        <v>44819.902645092589</v>
      </c>
      <c r="B5090" s="50" t="s">
        <v>11</v>
      </c>
      <c r="C5090" s="50" t="s">
        <v>522</v>
      </c>
      <c r="D5090" s="50" t="s">
        <v>259</v>
      </c>
      <c r="E5090" s="50">
        <v>1</v>
      </c>
      <c r="F5090" s="51">
        <v>1.4816011659459158</v>
      </c>
      <c r="G5090" s="51" t="str">
        <v>宮坂 2022/10/28 (金)
平日夜間</v>
      </c>
    </row>
    <row r="5091" spans="1:7" ht="16.149999999999999" x14ac:dyDescent="0.7">
      <c r="A5091" s="49">
        <v>44819.902645092589</v>
      </c>
      <c r="B5091" s="50" t="s">
        <v>11</v>
      </c>
      <c r="C5091" s="50" t="s">
        <v>523</v>
      </c>
      <c r="D5091" s="50" t="s">
        <v>263</v>
      </c>
      <c r="E5091" s="50">
        <v>1</v>
      </c>
      <c r="F5091" s="51">
        <v>1.5781090710942385</v>
      </c>
      <c r="G5091" s="51" t="str">
        <v>宮坂 2022/10/29 (土)
休日午前</v>
      </c>
    </row>
    <row r="5092" spans="1:7" ht="16.149999999999999" x14ac:dyDescent="0.7">
      <c r="A5092" s="49">
        <v>44819.902645092589</v>
      </c>
      <c r="B5092" s="50" t="s">
        <v>11</v>
      </c>
      <c r="C5092" s="50" t="s">
        <v>524</v>
      </c>
      <c r="D5092" s="50" t="s">
        <v>261</v>
      </c>
      <c r="E5092" s="50">
        <v>-1</v>
      </c>
      <c r="F5092" s="51">
        <v>-6.2396634045510879E-2</v>
      </c>
      <c r="G5092" s="51" t="str">
        <v>宮坂 2022/10/29 (土)
休日午後</v>
      </c>
    </row>
    <row r="5093" spans="1:7" ht="16.149999999999999" x14ac:dyDescent="0.7">
      <c r="A5093" s="49">
        <v>44819.902645092589</v>
      </c>
      <c r="B5093" s="50" t="s">
        <v>11</v>
      </c>
      <c r="C5093" s="50" t="s">
        <v>525</v>
      </c>
      <c r="D5093" s="50" t="s">
        <v>263</v>
      </c>
      <c r="E5093" s="50">
        <v>-1</v>
      </c>
      <c r="F5093" s="51">
        <v>-0.14002481108884779</v>
      </c>
      <c r="G5093" s="51" t="str">
        <v>宮坂 2022/10/30 (日)
休日午前</v>
      </c>
    </row>
    <row r="5094" spans="1:7" ht="16.149999999999999" x14ac:dyDescent="0.7">
      <c r="A5094" s="49">
        <v>44819.902645092589</v>
      </c>
      <c r="B5094" s="50" t="s">
        <v>11</v>
      </c>
      <c r="C5094" s="50" t="s">
        <v>526</v>
      </c>
      <c r="D5094" s="50" t="s">
        <v>261</v>
      </c>
      <c r="E5094" s="50">
        <v>-1</v>
      </c>
      <c r="F5094" s="51">
        <v>-8.8862208005886067E-2</v>
      </c>
      <c r="G5094" s="51" t="str">
        <v>宮坂 2022/10/30 (日)
休日午後</v>
      </c>
    </row>
    <row r="5095" spans="1:7" ht="16.149999999999999" x14ac:dyDescent="0.7">
      <c r="A5095" s="49">
        <v>44819.902645092589</v>
      </c>
      <c r="B5095" s="50" t="s">
        <v>11</v>
      </c>
      <c r="C5095" s="50" t="s">
        <v>527</v>
      </c>
      <c r="D5095" s="50" t="s">
        <v>259</v>
      </c>
      <c r="E5095" s="50">
        <v>0</v>
      </c>
      <c r="F5095" s="51">
        <v>0.94367656342335193</v>
      </c>
      <c r="G5095" s="51" t="str">
        <v>宮坂 2022/10/31 (月)
平日夜間</v>
      </c>
    </row>
    <row r="5096" spans="1:7" ht="16.149999999999999" x14ac:dyDescent="0.7">
      <c r="A5096" s="49">
        <v>44820.287631087966</v>
      </c>
      <c r="B5096" s="50" t="s">
        <v>10</v>
      </c>
      <c r="C5096" s="50" t="s">
        <v>486</v>
      </c>
      <c r="D5096" s="50" t="s">
        <v>263</v>
      </c>
      <c r="E5096" s="50">
        <v>0</v>
      </c>
      <c r="F5096" s="51">
        <v>0.30526056282393443</v>
      </c>
      <c r="G5096" s="51" t="str">
        <v>福井 2022/10/01 (土)
休日午前</v>
      </c>
    </row>
    <row r="5097" spans="1:7" ht="16.149999999999999" x14ac:dyDescent="0.7">
      <c r="A5097" s="49">
        <v>44820.287631087966</v>
      </c>
      <c r="B5097" s="50" t="s">
        <v>10</v>
      </c>
      <c r="C5097" s="50" t="s">
        <v>487</v>
      </c>
      <c r="D5097" s="50" t="s">
        <v>261</v>
      </c>
      <c r="E5097" s="50">
        <v>0</v>
      </c>
      <c r="F5097" s="51">
        <v>7.7693923421576105E-2</v>
      </c>
      <c r="G5097" s="51" t="str">
        <v>福井 2022/10/01 (土)
休日午後</v>
      </c>
    </row>
    <row r="5098" spans="1:7" ht="16.149999999999999" x14ac:dyDescent="0.7">
      <c r="A5098" s="49">
        <v>44820.287631087966</v>
      </c>
      <c r="B5098" s="50" t="s">
        <v>10</v>
      </c>
      <c r="C5098" s="50" t="s">
        <v>488</v>
      </c>
      <c r="D5098" s="50" t="s">
        <v>263</v>
      </c>
      <c r="E5098" s="50">
        <v>0</v>
      </c>
      <c r="F5098" s="51">
        <v>0.2780236131121756</v>
      </c>
      <c r="G5098" s="51" t="str">
        <v>福井 2022/10/02 (日)
休日午前</v>
      </c>
    </row>
    <row r="5099" spans="1:7" ht="16.149999999999999" x14ac:dyDescent="0.7">
      <c r="A5099" s="49">
        <v>44820.287631087966</v>
      </c>
      <c r="B5099" s="50" t="s">
        <v>10</v>
      </c>
      <c r="C5099" s="50" t="s">
        <v>489</v>
      </c>
      <c r="D5099" s="50" t="s">
        <v>261</v>
      </c>
      <c r="E5099" s="50">
        <v>0</v>
      </c>
      <c r="F5099" s="51">
        <v>0.8150236031114626</v>
      </c>
      <c r="G5099" s="51" t="str">
        <v>福井 2022/10/02 (日)
休日午後</v>
      </c>
    </row>
    <row r="5100" spans="1:7" ht="16.149999999999999" x14ac:dyDescent="0.7">
      <c r="A5100" s="49">
        <v>44820.287631087966</v>
      </c>
      <c r="B5100" s="50" t="s">
        <v>10</v>
      </c>
      <c r="C5100" s="50" t="s">
        <v>490</v>
      </c>
      <c r="D5100" s="50" t="s">
        <v>259</v>
      </c>
      <c r="E5100" s="50">
        <v>0</v>
      </c>
      <c r="F5100" s="51">
        <v>0.50483800038039472</v>
      </c>
      <c r="G5100" s="51" t="str">
        <v>福井 2022/10/03 (月)
平日夜間</v>
      </c>
    </row>
    <row r="5101" spans="1:7" ht="16.149999999999999" x14ac:dyDescent="0.7">
      <c r="A5101" s="49">
        <v>44820.287631087966</v>
      </c>
      <c r="B5101" s="50" t="s">
        <v>10</v>
      </c>
      <c r="C5101" s="50" t="s">
        <v>491</v>
      </c>
      <c r="D5101" s="50" t="s">
        <v>259</v>
      </c>
      <c r="E5101" s="50">
        <v>-1</v>
      </c>
      <c r="F5101" s="51">
        <v>-0.46989788572569768</v>
      </c>
      <c r="G5101" s="51" t="str">
        <v>福井 2022/10/04 (火)
平日夜間</v>
      </c>
    </row>
    <row r="5102" spans="1:7" ht="16.149999999999999" x14ac:dyDescent="0.7">
      <c r="A5102" s="49">
        <v>44820.287631087966</v>
      </c>
      <c r="B5102" s="50" t="s">
        <v>10</v>
      </c>
      <c r="C5102" s="50" t="s">
        <v>492</v>
      </c>
      <c r="D5102" s="50" t="s">
        <v>259</v>
      </c>
      <c r="E5102" s="50">
        <v>0</v>
      </c>
      <c r="F5102" s="51">
        <v>0.9145412354674336</v>
      </c>
      <c r="G5102" s="51" t="str">
        <v>福井 2022/10/05 (水)
平日夜間</v>
      </c>
    </row>
    <row r="5103" spans="1:7" ht="16.149999999999999" x14ac:dyDescent="0.7">
      <c r="A5103" s="49">
        <v>44820.287631087966</v>
      </c>
      <c r="B5103" s="50" t="s">
        <v>10</v>
      </c>
      <c r="C5103" s="50" t="s">
        <v>493</v>
      </c>
      <c r="D5103" s="50" t="s">
        <v>259</v>
      </c>
      <c r="E5103" s="50">
        <v>0</v>
      </c>
      <c r="F5103" s="51">
        <v>0.21026174373419448</v>
      </c>
      <c r="G5103" s="51" t="str">
        <v>福井 2022/10/06 (木)
平日夜間</v>
      </c>
    </row>
    <row r="5104" spans="1:7" ht="16.149999999999999" x14ac:dyDescent="0.7">
      <c r="A5104" s="49">
        <v>44820.287631087966</v>
      </c>
      <c r="B5104" s="50" t="s">
        <v>10</v>
      </c>
      <c r="C5104" s="50" t="s">
        <v>494</v>
      </c>
      <c r="D5104" s="50" t="s">
        <v>259</v>
      </c>
      <c r="E5104" s="50">
        <v>0</v>
      </c>
      <c r="F5104" s="51">
        <v>0.13673043101929827</v>
      </c>
      <c r="G5104" s="51" t="str">
        <v>福井 2022/10/07 (金)
平日夜間</v>
      </c>
    </row>
    <row r="5105" spans="1:7" ht="16.149999999999999" x14ac:dyDescent="0.7">
      <c r="A5105" s="49">
        <v>44820.287631087966</v>
      </c>
      <c r="B5105" s="50" t="s">
        <v>10</v>
      </c>
      <c r="C5105" s="50" t="s">
        <v>495</v>
      </c>
      <c r="D5105" s="50" t="s">
        <v>263</v>
      </c>
      <c r="E5105" s="50">
        <v>-1</v>
      </c>
      <c r="F5105" s="51">
        <v>-0.40866547743862358</v>
      </c>
      <c r="G5105" s="51" t="str">
        <v>福井 2022/10/08 (土)
休日午前</v>
      </c>
    </row>
    <row r="5106" spans="1:7" ht="16.149999999999999" x14ac:dyDescent="0.7">
      <c r="A5106" s="49">
        <v>44820.287631087966</v>
      </c>
      <c r="B5106" s="50" t="s">
        <v>10</v>
      </c>
      <c r="C5106" s="50" t="s">
        <v>496</v>
      </c>
      <c r="D5106" s="50" t="s">
        <v>261</v>
      </c>
      <c r="E5106" s="50">
        <v>2</v>
      </c>
      <c r="F5106" s="51">
        <v>2.1779508115414918</v>
      </c>
      <c r="G5106" s="51" t="str">
        <v>福井 2022/10/08 (土)
休日午後</v>
      </c>
    </row>
    <row r="5107" spans="1:7" ht="16.149999999999999" x14ac:dyDescent="0.7">
      <c r="A5107" s="49">
        <v>44820.287631087966</v>
      </c>
      <c r="B5107" s="50" t="s">
        <v>10</v>
      </c>
      <c r="C5107" s="50" t="s">
        <v>497</v>
      </c>
      <c r="D5107" s="50" t="s">
        <v>263</v>
      </c>
      <c r="E5107" s="50">
        <v>0</v>
      </c>
      <c r="F5107" s="51">
        <v>7.5559575911243071E-2</v>
      </c>
      <c r="G5107" s="51" t="str">
        <v>福井 2022/10/09 (日)
休日午前</v>
      </c>
    </row>
    <row r="5108" spans="1:7" ht="16.149999999999999" x14ac:dyDescent="0.7">
      <c r="A5108" s="49">
        <v>44820.287631087966</v>
      </c>
      <c r="B5108" s="50" t="s">
        <v>10</v>
      </c>
      <c r="C5108" s="50" t="s">
        <v>498</v>
      </c>
      <c r="D5108" s="50" t="s">
        <v>261</v>
      </c>
      <c r="E5108" s="50">
        <v>0</v>
      </c>
      <c r="F5108" s="51">
        <v>0.74882584876264979</v>
      </c>
      <c r="G5108" s="51" t="str">
        <v>福井 2022/10/09 (日)
休日午後</v>
      </c>
    </row>
    <row r="5109" spans="1:7" ht="16.149999999999999" x14ac:dyDescent="0.7">
      <c r="A5109" s="49">
        <v>44820.287631087966</v>
      </c>
      <c r="B5109" s="50" t="s">
        <v>10</v>
      </c>
      <c r="C5109" s="50" t="s">
        <v>499</v>
      </c>
      <c r="D5109" s="50" t="s">
        <v>263</v>
      </c>
      <c r="E5109" s="50">
        <v>0</v>
      </c>
      <c r="F5109" s="51">
        <v>0.94194571570527819</v>
      </c>
      <c r="G5109" s="51" t="str">
        <v>福井 2022/10/10 (月)
休日午前</v>
      </c>
    </row>
    <row r="5110" spans="1:7" ht="16.149999999999999" x14ac:dyDescent="0.7">
      <c r="A5110" s="49">
        <v>44820.287631087966</v>
      </c>
      <c r="B5110" s="50" t="s">
        <v>10</v>
      </c>
      <c r="C5110" s="50" t="s">
        <v>500</v>
      </c>
      <c r="D5110" s="50" t="s">
        <v>261</v>
      </c>
      <c r="E5110" s="50">
        <v>0</v>
      </c>
      <c r="F5110" s="51">
        <v>0.46890762010688025</v>
      </c>
      <c r="G5110" s="51" t="str">
        <v>福井 2022/10/10 (月)
休日午後</v>
      </c>
    </row>
    <row r="5111" spans="1:7" ht="16.149999999999999" x14ac:dyDescent="0.7">
      <c r="A5111" s="49">
        <v>44820.287631087966</v>
      </c>
      <c r="B5111" s="50" t="s">
        <v>10</v>
      </c>
      <c r="C5111" s="50" t="s">
        <v>501</v>
      </c>
      <c r="D5111" s="50" t="s">
        <v>259</v>
      </c>
      <c r="E5111" s="50">
        <v>-1</v>
      </c>
      <c r="F5111" s="51">
        <v>-0.58714403184120845</v>
      </c>
      <c r="G5111" s="51" t="str">
        <v>福井 2022/10/11 (火)
平日夜間</v>
      </c>
    </row>
    <row r="5112" spans="1:7" ht="16.149999999999999" x14ac:dyDescent="0.7">
      <c r="A5112" s="49">
        <v>44820.287631087966</v>
      </c>
      <c r="B5112" s="50" t="s">
        <v>10</v>
      </c>
      <c r="C5112" s="50" t="s">
        <v>502</v>
      </c>
      <c r="D5112" s="50" t="s">
        <v>259</v>
      </c>
      <c r="E5112" s="50">
        <v>2</v>
      </c>
      <c r="F5112" s="51">
        <v>2.5033219537636189</v>
      </c>
      <c r="G5112" s="51" t="str">
        <v>福井 2022/10/12 (水)
平日夜間</v>
      </c>
    </row>
    <row r="5113" spans="1:7" ht="16.149999999999999" x14ac:dyDescent="0.7">
      <c r="A5113" s="49">
        <v>44820.287631087966</v>
      </c>
      <c r="B5113" s="50" t="s">
        <v>10</v>
      </c>
      <c r="C5113" s="50" t="s">
        <v>503</v>
      </c>
      <c r="D5113" s="50" t="s">
        <v>259</v>
      </c>
      <c r="E5113" s="50">
        <v>0</v>
      </c>
      <c r="F5113" s="51">
        <v>0.50049810543993534</v>
      </c>
      <c r="G5113" s="51" t="str">
        <v>福井 2022/10/13 (木)
平日夜間</v>
      </c>
    </row>
    <row r="5114" spans="1:7" ht="16.149999999999999" x14ac:dyDescent="0.7">
      <c r="A5114" s="49">
        <v>44820.287631087966</v>
      </c>
      <c r="B5114" s="50" t="s">
        <v>10</v>
      </c>
      <c r="C5114" s="50" t="s">
        <v>504</v>
      </c>
      <c r="D5114" s="50" t="s">
        <v>259</v>
      </c>
      <c r="E5114" s="50">
        <v>-1</v>
      </c>
      <c r="F5114" s="51">
        <v>-0.53466970105555411</v>
      </c>
      <c r="G5114" s="51" t="str">
        <v>福井 2022/10/14 (金)
平日夜間</v>
      </c>
    </row>
    <row r="5115" spans="1:7" ht="16.149999999999999" x14ac:dyDescent="0.7">
      <c r="A5115" s="49">
        <v>44820.287631087966</v>
      </c>
      <c r="B5115" s="50" t="s">
        <v>10</v>
      </c>
      <c r="C5115" s="50" t="s">
        <v>505</v>
      </c>
      <c r="D5115" s="50" t="s">
        <v>263</v>
      </c>
      <c r="E5115" s="50">
        <v>-1</v>
      </c>
      <c r="F5115" s="51">
        <v>-0.91471733017140999</v>
      </c>
      <c r="G5115" s="51" t="str">
        <v>福井 2022/10/15 (土)
休日午前</v>
      </c>
    </row>
    <row r="5116" spans="1:7" ht="16.149999999999999" x14ac:dyDescent="0.7">
      <c r="A5116" s="49">
        <v>44820.287631087966</v>
      </c>
      <c r="B5116" s="50" t="s">
        <v>10</v>
      </c>
      <c r="C5116" s="50" t="s">
        <v>506</v>
      </c>
      <c r="D5116" s="50" t="s">
        <v>261</v>
      </c>
      <c r="E5116" s="50">
        <v>-1</v>
      </c>
      <c r="F5116" s="51">
        <v>-0.22437397936725034</v>
      </c>
      <c r="G5116" s="51" t="str">
        <v>福井 2022/10/15 (土)
休日午後</v>
      </c>
    </row>
    <row r="5117" spans="1:7" ht="16.149999999999999" x14ac:dyDescent="0.7">
      <c r="A5117" s="49">
        <v>44820.287631087966</v>
      </c>
      <c r="B5117" s="50" t="s">
        <v>10</v>
      </c>
      <c r="C5117" s="50" t="s">
        <v>507</v>
      </c>
      <c r="D5117" s="50" t="s">
        <v>263</v>
      </c>
      <c r="E5117" s="50">
        <v>-1</v>
      </c>
      <c r="F5117" s="51">
        <v>-0.94711710567268415</v>
      </c>
      <c r="G5117" s="51" t="str">
        <v>福井 2022/10/16 (日)
休日午前</v>
      </c>
    </row>
    <row r="5118" spans="1:7" ht="16.149999999999999" x14ac:dyDescent="0.7">
      <c r="A5118" s="49">
        <v>44820.287631087966</v>
      </c>
      <c r="B5118" s="50" t="s">
        <v>10</v>
      </c>
      <c r="C5118" s="50" t="s">
        <v>508</v>
      </c>
      <c r="D5118" s="50" t="s">
        <v>261</v>
      </c>
      <c r="E5118" s="50">
        <v>-1</v>
      </c>
      <c r="F5118" s="51">
        <v>-0.25088352488697585</v>
      </c>
      <c r="G5118" s="51" t="str">
        <v>福井 2022/10/16 (日)
休日午後</v>
      </c>
    </row>
    <row r="5119" spans="1:7" ht="16.149999999999999" x14ac:dyDescent="0.7">
      <c r="A5119" s="49">
        <v>44820.287631087966</v>
      </c>
      <c r="B5119" s="50" t="s">
        <v>10</v>
      </c>
      <c r="C5119" s="50" t="s">
        <v>509</v>
      </c>
      <c r="D5119" s="50" t="s">
        <v>259</v>
      </c>
      <c r="E5119" s="50">
        <v>0</v>
      </c>
      <c r="F5119" s="51">
        <v>6.2334983483801842E-2</v>
      </c>
      <c r="G5119" s="51" t="str">
        <v>福井 2022/10/17 (月)
平日夜間</v>
      </c>
    </row>
    <row r="5120" spans="1:7" ht="16.149999999999999" x14ac:dyDescent="0.7">
      <c r="A5120" s="49">
        <v>44820.287631087966</v>
      </c>
      <c r="B5120" s="50" t="s">
        <v>10</v>
      </c>
      <c r="C5120" s="50" t="s">
        <v>510</v>
      </c>
      <c r="D5120" s="50" t="s">
        <v>259</v>
      </c>
      <c r="E5120" s="50">
        <v>-1</v>
      </c>
      <c r="F5120" s="51">
        <v>-0.2111573844395489</v>
      </c>
      <c r="G5120" s="51" t="str">
        <v>福井 2022/10/18 (火)
平日夜間</v>
      </c>
    </row>
    <row r="5121" spans="1:7" ht="16.149999999999999" x14ac:dyDescent="0.7">
      <c r="A5121" s="49">
        <v>44820.287631087966</v>
      </c>
      <c r="B5121" s="50" t="s">
        <v>10</v>
      </c>
      <c r="C5121" s="50" t="s">
        <v>511</v>
      </c>
      <c r="D5121" s="50" t="s">
        <v>259</v>
      </c>
      <c r="E5121" s="50">
        <v>-1</v>
      </c>
      <c r="F5121" s="51">
        <v>-0.22139871058117877</v>
      </c>
      <c r="G5121" s="51" t="str">
        <v>福井 2022/10/19 (水)
平日夜間</v>
      </c>
    </row>
    <row r="5122" spans="1:7" ht="16.149999999999999" x14ac:dyDescent="0.7">
      <c r="A5122" s="49">
        <v>44820.287631087966</v>
      </c>
      <c r="B5122" s="50" t="s">
        <v>10</v>
      </c>
      <c r="C5122" s="50" t="s">
        <v>512</v>
      </c>
      <c r="D5122" s="50" t="s">
        <v>259</v>
      </c>
      <c r="E5122" s="50">
        <v>-1</v>
      </c>
      <c r="F5122" s="51">
        <v>-0.34945515908133906</v>
      </c>
      <c r="G5122" s="51" t="str">
        <v>福井 2022/10/20 (木)
平日夜間</v>
      </c>
    </row>
    <row r="5123" spans="1:7" ht="16.149999999999999" x14ac:dyDescent="0.7">
      <c r="A5123" s="49">
        <v>44820.287631087966</v>
      </c>
      <c r="B5123" s="50" t="s">
        <v>10</v>
      </c>
      <c r="C5123" s="50" t="s">
        <v>513</v>
      </c>
      <c r="D5123" s="50" t="s">
        <v>259</v>
      </c>
      <c r="E5123" s="50">
        <v>-1</v>
      </c>
      <c r="F5123" s="51">
        <v>-0.19748357838768427</v>
      </c>
      <c r="G5123" s="51" t="str">
        <v>福井 2022/10/21 (金)
平日夜間</v>
      </c>
    </row>
    <row r="5124" spans="1:7" ht="16.149999999999999" x14ac:dyDescent="0.7">
      <c r="A5124" s="49">
        <v>44820.287631087966</v>
      </c>
      <c r="B5124" s="50" t="s">
        <v>10</v>
      </c>
      <c r="C5124" s="50" t="s">
        <v>514</v>
      </c>
      <c r="D5124" s="50" t="s">
        <v>263</v>
      </c>
      <c r="E5124" s="50">
        <v>-1</v>
      </c>
      <c r="F5124" s="51">
        <v>-0.96856637114330368</v>
      </c>
      <c r="G5124" s="51" t="str">
        <v>福井 2022/10/22 (土)
休日午前</v>
      </c>
    </row>
    <row r="5125" spans="1:7" ht="16.149999999999999" x14ac:dyDescent="0.7">
      <c r="A5125" s="49">
        <v>44820.287631087966</v>
      </c>
      <c r="B5125" s="50" t="s">
        <v>10</v>
      </c>
      <c r="C5125" s="50" t="s">
        <v>515</v>
      </c>
      <c r="D5125" s="50" t="s">
        <v>261</v>
      </c>
      <c r="E5125" s="50">
        <v>-1</v>
      </c>
      <c r="F5125" s="51">
        <v>-0.54235152139575682</v>
      </c>
      <c r="G5125" s="51" t="str">
        <v>福井 2022/10/22 (土)
休日午後</v>
      </c>
    </row>
    <row r="5126" spans="1:7" ht="16.149999999999999" x14ac:dyDescent="0.7">
      <c r="A5126" s="49">
        <v>44820.287631087966</v>
      </c>
      <c r="B5126" s="50" t="s">
        <v>10</v>
      </c>
      <c r="C5126" s="50" t="s">
        <v>516</v>
      </c>
      <c r="D5126" s="50" t="s">
        <v>263</v>
      </c>
      <c r="E5126" s="50">
        <v>-1</v>
      </c>
      <c r="F5126" s="51">
        <v>-0.51604091806624464</v>
      </c>
      <c r="G5126" s="51" t="str">
        <v>福井 2022/10/23 (日)
休日午前</v>
      </c>
    </row>
    <row r="5127" spans="1:7" ht="16.149999999999999" x14ac:dyDescent="0.7">
      <c r="A5127" s="49">
        <v>44820.287631087966</v>
      </c>
      <c r="B5127" s="50" t="s">
        <v>10</v>
      </c>
      <c r="C5127" s="50" t="s">
        <v>517</v>
      </c>
      <c r="D5127" s="50" t="s">
        <v>261</v>
      </c>
      <c r="E5127" s="50">
        <v>-1</v>
      </c>
      <c r="F5127" s="51">
        <v>-0.11831963831895265</v>
      </c>
      <c r="G5127" s="51" t="str">
        <v>福井 2022/10/23 (日)
休日午後</v>
      </c>
    </row>
    <row r="5128" spans="1:7" ht="16.149999999999999" x14ac:dyDescent="0.7">
      <c r="A5128" s="49">
        <v>44820.287631087966</v>
      </c>
      <c r="B5128" s="50" t="s">
        <v>10</v>
      </c>
      <c r="C5128" s="50" t="s">
        <v>518</v>
      </c>
      <c r="D5128" s="50" t="s">
        <v>259</v>
      </c>
      <c r="E5128" s="50">
        <v>-1</v>
      </c>
      <c r="F5128" s="51">
        <v>-0.87025001859281526</v>
      </c>
      <c r="G5128" s="51" t="str">
        <v>福井 2022/10/24 (月)
平日夜間</v>
      </c>
    </row>
    <row r="5129" spans="1:7" ht="16.149999999999999" x14ac:dyDescent="0.7">
      <c r="A5129" s="49">
        <v>44820.287631087966</v>
      </c>
      <c r="B5129" s="50" t="s">
        <v>10</v>
      </c>
      <c r="C5129" s="50" t="s">
        <v>519</v>
      </c>
      <c r="D5129" s="50" t="s">
        <v>259</v>
      </c>
      <c r="E5129" s="50">
        <v>-1</v>
      </c>
      <c r="F5129" s="51">
        <v>-0.90475429926138906</v>
      </c>
      <c r="G5129" s="51" t="str">
        <v>福井 2022/10/25 (火)
平日夜間</v>
      </c>
    </row>
    <row r="5130" spans="1:7" ht="16.149999999999999" x14ac:dyDescent="0.7">
      <c r="A5130" s="49">
        <v>44820.287631087966</v>
      </c>
      <c r="B5130" s="50" t="s">
        <v>10</v>
      </c>
      <c r="C5130" s="50" t="s">
        <v>520</v>
      </c>
      <c r="D5130" s="50" t="s">
        <v>259</v>
      </c>
      <c r="E5130" s="50">
        <v>0</v>
      </c>
      <c r="F5130" s="51">
        <v>0.3232783580152494</v>
      </c>
      <c r="G5130" s="51" t="str">
        <v>福井 2022/10/26 (水)
平日夜間</v>
      </c>
    </row>
    <row r="5131" spans="1:7" ht="16.149999999999999" x14ac:dyDescent="0.7">
      <c r="A5131" s="49">
        <v>44820.287631087966</v>
      </c>
      <c r="B5131" s="50" t="s">
        <v>10</v>
      </c>
      <c r="C5131" s="50" t="s">
        <v>521</v>
      </c>
      <c r="D5131" s="50" t="s">
        <v>259</v>
      </c>
      <c r="E5131" s="50">
        <v>0</v>
      </c>
      <c r="F5131" s="51">
        <v>4.98057931552911E-2</v>
      </c>
      <c r="G5131" s="51" t="str">
        <v>福井 2022/10/27 (木)
平日夜間</v>
      </c>
    </row>
    <row r="5132" spans="1:7" ht="16.149999999999999" x14ac:dyDescent="0.7">
      <c r="A5132" s="49">
        <v>44820.287631087966</v>
      </c>
      <c r="B5132" s="50" t="s">
        <v>10</v>
      </c>
      <c r="C5132" s="50" t="s">
        <v>522</v>
      </c>
      <c r="D5132" s="50" t="s">
        <v>259</v>
      </c>
      <c r="E5132" s="50">
        <v>0</v>
      </c>
      <c r="F5132" s="51">
        <v>0.93282838948599234</v>
      </c>
      <c r="G5132" s="51" t="str">
        <v>福井 2022/10/28 (金)
平日夜間</v>
      </c>
    </row>
    <row r="5133" spans="1:7" ht="16.149999999999999" x14ac:dyDescent="0.7">
      <c r="A5133" s="49">
        <v>44820.287631087966</v>
      </c>
      <c r="B5133" s="50" t="s">
        <v>10</v>
      </c>
      <c r="C5133" s="50" t="s">
        <v>523</v>
      </c>
      <c r="D5133" s="50" t="s">
        <v>263</v>
      </c>
      <c r="E5133" s="50">
        <v>0</v>
      </c>
      <c r="F5133" s="51">
        <v>0.69413582410077224</v>
      </c>
      <c r="G5133" s="51" t="str">
        <v>福井 2022/10/29 (土)
休日午前</v>
      </c>
    </row>
    <row r="5134" spans="1:7" ht="16.149999999999999" x14ac:dyDescent="0.7">
      <c r="A5134" s="49">
        <v>44820.287631087966</v>
      </c>
      <c r="B5134" s="50" t="s">
        <v>10</v>
      </c>
      <c r="C5134" s="50" t="s">
        <v>524</v>
      </c>
      <c r="D5134" s="50" t="s">
        <v>261</v>
      </c>
      <c r="E5134" s="50">
        <v>0</v>
      </c>
      <c r="F5134" s="51">
        <v>0.84421068773584795</v>
      </c>
      <c r="G5134" s="51" t="str">
        <v>福井 2022/10/29 (土)
休日午後</v>
      </c>
    </row>
    <row r="5135" spans="1:7" ht="16.149999999999999" x14ac:dyDescent="0.7">
      <c r="A5135" s="49">
        <v>44820.287631087966</v>
      </c>
      <c r="B5135" s="50" t="s">
        <v>10</v>
      </c>
      <c r="C5135" s="50" t="s">
        <v>525</v>
      </c>
      <c r="D5135" s="50" t="s">
        <v>263</v>
      </c>
      <c r="E5135" s="50">
        <v>0</v>
      </c>
      <c r="F5135" s="51">
        <v>0.44915474734291272</v>
      </c>
      <c r="G5135" s="51" t="str">
        <v>福井 2022/10/30 (日)
休日午前</v>
      </c>
    </row>
    <row r="5136" spans="1:7" ht="16.149999999999999" x14ac:dyDescent="0.7">
      <c r="A5136" s="49">
        <v>44820.287631087966</v>
      </c>
      <c r="B5136" s="50" t="s">
        <v>10</v>
      </c>
      <c r="C5136" s="50" t="s">
        <v>526</v>
      </c>
      <c r="D5136" s="50" t="s">
        <v>261</v>
      </c>
      <c r="E5136" s="50">
        <v>0</v>
      </c>
      <c r="F5136" s="51">
        <v>0.68806864076929042</v>
      </c>
      <c r="G5136" s="51" t="str">
        <v>福井 2022/10/30 (日)
休日午後</v>
      </c>
    </row>
    <row r="5137" spans="1:7" ht="16.149999999999999" x14ac:dyDescent="0.7">
      <c r="A5137" s="49">
        <v>44820.287631087966</v>
      </c>
      <c r="B5137" s="50" t="s">
        <v>10</v>
      </c>
      <c r="C5137" s="50" t="s">
        <v>527</v>
      </c>
      <c r="D5137" s="50" t="s">
        <v>259</v>
      </c>
      <c r="E5137" s="50">
        <v>0</v>
      </c>
      <c r="F5137" s="51">
        <v>0.64722948122334523</v>
      </c>
      <c r="G5137" s="51" t="str">
        <v>福井 2022/10/31 (月)
平日夜間</v>
      </c>
    </row>
    <row r="5138" spans="1:7" ht="16.149999999999999" x14ac:dyDescent="0.7">
      <c r="A5138" s="49">
        <v>44820.46614931713</v>
      </c>
      <c r="B5138" s="50" t="s">
        <v>1</v>
      </c>
      <c r="C5138" s="50" t="s">
        <v>486</v>
      </c>
      <c r="D5138" s="50" t="s">
        <v>263</v>
      </c>
      <c r="E5138" s="50">
        <v>0</v>
      </c>
      <c r="F5138" s="51">
        <v>0.64207339116597972</v>
      </c>
      <c r="G5138" s="51" t="str">
        <v>菊野 2022/10/01 (土)
休日午前</v>
      </c>
    </row>
    <row r="5139" spans="1:7" ht="16.149999999999999" x14ac:dyDescent="0.7">
      <c r="A5139" s="49">
        <v>44820.46614931713</v>
      </c>
      <c r="B5139" s="50" t="s">
        <v>1</v>
      </c>
      <c r="C5139" s="50" t="s">
        <v>487</v>
      </c>
      <c r="D5139" s="50" t="s">
        <v>261</v>
      </c>
      <c r="E5139" s="50">
        <v>0</v>
      </c>
      <c r="F5139" s="51">
        <v>0.42352687868282768</v>
      </c>
      <c r="G5139" s="51" t="str">
        <v>菊野 2022/10/01 (土)
休日午後</v>
      </c>
    </row>
    <row r="5140" spans="1:7" ht="16.149999999999999" x14ac:dyDescent="0.7">
      <c r="A5140" s="49">
        <v>44820.46614931713</v>
      </c>
      <c r="B5140" s="50" t="s">
        <v>1</v>
      </c>
      <c r="C5140" s="50" t="s">
        <v>488</v>
      </c>
      <c r="D5140" s="50" t="s">
        <v>263</v>
      </c>
      <c r="E5140" s="50">
        <v>-1</v>
      </c>
      <c r="F5140" s="51">
        <v>-0.56757430429253941</v>
      </c>
      <c r="G5140" s="51" t="str">
        <v>菊野 2022/10/02 (日)
休日午前</v>
      </c>
    </row>
    <row r="5141" spans="1:7" ht="16.149999999999999" x14ac:dyDescent="0.7">
      <c r="A5141" s="49">
        <v>44820.46614931713</v>
      </c>
      <c r="B5141" s="50" t="s">
        <v>1</v>
      </c>
      <c r="C5141" s="50" t="s">
        <v>489</v>
      </c>
      <c r="D5141" s="50" t="s">
        <v>261</v>
      </c>
      <c r="E5141" s="50">
        <v>-1</v>
      </c>
      <c r="F5141" s="51">
        <v>-0.26667133281376731</v>
      </c>
      <c r="G5141" s="51" t="str">
        <v>菊野 2022/10/02 (日)
休日午後</v>
      </c>
    </row>
    <row r="5142" spans="1:7" ht="16.149999999999999" x14ac:dyDescent="0.7">
      <c r="A5142" s="49">
        <v>44820.46614931713</v>
      </c>
      <c r="B5142" s="50" t="s">
        <v>1</v>
      </c>
      <c r="C5142" s="50" t="s">
        <v>490</v>
      </c>
      <c r="D5142" s="50" t="s">
        <v>259</v>
      </c>
      <c r="E5142" s="50">
        <v>0</v>
      </c>
      <c r="F5142" s="51">
        <v>8.3391159920971791E-2</v>
      </c>
      <c r="G5142" s="51" t="str">
        <v>菊野 2022/10/03 (月)
平日夜間</v>
      </c>
    </row>
    <row r="5143" spans="1:7" ht="16.149999999999999" x14ac:dyDescent="0.7">
      <c r="A5143" s="49">
        <v>44820.46614931713</v>
      </c>
      <c r="B5143" s="50" t="s">
        <v>1</v>
      </c>
      <c r="C5143" s="50" t="s">
        <v>491</v>
      </c>
      <c r="D5143" s="50" t="s">
        <v>259</v>
      </c>
      <c r="E5143" s="50">
        <v>0</v>
      </c>
      <c r="F5143" s="51">
        <v>0.53696550781881869</v>
      </c>
      <c r="G5143" s="51" t="str">
        <v>菊野 2022/10/04 (火)
平日夜間</v>
      </c>
    </row>
    <row r="5144" spans="1:7" ht="16.149999999999999" x14ac:dyDescent="0.7">
      <c r="A5144" s="49">
        <v>44820.46614931713</v>
      </c>
      <c r="B5144" s="50" t="s">
        <v>1</v>
      </c>
      <c r="C5144" s="50" t="s">
        <v>492</v>
      </c>
      <c r="D5144" s="50" t="s">
        <v>259</v>
      </c>
      <c r="E5144" s="50">
        <v>0</v>
      </c>
      <c r="F5144" s="51">
        <v>0.42736362725634147</v>
      </c>
      <c r="G5144" s="51" t="str">
        <v>菊野 2022/10/05 (水)
平日夜間</v>
      </c>
    </row>
    <row r="5145" spans="1:7" ht="16.149999999999999" x14ac:dyDescent="0.7">
      <c r="A5145" s="49">
        <v>44820.46614931713</v>
      </c>
      <c r="B5145" s="50" t="s">
        <v>1</v>
      </c>
      <c r="C5145" s="50" t="s">
        <v>493</v>
      </c>
      <c r="D5145" s="50" t="s">
        <v>259</v>
      </c>
      <c r="E5145" s="50">
        <v>0</v>
      </c>
      <c r="F5145" s="51">
        <v>0.14445957584051583</v>
      </c>
      <c r="G5145" s="51" t="str">
        <v>菊野 2022/10/06 (木)
平日夜間</v>
      </c>
    </row>
    <row r="5146" spans="1:7" ht="16.149999999999999" x14ac:dyDescent="0.7">
      <c r="A5146" s="49">
        <v>44820.46614931713</v>
      </c>
      <c r="B5146" s="50" t="s">
        <v>1</v>
      </c>
      <c r="C5146" s="50" t="s">
        <v>494</v>
      </c>
      <c r="D5146" s="50" t="s">
        <v>259</v>
      </c>
      <c r="E5146" s="50">
        <v>0</v>
      </c>
      <c r="F5146" s="51">
        <v>0.32417227112488378</v>
      </c>
      <c r="G5146" s="51" t="str">
        <v>菊野 2022/10/07 (金)
平日夜間</v>
      </c>
    </row>
    <row r="5147" spans="1:7" ht="16.149999999999999" x14ac:dyDescent="0.7">
      <c r="A5147" s="49">
        <v>44820.46614931713</v>
      </c>
      <c r="B5147" s="50" t="s">
        <v>1</v>
      </c>
      <c r="C5147" s="50" t="s">
        <v>495</v>
      </c>
      <c r="D5147" s="50" t="s">
        <v>263</v>
      </c>
      <c r="E5147" s="50">
        <v>0</v>
      </c>
      <c r="F5147" s="51">
        <v>0.24502972175427962</v>
      </c>
      <c r="G5147" s="51" t="str">
        <v>菊野 2022/10/08 (土)
休日午前</v>
      </c>
    </row>
    <row r="5148" spans="1:7" ht="16.149999999999999" x14ac:dyDescent="0.7">
      <c r="A5148" s="49">
        <v>44820.46614931713</v>
      </c>
      <c r="B5148" s="50" t="s">
        <v>1</v>
      </c>
      <c r="C5148" s="50" t="s">
        <v>496</v>
      </c>
      <c r="D5148" s="50" t="s">
        <v>261</v>
      </c>
      <c r="E5148" s="50">
        <v>0</v>
      </c>
      <c r="F5148" s="51">
        <v>0.35879161563800377</v>
      </c>
      <c r="G5148" s="51" t="str">
        <v>菊野 2022/10/08 (土)
休日午後</v>
      </c>
    </row>
    <row r="5149" spans="1:7" ht="16.149999999999999" x14ac:dyDescent="0.7">
      <c r="A5149" s="49">
        <v>44820.46614931713</v>
      </c>
      <c r="B5149" s="50" t="s">
        <v>1</v>
      </c>
      <c r="C5149" s="50" t="s">
        <v>497</v>
      </c>
      <c r="D5149" s="50" t="s">
        <v>263</v>
      </c>
      <c r="E5149" s="50">
        <v>-1</v>
      </c>
      <c r="F5149" s="51">
        <v>-0.71552512902250953</v>
      </c>
      <c r="G5149" s="51" t="str">
        <v>菊野 2022/10/09 (日)
休日午前</v>
      </c>
    </row>
    <row r="5150" spans="1:7" ht="16.149999999999999" x14ac:dyDescent="0.7">
      <c r="A5150" s="49">
        <v>44820.46614931713</v>
      </c>
      <c r="B5150" s="50" t="s">
        <v>1</v>
      </c>
      <c r="C5150" s="50" t="s">
        <v>498</v>
      </c>
      <c r="D5150" s="50" t="s">
        <v>261</v>
      </c>
      <c r="E5150" s="50">
        <v>-1</v>
      </c>
      <c r="F5150" s="51">
        <v>-0.68665322510438553</v>
      </c>
      <c r="G5150" s="51" t="str">
        <v>菊野 2022/10/09 (日)
休日午後</v>
      </c>
    </row>
    <row r="5151" spans="1:7" ht="16.149999999999999" x14ac:dyDescent="0.7">
      <c r="A5151" s="49">
        <v>44820.46614931713</v>
      </c>
      <c r="B5151" s="50" t="s">
        <v>1</v>
      </c>
      <c r="C5151" s="50" t="s">
        <v>499</v>
      </c>
      <c r="D5151" s="50" t="s">
        <v>263</v>
      </c>
      <c r="E5151" s="50">
        <v>0</v>
      </c>
      <c r="F5151" s="51">
        <v>0.37100854800928706</v>
      </c>
      <c r="G5151" s="51" t="str">
        <v>菊野 2022/10/10 (月)
休日午前</v>
      </c>
    </row>
    <row r="5152" spans="1:7" ht="16.149999999999999" x14ac:dyDescent="0.7">
      <c r="A5152" s="49">
        <v>44820.46614931713</v>
      </c>
      <c r="B5152" s="50" t="s">
        <v>1</v>
      </c>
      <c r="C5152" s="50" t="s">
        <v>500</v>
      </c>
      <c r="D5152" s="50" t="s">
        <v>261</v>
      </c>
      <c r="E5152" s="50">
        <v>0</v>
      </c>
      <c r="F5152" s="51">
        <v>0.98649095850072821</v>
      </c>
      <c r="G5152" s="51" t="str">
        <v>菊野 2022/10/10 (月)
休日午後</v>
      </c>
    </row>
    <row r="5153" spans="1:7" ht="16.149999999999999" x14ac:dyDescent="0.7">
      <c r="A5153" s="49">
        <v>44820.46614931713</v>
      </c>
      <c r="B5153" s="50" t="s">
        <v>1</v>
      </c>
      <c r="C5153" s="50" t="s">
        <v>501</v>
      </c>
      <c r="D5153" s="50" t="s">
        <v>259</v>
      </c>
      <c r="E5153" s="50">
        <v>0</v>
      </c>
      <c r="F5153" s="51">
        <v>0.51797332191465362</v>
      </c>
      <c r="G5153" s="51" t="str">
        <v>菊野 2022/10/11 (火)
平日夜間</v>
      </c>
    </row>
    <row r="5154" spans="1:7" ht="16.149999999999999" x14ac:dyDescent="0.7">
      <c r="A5154" s="49">
        <v>44820.46614931713</v>
      </c>
      <c r="B5154" s="50" t="s">
        <v>1</v>
      </c>
      <c r="C5154" s="50" t="s">
        <v>502</v>
      </c>
      <c r="D5154" s="50" t="s">
        <v>259</v>
      </c>
      <c r="E5154" s="50">
        <v>-1</v>
      </c>
      <c r="F5154" s="51">
        <v>-0.27073457714446647</v>
      </c>
      <c r="G5154" s="51" t="str">
        <v>菊野 2022/10/12 (水)
平日夜間</v>
      </c>
    </row>
    <row r="5155" spans="1:7" ht="16.149999999999999" x14ac:dyDescent="0.7">
      <c r="A5155" s="49">
        <v>44820.46614931713</v>
      </c>
      <c r="B5155" s="50" t="s">
        <v>1</v>
      </c>
      <c r="C5155" s="50" t="s">
        <v>503</v>
      </c>
      <c r="D5155" s="50" t="s">
        <v>259</v>
      </c>
      <c r="E5155" s="50">
        <v>0</v>
      </c>
      <c r="F5155" s="51">
        <v>0.15231550896530699</v>
      </c>
      <c r="G5155" s="51" t="str">
        <v>菊野 2022/10/13 (木)
平日夜間</v>
      </c>
    </row>
    <row r="5156" spans="1:7" ht="16.149999999999999" x14ac:dyDescent="0.7">
      <c r="A5156" s="49">
        <v>44820.46614931713</v>
      </c>
      <c r="B5156" s="50" t="s">
        <v>1</v>
      </c>
      <c r="C5156" s="50" t="s">
        <v>504</v>
      </c>
      <c r="D5156" s="50" t="s">
        <v>259</v>
      </c>
      <c r="E5156" s="50">
        <v>0</v>
      </c>
      <c r="F5156" s="51">
        <v>6.2279173985734237E-2</v>
      </c>
      <c r="G5156" s="51" t="str">
        <v>菊野 2022/10/14 (金)
平日夜間</v>
      </c>
    </row>
    <row r="5157" spans="1:7" ht="16.149999999999999" x14ac:dyDescent="0.7">
      <c r="A5157" s="49">
        <v>44820.46614931713</v>
      </c>
      <c r="B5157" s="50" t="s">
        <v>1</v>
      </c>
      <c r="C5157" s="50" t="s">
        <v>505</v>
      </c>
      <c r="D5157" s="50" t="s">
        <v>263</v>
      </c>
      <c r="E5157" s="50">
        <v>0</v>
      </c>
      <c r="F5157" s="51">
        <v>0.95263777437438169</v>
      </c>
      <c r="G5157" s="51" t="str">
        <v>菊野 2022/10/15 (土)
休日午前</v>
      </c>
    </row>
    <row r="5158" spans="1:7" ht="16.149999999999999" x14ac:dyDescent="0.7">
      <c r="A5158" s="49">
        <v>44820.46614931713</v>
      </c>
      <c r="B5158" s="50" t="s">
        <v>1</v>
      </c>
      <c r="C5158" s="50" t="s">
        <v>506</v>
      </c>
      <c r="D5158" s="50" t="s">
        <v>261</v>
      </c>
      <c r="E5158" s="50">
        <v>0</v>
      </c>
      <c r="F5158" s="51">
        <v>0.17419693644071543</v>
      </c>
      <c r="G5158" s="51" t="str">
        <v>菊野 2022/10/15 (土)
休日午後</v>
      </c>
    </row>
    <row r="5159" spans="1:7" ht="16.149999999999999" x14ac:dyDescent="0.7">
      <c r="A5159" s="49">
        <v>44820.46614931713</v>
      </c>
      <c r="B5159" s="50" t="s">
        <v>1</v>
      </c>
      <c r="C5159" s="50" t="s">
        <v>507</v>
      </c>
      <c r="D5159" s="50" t="s">
        <v>263</v>
      </c>
      <c r="E5159" s="50">
        <v>0</v>
      </c>
      <c r="F5159" s="51">
        <v>0.36232942516251843</v>
      </c>
      <c r="G5159" s="51" t="str">
        <v>菊野 2022/10/16 (日)
休日午前</v>
      </c>
    </row>
    <row r="5160" spans="1:7" ht="16.149999999999999" x14ac:dyDescent="0.7">
      <c r="A5160" s="49">
        <v>44820.46614931713</v>
      </c>
      <c r="B5160" s="50" t="s">
        <v>1</v>
      </c>
      <c r="C5160" s="50" t="s">
        <v>508</v>
      </c>
      <c r="D5160" s="50" t="s">
        <v>261</v>
      </c>
      <c r="E5160" s="50">
        <v>-1</v>
      </c>
      <c r="F5160" s="51">
        <v>-0.32169236336610307</v>
      </c>
      <c r="G5160" s="51" t="str">
        <v>菊野 2022/10/16 (日)
休日午後</v>
      </c>
    </row>
    <row r="5161" spans="1:7" ht="16.149999999999999" x14ac:dyDescent="0.7">
      <c r="A5161" s="49">
        <v>44820.46614931713</v>
      </c>
      <c r="B5161" s="50" t="s">
        <v>1</v>
      </c>
      <c r="C5161" s="50" t="s">
        <v>509</v>
      </c>
      <c r="D5161" s="50" t="s">
        <v>259</v>
      </c>
      <c r="E5161" s="50">
        <v>0</v>
      </c>
      <c r="F5161" s="51">
        <v>0.50932090870387547</v>
      </c>
      <c r="G5161" s="51" t="str">
        <v>菊野 2022/10/17 (月)
平日夜間</v>
      </c>
    </row>
    <row r="5162" spans="1:7" ht="16.149999999999999" x14ac:dyDescent="0.7">
      <c r="A5162" s="49">
        <v>44820.46614931713</v>
      </c>
      <c r="B5162" s="50" t="s">
        <v>1</v>
      </c>
      <c r="C5162" s="50" t="s">
        <v>510</v>
      </c>
      <c r="D5162" s="50" t="s">
        <v>259</v>
      </c>
      <c r="E5162" s="50">
        <v>0</v>
      </c>
      <c r="F5162" s="51">
        <v>0.89221677728173909</v>
      </c>
      <c r="G5162" s="51" t="str">
        <v>菊野 2022/10/18 (火)
平日夜間</v>
      </c>
    </row>
    <row r="5163" spans="1:7" ht="16.149999999999999" x14ac:dyDescent="0.7">
      <c r="A5163" s="49">
        <v>44820.46614931713</v>
      </c>
      <c r="B5163" s="50" t="s">
        <v>1</v>
      </c>
      <c r="C5163" s="50" t="s">
        <v>511</v>
      </c>
      <c r="D5163" s="50" t="s">
        <v>259</v>
      </c>
      <c r="E5163" s="50">
        <v>0</v>
      </c>
      <c r="F5163" s="51">
        <v>0.11912923700214662</v>
      </c>
      <c r="G5163" s="51" t="str">
        <v>菊野 2022/10/19 (水)
平日夜間</v>
      </c>
    </row>
    <row r="5164" spans="1:7" ht="16.149999999999999" x14ac:dyDescent="0.7">
      <c r="A5164" s="49">
        <v>44820.46614931713</v>
      </c>
      <c r="B5164" s="50" t="s">
        <v>1</v>
      </c>
      <c r="C5164" s="50" t="s">
        <v>512</v>
      </c>
      <c r="D5164" s="50" t="s">
        <v>259</v>
      </c>
      <c r="E5164" s="50">
        <v>0</v>
      </c>
      <c r="F5164" s="51">
        <v>0.41173810672040134</v>
      </c>
      <c r="G5164" s="51" t="str">
        <v>菊野 2022/10/20 (木)
平日夜間</v>
      </c>
    </row>
    <row r="5165" spans="1:7" ht="16.149999999999999" x14ac:dyDescent="0.7">
      <c r="A5165" s="49">
        <v>44820.46614931713</v>
      </c>
      <c r="B5165" s="50" t="s">
        <v>1</v>
      </c>
      <c r="C5165" s="50" t="s">
        <v>513</v>
      </c>
      <c r="D5165" s="50" t="s">
        <v>259</v>
      </c>
      <c r="E5165" s="50">
        <v>0</v>
      </c>
      <c r="F5165" s="51">
        <v>0.10296695552252255</v>
      </c>
      <c r="G5165" s="51" t="str">
        <v>菊野 2022/10/21 (金)
平日夜間</v>
      </c>
    </row>
    <row r="5166" spans="1:7" ht="16.149999999999999" x14ac:dyDescent="0.7">
      <c r="A5166" s="49">
        <v>44820.46614931713</v>
      </c>
      <c r="B5166" s="50" t="s">
        <v>1</v>
      </c>
      <c r="C5166" s="50" t="s">
        <v>514</v>
      </c>
      <c r="D5166" s="50" t="s">
        <v>263</v>
      </c>
      <c r="E5166" s="50">
        <v>0</v>
      </c>
      <c r="F5166" s="51">
        <v>0.8771379681848348</v>
      </c>
      <c r="G5166" s="51" t="str">
        <v>菊野 2022/10/22 (土)
休日午前</v>
      </c>
    </row>
    <row r="5167" spans="1:7" ht="16.149999999999999" x14ac:dyDescent="0.7">
      <c r="A5167" s="49">
        <v>44820.46614931713</v>
      </c>
      <c r="B5167" s="50" t="s">
        <v>1</v>
      </c>
      <c r="C5167" s="50" t="s">
        <v>515</v>
      </c>
      <c r="D5167" s="50" t="s">
        <v>261</v>
      </c>
      <c r="E5167" s="50">
        <v>0</v>
      </c>
      <c r="F5167" s="51">
        <v>0.17657647649405561</v>
      </c>
      <c r="G5167" s="51" t="str">
        <v>菊野 2022/10/22 (土)
休日午後</v>
      </c>
    </row>
    <row r="5168" spans="1:7" ht="16.149999999999999" x14ac:dyDescent="0.7">
      <c r="A5168" s="49">
        <v>44820.46614931713</v>
      </c>
      <c r="B5168" s="50" t="s">
        <v>1</v>
      </c>
      <c r="C5168" s="50" t="s">
        <v>516</v>
      </c>
      <c r="D5168" s="50" t="s">
        <v>263</v>
      </c>
      <c r="E5168" s="50">
        <v>0</v>
      </c>
      <c r="F5168" s="51">
        <v>0.88530733394854622</v>
      </c>
      <c r="G5168" s="51" t="str">
        <v>菊野 2022/10/23 (日)
休日午前</v>
      </c>
    </row>
    <row r="5169" spans="1:7" ht="16.149999999999999" x14ac:dyDescent="0.7">
      <c r="A5169" s="49">
        <v>44820.46614931713</v>
      </c>
      <c r="B5169" s="50" t="s">
        <v>1</v>
      </c>
      <c r="C5169" s="50" t="s">
        <v>517</v>
      </c>
      <c r="D5169" s="50" t="s">
        <v>261</v>
      </c>
      <c r="E5169" s="50">
        <v>0</v>
      </c>
      <c r="F5169" s="51">
        <v>0.12333080918575678</v>
      </c>
      <c r="G5169" s="51" t="str">
        <v>菊野 2022/10/23 (日)
休日午後</v>
      </c>
    </row>
    <row r="5170" spans="1:7" ht="16.149999999999999" x14ac:dyDescent="0.7">
      <c r="A5170" s="49">
        <v>44820.46614931713</v>
      </c>
      <c r="B5170" s="50" t="s">
        <v>1</v>
      </c>
      <c r="C5170" s="50" t="s">
        <v>518</v>
      </c>
      <c r="D5170" s="50" t="s">
        <v>259</v>
      </c>
      <c r="E5170" s="50">
        <v>0</v>
      </c>
      <c r="F5170" s="51">
        <v>4.3951626141368161E-2</v>
      </c>
      <c r="G5170" s="51" t="str">
        <v>菊野 2022/10/24 (月)
平日夜間</v>
      </c>
    </row>
    <row r="5171" spans="1:7" ht="16.149999999999999" x14ac:dyDescent="0.7">
      <c r="A5171" s="49">
        <v>44820.46614931713</v>
      </c>
      <c r="B5171" s="50" t="s">
        <v>1</v>
      </c>
      <c r="C5171" s="50" t="s">
        <v>519</v>
      </c>
      <c r="D5171" s="50" t="s">
        <v>259</v>
      </c>
      <c r="E5171" s="50">
        <v>0</v>
      </c>
      <c r="F5171" s="51">
        <v>0.90112792811608067</v>
      </c>
      <c r="G5171" s="51" t="str">
        <v>菊野 2022/10/25 (火)
平日夜間</v>
      </c>
    </row>
    <row r="5172" spans="1:7" ht="16.149999999999999" x14ac:dyDescent="0.7">
      <c r="A5172" s="49">
        <v>44820.46614931713</v>
      </c>
      <c r="B5172" s="50" t="s">
        <v>1</v>
      </c>
      <c r="C5172" s="50" t="s">
        <v>520</v>
      </c>
      <c r="D5172" s="50" t="s">
        <v>259</v>
      </c>
      <c r="E5172" s="50">
        <v>0</v>
      </c>
      <c r="F5172" s="51">
        <v>2.3087728814723318E-2</v>
      </c>
      <c r="G5172" s="51" t="str">
        <v>菊野 2022/10/26 (水)
平日夜間</v>
      </c>
    </row>
    <row r="5173" spans="1:7" ht="16.149999999999999" x14ac:dyDescent="0.7">
      <c r="A5173" s="49">
        <v>44820.46614931713</v>
      </c>
      <c r="B5173" s="50" t="s">
        <v>1</v>
      </c>
      <c r="C5173" s="50" t="s">
        <v>521</v>
      </c>
      <c r="D5173" s="50" t="s">
        <v>259</v>
      </c>
      <c r="E5173" s="50">
        <v>0</v>
      </c>
      <c r="F5173" s="51">
        <v>0.36455556659109956</v>
      </c>
      <c r="G5173" s="51" t="str">
        <v>菊野 2022/10/27 (木)
平日夜間</v>
      </c>
    </row>
    <row r="5174" spans="1:7" ht="16.149999999999999" x14ac:dyDescent="0.7">
      <c r="A5174" s="49">
        <v>44820.46614931713</v>
      </c>
      <c r="B5174" s="50" t="s">
        <v>1</v>
      </c>
      <c r="C5174" s="50" t="s">
        <v>522</v>
      </c>
      <c r="D5174" s="50" t="s">
        <v>259</v>
      </c>
      <c r="E5174" s="50">
        <v>0</v>
      </c>
      <c r="F5174" s="51">
        <v>0.15447384081406379</v>
      </c>
      <c r="G5174" s="51" t="str">
        <v>菊野 2022/10/28 (金)
平日夜間</v>
      </c>
    </row>
    <row r="5175" spans="1:7" ht="16.149999999999999" x14ac:dyDescent="0.7">
      <c r="A5175" s="49">
        <v>44820.46614931713</v>
      </c>
      <c r="B5175" s="50" t="s">
        <v>1</v>
      </c>
      <c r="C5175" s="50" t="s">
        <v>523</v>
      </c>
      <c r="D5175" s="50" t="s">
        <v>263</v>
      </c>
      <c r="E5175" s="50">
        <v>0</v>
      </c>
      <c r="F5175" s="51">
        <v>3.3416324451295054E-2</v>
      </c>
      <c r="G5175" s="51" t="str">
        <v>菊野 2022/10/29 (土)
休日午前</v>
      </c>
    </row>
    <row r="5176" spans="1:7" ht="16.149999999999999" x14ac:dyDescent="0.7">
      <c r="A5176" s="49">
        <v>44820.46614931713</v>
      </c>
      <c r="B5176" s="50" t="s">
        <v>1</v>
      </c>
      <c r="C5176" s="50" t="s">
        <v>524</v>
      </c>
      <c r="D5176" s="50" t="s">
        <v>261</v>
      </c>
      <c r="E5176" s="50">
        <v>-1</v>
      </c>
      <c r="F5176" s="51">
        <v>-0.89359161805643383</v>
      </c>
      <c r="G5176" s="51" t="str">
        <v>菊野 2022/10/29 (土)
休日午後</v>
      </c>
    </row>
    <row r="5177" spans="1:7" ht="16.149999999999999" x14ac:dyDescent="0.7">
      <c r="A5177" s="49">
        <v>44820.46614931713</v>
      </c>
      <c r="B5177" s="50" t="s">
        <v>1</v>
      </c>
      <c r="C5177" s="50" t="s">
        <v>525</v>
      </c>
      <c r="D5177" s="50" t="s">
        <v>263</v>
      </c>
      <c r="E5177" s="50">
        <v>-1</v>
      </c>
      <c r="F5177" s="51">
        <v>-0.74870308307325262</v>
      </c>
      <c r="G5177" s="51" t="str">
        <v>菊野 2022/10/30 (日)
休日午前</v>
      </c>
    </row>
    <row r="5178" spans="1:7" ht="16.149999999999999" x14ac:dyDescent="0.7">
      <c r="A5178" s="49">
        <v>44820.46614931713</v>
      </c>
      <c r="B5178" s="50" t="s">
        <v>1</v>
      </c>
      <c r="C5178" s="50" t="s">
        <v>526</v>
      </c>
      <c r="D5178" s="50" t="s">
        <v>261</v>
      </c>
      <c r="E5178" s="50">
        <v>-1</v>
      </c>
      <c r="F5178" s="51">
        <v>-0.59872850877402284</v>
      </c>
      <c r="G5178" s="51" t="str">
        <v>菊野 2022/10/30 (日)
休日午後</v>
      </c>
    </row>
    <row r="5179" spans="1:7" ht="16.149999999999999" x14ac:dyDescent="0.7">
      <c r="A5179" s="49">
        <v>44820.46614931713</v>
      </c>
      <c r="B5179" s="50" t="s">
        <v>1</v>
      </c>
      <c r="C5179" s="50" t="s">
        <v>527</v>
      </c>
      <c r="D5179" s="50" t="s">
        <v>259</v>
      </c>
      <c r="E5179" s="50">
        <v>0</v>
      </c>
      <c r="F5179" s="51">
        <v>0.28097789036744869</v>
      </c>
      <c r="G5179" s="51" t="str">
        <v>菊野 2022/10/31 (月)
平日夜間</v>
      </c>
    </row>
    <row r="5180" spans="1:7" ht="16.149999999999999" x14ac:dyDescent="0.7">
      <c r="A5180" s="49">
        <v>44823.585855381942</v>
      </c>
      <c r="B5180" s="50" t="s">
        <v>15</v>
      </c>
      <c r="C5180" s="50" t="s">
        <v>486</v>
      </c>
      <c r="D5180" s="50" t="s">
        <v>263</v>
      </c>
      <c r="E5180" s="50">
        <v>0</v>
      </c>
      <c r="F5180" s="51">
        <v>0.99952752317073523</v>
      </c>
      <c r="G5180" s="51" t="str">
        <v>太良 2022/10/01 (土)
休日午前</v>
      </c>
    </row>
    <row r="5181" spans="1:7" ht="16.149999999999999" x14ac:dyDescent="0.7">
      <c r="A5181" s="49">
        <v>44823.585855381942</v>
      </c>
      <c r="B5181" s="50" t="s">
        <v>15</v>
      </c>
      <c r="C5181" s="50" t="s">
        <v>487</v>
      </c>
      <c r="D5181" s="50" t="s">
        <v>261</v>
      </c>
      <c r="E5181" s="50">
        <v>-1</v>
      </c>
      <c r="F5181" s="51">
        <v>-0.15225772504175761</v>
      </c>
      <c r="G5181" s="51" t="str">
        <v>太良 2022/10/01 (土)
休日午後</v>
      </c>
    </row>
    <row r="5182" spans="1:7" ht="16.149999999999999" x14ac:dyDescent="0.7">
      <c r="A5182" s="49">
        <v>44823.585855381942</v>
      </c>
      <c r="B5182" s="50" t="s">
        <v>15</v>
      </c>
      <c r="C5182" s="50" t="s">
        <v>488</v>
      </c>
      <c r="D5182" s="50" t="s">
        <v>263</v>
      </c>
      <c r="E5182" s="50">
        <v>-1</v>
      </c>
      <c r="F5182" s="51">
        <v>-0.69839448676295079</v>
      </c>
      <c r="G5182" s="51" t="str">
        <v>太良 2022/10/02 (日)
休日午前</v>
      </c>
    </row>
    <row r="5183" spans="1:7" ht="16.149999999999999" x14ac:dyDescent="0.7">
      <c r="A5183" s="49">
        <v>44823.585855381942</v>
      </c>
      <c r="B5183" s="50" t="s">
        <v>15</v>
      </c>
      <c r="C5183" s="50" t="s">
        <v>489</v>
      </c>
      <c r="D5183" s="50" t="s">
        <v>261</v>
      </c>
      <c r="E5183" s="50">
        <v>-1</v>
      </c>
      <c r="F5183" s="51">
        <v>-0.54337538739727376</v>
      </c>
      <c r="G5183" s="51" t="str">
        <v>太良 2022/10/02 (日)
休日午後</v>
      </c>
    </row>
    <row r="5184" spans="1:7" ht="16.149999999999999" x14ac:dyDescent="0.7">
      <c r="A5184" s="49">
        <v>44823.585855381942</v>
      </c>
      <c r="B5184" s="50" t="s">
        <v>15</v>
      </c>
      <c r="C5184" s="50" t="s">
        <v>490</v>
      </c>
      <c r="D5184" s="50" t="s">
        <v>259</v>
      </c>
      <c r="E5184" s="50">
        <v>0</v>
      </c>
      <c r="F5184" s="51">
        <v>0.82248090736784851</v>
      </c>
      <c r="G5184" s="51" t="str">
        <v>太良 2022/10/03 (月)
平日夜間</v>
      </c>
    </row>
    <row r="5185" spans="1:7" ht="16.149999999999999" x14ac:dyDescent="0.7">
      <c r="A5185" s="49">
        <v>44823.585855381942</v>
      </c>
      <c r="B5185" s="50" t="s">
        <v>15</v>
      </c>
      <c r="C5185" s="50" t="s">
        <v>491</v>
      </c>
      <c r="D5185" s="50" t="s">
        <v>259</v>
      </c>
      <c r="E5185" s="50">
        <v>0</v>
      </c>
      <c r="F5185" s="51">
        <v>0.38660010908489961</v>
      </c>
      <c r="G5185" s="51" t="str">
        <v>太良 2022/10/04 (火)
平日夜間</v>
      </c>
    </row>
    <row r="5186" spans="1:7" ht="16.149999999999999" x14ac:dyDescent="0.7">
      <c r="A5186" s="49">
        <v>44823.585855381942</v>
      </c>
      <c r="B5186" s="50" t="s">
        <v>15</v>
      </c>
      <c r="C5186" s="50" t="s">
        <v>492</v>
      </c>
      <c r="D5186" s="50" t="s">
        <v>259</v>
      </c>
      <c r="E5186" s="50">
        <v>0</v>
      </c>
      <c r="F5186" s="51">
        <v>0.75209908978998352</v>
      </c>
      <c r="G5186" s="51" t="str">
        <v>太良 2022/10/05 (水)
平日夜間</v>
      </c>
    </row>
    <row r="5187" spans="1:7" ht="16.149999999999999" x14ac:dyDescent="0.7">
      <c r="A5187" s="49">
        <v>44823.585855381942</v>
      </c>
      <c r="B5187" s="50" t="s">
        <v>15</v>
      </c>
      <c r="C5187" s="50" t="s">
        <v>493</v>
      </c>
      <c r="D5187" s="50" t="s">
        <v>259</v>
      </c>
      <c r="E5187" s="50">
        <v>0</v>
      </c>
      <c r="F5187" s="51">
        <v>0.61686041932881674</v>
      </c>
      <c r="G5187" s="51" t="str">
        <v>太良 2022/10/06 (木)
平日夜間</v>
      </c>
    </row>
    <row r="5188" spans="1:7" ht="16.149999999999999" x14ac:dyDescent="0.7">
      <c r="A5188" s="49">
        <v>44823.585855381942</v>
      </c>
      <c r="B5188" s="50" t="s">
        <v>15</v>
      </c>
      <c r="C5188" s="50" t="s">
        <v>494</v>
      </c>
      <c r="D5188" s="50" t="s">
        <v>259</v>
      </c>
      <c r="E5188" s="50">
        <v>-1</v>
      </c>
      <c r="F5188" s="51">
        <v>-0.89260503365026622</v>
      </c>
      <c r="G5188" s="51" t="str">
        <v>太良 2022/10/07 (金)
平日夜間</v>
      </c>
    </row>
    <row r="5189" spans="1:7" ht="16.149999999999999" x14ac:dyDescent="0.7">
      <c r="A5189" s="49">
        <v>44823.585855381942</v>
      </c>
      <c r="B5189" s="50" t="s">
        <v>15</v>
      </c>
      <c r="C5189" s="50" t="s">
        <v>495</v>
      </c>
      <c r="D5189" s="50" t="s">
        <v>263</v>
      </c>
      <c r="E5189" s="50">
        <v>-1</v>
      </c>
      <c r="F5189" s="51">
        <v>-0.84169785023082344</v>
      </c>
      <c r="G5189" s="51" t="str">
        <v>太良 2022/10/08 (土)
休日午前</v>
      </c>
    </row>
    <row r="5190" spans="1:7" ht="16.149999999999999" x14ac:dyDescent="0.7">
      <c r="A5190" s="49">
        <v>44823.585855381942</v>
      </c>
      <c r="B5190" s="50" t="s">
        <v>15</v>
      </c>
      <c r="C5190" s="50" t="s">
        <v>496</v>
      </c>
      <c r="D5190" s="50" t="s">
        <v>261</v>
      </c>
      <c r="E5190" s="50">
        <v>-1</v>
      </c>
      <c r="F5190" s="51">
        <v>-0.98172960088954908</v>
      </c>
      <c r="G5190" s="51" t="str">
        <v>太良 2022/10/08 (土)
休日午後</v>
      </c>
    </row>
    <row r="5191" spans="1:7" ht="16.149999999999999" x14ac:dyDescent="0.7">
      <c r="A5191" s="49">
        <v>44823.585855381942</v>
      </c>
      <c r="B5191" s="50" t="s">
        <v>15</v>
      </c>
      <c r="C5191" s="50" t="s">
        <v>497</v>
      </c>
      <c r="D5191" s="50" t="s">
        <v>263</v>
      </c>
      <c r="E5191" s="50">
        <v>-1</v>
      </c>
      <c r="F5191" s="51">
        <v>-0.20459343134104624</v>
      </c>
      <c r="G5191" s="51" t="str">
        <v>太良 2022/10/09 (日)
休日午前</v>
      </c>
    </row>
    <row r="5192" spans="1:7" ht="16.149999999999999" x14ac:dyDescent="0.7">
      <c r="A5192" s="49">
        <v>44823.585855381942</v>
      </c>
      <c r="B5192" s="50" t="s">
        <v>15</v>
      </c>
      <c r="C5192" s="50" t="s">
        <v>498</v>
      </c>
      <c r="D5192" s="50" t="s">
        <v>261</v>
      </c>
      <c r="E5192" s="50">
        <v>-1</v>
      </c>
      <c r="F5192" s="51">
        <v>-7.3277457589410622E-2</v>
      </c>
      <c r="G5192" s="51" t="str">
        <v>太良 2022/10/09 (日)
休日午後</v>
      </c>
    </row>
    <row r="5193" spans="1:7" ht="16.149999999999999" x14ac:dyDescent="0.7">
      <c r="A5193" s="49">
        <v>44823.585855381942</v>
      </c>
      <c r="B5193" s="50" t="s">
        <v>15</v>
      </c>
      <c r="C5193" s="50" t="s">
        <v>499</v>
      </c>
      <c r="D5193" s="50" t="s">
        <v>263</v>
      </c>
      <c r="E5193" s="50">
        <v>0</v>
      </c>
      <c r="F5193" s="51">
        <v>0.12846863561062283</v>
      </c>
      <c r="G5193" s="51" t="str">
        <v>太良 2022/10/10 (月)
休日午前</v>
      </c>
    </row>
    <row r="5194" spans="1:7" ht="16.149999999999999" x14ac:dyDescent="0.7">
      <c r="A5194" s="49">
        <v>44823.585855381942</v>
      </c>
      <c r="B5194" s="50" t="s">
        <v>15</v>
      </c>
      <c r="C5194" s="50" t="s">
        <v>500</v>
      </c>
      <c r="D5194" s="50" t="s">
        <v>261</v>
      </c>
      <c r="E5194" s="50">
        <v>0</v>
      </c>
      <c r="F5194" s="51">
        <v>9.2975479586535625E-2</v>
      </c>
      <c r="G5194" s="51" t="str">
        <v>太良 2022/10/10 (月)
休日午後</v>
      </c>
    </row>
    <row r="5195" spans="1:7" ht="16.149999999999999" x14ac:dyDescent="0.7">
      <c r="A5195" s="49">
        <v>44823.585855381942</v>
      </c>
      <c r="B5195" s="50" t="s">
        <v>15</v>
      </c>
      <c r="C5195" s="50" t="s">
        <v>501</v>
      </c>
      <c r="D5195" s="50" t="s">
        <v>259</v>
      </c>
      <c r="E5195" s="50">
        <v>0</v>
      </c>
      <c r="F5195" s="51">
        <v>0.31234854126596789</v>
      </c>
      <c r="G5195" s="51" t="str">
        <v>太良 2022/10/11 (火)
平日夜間</v>
      </c>
    </row>
    <row r="5196" spans="1:7" ht="16.149999999999999" x14ac:dyDescent="0.7">
      <c r="A5196" s="49">
        <v>44823.585855381942</v>
      </c>
      <c r="B5196" s="50" t="s">
        <v>15</v>
      </c>
      <c r="C5196" s="50" t="s">
        <v>502</v>
      </c>
      <c r="D5196" s="50" t="s">
        <v>259</v>
      </c>
      <c r="E5196" s="50">
        <v>0</v>
      </c>
      <c r="F5196" s="51">
        <v>0.31116939688910872</v>
      </c>
      <c r="G5196" s="51" t="str">
        <v>太良 2022/10/12 (水)
平日夜間</v>
      </c>
    </row>
    <row r="5197" spans="1:7" ht="16.149999999999999" x14ac:dyDescent="0.7">
      <c r="A5197" s="49">
        <v>44823.585855381942</v>
      </c>
      <c r="B5197" s="50" t="s">
        <v>15</v>
      </c>
      <c r="C5197" s="50" t="s">
        <v>503</v>
      </c>
      <c r="D5197" s="50" t="s">
        <v>259</v>
      </c>
      <c r="E5197" s="50">
        <v>0</v>
      </c>
      <c r="F5197" s="51">
        <v>0.18139400248953108</v>
      </c>
      <c r="G5197" s="51" t="str">
        <v>太良 2022/10/13 (木)
平日夜間</v>
      </c>
    </row>
    <row r="5198" spans="1:7" ht="16.149999999999999" x14ac:dyDescent="0.7">
      <c r="A5198" s="49">
        <v>44823.585855381942</v>
      </c>
      <c r="B5198" s="50" t="s">
        <v>15</v>
      </c>
      <c r="C5198" s="50" t="s">
        <v>504</v>
      </c>
      <c r="D5198" s="50" t="s">
        <v>259</v>
      </c>
      <c r="E5198" s="50">
        <v>-1</v>
      </c>
      <c r="F5198" s="51">
        <v>-0.19683162292611378</v>
      </c>
      <c r="G5198" s="51" t="str">
        <v>太良 2022/10/14 (金)
平日夜間</v>
      </c>
    </row>
    <row r="5199" spans="1:7" ht="16.149999999999999" x14ac:dyDescent="0.7">
      <c r="A5199" s="49">
        <v>44823.585855381942</v>
      </c>
      <c r="B5199" s="50" t="s">
        <v>15</v>
      </c>
      <c r="C5199" s="50" t="s">
        <v>505</v>
      </c>
      <c r="D5199" s="50" t="s">
        <v>263</v>
      </c>
      <c r="E5199" s="50">
        <v>-1</v>
      </c>
      <c r="F5199" s="51">
        <v>-0.10727357516146618</v>
      </c>
      <c r="G5199" s="51" t="str">
        <v>太良 2022/10/15 (土)
休日午前</v>
      </c>
    </row>
    <row r="5200" spans="1:7" ht="16.149999999999999" x14ac:dyDescent="0.7">
      <c r="A5200" s="49">
        <v>44823.585855381942</v>
      </c>
      <c r="B5200" s="50" t="s">
        <v>15</v>
      </c>
      <c r="C5200" s="50" t="s">
        <v>506</v>
      </c>
      <c r="D5200" s="50" t="s">
        <v>261</v>
      </c>
      <c r="E5200" s="50">
        <v>-1</v>
      </c>
      <c r="F5200" s="51">
        <v>-0.58087310084696231</v>
      </c>
      <c r="G5200" s="51" t="str">
        <v>太良 2022/10/15 (土)
休日午後</v>
      </c>
    </row>
    <row r="5201" spans="1:7" ht="16.149999999999999" x14ac:dyDescent="0.7">
      <c r="A5201" s="49">
        <v>44823.585855381942</v>
      </c>
      <c r="B5201" s="50" t="s">
        <v>15</v>
      </c>
      <c r="C5201" s="50" t="s">
        <v>507</v>
      </c>
      <c r="D5201" s="50" t="s">
        <v>263</v>
      </c>
      <c r="E5201" s="50">
        <v>-1</v>
      </c>
      <c r="F5201" s="51">
        <v>-0.26048777132617529</v>
      </c>
      <c r="G5201" s="51" t="str">
        <v>太良 2022/10/16 (日)
休日午前</v>
      </c>
    </row>
    <row r="5202" spans="1:7" ht="16.149999999999999" x14ac:dyDescent="0.7">
      <c r="A5202" s="49">
        <v>44823.585855381942</v>
      </c>
      <c r="B5202" s="50" t="s">
        <v>15</v>
      </c>
      <c r="C5202" s="50" t="s">
        <v>508</v>
      </c>
      <c r="D5202" s="50" t="s">
        <v>261</v>
      </c>
      <c r="E5202" s="50">
        <v>-1</v>
      </c>
      <c r="F5202" s="51">
        <v>-0.3725922747854955</v>
      </c>
      <c r="G5202" s="51" t="str">
        <v>太良 2022/10/16 (日)
休日午後</v>
      </c>
    </row>
    <row r="5203" spans="1:7" ht="16.149999999999999" x14ac:dyDescent="0.7">
      <c r="A5203" s="49">
        <v>44823.585855381942</v>
      </c>
      <c r="B5203" s="50" t="s">
        <v>15</v>
      </c>
      <c r="C5203" s="50" t="s">
        <v>509</v>
      </c>
      <c r="D5203" s="50" t="s">
        <v>259</v>
      </c>
      <c r="E5203" s="50">
        <v>0</v>
      </c>
      <c r="F5203" s="51">
        <v>0.35272398940553829</v>
      </c>
      <c r="G5203" s="51" t="str">
        <v>太良 2022/10/17 (月)
平日夜間</v>
      </c>
    </row>
    <row r="5204" spans="1:7" ht="16.149999999999999" x14ac:dyDescent="0.7">
      <c r="A5204" s="49">
        <v>44823.585855381942</v>
      </c>
      <c r="B5204" s="50" t="s">
        <v>15</v>
      </c>
      <c r="C5204" s="50" t="s">
        <v>510</v>
      </c>
      <c r="D5204" s="50" t="s">
        <v>259</v>
      </c>
      <c r="E5204" s="50">
        <v>0</v>
      </c>
      <c r="F5204" s="51">
        <v>0.90196515443421621</v>
      </c>
      <c r="G5204" s="51" t="str">
        <v>太良 2022/10/18 (火)
平日夜間</v>
      </c>
    </row>
    <row r="5205" spans="1:7" ht="16.149999999999999" x14ac:dyDescent="0.7">
      <c r="A5205" s="49">
        <v>44823.585855381942</v>
      </c>
      <c r="B5205" s="50" t="s">
        <v>15</v>
      </c>
      <c r="C5205" s="50" t="s">
        <v>511</v>
      </c>
      <c r="D5205" s="50" t="s">
        <v>259</v>
      </c>
      <c r="E5205" s="50">
        <v>0</v>
      </c>
      <c r="F5205" s="51">
        <v>0.28752231094494496</v>
      </c>
      <c r="G5205" s="51" t="str">
        <v>太良 2022/10/19 (水)
平日夜間</v>
      </c>
    </row>
    <row r="5206" spans="1:7" ht="16.149999999999999" x14ac:dyDescent="0.7">
      <c r="A5206" s="49">
        <v>44823.585855381942</v>
      </c>
      <c r="B5206" s="50" t="s">
        <v>15</v>
      </c>
      <c r="C5206" s="50" t="s">
        <v>512</v>
      </c>
      <c r="D5206" s="50" t="s">
        <v>259</v>
      </c>
      <c r="E5206" s="50">
        <v>0</v>
      </c>
      <c r="F5206" s="51">
        <v>0.68564510390951106</v>
      </c>
      <c r="G5206" s="51" t="str">
        <v>太良 2022/10/20 (木)
平日夜間</v>
      </c>
    </row>
    <row r="5207" spans="1:7" ht="16.149999999999999" x14ac:dyDescent="0.7">
      <c r="A5207" s="49">
        <v>44823.585855381942</v>
      </c>
      <c r="B5207" s="50" t="s">
        <v>15</v>
      </c>
      <c r="C5207" s="50" t="s">
        <v>513</v>
      </c>
      <c r="D5207" s="50" t="s">
        <v>259</v>
      </c>
      <c r="E5207" s="50">
        <v>0</v>
      </c>
      <c r="F5207" s="51">
        <v>0.96996439915275046</v>
      </c>
      <c r="G5207" s="51" t="str">
        <v>太良 2022/10/21 (金)
平日夜間</v>
      </c>
    </row>
    <row r="5208" spans="1:7" ht="16.149999999999999" x14ac:dyDescent="0.7">
      <c r="A5208" s="49">
        <v>44823.585855381942</v>
      </c>
      <c r="B5208" s="50" t="s">
        <v>15</v>
      </c>
      <c r="C5208" s="50" t="s">
        <v>514</v>
      </c>
      <c r="D5208" s="50" t="s">
        <v>263</v>
      </c>
      <c r="E5208" s="50">
        <v>-1</v>
      </c>
      <c r="F5208" s="51">
        <v>-0.54032491036098218</v>
      </c>
      <c r="G5208" s="51" t="str">
        <v>太良 2022/10/22 (土)
休日午前</v>
      </c>
    </row>
    <row r="5209" spans="1:7" ht="16.149999999999999" x14ac:dyDescent="0.7">
      <c r="A5209" s="49">
        <v>44823.585855381942</v>
      </c>
      <c r="B5209" s="50" t="s">
        <v>15</v>
      </c>
      <c r="C5209" s="50" t="s">
        <v>515</v>
      </c>
      <c r="D5209" s="50" t="s">
        <v>261</v>
      </c>
      <c r="E5209" s="50">
        <v>0</v>
      </c>
      <c r="F5209" s="51">
        <v>0.63553681192592237</v>
      </c>
      <c r="G5209" s="51" t="str">
        <v>太良 2022/10/22 (土)
休日午後</v>
      </c>
    </row>
    <row r="5210" spans="1:7" ht="16.149999999999999" x14ac:dyDescent="0.7">
      <c r="A5210" s="49">
        <v>44823.585855381942</v>
      </c>
      <c r="B5210" s="50" t="s">
        <v>15</v>
      </c>
      <c r="C5210" s="50" t="s">
        <v>516</v>
      </c>
      <c r="D5210" s="50" t="s">
        <v>263</v>
      </c>
      <c r="E5210" s="50">
        <v>0</v>
      </c>
      <c r="F5210" s="51">
        <v>0.72784881912941568</v>
      </c>
      <c r="G5210" s="51" t="str">
        <v>太良 2022/10/23 (日)
休日午前</v>
      </c>
    </row>
    <row r="5211" spans="1:7" ht="16.149999999999999" x14ac:dyDescent="0.7">
      <c r="A5211" s="49">
        <v>44823.585855381942</v>
      </c>
      <c r="B5211" s="50" t="s">
        <v>15</v>
      </c>
      <c r="C5211" s="50" t="s">
        <v>517</v>
      </c>
      <c r="D5211" s="50" t="s">
        <v>261</v>
      </c>
      <c r="E5211" s="50">
        <v>0</v>
      </c>
      <c r="F5211" s="51">
        <v>0.34339157447954172</v>
      </c>
      <c r="G5211" s="51" t="str">
        <v>太良 2022/10/23 (日)
休日午後</v>
      </c>
    </row>
    <row r="5212" spans="1:7" ht="16.149999999999999" x14ac:dyDescent="0.7">
      <c r="A5212" s="49">
        <v>44823.585855381942</v>
      </c>
      <c r="B5212" s="50" t="s">
        <v>15</v>
      </c>
      <c r="C5212" s="50" t="s">
        <v>518</v>
      </c>
      <c r="D5212" s="50" t="s">
        <v>259</v>
      </c>
      <c r="E5212" s="50">
        <v>0</v>
      </c>
      <c r="F5212" s="51">
        <v>0.96195472590274789</v>
      </c>
      <c r="G5212" s="51" t="str">
        <v>太良 2022/10/24 (月)
平日夜間</v>
      </c>
    </row>
    <row r="5213" spans="1:7" ht="16.149999999999999" x14ac:dyDescent="0.7">
      <c r="A5213" s="49">
        <v>44823.585855381942</v>
      </c>
      <c r="B5213" s="50" t="s">
        <v>15</v>
      </c>
      <c r="C5213" s="50" t="s">
        <v>519</v>
      </c>
      <c r="D5213" s="50" t="s">
        <v>259</v>
      </c>
      <c r="E5213" s="50">
        <v>0</v>
      </c>
      <c r="F5213" s="51">
        <v>0.45485542242226917</v>
      </c>
      <c r="G5213" s="51" t="str">
        <v>太良 2022/10/25 (火)
平日夜間</v>
      </c>
    </row>
    <row r="5214" spans="1:7" ht="16.149999999999999" x14ac:dyDescent="0.7">
      <c r="A5214" s="49">
        <v>44823.585855381942</v>
      </c>
      <c r="B5214" s="50" t="s">
        <v>15</v>
      </c>
      <c r="C5214" s="50" t="s">
        <v>520</v>
      </c>
      <c r="D5214" s="50" t="s">
        <v>259</v>
      </c>
      <c r="E5214" s="50">
        <v>-1</v>
      </c>
      <c r="F5214" s="51">
        <v>-0.93816309519928964</v>
      </c>
      <c r="G5214" s="51" t="str">
        <v>太良 2022/10/26 (水)
平日夜間</v>
      </c>
    </row>
    <row r="5215" spans="1:7" ht="16.149999999999999" x14ac:dyDescent="0.7">
      <c r="A5215" s="49">
        <v>44823.585855381942</v>
      </c>
      <c r="B5215" s="50" t="s">
        <v>15</v>
      </c>
      <c r="C5215" s="50" t="s">
        <v>521</v>
      </c>
      <c r="D5215" s="50" t="s">
        <v>259</v>
      </c>
      <c r="E5215" s="50">
        <v>-1</v>
      </c>
      <c r="F5215" s="51">
        <v>-0.61405180701637141</v>
      </c>
      <c r="G5215" s="51" t="str">
        <v>太良 2022/10/27 (木)
平日夜間</v>
      </c>
    </row>
    <row r="5216" spans="1:7" ht="16.149999999999999" x14ac:dyDescent="0.7">
      <c r="A5216" s="49">
        <v>44823.585855381942</v>
      </c>
      <c r="B5216" s="50" t="s">
        <v>15</v>
      </c>
      <c r="C5216" s="50" t="s">
        <v>522</v>
      </c>
      <c r="D5216" s="50" t="s">
        <v>259</v>
      </c>
      <c r="E5216" s="50">
        <v>0</v>
      </c>
      <c r="F5216" s="51">
        <v>0.49503255804900159</v>
      </c>
      <c r="G5216" s="51" t="str">
        <v>太良 2022/10/28 (金)
平日夜間</v>
      </c>
    </row>
    <row r="5217" spans="1:7" ht="16.149999999999999" x14ac:dyDescent="0.7">
      <c r="A5217" s="49">
        <v>44823.585855381942</v>
      </c>
      <c r="B5217" s="50" t="s">
        <v>15</v>
      </c>
      <c r="C5217" s="50" t="s">
        <v>523</v>
      </c>
      <c r="D5217" s="50" t="s">
        <v>263</v>
      </c>
      <c r="E5217" s="50">
        <v>0</v>
      </c>
      <c r="F5217" s="51">
        <v>0.10436439828545629</v>
      </c>
      <c r="G5217" s="51" t="str">
        <v>太良 2022/10/29 (土)
休日午前</v>
      </c>
    </row>
    <row r="5218" spans="1:7" ht="16.149999999999999" x14ac:dyDescent="0.7">
      <c r="A5218" s="49">
        <v>44823.585855381942</v>
      </c>
      <c r="B5218" s="50" t="s">
        <v>15</v>
      </c>
      <c r="C5218" s="50" t="s">
        <v>524</v>
      </c>
      <c r="D5218" s="50" t="s">
        <v>261</v>
      </c>
      <c r="E5218" s="50">
        <v>0</v>
      </c>
      <c r="F5218" s="51">
        <v>0.9437643986155777</v>
      </c>
      <c r="G5218" s="51" t="str">
        <v>太良 2022/10/29 (土)
休日午後</v>
      </c>
    </row>
    <row r="5219" spans="1:7" ht="16.149999999999999" x14ac:dyDescent="0.7">
      <c r="A5219" s="49">
        <v>44823.585855381942</v>
      </c>
      <c r="B5219" s="50" t="s">
        <v>15</v>
      </c>
      <c r="C5219" s="50" t="s">
        <v>525</v>
      </c>
      <c r="D5219" s="50" t="s">
        <v>263</v>
      </c>
      <c r="E5219" s="50">
        <v>2</v>
      </c>
      <c r="F5219" s="51">
        <v>2.0532929778742446</v>
      </c>
      <c r="G5219" s="51" t="str">
        <v>太良 2022/10/30 (日)
休日午前</v>
      </c>
    </row>
    <row r="5220" spans="1:7" ht="16.149999999999999" x14ac:dyDescent="0.7">
      <c r="A5220" s="49">
        <v>44823.585855381942</v>
      </c>
      <c r="B5220" s="50" t="s">
        <v>15</v>
      </c>
      <c r="C5220" s="50" t="s">
        <v>526</v>
      </c>
      <c r="D5220" s="50" t="s">
        <v>261</v>
      </c>
      <c r="E5220" s="50">
        <v>2</v>
      </c>
      <c r="F5220" s="51">
        <v>2.3198039149297474</v>
      </c>
      <c r="G5220" s="51" t="str">
        <v>太良 2022/10/30 (日)
休日午後</v>
      </c>
    </row>
    <row r="5221" spans="1:7" ht="16.149999999999999" x14ac:dyDescent="0.7">
      <c r="A5221" s="49">
        <v>44823.585855381942</v>
      </c>
      <c r="B5221" s="50" t="s">
        <v>15</v>
      </c>
      <c r="C5221" s="50" t="s">
        <v>527</v>
      </c>
      <c r="D5221" s="50" t="s">
        <v>259</v>
      </c>
      <c r="E5221" s="50">
        <v>0</v>
      </c>
      <c r="F5221" s="51">
        <v>0.19980841100319235</v>
      </c>
      <c r="G5221" s="51" t="str">
        <v>太良 2022/10/31 (月)
平日夜間</v>
      </c>
    </row>
    <row r="5222" spans="1:7" ht="16.149999999999999" x14ac:dyDescent="0.7">
      <c r="A5222" s="49">
        <v>44844.436416041666</v>
      </c>
      <c r="B5222" s="50" t="s">
        <v>13</v>
      </c>
      <c r="C5222" s="50" t="s">
        <v>528</v>
      </c>
      <c r="D5222" s="50" t="s">
        <v>259</v>
      </c>
      <c r="E5222" s="50">
        <v>0</v>
      </c>
      <c r="F5222" s="51">
        <v>0.12099503069848949</v>
      </c>
      <c r="G5222" s="51" t="str">
        <v>新美 2022/11/01 (火)
平日夜間</v>
      </c>
    </row>
    <row r="5223" spans="1:7" ht="16.149999999999999" x14ac:dyDescent="0.7">
      <c r="A5223" s="49">
        <v>44844.436416041666</v>
      </c>
      <c r="B5223" s="50" t="s">
        <v>13</v>
      </c>
      <c r="C5223" s="50" t="s">
        <v>529</v>
      </c>
      <c r="D5223" s="50" t="s">
        <v>259</v>
      </c>
      <c r="E5223" s="50">
        <v>-1</v>
      </c>
      <c r="F5223" s="51">
        <v>-0.87997855048937446</v>
      </c>
      <c r="G5223" s="51" t="str">
        <v>新美 2022/11/02 (水)
平日夜間</v>
      </c>
    </row>
    <row r="5224" spans="1:7" ht="16.149999999999999" x14ac:dyDescent="0.7">
      <c r="A5224" s="49">
        <v>44844.436416041666</v>
      </c>
      <c r="B5224" s="50" t="s">
        <v>13</v>
      </c>
      <c r="C5224" s="50" t="s">
        <v>530</v>
      </c>
      <c r="D5224" s="50" t="s">
        <v>259</v>
      </c>
      <c r="E5224" s="50">
        <v>0</v>
      </c>
      <c r="F5224" s="51">
        <v>0.21559074122485988</v>
      </c>
      <c r="G5224" s="51" t="str">
        <v>新美 2022/11/03 (木)
平日夜間</v>
      </c>
    </row>
    <row r="5225" spans="1:7" ht="16.149999999999999" x14ac:dyDescent="0.7">
      <c r="A5225" s="49">
        <v>44844.436416041666</v>
      </c>
      <c r="B5225" s="50" t="s">
        <v>13</v>
      </c>
      <c r="C5225" s="50" t="s">
        <v>531</v>
      </c>
      <c r="D5225" s="50" t="s">
        <v>259</v>
      </c>
      <c r="E5225" s="50">
        <v>-1</v>
      </c>
      <c r="F5225" s="51">
        <v>-0.35416143533629141</v>
      </c>
      <c r="G5225" s="51" t="str">
        <v>新美 2022/11/04 (金)
平日夜間</v>
      </c>
    </row>
    <row r="5226" spans="1:7" ht="16.149999999999999" x14ac:dyDescent="0.7">
      <c r="A5226" s="49">
        <v>44844.436416041666</v>
      </c>
      <c r="B5226" s="50" t="s">
        <v>13</v>
      </c>
      <c r="C5226" s="50" t="s">
        <v>532</v>
      </c>
      <c r="D5226" s="50" t="s">
        <v>263</v>
      </c>
      <c r="E5226" s="50">
        <v>-1</v>
      </c>
      <c r="F5226" s="51">
        <v>-2.8380839447614825E-3</v>
      </c>
      <c r="G5226" s="51" t="str">
        <v>新美 2022/11/05 (土)
休日午前</v>
      </c>
    </row>
    <row r="5227" spans="1:7" ht="16.149999999999999" x14ac:dyDescent="0.7">
      <c r="A5227" s="49">
        <v>44844.436416041666</v>
      </c>
      <c r="B5227" s="50" t="s">
        <v>13</v>
      </c>
      <c r="C5227" s="50" t="s">
        <v>533</v>
      </c>
      <c r="D5227" s="50" t="s">
        <v>261</v>
      </c>
      <c r="E5227" s="50">
        <v>-1</v>
      </c>
      <c r="F5227" s="51">
        <v>-5.9557358349866085E-2</v>
      </c>
      <c r="G5227" s="51" t="str">
        <v>新美 2022/11/05 (土)
休日午後</v>
      </c>
    </row>
    <row r="5228" spans="1:7" ht="16.149999999999999" x14ac:dyDescent="0.7">
      <c r="A5228" s="49">
        <v>44844.436416041666</v>
      </c>
      <c r="B5228" s="50" t="s">
        <v>13</v>
      </c>
      <c r="C5228" s="50" t="s">
        <v>534</v>
      </c>
      <c r="D5228" s="50" t="s">
        <v>263</v>
      </c>
      <c r="E5228" s="50">
        <v>-1</v>
      </c>
      <c r="F5228" s="51">
        <v>-0.75700280736090475</v>
      </c>
      <c r="G5228" s="51" t="str">
        <v>新美 2022/11/06 (日)
休日午前</v>
      </c>
    </row>
    <row r="5229" spans="1:7" ht="16.149999999999999" x14ac:dyDescent="0.7">
      <c r="A5229" s="49">
        <v>44844.436416041666</v>
      </c>
      <c r="B5229" s="50" t="s">
        <v>13</v>
      </c>
      <c r="C5229" s="50" t="s">
        <v>535</v>
      </c>
      <c r="D5229" s="50" t="s">
        <v>261</v>
      </c>
      <c r="E5229" s="50">
        <v>-1</v>
      </c>
      <c r="F5229" s="51">
        <v>-0.73560648534676898</v>
      </c>
      <c r="G5229" s="51" t="str">
        <v>新美 2022/11/06 (日)
休日午後</v>
      </c>
    </row>
    <row r="5230" spans="1:7" ht="16.149999999999999" x14ac:dyDescent="0.7">
      <c r="A5230" s="49">
        <v>44844.436416041666</v>
      </c>
      <c r="B5230" s="50" t="s">
        <v>13</v>
      </c>
      <c r="C5230" s="50" t="s">
        <v>536</v>
      </c>
      <c r="D5230" s="50" t="s">
        <v>259</v>
      </c>
      <c r="E5230" s="50">
        <v>-1</v>
      </c>
      <c r="F5230" s="51">
        <v>-0.77287205692952088</v>
      </c>
      <c r="G5230" s="51" t="str">
        <v>新美 2022/11/07 (月)
平日夜間</v>
      </c>
    </row>
    <row r="5231" spans="1:7" ht="16.149999999999999" x14ac:dyDescent="0.7">
      <c r="A5231" s="49">
        <v>44844.436416041666</v>
      </c>
      <c r="B5231" s="50" t="s">
        <v>13</v>
      </c>
      <c r="C5231" s="50" t="s">
        <v>537</v>
      </c>
      <c r="D5231" s="50" t="s">
        <v>259</v>
      </c>
      <c r="E5231" s="50">
        <v>0</v>
      </c>
      <c r="F5231" s="51">
        <v>0.78395470289109581</v>
      </c>
      <c r="G5231" s="51" t="str">
        <v>新美 2022/11/08 (火)
平日夜間</v>
      </c>
    </row>
    <row r="5232" spans="1:7" ht="16.149999999999999" x14ac:dyDescent="0.7">
      <c r="A5232" s="49">
        <v>44844.436416041666</v>
      </c>
      <c r="B5232" s="50" t="s">
        <v>13</v>
      </c>
      <c r="C5232" s="50" t="s">
        <v>538</v>
      </c>
      <c r="D5232" s="50" t="s">
        <v>259</v>
      </c>
      <c r="E5232" s="50">
        <v>-1</v>
      </c>
      <c r="F5232" s="51">
        <v>-0.49063629613079884</v>
      </c>
      <c r="G5232" s="51" t="str">
        <v>新美 2022/11/09 (水)
平日夜間</v>
      </c>
    </row>
    <row r="5233" spans="1:7" ht="16.149999999999999" x14ac:dyDescent="0.7">
      <c r="A5233" s="49">
        <v>44844.436416041666</v>
      </c>
      <c r="B5233" s="50" t="s">
        <v>13</v>
      </c>
      <c r="C5233" s="50" t="s">
        <v>539</v>
      </c>
      <c r="D5233" s="50" t="s">
        <v>259</v>
      </c>
      <c r="E5233" s="50">
        <v>0</v>
      </c>
      <c r="F5233" s="51">
        <v>0.66158567533671708</v>
      </c>
      <c r="G5233" s="51" t="str">
        <v>新美 2022/11/10 (木)
平日夜間</v>
      </c>
    </row>
    <row r="5234" spans="1:7" ht="16.149999999999999" x14ac:dyDescent="0.7">
      <c r="A5234" s="49">
        <v>44844.436416041666</v>
      </c>
      <c r="B5234" s="50" t="s">
        <v>13</v>
      </c>
      <c r="C5234" s="50" t="s">
        <v>540</v>
      </c>
      <c r="D5234" s="50" t="s">
        <v>259</v>
      </c>
      <c r="E5234" s="50">
        <v>0</v>
      </c>
      <c r="F5234" s="51">
        <v>9.2162994987908364E-2</v>
      </c>
      <c r="G5234" s="51" t="str">
        <v>新美 2022/11/11 (金)
平日夜間</v>
      </c>
    </row>
    <row r="5235" spans="1:7" ht="16.149999999999999" x14ac:dyDescent="0.7">
      <c r="A5235" s="49">
        <v>44844.436416041666</v>
      </c>
      <c r="B5235" s="50" t="s">
        <v>13</v>
      </c>
      <c r="C5235" s="50" t="s">
        <v>541</v>
      </c>
      <c r="D5235" s="50" t="s">
        <v>263</v>
      </c>
      <c r="E5235" s="50">
        <v>0</v>
      </c>
      <c r="F5235" s="51">
        <v>6.2950811740901003E-2</v>
      </c>
      <c r="G5235" s="51" t="str">
        <v>新美 2022/11/12 (土)
休日午前</v>
      </c>
    </row>
    <row r="5236" spans="1:7" ht="16.149999999999999" x14ac:dyDescent="0.7">
      <c r="A5236" s="49">
        <v>44844.436416041666</v>
      </c>
      <c r="B5236" s="50" t="s">
        <v>13</v>
      </c>
      <c r="C5236" s="50" t="s">
        <v>542</v>
      </c>
      <c r="D5236" s="50" t="s">
        <v>261</v>
      </c>
      <c r="E5236" s="50">
        <v>0</v>
      </c>
      <c r="F5236" s="51">
        <v>0.79820010618392301</v>
      </c>
      <c r="G5236" s="51" t="str">
        <v>新美 2022/11/12 (土)
休日午後</v>
      </c>
    </row>
    <row r="5237" spans="1:7" ht="16.149999999999999" x14ac:dyDescent="0.7">
      <c r="A5237" s="49">
        <v>44844.436416041666</v>
      </c>
      <c r="B5237" s="50" t="s">
        <v>13</v>
      </c>
      <c r="C5237" s="50" t="s">
        <v>543</v>
      </c>
      <c r="D5237" s="50" t="s">
        <v>263</v>
      </c>
      <c r="E5237" s="50">
        <v>0</v>
      </c>
      <c r="F5237" s="51">
        <v>0.12727701518095902</v>
      </c>
      <c r="G5237" s="51" t="str">
        <v>新美 2022/11/13 (日)
休日午前</v>
      </c>
    </row>
    <row r="5238" spans="1:7" ht="16.149999999999999" x14ac:dyDescent="0.7">
      <c r="A5238" s="49">
        <v>44844.436416041666</v>
      </c>
      <c r="B5238" s="50" t="s">
        <v>13</v>
      </c>
      <c r="C5238" s="50" t="s">
        <v>544</v>
      </c>
      <c r="D5238" s="50" t="s">
        <v>261</v>
      </c>
      <c r="E5238" s="50">
        <v>0</v>
      </c>
      <c r="F5238" s="51">
        <v>0.6504643309295699</v>
      </c>
      <c r="G5238" s="51" t="str">
        <v>新美 2022/11/13 (日)
休日午後</v>
      </c>
    </row>
    <row r="5239" spans="1:7" ht="16.149999999999999" x14ac:dyDescent="0.7">
      <c r="A5239" s="49">
        <v>44844.436416041666</v>
      </c>
      <c r="B5239" s="50" t="s">
        <v>13</v>
      </c>
      <c r="C5239" s="50" t="s">
        <v>545</v>
      </c>
      <c r="D5239" s="50" t="s">
        <v>259</v>
      </c>
      <c r="E5239" s="50">
        <v>0</v>
      </c>
      <c r="F5239" s="51">
        <v>0.72965434047192579</v>
      </c>
      <c r="G5239" s="51" t="str">
        <v>新美 2022/11/14 (月)
平日夜間</v>
      </c>
    </row>
    <row r="5240" spans="1:7" ht="16.149999999999999" x14ac:dyDescent="0.7">
      <c r="A5240" s="49">
        <v>44844.436416041666</v>
      </c>
      <c r="B5240" s="50" t="s">
        <v>13</v>
      </c>
      <c r="C5240" s="50" t="s">
        <v>546</v>
      </c>
      <c r="D5240" s="50" t="s">
        <v>259</v>
      </c>
      <c r="E5240" s="50">
        <v>0</v>
      </c>
      <c r="F5240" s="51">
        <v>0.67256673443477766</v>
      </c>
      <c r="G5240" s="51" t="str">
        <v>新美 2022/11/15 (火)
平日夜間</v>
      </c>
    </row>
    <row r="5241" spans="1:7" ht="16.149999999999999" x14ac:dyDescent="0.7">
      <c r="A5241" s="49">
        <v>44844.436416041666</v>
      </c>
      <c r="B5241" s="50" t="s">
        <v>13</v>
      </c>
      <c r="C5241" s="50" t="s">
        <v>547</v>
      </c>
      <c r="D5241" s="50" t="s">
        <v>259</v>
      </c>
      <c r="E5241" s="50">
        <v>-1</v>
      </c>
      <c r="F5241" s="51">
        <v>-0.46706168421704697</v>
      </c>
      <c r="G5241" s="51" t="str">
        <v>新美 2022/11/16 (水)
平日夜間</v>
      </c>
    </row>
    <row r="5242" spans="1:7" ht="16.149999999999999" x14ac:dyDescent="0.7">
      <c r="A5242" s="49">
        <v>44844.436416041666</v>
      </c>
      <c r="B5242" s="50" t="s">
        <v>13</v>
      </c>
      <c r="C5242" s="50" t="s">
        <v>548</v>
      </c>
      <c r="D5242" s="50" t="s">
        <v>259</v>
      </c>
      <c r="E5242" s="50">
        <v>0</v>
      </c>
      <c r="F5242" s="51">
        <v>0.88750967729759944</v>
      </c>
      <c r="G5242" s="51" t="str">
        <v>新美 2022/11/17 (木)
平日夜間</v>
      </c>
    </row>
    <row r="5243" spans="1:7" ht="16.149999999999999" x14ac:dyDescent="0.7">
      <c r="A5243" s="49">
        <v>44844.436416041666</v>
      </c>
      <c r="B5243" s="50" t="s">
        <v>13</v>
      </c>
      <c r="C5243" s="50" t="s">
        <v>549</v>
      </c>
      <c r="D5243" s="50" t="s">
        <v>259</v>
      </c>
      <c r="E5243" s="50">
        <v>0</v>
      </c>
      <c r="F5243" s="51">
        <v>0.2687775118172302</v>
      </c>
      <c r="G5243" s="51" t="str">
        <v>新美 2022/11/18 (金)
平日夜間</v>
      </c>
    </row>
    <row r="5244" spans="1:7" ht="16.149999999999999" x14ac:dyDescent="0.7">
      <c r="A5244" s="49">
        <v>44844.436416041666</v>
      </c>
      <c r="B5244" s="50" t="s">
        <v>13</v>
      </c>
      <c r="C5244" s="50" t="s">
        <v>550</v>
      </c>
      <c r="D5244" s="50" t="s">
        <v>263</v>
      </c>
      <c r="E5244" s="50">
        <v>0</v>
      </c>
      <c r="F5244" s="51">
        <v>0.52853252025844077</v>
      </c>
      <c r="G5244" s="51" t="str">
        <v>新美 2022/11/19 (土)
休日午前</v>
      </c>
    </row>
    <row r="5245" spans="1:7" ht="16.149999999999999" x14ac:dyDescent="0.7">
      <c r="A5245" s="49">
        <v>44844.436416041666</v>
      </c>
      <c r="B5245" s="50" t="s">
        <v>13</v>
      </c>
      <c r="C5245" s="50" t="s">
        <v>551</v>
      </c>
      <c r="D5245" s="50" t="s">
        <v>261</v>
      </c>
      <c r="E5245" s="50">
        <v>0</v>
      </c>
      <c r="F5245" s="51">
        <v>0.97585263583898674</v>
      </c>
      <c r="G5245" s="51" t="str">
        <v>新美 2022/11/19 (土)
休日午後</v>
      </c>
    </row>
    <row r="5246" spans="1:7" ht="16.149999999999999" x14ac:dyDescent="0.7">
      <c r="A5246" s="49">
        <v>44844.436416041666</v>
      </c>
      <c r="B5246" s="50" t="s">
        <v>13</v>
      </c>
      <c r="C5246" s="50" t="s">
        <v>552</v>
      </c>
      <c r="D5246" s="50" t="s">
        <v>263</v>
      </c>
      <c r="E5246" s="50">
        <v>0</v>
      </c>
      <c r="F5246" s="51">
        <v>0.23846522139618109</v>
      </c>
      <c r="G5246" s="51" t="str">
        <v>新美 2022/11/20 (日)
休日午前</v>
      </c>
    </row>
    <row r="5247" spans="1:7" ht="16.149999999999999" x14ac:dyDescent="0.7">
      <c r="A5247" s="49">
        <v>44844.436416041666</v>
      </c>
      <c r="B5247" s="50" t="s">
        <v>13</v>
      </c>
      <c r="C5247" s="50" t="s">
        <v>553</v>
      </c>
      <c r="D5247" s="50" t="s">
        <v>261</v>
      </c>
      <c r="E5247" s="50">
        <v>0</v>
      </c>
      <c r="F5247" s="51">
        <v>3.1455612189226878E-2</v>
      </c>
      <c r="G5247" s="51" t="str">
        <v>新美 2022/11/20 (日)
休日午後</v>
      </c>
    </row>
    <row r="5248" spans="1:7" ht="16.149999999999999" x14ac:dyDescent="0.7">
      <c r="A5248" s="49">
        <v>44844.436416041666</v>
      </c>
      <c r="B5248" s="50" t="s">
        <v>13</v>
      </c>
      <c r="C5248" s="50" t="s">
        <v>554</v>
      </c>
      <c r="D5248" s="50" t="s">
        <v>259</v>
      </c>
      <c r="E5248" s="50">
        <v>0</v>
      </c>
      <c r="F5248" s="51">
        <v>0.50228365770593753</v>
      </c>
      <c r="G5248" s="51" t="str">
        <v>新美 2022/11/21 (月)
平日夜間</v>
      </c>
    </row>
    <row r="5249" spans="1:7" ht="16.149999999999999" x14ac:dyDescent="0.7">
      <c r="A5249" s="49">
        <v>44844.436416041666</v>
      </c>
      <c r="B5249" s="50" t="s">
        <v>13</v>
      </c>
      <c r="C5249" s="50" t="s">
        <v>555</v>
      </c>
      <c r="D5249" s="50" t="s">
        <v>259</v>
      </c>
      <c r="E5249" s="50">
        <v>-1</v>
      </c>
      <c r="F5249" s="51">
        <v>-0.54713165971093214</v>
      </c>
      <c r="G5249" s="51" t="str">
        <v>新美 2022/11/22 (火)
平日夜間</v>
      </c>
    </row>
    <row r="5250" spans="1:7" ht="16.149999999999999" x14ac:dyDescent="0.7">
      <c r="A5250" s="49">
        <v>44844.436416041666</v>
      </c>
      <c r="B5250" s="50" t="s">
        <v>13</v>
      </c>
      <c r="C5250" s="50" t="s">
        <v>556</v>
      </c>
      <c r="D5250" s="50" t="s">
        <v>259</v>
      </c>
      <c r="E5250" s="50">
        <v>-1</v>
      </c>
      <c r="F5250" s="51">
        <v>-3.9880153401844698E-2</v>
      </c>
      <c r="G5250" s="51" t="str">
        <v>新美 2022/11/23 (水)
平日夜間</v>
      </c>
    </row>
    <row r="5251" spans="1:7" ht="16.149999999999999" x14ac:dyDescent="0.7">
      <c r="A5251" s="49">
        <v>44844.436416041666</v>
      </c>
      <c r="B5251" s="50" t="s">
        <v>13</v>
      </c>
      <c r="C5251" s="50" t="s">
        <v>557</v>
      </c>
      <c r="D5251" s="50" t="s">
        <v>259</v>
      </c>
      <c r="E5251" s="50">
        <v>0</v>
      </c>
      <c r="F5251" s="51">
        <v>0.93573110255435665</v>
      </c>
      <c r="G5251" s="51" t="str">
        <v>新美 2022/11/24 (木)
平日夜間</v>
      </c>
    </row>
    <row r="5252" spans="1:7" ht="16.149999999999999" x14ac:dyDescent="0.7">
      <c r="A5252" s="49">
        <v>44844.436416041666</v>
      </c>
      <c r="B5252" s="50" t="s">
        <v>13</v>
      </c>
      <c r="C5252" s="50" t="s">
        <v>558</v>
      </c>
      <c r="D5252" s="50" t="s">
        <v>259</v>
      </c>
      <c r="E5252" s="50">
        <v>0</v>
      </c>
      <c r="F5252" s="51">
        <v>0.57173961778598548</v>
      </c>
      <c r="G5252" s="51" t="str">
        <v>新美 2022/11/25 (金)
平日夜間</v>
      </c>
    </row>
    <row r="5253" spans="1:7" ht="16.149999999999999" x14ac:dyDescent="0.7">
      <c r="A5253" s="49">
        <v>44844.436416041666</v>
      </c>
      <c r="B5253" s="50" t="s">
        <v>13</v>
      </c>
      <c r="C5253" s="50" t="s">
        <v>559</v>
      </c>
      <c r="D5253" s="50" t="s">
        <v>263</v>
      </c>
      <c r="E5253" s="50">
        <v>0</v>
      </c>
      <c r="F5253" s="51">
        <v>2.8755006638391256E-2</v>
      </c>
      <c r="G5253" s="51" t="str">
        <v>新美 2022/11/26 (土)
休日午前</v>
      </c>
    </row>
    <row r="5254" spans="1:7" ht="16.149999999999999" x14ac:dyDescent="0.7">
      <c r="A5254" s="49">
        <v>44844.436416041666</v>
      </c>
      <c r="B5254" s="50" t="s">
        <v>13</v>
      </c>
      <c r="C5254" s="50" t="s">
        <v>560</v>
      </c>
      <c r="D5254" s="50" t="s">
        <v>261</v>
      </c>
      <c r="E5254" s="50">
        <v>0</v>
      </c>
      <c r="F5254" s="51">
        <v>0.97774904188636724</v>
      </c>
      <c r="G5254" s="51" t="str">
        <v>新美 2022/11/26 (土)
休日午後</v>
      </c>
    </row>
    <row r="5255" spans="1:7" ht="16.149999999999999" x14ac:dyDescent="0.7">
      <c r="A5255" s="49">
        <v>44844.436416041666</v>
      </c>
      <c r="B5255" s="50" t="s">
        <v>13</v>
      </c>
      <c r="C5255" s="50" t="s">
        <v>561</v>
      </c>
      <c r="D5255" s="50" t="s">
        <v>263</v>
      </c>
      <c r="E5255" s="50">
        <v>0</v>
      </c>
      <c r="F5255" s="51">
        <v>1.1823165054591911E-3</v>
      </c>
      <c r="G5255" s="51" t="str">
        <v>新美 2022/11/27 (日)
休日午前</v>
      </c>
    </row>
    <row r="5256" spans="1:7" ht="16.149999999999999" x14ac:dyDescent="0.7">
      <c r="A5256" s="49">
        <v>44844.436416041666</v>
      </c>
      <c r="B5256" s="50" t="s">
        <v>13</v>
      </c>
      <c r="C5256" s="50" t="s">
        <v>562</v>
      </c>
      <c r="D5256" s="50" t="s">
        <v>261</v>
      </c>
      <c r="E5256" s="50">
        <v>0</v>
      </c>
      <c r="F5256" s="51">
        <v>0.70070901949917674</v>
      </c>
      <c r="G5256" s="51" t="str">
        <v>新美 2022/11/27 (日)
休日午後</v>
      </c>
    </row>
    <row r="5257" spans="1:7" ht="16.149999999999999" x14ac:dyDescent="0.7">
      <c r="A5257" s="49">
        <v>44844.436416041666</v>
      </c>
      <c r="B5257" s="50" t="s">
        <v>13</v>
      </c>
      <c r="C5257" s="50" t="s">
        <v>563</v>
      </c>
      <c r="D5257" s="50" t="s">
        <v>259</v>
      </c>
      <c r="E5257" s="50">
        <v>0</v>
      </c>
      <c r="F5257" s="51">
        <v>0.77898960759799407</v>
      </c>
      <c r="G5257" s="51" t="str">
        <v>新美 2022/11/28 (月)
平日夜間</v>
      </c>
    </row>
    <row r="5258" spans="1:7" ht="16.149999999999999" x14ac:dyDescent="0.7">
      <c r="A5258" s="49">
        <v>44844.436416041666</v>
      </c>
      <c r="B5258" s="50" t="s">
        <v>13</v>
      </c>
      <c r="C5258" s="50" t="s">
        <v>564</v>
      </c>
      <c r="D5258" s="50" t="s">
        <v>259</v>
      </c>
      <c r="E5258" s="50">
        <v>0</v>
      </c>
      <c r="F5258" s="51">
        <v>5.352586215589894E-2</v>
      </c>
      <c r="G5258" s="51" t="str">
        <v>新美 2022/11/29 (火)
平日夜間</v>
      </c>
    </row>
    <row r="5259" spans="1:7" ht="16.149999999999999" x14ac:dyDescent="0.7">
      <c r="A5259" s="49">
        <v>44844.436416041666</v>
      </c>
      <c r="B5259" s="50" t="s">
        <v>13</v>
      </c>
      <c r="C5259" s="50" t="s">
        <v>565</v>
      </c>
      <c r="D5259" s="50" t="s">
        <v>259</v>
      </c>
      <c r="E5259" s="50">
        <v>-1</v>
      </c>
      <c r="F5259" s="51">
        <v>-0.71796756846901788</v>
      </c>
      <c r="G5259" s="51" t="str">
        <v>新美 2022/11/30 (水)
平日夜間</v>
      </c>
    </row>
    <row r="5260" spans="1:7" ht="16.149999999999999" x14ac:dyDescent="0.7">
      <c r="A5260" s="49">
        <v>44844.456157766203</v>
      </c>
      <c r="B5260" s="50" t="s">
        <v>4</v>
      </c>
      <c r="C5260" s="50" t="s">
        <v>528</v>
      </c>
      <c r="D5260" s="50" t="s">
        <v>259</v>
      </c>
      <c r="E5260" s="50">
        <v>0</v>
      </c>
      <c r="F5260" s="51">
        <v>0.27814157848925469</v>
      </c>
      <c r="G5260" s="51" t="str">
        <v>井上 2022/11/01 (火)
平日夜間</v>
      </c>
    </row>
    <row r="5261" spans="1:7" ht="16.149999999999999" x14ac:dyDescent="0.7">
      <c r="A5261" s="49">
        <v>44844.456157766203</v>
      </c>
      <c r="B5261" s="50" t="s">
        <v>4</v>
      </c>
      <c r="C5261" s="50" t="s">
        <v>529</v>
      </c>
      <c r="D5261" s="50" t="s">
        <v>259</v>
      </c>
      <c r="E5261" s="50">
        <v>0</v>
      </c>
      <c r="F5261" s="51">
        <v>0.10105678632120352</v>
      </c>
      <c r="G5261" s="51" t="str">
        <v>井上 2022/11/02 (水)
平日夜間</v>
      </c>
    </row>
    <row r="5262" spans="1:7" ht="16.149999999999999" x14ac:dyDescent="0.7">
      <c r="A5262" s="49">
        <v>44844.456157766203</v>
      </c>
      <c r="B5262" s="50" t="s">
        <v>4</v>
      </c>
      <c r="C5262" s="50" t="s">
        <v>530</v>
      </c>
      <c r="D5262" s="50" t="s">
        <v>259</v>
      </c>
      <c r="E5262" s="50">
        <v>-1</v>
      </c>
      <c r="F5262" s="51">
        <v>-0.92959865325349833</v>
      </c>
      <c r="G5262" s="51" t="str">
        <v>井上 2022/11/03 (木)
平日夜間</v>
      </c>
    </row>
    <row r="5263" spans="1:7" ht="16.149999999999999" x14ac:dyDescent="0.7">
      <c r="A5263" s="49">
        <v>44844.456157766203</v>
      </c>
      <c r="B5263" s="50" t="s">
        <v>4</v>
      </c>
      <c r="C5263" s="50" t="s">
        <v>531</v>
      </c>
      <c r="D5263" s="50" t="s">
        <v>259</v>
      </c>
      <c r="E5263" s="50">
        <v>-1</v>
      </c>
      <c r="F5263" s="51">
        <v>-0.53913039056260459</v>
      </c>
      <c r="G5263" s="51" t="str">
        <v>井上 2022/11/04 (金)
平日夜間</v>
      </c>
    </row>
    <row r="5264" spans="1:7" ht="16.149999999999999" x14ac:dyDescent="0.7">
      <c r="A5264" s="49">
        <v>44844.456157766203</v>
      </c>
      <c r="B5264" s="50" t="s">
        <v>4</v>
      </c>
      <c r="C5264" s="50" t="s">
        <v>532</v>
      </c>
      <c r="D5264" s="50" t="s">
        <v>263</v>
      </c>
      <c r="E5264" s="50">
        <v>-1</v>
      </c>
      <c r="F5264" s="51">
        <v>-0.96198160281710909</v>
      </c>
      <c r="G5264" s="51" t="str">
        <v>井上 2022/11/05 (土)
休日午前</v>
      </c>
    </row>
    <row r="5265" spans="1:7" ht="16.149999999999999" x14ac:dyDescent="0.7">
      <c r="A5265" s="49">
        <v>44844.456157766203</v>
      </c>
      <c r="B5265" s="50" t="s">
        <v>4</v>
      </c>
      <c r="C5265" s="50" t="s">
        <v>533</v>
      </c>
      <c r="D5265" s="50" t="s">
        <v>261</v>
      </c>
      <c r="E5265" s="50">
        <v>-1</v>
      </c>
      <c r="F5265" s="51">
        <v>-0.33753313597243806</v>
      </c>
      <c r="G5265" s="51" t="str">
        <v>井上 2022/11/05 (土)
休日午後</v>
      </c>
    </row>
    <row r="5266" spans="1:7" ht="16.149999999999999" x14ac:dyDescent="0.7">
      <c r="A5266" s="49">
        <v>44844.456157766203</v>
      </c>
      <c r="B5266" s="50" t="s">
        <v>4</v>
      </c>
      <c r="C5266" s="50" t="s">
        <v>534</v>
      </c>
      <c r="D5266" s="50" t="s">
        <v>263</v>
      </c>
      <c r="E5266" s="50">
        <v>0</v>
      </c>
      <c r="F5266" s="51">
        <v>0.76901071003758759</v>
      </c>
      <c r="G5266" s="51" t="str">
        <v>井上 2022/11/06 (日)
休日午前</v>
      </c>
    </row>
    <row r="5267" spans="1:7" ht="16.149999999999999" x14ac:dyDescent="0.7">
      <c r="A5267" s="49">
        <v>44844.456157766203</v>
      </c>
      <c r="B5267" s="50" t="s">
        <v>4</v>
      </c>
      <c r="C5267" s="50" t="s">
        <v>535</v>
      </c>
      <c r="D5267" s="50" t="s">
        <v>261</v>
      </c>
      <c r="E5267" s="50">
        <v>-1</v>
      </c>
      <c r="F5267" s="51">
        <v>-0.57909059220035908</v>
      </c>
      <c r="G5267" s="51" t="str">
        <v>井上 2022/11/06 (日)
休日午後</v>
      </c>
    </row>
    <row r="5268" spans="1:7" ht="16.149999999999999" x14ac:dyDescent="0.7">
      <c r="A5268" s="49">
        <v>44844.456157766203</v>
      </c>
      <c r="B5268" s="50" t="s">
        <v>4</v>
      </c>
      <c r="C5268" s="50" t="s">
        <v>536</v>
      </c>
      <c r="D5268" s="50" t="s">
        <v>259</v>
      </c>
      <c r="E5268" s="50">
        <v>-1</v>
      </c>
      <c r="F5268" s="51">
        <v>-0.33037555010821973</v>
      </c>
      <c r="G5268" s="51" t="str">
        <v>井上 2022/11/07 (月)
平日夜間</v>
      </c>
    </row>
    <row r="5269" spans="1:7" ht="16.149999999999999" x14ac:dyDescent="0.7">
      <c r="A5269" s="49">
        <v>44844.456157766203</v>
      </c>
      <c r="B5269" s="50" t="s">
        <v>4</v>
      </c>
      <c r="C5269" s="50" t="s">
        <v>537</v>
      </c>
      <c r="D5269" s="50" t="s">
        <v>259</v>
      </c>
      <c r="E5269" s="50">
        <v>0</v>
      </c>
      <c r="F5269" s="51">
        <v>0.67643134925811399</v>
      </c>
      <c r="G5269" s="51" t="str">
        <v>井上 2022/11/08 (火)
平日夜間</v>
      </c>
    </row>
    <row r="5270" spans="1:7" ht="16.149999999999999" x14ac:dyDescent="0.7">
      <c r="A5270" s="49">
        <v>44844.456157766203</v>
      </c>
      <c r="B5270" s="50" t="s">
        <v>4</v>
      </c>
      <c r="C5270" s="50" t="s">
        <v>538</v>
      </c>
      <c r="D5270" s="50" t="s">
        <v>259</v>
      </c>
      <c r="E5270" s="50">
        <v>0</v>
      </c>
      <c r="F5270" s="51">
        <v>0.80541143213015887</v>
      </c>
      <c r="G5270" s="51" t="str">
        <v>井上 2022/11/09 (水)
平日夜間</v>
      </c>
    </row>
    <row r="5271" spans="1:7" ht="16.149999999999999" x14ac:dyDescent="0.7">
      <c r="A5271" s="49">
        <v>44844.456157766203</v>
      </c>
      <c r="B5271" s="50" t="s">
        <v>4</v>
      </c>
      <c r="C5271" s="50" t="s">
        <v>539</v>
      </c>
      <c r="D5271" s="50" t="s">
        <v>259</v>
      </c>
      <c r="E5271" s="50">
        <v>0</v>
      </c>
      <c r="F5271" s="51">
        <v>0.14381984240886281</v>
      </c>
      <c r="G5271" s="51" t="str">
        <v>井上 2022/11/10 (木)
平日夜間</v>
      </c>
    </row>
    <row r="5272" spans="1:7" ht="16.149999999999999" x14ac:dyDescent="0.7">
      <c r="A5272" s="49">
        <v>44844.456157766203</v>
      </c>
      <c r="B5272" s="50" t="s">
        <v>4</v>
      </c>
      <c r="C5272" s="50" t="s">
        <v>540</v>
      </c>
      <c r="D5272" s="50" t="s">
        <v>259</v>
      </c>
      <c r="E5272" s="50">
        <v>0</v>
      </c>
      <c r="F5272" s="51">
        <v>0.89926541446793662</v>
      </c>
      <c r="G5272" s="51" t="str">
        <v>井上 2022/11/11 (金)
平日夜間</v>
      </c>
    </row>
    <row r="5273" spans="1:7" ht="16.149999999999999" x14ac:dyDescent="0.7">
      <c r="A5273" s="49">
        <v>44844.456157766203</v>
      </c>
      <c r="B5273" s="50" t="s">
        <v>4</v>
      </c>
      <c r="C5273" s="50" t="s">
        <v>541</v>
      </c>
      <c r="D5273" s="50" t="s">
        <v>263</v>
      </c>
      <c r="E5273" s="50">
        <v>0</v>
      </c>
      <c r="F5273" s="51">
        <v>0.55130962271848638</v>
      </c>
      <c r="G5273" s="51" t="str">
        <v>井上 2022/11/12 (土)
休日午前</v>
      </c>
    </row>
    <row r="5274" spans="1:7" ht="16.149999999999999" x14ac:dyDescent="0.7">
      <c r="A5274" s="49">
        <v>44844.456157766203</v>
      </c>
      <c r="B5274" s="50" t="s">
        <v>4</v>
      </c>
      <c r="C5274" s="50" t="s">
        <v>542</v>
      </c>
      <c r="D5274" s="50" t="s">
        <v>261</v>
      </c>
      <c r="E5274" s="50">
        <v>-1</v>
      </c>
      <c r="F5274" s="51">
        <v>-0.45362772010438657</v>
      </c>
      <c r="G5274" s="51" t="str">
        <v>井上 2022/11/12 (土)
休日午後</v>
      </c>
    </row>
    <row r="5275" spans="1:7" ht="16.149999999999999" x14ac:dyDescent="0.7">
      <c r="A5275" s="49">
        <v>44844.456157766203</v>
      </c>
      <c r="B5275" s="50" t="s">
        <v>4</v>
      </c>
      <c r="C5275" s="50" t="s">
        <v>543</v>
      </c>
      <c r="D5275" s="50" t="s">
        <v>263</v>
      </c>
      <c r="E5275" s="50">
        <v>-1</v>
      </c>
      <c r="F5275" s="51">
        <v>-0.70720728671249877</v>
      </c>
      <c r="G5275" s="51" t="str">
        <v>井上 2022/11/13 (日)
休日午前</v>
      </c>
    </row>
    <row r="5276" spans="1:7" ht="16.149999999999999" x14ac:dyDescent="0.7">
      <c r="A5276" s="49">
        <v>44844.456157766203</v>
      </c>
      <c r="B5276" s="50" t="s">
        <v>4</v>
      </c>
      <c r="C5276" s="50" t="s">
        <v>544</v>
      </c>
      <c r="D5276" s="50" t="s">
        <v>261</v>
      </c>
      <c r="E5276" s="50">
        <v>-1</v>
      </c>
      <c r="F5276" s="51">
        <v>-0.3313197595894406</v>
      </c>
      <c r="G5276" s="51" t="str">
        <v>井上 2022/11/13 (日)
休日午後</v>
      </c>
    </row>
    <row r="5277" spans="1:7" ht="16.149999999999999" x14ac:dyDescent="0.7">
      <c r="A5277" s="49">
        <v>44844.456157766203</v>
      </c>
      <c r="B5277" s="50" t="s">
        <v>4</v>
      </c>
      <c r="C5277" s="50" t="s">
        <v>545</v>
      </c>
      <c r="D5277" s="50" t="s">
        <v>259</v>
      </c>
      <c r="E5277" s="50">
        <v>-1</v>
      </c>
      <c r="F5277" s="51">
        <v>-0.93323970548666035</v>
      </c>
      <c r="G5277" s="51" t="str">
        <v>井上 2022/11/14 (月)
平日夜間</v>
      </c>
    </row>
    <row r="5278" spans="1:7" ht="16.149999999999999" x14ac:dyDescent="0.7">
      <c r="A5278" s="49">
        <v>44844.456157766203</v>
      </c>
      <c r="B5278" s="50" t="s">
        <v>4</v>
      </c>
      <c r="C5278" s="50" t="s">
        <v>546</v>
      </c>
      <c r="D5278" s="50" t="s">
        <v>259</v>
      </c>
      <c r="E5278" s="50">
        <v>0</v>
      </c>
      <c r="F5278" s="51">
        <v>1.848682691754755E-2</v>
      </c>
      <c r="G5278" s="51" t="str">
        <v>井上 2022/11/15 (火)
平日夜間</v>
      </c>
    </row>
    <row r="5279" spans="1:7" ht="16.149999999999999" x14ac:dyDescent="0.7">
      <c r="A5279" s="49">
        <v>44844.456157766203</v>
      </c>
      <c r="B5279" s="50" t="s">
        <v>4</v>
      </c>
      <c r="C5279" s="50" t="s">
        <v>547</v>
      </c>
      <c r="D5279" s="50" t="s">
        <v>259</v>
      </c>
      <c r="E5279" s="50">
        <v>0</v>
      </c>
      <c r="F5279" s="51">
        <v>0.53104407450556868</v>
      </c>
      <c r="G5279" s="51" t="str">
        <v>井上 2022/11/16 (水)
平日夜間</v>
      </c>
    </row>
    <row r="5280" spans="1:7" ht="16.149999999999999" x14ac:dyDescent="0.7">
      <c r="A5280" s="49">
        <v>44844.456157766203</v>
      </c>
      <c r="B5280" s="50" t="s">
        <v>4</v>
      </c>
      <c r="C5280" s="50" t="s">
        <v>548</v>
      </c>
      <c r="D5280" s="50" t="s">
        <v>259</v>
      </c>
      <c r="E5280" s="50">
        <v>-1</v>
      </c>
      <c r="F5280" s="51">
        <v>-1.3319194378133226E-2</v>
      </c>
      <c r="G5280" s="51" t="str">
        <v>井上 2022/11/17 (木)
平日夜間</v>
      </c>
    </row>
    <row r="5281" spans="1:7" ht="16.149999999999999" x14ac:dyDescent="0.7">
      <c r="A5281" s="49">
        <v>44844.456157766203</v>
      </c>
      <c r="B5281" s="50" t="s">
        <v>4</v>
      </c>
      <c r="C5281" s="50" t="s">
        <v>549</v>
      </c>
      <c r="D5281" s="50" t="s">
        <v>259</v>
      </c>
      <c r="E5281" s="50">
        <v>-1</v>
      </c>
      <c r="F5281" s="51">
        <v>-0.59660421492058613</v>
      </c>
      <c r="G5281" s="51" t="str">
        <v>井上 2022/11/18 (金)
平日夜間</v>
      </c>
    </row>
    <row r="5282" spans="1:7" ht="16.149999999999999" x14ac:dyDescent="0.7">
      <c r="A5282" s="49">
        <v>44844.456157766203</v>
      </c>
      <c r="B5282" s="50" t="s">
        <v>4</v>
      </c>
      <c r="C5282" s="50" t="s">
        <v>550</v>
      </c>
      <c r="D5282" s="50" t="s">
        <v>263</v>
      </c>
      <c r="E5282" s="50">
        <v>-1</v>
      </c>
      <c r="F5282" s="51">
        <v>-0.52135921951491371</v>
      </c>
      <c r="G5282" s="51" t="str">
        <v>井上 2022/11/19 (土)
休日午前</v>
      </c>
    </row>
    <row r="5283" spans="1:7" ht="16.149999999999999" x14ac:dyDescent="0.7">
      <c r="A5283" s="49">
        <v>44844.456157766203</v>
      </c>
      <c r="B5283" s="50" t="s">
        <v>4</v>
      </c>
      <c r="C5283" s="50" t="s">
        <v>551</v>
      </c>
      <c r="D5283" s="50" t="s">
        <v>261</v>
      </c>
      <c r="E5283" s="50">
        <v>-1</v>
      </c>
      <c r="F5283" s="51">
        <v>-0.33200768064622532</v>
      </c>
      <c r="G5283" s="51" t="str">
        <v>井上 2022/11/19 (土)
休日午後</v>
      </c>
    </row>
    <row r="5284" spans="1:7" ht="16.149999999999999" x14ac:dyDescent="0.7">
      <c r="A5284" s="49">
        <v>44844.456157766203</v>
      </c>
      <c r="B5284" s="50" t="s">
        <v>4</v>
      </c>
      <c r="C5284" s="50" t="s">
        <v>552</v>
      </c>
      <c r="D5284" s="50" t="s">
        <v>263</v>
      </c>
      <c r="E5284" s="50">
        <v>-1</v>
      </c>
      <c r="F5284" s="51">
        <v>-0.83547365870670598</v>
      </c>
      <c r="G5284" s="51" t="str">
        <v>井上 2022/11/20 (日)
休日午前</v>
      </c>
    </row>
    <row r="5285" spans="1:7" ht="16.149999999999999" x14ac:dyDescent="0.7">
      <c r="A5285" s="49">
        <v>44844.456157766203</v>
      </c>
      <c r="B5285" s="50" t="s">
        <v>4</v>
      </c>
      <c r="C5285" s="50" t="s">
        <v>553</v>
      </c>
      <c r="D5285" s="50" t="s">
        <v>261</v>
      </c>
      <c r="E5285" s="50">
        <v>-1</v>
      </c>
      <c r="F5285" s="51">
        <v>-0.24241134480875393</v>
      </c>
      <c r="G5285" s="51" t="str">
        <v>井上 2022/11/20 (日)
休日午後</v>
      </c>
    </row>
    <row r="5286" spans="1:7" ht="16.149999999999999" x14ac:dyDescent="0.7">
      <c r="A5286" s="49">
        <v>44844.456157766203</v>
      </c>
      <c r="B5286" s="50" t="s">
        <v>4</v>
      </c>
      <c r="C5286" s="50" t="s">
        <v>554</v>
      </c>
      <c r="D5286" s="50" t="s">
        <v>259</v>
      </c>
      <c r="E5286" s="50">
        <v>-1</v>
      </c>
      <c r="F5286" s="51">
        <v>-0.70703808913678801</v>
      </c>
      <c r="G5286" s="51" t="str">
        <v>井上 2022/11/21 (月)
平日夜間</v>
      </c>
    </row>
    <row r="5287" spans="1:7" ht="16.149999999999999" x14ac:dyDescent="0.7">
      <c r="A5287" s="49">
        <v>44844.456157766203</v>
      </c>
      <c r="B5287" s="50" t="s">
        <v>4</v>
      </c>
      <c r="C5287" s="50" t="s">
        <v>555</v>
      </c>
      <c r="D5287" s="50" t="s">
        <v>259</v>
      </c>
      <c r="E5287" s="50">
        <v>0</v>
      </c>
      <c r="F5287" s="51">
        <v>1.1799518040499279E-2</v>
      </c>
      <c r="G5287" s="51" t="str">
        <v>井上 2022/11/22 (火)
平日夜間</v>
      </c>
    </row>
    <row r="5288" spans="1:7" ht="16.149999999999999" x14ac:dyDescent="0.7">
      <c r="A5288" s="49">
        <v>44844.456157766203</v>
      </c>
      <c r="B5288" s="50" t="s">
        <v>4</v>
      </c>
      <c r="C5288" s="50" t="s">
        <v>556</v>
      </c>
      <c r="D5288" s="50" t="s">
        <v>259</v>
      </c>
      <c r="E5288" s="50">
        <v>-1</v>
      </c>
      <c r="F5288" s="51">
        <v>-0.97869499933065507</v>
      </c>
      <c r="G5288" s="51" t="str">
        <v>井上 2022/11/23 (水)
平日夜間</v>
      </c>
    </row>
    <row r="5289" spans="1:7" ht="16.149999999999999" x14ac:dyDescent="0.7">
      <c r="A5289" s="49">
        <v>44844.456157766203</v>
      </c>
      <c r="B5289" s="50" t="s">
        <v>4</v>
      </c>
      <c r="C5289" s="50" t="s">
        <v>557</v>
      </c>
      <c r="D5289" s="50" t="s">
        <v>259</v>
      </c>
      <c r="E5289" s="50">
        <v>-1</v>
      </c>
      <c r="F5289" s="51">
        <v>-0.92824803842972448</v>
      </c>
      <c r="G5289" s="51" t="str">
        <v>井上 2022/11/24 (木)
平日夜間</v>
      </c>
    </row>
    <row r="5290" spans="1:7" ht="16.149999999999999" x14ac:dyDescent="0.7">
      <c r="A5290" s="49">
        <v>44844.456157766203</v>
      </c>
      <c r="B5290" s="50" t="s">
        <v>4</v>
      </c>
      <c r="C5290" s="50" t="s">
        <v>558</v>
      </c>
      <c r="D5290" s="50" t="s">
        <v>259</v>
      </c>
      <c r="E5290" s="50">
        <v>0</v>
      </c>
      <c r="F5290" s="51">
        <v>0.68148979235501139</v>
      </c>
      <c r="G5290" s="51" t="str">
        <v>井上 2022/11/25 (金)
平日夜間</v>
      </c>
    </row>
    <row r="5291" spans="1:7" ht="16.149999999999999" x14ac:dyDescent="0.7">
      <c r="A5291" s="49">
        <v>44844.456157766203</v>
      </c>
      <c r="B5291" s="50" t="s">
        <v>4</v>
      </c>
      <c r="C5291" s="50" t="s">
        <v>559</v>
      </c>
      <c r="D5291" s="50" t="s">
        <v>263</v>
      </c>
      <c r="E5291" s="50">
        <v>0</v>
      </c>
      <c r="F5291" s="51">
        <v>7.4185452812828734E-2</v>
      </c>
      <c r="G5291" s="51" t="str">
        <v>井上 2022/11/26 (土)
休日午前</v>
      </c>
    </row>
    <row r="5292" spans="1:7" ht="16.149999999999999" x14ac:dyDescent="0.7">
      <c r="A5292" s="49">
        <v>44844.456157766203</v>
      </c>
      <c r="B5292" s="50" t="s">
        <v>4</v>
      </c>
      <c r="C5292" s="50" t="s">
        <v>560</v>
      </c>
      <c r="D5292" s="50" t="s">
        <v>261</v>
      </c>
      <c r="E5292" s="50">
        <v>0</v>
      </c>
      <c r="F5292" s="51">
        <v>0.40440045066745145</v>
      </c>
      <c r="G5292" s="51" t="str">
        <v>井上 2022/11/26 (土)
休日午後</v>
      </c>
    </row>
    <row r="5293" spans="1:7" ht="16.149999999999999" x14ac:dyDescent="0.7">
      <c r="A5293" s="49">
        <v>44844.456157766203</v>
      </c>
      <c r="B5293" s="50" t="s">
        <v>4</v>
      </c>
      <c r="C5293" s="50" t="s">
        <v>561</v>
      </c>
      <c r="D5293" s="50" t="s">
        <v>263</v>
      </c>
      <c r="E5293" s="50">
        <v>-1</v>
      </c>
      <c r="F5293" s="51">
        <v>-0.24368337313565913</v>
      </c>
      <c r="G5293" s="51" t="str">
        <v>井上 2022/11/27 (日)
休日午前</v>
      </c>
    </row>
    <row r="5294" spans="1:7" ht="16.149999999999999" x14ac:dyDescent="0.7">
      <c r="A5294" s="49">
        <v>44844.456157766203</v>
      </c>
      <c r="B5294" s="50" t="s">
        <v>4</v>
      </c>
      <c r="C5294" s="50" t="s">
        <v>562</v>
      </c>
      <c r="D5294" s="50" t="s">
        <v>261</v>
      </c>
      <c r="E5294" s="50">
        <v>-1</v>
      </c>
      <c r="F5294" s="51">
        <v>-0.88111654275365536</v>
      </c>
      <c r="G5294" s="51" t="str">
        <v>井上 2022/11/27 (日)
休日午後</v>
      </c>
    </row>
    <row r="5295" spans="1:7" ht="16.149999999999999" x14ac:dyDescent="0.7">
      <c r="A5295" s="49">
        <v>44844.456157766203</v>
      </c>
      <c r="B5295" s="50" t="s">
        <v>4</v>
      </c>
      <c r="C5295" s="50" t="s">
        <v>563</v>
      </c>
      <c r="D5295" s="50" t="s">
        <v>259</v>
      </c>
      <c r="E5295" s="50">
        <v>0</v>
      </c>
      <c r="F5295" s="51">
        <v>0.36519223570849757</v>
      </c>
      <c r="G5295" s="51" t="str">
        <v>井上 2022/11/28 (月)
平日夜間</v>
      </c>
    </row>
    <row r="5296" spans="1:7" ht="16.149999999999999" x14ac:dyDescent="0.7">
      <c r="A5296" s="49">
        <v>44844.456157766203</v>
      </c>
      <c r="B5296" s="50" t="s">
        <v>4</v>
      </c>
      <c r="C5296" s="50" t="s">
        <v>564</v>
      </c>
      <c r="D5296" s="50" t="s">
        <v>259</v>
      </c>
      <c r="E5296" s="50">
        <v>0</v>
      </c>
      <c r="F5296" s="51">
        <v>0.15655784822244256</v>
      </c>
      <c r="G5296" s="51" t="str">
        <v>井上 2022/11/29 (火)
平日夜間</v>
      </c>
    </row>
    <row r="5297" spans="1:7" ht="16.149999999999999" x14ac:dyDescent="0.7">
      <c r="A5297" s="49">
        <v>44844.456157766203</v>
      </c>
      <c r="B5297" s="50" t="s">
        <v>4</v>
      </c>
      <c r="C5297" s="50" t="s">
        <v>565</v>
      </c>
      <c r="D5297" s="50" t="s">
        <v>259</v>
      </c>
      <c r="E5297" s="50">
        <v>0</v>
      </c>
      <c r="F5297" s="51">
        <v>0.31679345874052789</v>
      </c>
      <c r="G5297" s="51" t="str">
        <v>井上 2022/11/30 (水)
平日夜間</v>
      </c>
    </row>
    <row r="5298" spans="1:7" ht="16.149999999999999" x14ac:dyDescent="0.7">
      <c r="A5298" s="49">
        <v>44844.531694953708</v>
      </c>
      <c r="B5298" s="50" t="s">
        <v>125</v>
      </c>
      <c r="C5298" s="50" t="s">
        <v>528</v>
      </c>
      <c r="D5298" s="50" t="s">
        <v>259</v>
      </c>
      <c r="E5298" s="50">
        <v>-1</v>
      </c>
      <c r="F5298" s="51">
        <v>-0.54652369301657933</v>
      </c>
      <c r="G5298" s="51" t="str">
        <v>笠原 2022/11/01 (火)
平日夜間</v>
      </c>
    </row>
    <row r="5299" spans="1:7" ht="16.149999999999999" x14ac:dyDescent="0.7">
      <c r="A5299" s="49">
        <v>44844.531694953708</v>
      </c>
      <c r="B5299" s="50" t="s">
        <v>125</v>
      </c>
      <c r="C5299" s="50" t="s">
        <v>529</v>
      </c>
      <c r="D5299" s="50" t="s">
        <v>259</v>
      </c>
      <c r="E5299" s="50">
        <v>0</v>
      </c>
      <c r="F5299" s="51">
        <v>0.18101591374666692</v>
      </c>
      <c r="G5299" s="51" t="str">
        <v>笠原 2022/11/02 (水)
平日夜間</v>
      </c>
    </row>
    <row r="5300" spans="1:7" ht="16.149999999999999" x14ac:dyDescent="0.7">
      <c r="A5300" s="49">
        <v>44844.531694953708</v>
      </c>
      <c r="B5300" s="50" t="s">
        <v>125</v>
      </c>
      <c r="C5300" s="50" t="s">
        <v>566</v>
      </c>
      <c r="D5300" s="50" t="s">
        <v>263</v>
      </c>
      <c r="E5300" s="50">
        <v>0</v>
      </c>
      <c r="F5300" s="51">
        <v>0.41430797442479883</v>
      </c>
      <c r="G5300" s="51" t="str">
        <v>笠原 2022/11/03 (木)
休日午前</v>
      </c>
    </row>
    <row r="5301" spans="1:7" ht="16.149999999999999" x14ac:dyDescent="0.7">
      <c r="A5301" s="49">
        <v>44844.531694953708</v>
      </c>
      <c r="B5301" s="50" t="s">
        <v>125</v>
      </c>
      <c r="C5301" s="50" t="s">
        <v>567</v>
      </c>
      <c r="D5301" s="50" t="s">
        <v>261</v>
      </c>
      <c r="E5301" s="50">
        <v>0</v>
      </c>
      <c r="F5301" s="51">
        <v>0.6042805756244074</v>
      </c>
      <c r="G5301" s="51" t="str">
        <v>笠原 2022/11/03 (木)
休日午後</v>
      </c>
    </row>
    <row r="5302" spans="1:7" ht="16.149999999999999" x14ac:dyDescent="0.7">
      <c r="A5302" s="49">
        <v>44844.531694953708</v>
      </c>
      <c r="B5302" s="50" t="s">
        <v>125</v>
      </c>
      <c r="C5302" s="50" t="s">
        <v>531</v>
      </c>
      <c r="D5302" s="50" t="s">
        <v>259</v>
      </c>
      <c r="E5302" s="50">
        <v>0</v>
      </c>
      <c r="F5302" s="51">
        <v>0.79503312480851096</v>
      </c>
      <c r="G5302" s="51" t="str">
        <v>笠原 2022/11/04 (金)
平日夜間</v>
      </c>
    </row>
    <row r="5303" spans="1:7" ht="16.149999999999999" x14ac:dyDescent="0.7">
      <c r="A5303" s="49">
        <v>44844.531694953708</v>
      </c>
      <c r="B5303" s="50" t="s">
        <v>125</v>
      </c>
      <c r="C5303" s="50" t="s">
        <v>532</v>
      </c>
      <c r="D5303" s="50" t="s">
        <v>263</v>
      </c>
      <c r="E5303" s="50">
        <v>0</v>
      </c>
      <c r="F5303" s="51">
        <v>0.67594039265383254</v>
      </c>
      <c r="G5303" s="51" t="str">
        <v>笠原 2022/11/05 (土)
休日午前</v>
      </c>
    </row>
    <row r="5304" spans="1:7" ht="16.149999999999999" x14ac:dyDescent="0.7">
      <c r="A5304" s="49">
        <v>44844.531694953708</v>
      </c>
      <c r="B5304" s="50" t="s">
        <v>125</v>
      </c>
      <c r="C5304" s="50" t="s">
        <v>533</v>
      </c>
      <c r="D5304" s="50" t="s">
        <v>261</v>
      </c>
      <c r="E5304" s="50">
        <v>-1</v>
      </c>
      <c r="F5304" s="51">
        <v>-0.91831142343905015</v>
      </c>
      <c r="G5304" s="51" t="str">
        <v>笠原 2022/11/05 (土)
休日午後</v>
      </c>
    </row>
    <row r="5305" spans="1:7" ht="16.149999999999999" x14ac:dyDescent="0.7">
      <c r="A5305" s="49">
        <v>44844.531694953708</v>
      </c>
      <c r="B5305" s="50" t="s">
        <v>125</v>
      </c>
      <c r="C5305" s="50" t="s">
        <v>534</v>
      </c>
      <c r="D5305" s="50" t="s">
        <v>263</v>
      </c>
      <c r="E5305" s="50">
        <v>0</v>
      </c>
      <c r="F5305" s="51">
        <v>0.65546037172313598</v>
      </c>
      <c r="G5305" s="51" t="str">
        <v>笠原 2022/11/06 (日)
休日午前</v>
      </c>
    </row>
    <row r="5306" spans="1:7" ht="16.149999999999999" x14ac:dyDescent="0.7">
      <c r="A5306" s="49">
        <v>44844.531694953708</v>
      </c>
      <c r="B5306" s="50" t="s">
        <v>125</v>
      </c>
      <c r="C5306" s="50" t="s">
        <v>535</v>
      </c>
      <c r="D5306" s="50" t="s">
        <v>261</v>
      </c>
      <c r="E5306" s="50">
        <v>-1</v>
      </c>
      <c r="F5306" s="51">
        <v>-0.38613281491423934</v>
      </c>
      <c r="G5306" s="51" t="str">
        <v>笠原 2022/11/06 (日)
休日午後</v>
      </c>
    </row>
    <row r="5307" spans="1:7" ht="16.149999999999999" x14ac:dyDescent="0.7">
      <c r="A5307" s="49">
        <v>44844.531694953708</v>
      </c>
      <c r="B5307" s="50" t="s">
        <v>125</v>
      </c>
      <c r="C5307" s="50" t="s">
        <v>536</v>
      </c>
      <c r="D5307" s="50" t="s">
        <v>259</v>
      </c>
      <c r="E5307" s="50">
        <v>0</v>
      </c>
      <c r="F5307" s="51">
        <v>0.94723067087681034</v>
      </c>
      <c r="G5307" s="51" t="str">
        <v>笠原 2022/11/07 (月)
平日夜間</v>
      </c>
    </row>
    <row r="5308" spans="1:7" ht="16.149999999999999" x14ac:dyDescent="0.7">
      <c r="A5308" s="49">
        <v>44844.531694953708</v>
      </c>
      <c r="B5308" s="50" t="s">
        <v>125</v>
      </c>
      <c r="C5308" s="50" t="s">
        <v>537</v>
      </c>
      <c r="D5308" s="50" t="s">
        <v>259</v>
      </c>
      <c r="E5308" s="50">
        <v>0</v>
      </c>
      <c r="F5308" s="51">
        <v>0.36952581338637613</v>
      </c>
      <c r="G5308" s="51" t="str">
        <v>笠原 2022/11/08 (火)
平日夜間</v>
      </c>
    </row>
    <row r="5309" spans="1:7" ht="16.149999999999999" x14ac:dyDescent="0.7">
      <c r="A5309" s="49">
        <v>44844.531694953708</v>
      </c>
      <c r="B5309" s="50" t="s">
        <v>125</v>
      </c>
      <c r="C5309" s="50" t="s">
        <v>538</v>
      </c>
      <c r="D5309" s="50" t="s">
        <v>259</v>
      </c>
      <c r="E5309" s="50">
        <v>0</v>
      </c>
      <c r="F5309" s="51">
        <v>0.13808507460150943</v>
      </c>
      <c r="G5309" s="51" t="str">
        <v>笠原 2022/11/09 (水)
平日夜間</v>
      </c>
    </row>
    <row r="5310" spans="1:7" ht="16.149999999999999" x14ac:dyDescent="0.7">
      <c r="A5310" s="49">
        <v>44844.531694953708</v>
      </c>
      <c r="B5310" s="50" t="s">
        <v>125</v>
      </c>
      <c r="C5310" s="50" t="s">
        <v>539</v>
      </c>
      <c r="D5310" s="50" t="s">
        <v>259</v>
      </c>
      <c r="E5310" s="50">
        <v>0</v>
      </c>
      <c r="F5310" s="51">
        <v>0.81437798483893276</v>
      </c>
      <c r="G5310" s="51" t="str">
        <v>笠原 2022/11/10 (木)
平日夜間</v>
      </c>
    </row>
    <row r="5311" spans="1:7" ht="16.149999999999999" x14ac:dyDescent="0.7">
      <c r="A5311" s="49">
        <v>44844.531694953708</v>
      </c>
      <c r="B5311" s="50" t="s">
        <v>125</v>
      </c>
      <c r="C5311" s="50" t="s">
        <v>540</v>
      </c>
      <c r="D5311" s="50" t="s">
        <v>259</v>
      </c>
      <c r="E5311" s="50">
        <v>0</v>
      </c>
      <c r="F5311" s="51">
        <v>0.22584471616224588</v>
      </c>
      <c r="G5311" s="51" t="str">
        <v>笠原 2022/11/11 (金)
平日夜間</v>
      </c>
    </row>
    <row r="5312" spans="1:7" ht="16.149999999999999" x14ac:dyDescent="0.7">
      <c r="A5312" s="49">
        <v>44844.531694953708</v>
      </c>
      <c r="B5312" s="50" t="s">
        <v>125</v>
      </c>
      <c r="C5312" s="50" t="s">
        <v>541</v>
      </c>
      <c r="D5312" s="50" t="s">
        <v>263</v>
      </c>
      <c r="E5312" s="50">
        <v>0</v>
      </c>
      <c r="F5312" s="51">
        <v>0.25941499125218037</v>
      </c>
      <c r="G5312" s="51" t="str">
        <v>笠原 2022/11/12 (土)
休日午前</v>
      </c>
    </row>
    <row r="5313" spans="1:7" ht="16.149999999999999" x14ac:dyDescent="0.7">
      <c r="A5313" s="49">
        <v>44844.531694953708</v>
      </c>
      <c r="B5313" s="50" t="s">
        <v>125</v>
      </c>
      <c r="C5313" s="50" t="s">
        <v>542</v>
      </c>
      <c r="D5313" s="50" t="s">
        <v>261</v>
      </c>
      <c r="E5313" s="50">
        <v>-1</v>
      </c>
      <c r="F5313" s="51">
        <v>-5.7110960200815741E-2</v>
      </c>
      <c r="G5313" s="51" t="str">
        <v>笠原 2022/11/12 (土)
休日午後</v>
      </c>
    </row>
    <row r="5314" spans="1:7" ht="16.149999999999999" x14ac:dyDescent="0.7">
      <c r="A5314" s="49">
        <v>44844.531694953708</v>
      </c>
      <c r="B5314" s="50" t="s">
        <v>125</v>
      </c>
      <c r="C5314" s="50" t="s">
        <v>543</v>
      </c>
      <c r="D5314" s="50" t="s">
        <v>263</v>
      </c>
      <c r="E5314" s="50">
        <v>0</v>
      </c>
      <c r="F5314" s="51">
        <v>0.47439370047081586</v>
      </c>
      <c r="G5314" s="51" t="str">
        <v>笠原 2022/11/13 (日)
休日午前</v>
      </c>
    </row>
    <row r="5315" spans="1:7" ht="16.149999999999999" x14ac:dyDescent="0.7">
      <c r="A5315" s="49">
        <v>44844.531694953708</v>
      </c>
      <c r="B5315" s="50" t="s">
        <v>125</v>
      </c>
      <c r="C5315" s="50" t="s">
        <v>544</v>
      </c>
      <c r="D5315" s="50" t="s">
        <v>261</v>
      </c>
      <c r="E5315" s="50">
        <v>0</v>
      </c>
      <c r="F5315" s="51">
        <v>0.78486481354833915</v>
      </c>
      <c r="G5315" s="51" t="str">
        <v>笠原 2022/11/13 (日)
休日午後</v>
      </c>
    </row>
    <row r="5316" spans="1:7" ht="16.149999999999999" x14ac:dyDescent="0.7">
      <c r="A5316" s="49">
        <v>44844.531694953708</v>
      </c>
      <c r="B5316" s="50" t="s">
        <v>125</v>
      </c>
      <c r="C5316" s="50" t="s">
        <v>545</v>
      </c>
      <c r="D5316" s="50" t="s">
        <v>259</v>
      </c>
      <c r="E5316" s="50">
        <v>0</v>
      </c>
      <c r="F5316" s="51">
        <v>0.13052339151290071</v>
      </c>
      <c r="G5316" s="51" t="str">
        <v>笠原 2022/11/14 (月)
平日夜間</v>
      </c>
    </row>
    <row r="5317" spans="1:7" ht="16.149999999999999" x14ac:dyDescent="0.7">
      <c r="A5317" s="49">
        <v>44844.531694953708</v>
      </c>
      <c r="B5317" s="50" t="s">
        <v>125</v>
      </c>
      <c r="C5317" s="50" t="s">
        <v>546</v>
      </c>
      <c r="D5317" s="50" t="s">
        <v>259</v>
      </c>
      <c r="E5317" s="50">
        <v>0</v>
      </c>
      <c r="F5317" s="51">
        <v>0.86873665073823503</v>
      </c>
      <c r="G5317" s="51" t="str">
        <v>笠原 2022/11/15 (火)
平日夜間</v>
      </c>
    </row>
    <row r="5318" spans="1:7" ht="16.149999999999999" x14ac:dyDescent="0.7">
      <c r="A5318" s="49">
        <v>44844.531694953708</v>
      </c>
      <c r="B5318" s="50" t="s">
        <v>125</v>
      </c>
      <c r="C5318" s="50" t="s">
        <v>547</v>
      </c>
      <c r="D5318" s="50" t="s">
        <v>259</v>
      </c>
      <c r="E5318" s="50">
        <v>0</v>
      </c>
      <c r="F5318" s="51">
        <v>0.96333659140731887</v>
      </c>
      <c r="G5318" s="51" t="str">
        <v>笠原 2022/11/16 (水)
平日夜間</v>
      </c>
    </row>
    <row r="5319" spans="1:7" ht="16.149999999999999" x14ac:dyDescent="0.7">
      <c r="A5319" s="49">
        <v>44844.531694953708</v>
      </c>
      <c r="B5319" s="50" t="s">
        <v>125</v>
      </c>
      <c r="C5319" s="50" t="s">
        <v>548</v>
      </c>
      <c r="D5319" s="50" t="s">
        <v>259</v>
      </c>
      <c r="E5319" s="50">
        <v>0</v>
      </c>
      <c r="F5319" s="51">
        <v>0.75602864169149986</v>
      </c>
      <c r="G5319" s="51" t="str">
        <v>笠原 2022/11/17 (木)
平日夜間</v>
      </c>
    </row>
    <row r="5320" spans="1:7" ht="16.149999999999999" x14ac:dyDescent="0.7">
      <c r="A5320" s="49">
        <v>44844.531694953708</v>
      </c>
      <c r="B5320" s="50" t="s">
        <v>125</v>
      </c>
      <c r="C5320" s="50" t="s">
        <v>549</v>
      </c>
      <c r="D5320" s="50" t="s">
        <v>259</v>
      </c>
      <c r="E5320" s="50">
        <v>0</v>
      </c>
      <c r="F5320" s="51">
        <v>0.63004000036104424</v>
      </c>
      <c r="G5320" s="51" t="str">
        <v>笠原 2022/11/18 (金)
平日夜間</v>
      </c>
    </row>
    <row r="5321" spans="1:7" ht="16.149999999999999" x14ac:dyDescent="0.7">
      <c r="A5321" s="49">
        <v>44844.531694953708</v>
      </c>
      <c r="B5321" s="50" t="s">
        <v>125</v>
      </c>
      <c r="C5321" s="50" t="s">
        <v>550</v>
      </c>
      <c r="D5321" s="50" t="s">
        <v>263</v>
      </c>
      <c r="E5321" s="50">
        <v>0</v>
      </c>
      <c r="F5321" s="51">
        <v>0.38536131493743175</v>
      </c>
      <c r="G5321" s="51" t="str">
        <v>笠原 2022/11/19 (土)
休日午前</v>
      </c>
    </row>
    <row r="5322" spans="1:7" ht="16.149999999999999" x14ac:dyDescent="0.7">
      <c r="A5322" s="49">
        <v>44844.531694953708</v>
      </c>
      <c r="B5322" s="50" t="s">
        <v>125</v>
      </c>
      <c r="C5322" s="50" t="s">
        <v>551</v>
      </c>
      <c r="D5322" s="50" t="s">
        <v>261</v>
      </c>
      <c r="E5322" s="50">
        <v>0</v>
      </c>
      <c r="F5322" s="51">
        <v>0.23211943754184849</v>
      </c>
      <c r="G5322" s="51" t="str">
        <v>笠原 2022/11/19 (土)
休日午後</v>
      </c>
    </row>
    <row r="5323" spans="1:7" ht="16.149999999999999" x14ac:dyDescent="0.7">
      <c r="A5323" s="49">
        <v>44844.531694953708</v>
      </c>
      <c r="B5323" s="50" t="s">
        <v>125</v>
      </c>
      <c r="C5323" s="50" t="s">
        <v>552</v>
      </c>
      <c r="D5323" s="50" t="s">
        <v>263</v>
      </c>
      <c r="E5323" s="50">
        <v>0</v>
      </c>
      <c r="F5323" s="51">
        <v>9.7738415378284982E-2</v>
      </c>
      <c r="G5323" s="51" t="str">
        <v>笠原 2022/11/20 (日)
休日午前</v>
      </c>
    </row>
    <row r="5324" spans="1:7" ht="16.149999999999999" x14ac:dyDescent="0.7">
      <c r="A5324" s="49">
        <v>44844.531694953708</v>
      </c>
      <c r="B5324" s="50" t="s">
        <v>125</v>
      </c>
      <c r="C5324" s="50" t="s">
        <v>553</v>
      </c>
      <c r="D5324" s="50" t="s">
        <v>261</v>
      </c>
      <c r="E5324" s="50">
        <v>0</v>
      </c>
      <c r="F5324" s="51">
        <v>0.19334793979600118</v>
      </c>
      <c r="G5324" s="51" t="str">
        <v>笠原 2022/11/20 (日)
休日午後</v>
      </c>
    </row>
    <row r="5325" spans="1:7" ht="16.149999999999999" x14ac:dyDescent="0.7">
      <c r="A5325" s="49">
        <v>44844.531694953708</v>
      </c>
      <c r="B5325" s="50" t="s">
        <v>125</v>
      </c>
      <c r="C5325" s="50" t="s">
        <v>554</v>
      </c>
      <c r="D5325" s="50" t="s">
        <v>259</v>
      </c>
      <c r="E5325" s="50">
        <v>0</v>
      </c>
      <c r="F5325" s="51">
        <v>0.25885467708299537</v>
      </c>
      <c r="G5325" s="51" t="str">
        <v>笠原 2022/11/21 (月)
平日夜間</v>
      </c>
    </row>
    <row r="5326" spans="1:7" ht="16.149999999999999" x14ac:dyDescent="0.7">
      <c r="A5326" s="49">
        <v>44844.531694953708</v>
      </c>
      <c r="B5326" s="50" t="s">
        <v>125</v>
      </c>
      <c r="C5326" s="50" t="s">
        <v>555</v>
      </c>
      <c r="D5326" s="50" t="s">
        <v>259</v>
      </c>
      <c r="E5326" s="50">
        <v>0</v>
      </c>
      <c r="F5326" s="51">
        <v>0.97594875606036458</v>
      </c>
      <c r="G5326" s="51" t="str">
        <v>笠原 2022/11/22 (火)
平日夜間</v>
      </c>
    </row>
    <row r="5327" spans="1:7" ht="16.149999999999999" x14ac:dyDescent="0.7">
      <c r="A5327" s="49">
        <v>44844.531694953708</v>
      </c>
      <c r="B5327" s="50" t="s">
        <v>125</v>
      </c>
      <c r="C5327" s="50" t="s">
        <v>568</v>
      </c>
      <c r="D5327" s="50" t="s">
        <v>263</v>
      </c>
      <c r="E5327" s="50">
        <v>0</v>
      </c>
      <c r="F5327" s="51">
        <v>1.0405269091714686E-2</v>
      </c>
      <c r="G5327" s="51" t="str">
        <v>笠原 2022/11/23 (水)
休日午前</v>
      </c>
    </row>
    <row r="5328" spans="1:7" ht="16.149999999999999" x14ac:dyDescent="0.7">
      <c r="A5328" s="49">
        <v>44844.531694953708</v>
      </c>
      <c r="B5328" s="50" t="s">
        <v>125</v>
      </c>
      <c r="C5328" s="50" t="s">
        <v>569</v>
      </c>
      <c r="D5328" s="50" t="s">
        <v>261</v>
      </c>
      <c r="E5328" s="50">
        <v>0</v>
      </c>
      <c r="F5328" s="51">
        <v>0.19838080262573698</v>
      </c>
      <c r="G5328" s="51" t="str">
        <v>笠原 2022/11/23 (水)
休日午後</v>
      </c>
    </row>
    <row r="5329" spans="1:7" ht="16.149999999999999" x14ac:dyDescent="0.7">
      <c r="A5329" s="49">
        <v>44844.531694953708</v>
      </c>
      <c r="B5329" s="50" t="s">
        <v>125</v>
      </c>
      <c r="C5329" s="50" t="s">
        <v>557</v>
      </c>
      <c r="D5329" s="50" t="s">
        <v>259</v>
      </c>
      <c r="E5329" s="50">
        <v>0</v>
      </c>
      <c r="F5329" s="51">
        <v>0.23156416935521507</v>
      </c>
      <c r="G5329" s="51" t="str">
        <v>笠原 2022/11/24 (木)
平日夜間</v>
      </c>
    </row>
    <row r="5330" spans="1:7" ht="16.149999999999999" x14ac:dyDescent="0.7">
      <c r="A5330" s="49">
        <v>44844.531694953708</v>
      </c>
      <c r="B5330" s="50" t="s">
        <v>125</v>
      </c>
      <c r="C5330" s="50" t="s">
        <v>558</v>
      </c>
      <c r="D5330" s="50" t="s">
        <v>259</v>
      </c>
      <c r="E5330" s="50">
        <v>0</v>
      </c>
      <c r="F5330" s="51">
        <v>0.86472854987370962</v>
      </c>
      <c r="G5330" s="51" t="str">
        <v>笠原 2022/11/25 (金)
平日夜間</v>
      </c>
    </row>
    <row r="5331" spans="1:7" ht="16.149999999999999" x14ac:dyDescent="0.7">
      <c r="A5331" s="49">
        <v>44844.531694953708</v>
      </c>
      <c r="B5331" s="50" t="s">
        <v>125</v>
      </c>
      <c r="C5331" s="50" t="s">
        <v>559</v>
      </c>
      <c r="D5331" s="50" t="s">
        <v>263</v>
      </c>
      <c r="E5331" s="50">
        <v>-1</v>
      </c>
      <c r="F5331" s="51">
        <v>-0.34023734228807645</v>
      </c>
      <c r="G5331" s="51" t="str">
        <v>笠原 2022/11/26 (土)
休日午前</v>
      </c>
    </row>
    <row r="5332" spans="1:7" ht="16.149999999999999" x14ac:dyDescent="0.7">
      <c r="A5332" s="49">
        <v>44844.531694953708</v>
      </c>
      <c r="B5332" s="50" t="s">
        <v>125</v>
      </c>
      <c r="C5332" s="50" t="s">
        <v>560</v>
      </c>
      <c r="D5332" s="50" t="s">
        <v>261</v>
      </c>
      <c r="E5332" s="50">
        <v>-1</v>
      </c>
      <c r="F5332" s="51">
        <v>-0.11479621047987432</v>
      </c>
      <c r="G5332" s="51" t="str">
        <v>笠原 2022/11/26 (土)
休日午後</v>
      </c>
    </row>
    <row r="5333" spans="1:7" ht="16.149999999999999" x14ac:dyDescent="0.7">
      <c r="A5333" s="49">
        <v>44844.531694953708</v>
      </c>
      <c r="B5333" s="50" t="s">
        <v>125</v>
      </c>
      <c r="C5333" s="50" t="s">
        <v>561</v>
      </c>
      <c r="D5333" s="50" t="s">
        <v>263</v>
      </c>
      <c r="E5333" s="50">
        <v>1</v>
      </c>
      <c r="F5333" s="51">
        <v>1.816977096430147</v>
      </c>
      <c r="G5333" s="51" t="str">
        <v>笠原 2022/11/27 (日)
休日午前</v>
      </c>
    </row>
    <row r="5334" spans="1:7" ht="16.149999999999999" x14ac:dyDescent="0.7">
      <c r="A5334" s="49">
        <v>44844.531694953708</v>
      </c>
      <c r="B5334" s="50" t="s">
        <v>125</v>
      </c>
      <c r="C5334" s="50" t="s">
        <v>562</v>
      </c>
      <c r="D5334" s="50" t="s">
        <v>261</v>
      </c>
      <c r="E5334" s="50">
        <v>2</v>
      </c>
      <c r="F5334" s="51">
        <v>2.8950153396699418</v>
      </c>
      <c r="G5334" s="51" t="str">
        <v>笠原 2022/11/27 (日)
休日午後</v>
      </c>
    </row>
    <row r="5335" spans="1:7" ht="16.149999999999999" x14ac:dyDescent="0.7">
      <c r="A5335" s="49">
        <v>44844.531694953708</v>
      </c>
      <c r="B5335" s="50" t="s">
        <v>125</v>
      </c>
      <c r="C5335" s="50" t="s">
        <v>563</v>
      </c>
      <c r="D5335" s="50" t="s">
        <v>259</v>
      </c>
      <c r="E5335" s="50">
        <v>-1</v>
      </c>
      <c r="F5335" s="51">
        <v>-0.10237290619959727</v>
      </c>
      <c r="G5335" s="51" t="str">
        <v>笠原 2022/11/28 (月)
平日夜間</v>
      </c>
    </row>
    <row r="5336" spans="1:7" ht="16.149999999999999" x14ac:dyDescent="0.7">
      <c r="A5336" s="49">
        <v>44844.531694953708</v>
      </c>
      <c r="B5336" s="50" t="s">
        <v>125</v>
      </c>
      <c r="C5336" s="50" t="s">
        <v>564</v>
      </c>
      <c r="D5336" s="50" t="s">
        <v>259</v>
      </c>
      <c r="E5336" s="50">
        <v>-1</v>
      </c>
      <c r="F5336" s="51">
        <v>-0.89591180046980123</v>
      </c>
      <c r="G5336" s="51" t="str">
        <v>笠原 2022/11/29 (火)
平日夜間</v>
      </c>
    </row>
    <row r="5337" spans="1:7" ht="16.149999999999999" x14ac:dyDescent="0.7">
      <c r="A5337" s="49">
        <v>44844.531694953708</v>
      </c>
      <c r="B5337" s="50" t="s">
        <v>125</v>
      </c>
      <c r="C5337" s="50" t="s">
        <v>565</v>
      </c>
      <c r="D5337" s="50" t="s">
        <v>259</v>
      </c>
      <c r="E5337" s="50">
        <v>-1</v>
      </c>
      <c r="F5337" s="51">
        <v>-5.7352655453909884E-2</v>
      </c>
      <c r="G5337" s="51" t="str">
        <v>笠原 2022/11/30 (水)
平日夜間</v>
      </c>
    </row>
    <row r="5338" spans="1:7" ht="16.149999999999999" x14ac:dyDescent="0.7">
      <c r="A5338" s="49">
        <v>44844.535939583337</v>
      </c>
      <c r="B5338" s="50" t="s">
        <v>2</v>
      </c>
      <c r="C5338" s="50" t="s">
        <v>528</v>
      </c>
      <c r="D5338" s="50" t="s">
        <v>259</v>
      </c>
      <c r="E5338" s="50">
        <v>-1</v>
      </c>
      <c r="F5338" s="51">
        <v>-0.86611510578685147</v>
      </c>
      <c r="G5338" s="51" t="str">
        <v>伊藤 2022/11/01 (火)
平日夜間</v>
      </c>
    </row>
    <row r="5339" spans="1:7" ht="16.149999999999999" x14ac:dyDescent="0.7">
      <c r="A5339" s="49">
        <v>44844.535939583337</v>
      </c>
      <c r="B5339" s="50" t="s">
        <v>2</v>
      </c>
      <c r="C5339" s="50" t="s">
        <v>529</v>
      </c>
      <c r="D5339" s="50" t="s">
        <v>259</v>
      </c>
      <c r="E5339" s="50">
        <v>-1</v>
      </c>
      <c r="F5339" s="51">
        <v>-0.64068286707611199</v>
      </c>
      <c r="G5339" s="51" t="str">
        <v>伊藤 2022/11/02 (水)
平日夜間</v>
      </c>
    </row>
    <row r="5340" spans="1:7" ht="16.149999999999999" x14ac:dyDescent="0.7">
      <c r="A5340" s="49">
        <v>44844.535939583337</v>
      </c>
      <c r="B5340" s="50" t="s">
        <v>2</v>
      </c>
      <c r="C5340" s="50" t="s">
        <v>566</v>
      </c>
      <c r="D5340" s="50" t="s">
        <v>263</v>
      </c>
      <c r="E5340" s="50">
        <v>-1</v>
      </c>
      <c r="F5340" s="51">
        <v>-0.28869166242290789</v>
      </c>
      <c r="G5340" s="51" t="str">
        <v>伊藤 2022/11/03 (木)
休日午前</v>
      </c>
    </row>
    <row r="5341" spans="1:7" ht="16.149999999999999" x14ac:dyDescent="0.7">
      <c r="A5341" s="49">
        <v>44844.535939583337</v>
      </c>
      <c r="B5341" s="50" t="s">
        <v>2</v>
      </c>
      <c r="C5341" s="50" t="s">
        <v>567</v>
      </c>
      <c r="D5341" s="50" t="s">
        <v>261</v>
      </c>
      <c r="E5341" s="50">
        <v>-1</v>
      </c>
      <c r="F5341" s="51">
        <v>-0.13231441948180134</v>
      </c>
      <c r="G5341" s="51" t="str">
        <v>伊藤 2022/11/03 (木)
休日午後</v>
      </c>
    </row>
    <row r="5342" spans="1:7" ht="16.149999999999999" x14ac:dyDescent="0.7">
      <c r="A5342" s="49">
        <v>44844.535939583337</v>
      </c>
      <c r="B5342" s="50" t="s">
        <v>2</v>
      </c>
      <c r="C5342" s="50" t="s">
        <v>531</v>
      </c>
      <c r="D5342" s="50" t="s">
        <v>259</v>
      </c>
      <c r="E5342" s="50">
        <v>-1</v>
      </c>
      <c r="F5342" s="51">
        <v>-0.50673555280393168</v>
      </c>
      <c r="G5342" s="51" t="str">
        <v>伊藤 2022/11/04 (金)
平日夜間</v>
      </c>
    </row>
    <row r="5343" spans="1:7" ht="16.149999999999999" x14ac:dyDescent="0.7">
      <c r="A5343" s="49">
        <v>44844.535939583337</v>
      </c>
      <c r="B5343" s="50" t="s">
        <v>2</v>
      </c>
      <c r="C5343" s="50" t="s">
        <v>532</v>
      </c>
      <c r="D5343" s="50" t="s">
        <v>263</v>
      </c>
      <c r="E5343" s="50">
        <v>-1</v>
      </c>
      <c r="F5343" s="51">
        <v>-0.16842216788034725</v>
      </c>
      <c r="G5343" s="51" t="str">
        <v>伊藤 2022/11/05 (土)
休日午前</v>
      </c>
    </row>
    <row r="5344" spans="1:7" ht="16.149999999999999" x14ac:dyDescent="0.7">
      <c r="A5344" s="49">
        <v>44844.535939583337</v>
      </c>
      <c r="B5344" s="50" t="s">
        <v>2</v>
      </c>
      <c r="C5344" s="50" t="s">
        <v>533</v>
      </c>
      <c r="D5344" s="50" t="s">
        <v>261</v>
      </c>
      <c r="E5344" s="50">
        <v>-1</v>
      </c>
      <c r="F5344" s="51">
        <v>-0.88711873150668352</v>
      </c>
      <c r="G5344" s="51" t="str">
        <v>伊藤 2022/11/05 (土)
休日午後</v>
      </c>
    </row>
    <row r="5345" spans="1:7" ht="16.149999999999999" x14ac:dyDescent="0.7">
      <c r="A5345" s="49">
        <v>44844.535939583337</v>
      </c>
      <c r="B5345" s="50" t="s">
        <v>2</v>
      </c>
      <c r="C5345" s="50" t="s">
        <v>534</v>
      </c>
      <c r="D5345" s="50" t="s">
        <v>263</v>
      </c>
      <c r="E5345" s="50">
        <v>-1</v>
      </c>
      <c r="F5345" s="51">
        <v>-0.41345091248523702</v>
      </c>
      <c r="G5345" s="51" t="str">
        <v>伊藤 2022/11/06 (日)
休日午前</v>
      </c>
    </row>
    <row r="5346" spans="1:7" ht="16.149999999999999" x14ac:dyDescent="0.7">
      <c r="A5346" s="49">
        <v>44844.535939583337</v>
      </c>
      <c r="B5346" s="50" t="s">
        <v>2</v>
      </c>
      <c r="C5346" s="50" t="s">
        <v>535</v>
      </c>
      <c r="D5346" s="50" t="s">
        <v>261</v>
      </c>
      <c r="E5346" s="50">
        <v>-1</v>
      </c>
      <c r="F5346" s="51">
        <v>-0.99154191794542967</v>
      </c>
      <c r="G5346" s="51" t="str">
        <v>伊藤 2022/11/06 (日)
休日午後</v>
      </c>
    </row>
    <row r="5347" spans="1:7" ht="16.149999999999999" x14ac:dyDescent="0.7">
      <c r="A5347" s="49">
        <v>44844.535939583337</v>
      </c>
      <c r="B5347" s="50" t="s">
        <v>2</v>
      </c>
      <c r="C5347" s="50" t="s">
        <v>536</v>
      </c>
      <c r="D5347" s="50" t="s">
        <v>259</v>
      </c>
      <c r="E5347" s="50">
        <v>-1</v>
      </c>
      <c r="F5347" s="51">
        <v>-0.56659186121802674</v>
      </c>
      <c r="G5347" s="51" t="str">
        <v>伊藤 2022/11/07 (月)
平日夜間</v>
      </c>
    </row>
    <row r="5348" spans="1:7" ht="16.149999999999999" x14ac:dyDescent="0.7">
      <c r="A5348" s="49">
        <v>44844.535939583337</v>
      </c>
      <c r="B5348" s="50" t="s">
        <v>2</v>
      </c>
      <c r="C5348" s="50" t="s">
        <v>537</v>
      </c>
      <c r="D5348" s="50" t="s">
        <v>259</v>
      </c>
      <c r="E5348" s="50">
        <v>-1</v>
      </c>
      <c r="F5348" s="51">
        <v>-3.3396985444533733E-3</v>
      </c>
      <c r="G5348" s="51" t="str">
        <v>伊藤 2022/11/08 (火)
平日夜間</v>
      </c>
    </row>
    <row r="5349" spans="1:7" ht="16.149999999999999" x14ac:dyDescent="0.7">
      <c r="A5349" s="49">
        <v>44844.535939583337</v>
      </c>
      <c r="B5349" s="50" t="s">
        <v>2</v>
      </c>
      <c r="C5349" s="50" t="s">
        <v>538</v>
      </c>
      <c r="D5349" s="50" t="s">
        <v>259</v>
      </c>
      <c r="E5349" s="50">
        <v>-1</v>
      </c>
      <c r="F5349" s="51">
        <v>-0.34393594127791682</v>
      </c>
      <c r="G5349" s="51" t="str">
        <v>伊藤 2022/11/09 (水)
平日夜間</v>
      </c>
    </row>
    <row r="5350" spans="1:7" ht="16.149999999999999" x14ac:dyDescent="0.7">
      <c r="A5350" s="49">
        <v>44844.535939583337</v>
      </c>
      <c r="B5350" s="50" t="s">
        <v>2</v>
      </c>
      <c r="C5350" s="50" t="s">
        <v>539</v>
      </c>
      <c r="D5350" s="50" t="s">
        <v>259</v>
      </c>
      <c r="E5350" s="50">
        <v>-1</v>
      </c>
      <c r="F5350" s="51">
        <v>-0.93151065270949407</v>
      </c>
      <c r="G5350" s="51" t="str">
        <v>伊藤 2022/11/10 (木)
平日夜間</v>
      </c>
    </row>
    <row r="5351" spans="1:7" ht="16.149999999999999" x14ac:dyDescent="0.7">
      <c r="A5351" s="49">
        <v>44844.535939583337</v>
      </c>
      <c r="B5351" s="50" t="s">
        <v>2</v>
      </c>
      <c r="C5351" s="50" t="s">
        <v>540</v>
      </c>
      <c r="D5351" s="50" t="s">
        <v>259</v>
      </c>
      <c r="E5351" s="50">
        <v>-1</v>
      </c>
      <c r="F5351" s="51">
        <v>-0.97654560931172352</v>
      </c>
      <c r="G5351" s="51" t="str">
        <v>伊藤 2022/11/11 (金)
平日夜間</v>
      </c>
    </row>
    <row r="5352" spans="1:7" ht="16.149999999999999" x14ac:dyDescent="0.7">
      <c r="A5352" s="49">
        <v>44844.535939583337</v>
      </c>
      <c r="B5352" s="50" t="s">
        <v>2</v>
      </c>
      <c r="C5352" s="50" t="s">
        <v>541</v>
      </c>
      <c r="D5352" s="50" t="s">
        <v>263</v>
      </c>
      <c r="E5352" s="50">
        <v>-1</v>
      </c>
      <c r="F5352" s="51">
        <v>-0.23287632133790082</v>
      </c>
      <c r="G5352" s="51" t="str">
        <v>伊藤 2022/11/12 (土)
休日午前</v>
      </c>
    </row>
    <row r="5353" spans="1:7" ht="16.149999999999999" x14ac:dyDescent="0.7">
      <c r="A5353" s="49">
        <v>44844.535939583337</v>
      </c>
      <c r="B5353" s="50" t="s">
        <v>2</v>
      </c>
      <c r="C5353" s="50" t="s">
        <v>542</v>
      </c>
      <c r="D5353" s="50" t="s">
        <v>261</v>
      </c>
      <c r="E5353" s="50">
        <v>-1</v>
      </c>
      <c r="F5353" s="51">
        <v>-0.79721749502141304</v>
      </c>
      <c r="G5353" s="51" t="str">
        <v>伊藤 2022/11/12 (土)
休日午後</v>
      </c>
    </row>
    <row r="5354" spans="1:7" ht="16.149999999999999" x14ac:dyDescent="0.7">
      <c r="A5354" s="49">
        <v>44844.535939583337</v>
      </c>
      <c r="B5354" s="50" t="s">
        <v>2</v>
      </c>
      <c r="C5354" s="50" t="s">
        <v>543</v>
      </c>
      <c r="D5354" s="50" t="s">
        <v>263</v>
      </c>
      <c r="E5354" s="50">
        <v>-1</v>
      </c>
      <c r="F5354" s="51">
        <v>-0.4435357479384161</v>
      </c>
      <c r="G5354" s="51" t="str">
        <v>伊藤 2022/11/13 (日)
休日午前</v>
      </c>
    </row>
    <row r="5355" spans="1:7" ht="16.149999999999999" x14ac:dyDescent="0.7">
      <c r="A5355" s="49">
        <v>44844.535939583337</v>
      </c>
      <c r="B5355" s="50" t="s">
        <v>2</v>
      </c>
      <c r="C5355" s="50" t="s">
        <v>544</v>
      </c>
      <c r="D5355" s="50" t="s">
        <v>261</v>
      </c>
      <c r="E5355" s="50">
        <v>-1</v>
      </c>
      <c r="F5355" s="51">
        <v>-0.66444946430601592</v>
      </c>
      <c r="G5355" s="51" t="str">
        <v>伊藤 2022/11/13 (日)
休日午後</v>
      </c>
    </row>
    <row r="5356" spans="1:7" ht="16.149999999999999" x14ac:dyDescent="0.7">
      <c r="A5356" s="49">
        <v>44844.535939583337</v>
      </c>
      <c r="B5356" s="50" t="s">
        <v>2</v>
      </c>
      <c r="C5356" s="50" t="s">
        <v>545</v>
      </c>
      <c r="D5356" s="50" t="s">
        <v>259</v>
      </c>
      <c r="E5356" s="50">
        <v>-1</v>
      </c>
      <c r="F5356" s="51">
        <v>-0.16688322330154737</v>
      </c>
      <c r="G5356" s="51" t="str">
        <v>伊藤 2022/11/14 (月)
平日夜間</v>
      </c>
    </row>
    <row r="5357" spans="1:7" ht="16.149999999999999" x14ac:dyDescent="0.7">
      <c r="A5357" s="49">
        <v>44844.535939583337</v>
      </c>
      <c r="B5357" s="50" t="s">
        <v>2</v>
      </c>
      <c r="C5357" s="50" t="s">
        <v>546</v>
      </c>
      <c r="D5357" s="50" t="s">
        <v>259</v>
      </c>
      <c r="E5357" s="50">
        <v>-1</v>
      </c>
      <c r="F5357" s="51">
        <v>-0.56635165976635138</v>
      </c>
      <c r="G5357" s="51" t="str">
        <v>伊藤 2022/11/15 (火)
平日夜間</v>
      </c>
    </row>
    <row r="5358" spans="1:7" ht="16.149999999999999" x14ac:dyDescent="0.7">
      <c r="A5358" s="49">
        <v>44844.535939583337</v>
      </c>
      <c r="B5358" s="50" t="s">
        <v>2</v>
      </c>
      <c r="C5358" s="50" t="s">
        <v>547</v>
      </c>
      <c r="D5358" s="50" t="s">
        <v>259</v>
      </c>
      <c r="E5358" s="50">
        <v>-1</v>
      </c>
      <c r="F5358" s="51">
        <v>-0.14143891560114086</v>
      </c>
      <c r="G5358" s="51" t="str">
        <v>伊藤 2022/11/16 (水)
平日夜間</v>
      </c>
    </row>
    <row r="5359" spans="1:7" ht="16.149999999999999" x14ac:dyDescent="0.7">
      <c r="A5359" s="49">
        <v>44844.535939583337</v>
      </c>
      <c r="B5359" s="50" t="s">
        <v>2</v>
      </c>
      <c r="C5359" s="50" t="s">
        <v>548</v>
      </c>
      <c r="D5359" s="50" t="s">
        <v>259</v>
      </c>
      <c r="E5359" s="50">
        <v>-1</v>
      </c>
      <c r="F5359" s="51">
        <v>-0.51844491830285611</v>
      </c>
      <c r="G5359" s="51" t="str">
        <v>伊藤 2022/11/17 (木)
平日夜間</v>
      </c>
    </row>
    <row r="5360" spans="1:7" ht="16.149999999999999" x14ac:dyDescent="0.7">
      <c r="A5360" s="49">
        <v>44844.535939583337</v>
      </c>
      <c r="B5360" s="50" t="s">
        <v>2</v>
      </c>
      <c r="C5360" s="50" t="s">
        <v>549</v>
      </c>
      <c r="D5360" s="50" t="s">
        <v>259</v>
      </c>
      <c r="E5360" s="50">
        <v>-1</v>
      </c>
      <c r="F5360" s="51">
        <v>-0.21319598988664401</v>
      </c>
      <c r="G5360" s="51" t="str">
        <v>伊藤 2022/11/18 (金)
平日夜間</v>
      </c>
    </row>
    <row r="5361" spans="1:7" ht="16.149999999999999" x14ac:dyDescent="0.7">
      <c r="A5361" s="49">
        <v>44844.535939583337</v>
      </c>
      <c r="B5361" s="50" t="s">
        <v>2</v>
      </c>
      <c r="C5361" s="50" t="s">
        <v>550</v>
      </c>
      <c r="D5361" s="50" t="s">
        <v>263</v>
      </c>
      <c r="E5361" s="50">
        <v>-1</v>
      </c>
      <c r="F5361" s="51">
        <v>-0.18726225097816029</v>
      </c>
      <c r="G5361" s="51" t="str">
        <v>伊藤 2022/11/19 (土)
休日午前</v>
      </c>
    </row>
    <row r="5362" spans="1:7" ht="16.149999999999999" x14ac:dyDescent="0.7">
      <c r="A5362" s="49">
        <v>44844.535939583337</v>
      </c>
      <c r="B5362" s="50" t="s">
        <v>2</v>
      </c>
      <c r="C5362" s="50" t="s">
        <v>551</v>
      </c>
      <c r="D5362" s="50" t="s">
        <v>261</v>
      </c>
      <c r="E5362" s="50">
        <v>-1</v>
      </c>
      <c r="F5362" s="51">
        <v>-0.40926318691547059</v>
      </c>
      <c r="G5362" s="51" t="str">
        <v>伊藤 2022/11/19 (土)
休日午後</v>
      </c>
    </row>
    <row r="5363" spans="1:7" ht="16.149999999999999" x14ac:dyDescent="0.7">
      <c r="A5363" s="49">
        <v>44844.535939583337</v>
      </c>
      <c r="B5363" s="50" t="s">
        <v>2</v>
      </c>
      <c r="C5363" s="50" t="s">
        <v>552</v>
      </c>
      <c r="D5363" s="50" t="s">
        <v>263</v>
      </c>
      <c r="E5363" s="50">
        <v>-1</v>
      </c>
      <c r="F5363" s="51">
        <v>-0.62397990773040024</v>
      </c>
      <c r="G5363" s="51" t="str">
        <v>伊藤 2022/11/20 (日)
休日午前</v>
      </c>
    </row>
    <row r="5364" spans="1:7" ht="16.149999999999999" x14ac:dyDescent="0.7">
      <c r="A5364" s="49">
        <v>44844.535939583337</v>
      </c>
      <c r="B5364" s="50" t="s">
        <v>2</v>
      </c>
      <c r="C5364" s="50" t="s">
        <v>553</v>
      </c>
      <c r="D5364" s="50" t="s">
        <v>261</v>
      </c>
      <c r="E5364" s="50">
        <v>-1</v>
      </c>
      <c r="F5364" s="51">
        <v>-0.80994358292139546</v>
      </c>
      <c r="G5364" s="51" t="str">
        <v>伊藤 2022/11/20 (日)
休日午後</v>
      </c>
    </row>
    <row r="5365" spans="1:7" ht="16.149999999999999" x14ac:dyDescent="0.7">
      <c r="A5365" s="49">
        <v>44844.535939583337</v>
      </c>
      <c r="B5365" s="50" t="s">
        <v>2</v>
      </c>
      <c r="C5365" s="50" t="s">
        <v>554</v>
      </c>
      <c r="D5365" s="50" t="s">
        <v>259</v>
      </c>
      <c r="E5365" s="50">
        <v>-1</v>
      </c>
      <c r="F5365" s="51">
        <v>-0.72173880420203629</v>
      </c>
      <c r="G5365" s="51" t="str">
        <v>伊藤 2022/11/21 (月)
平日夜間</v>
      </c>
    </row>
    <row r="5366" spans="1:7" ht="16.149999999999999" x14ac:dyDescent="0.7">
      <c r="A5366" s="49">
        <v>44844.535939583337</v>
      </c>
      <c r="B5366" s="50" t="s">
        <v>2</v>
      </c>
      <c r="C5366" s="50" t="s">
        <v>555</v>
      </c>
      <c r="D5366" s="50" t="s">
        <v>259</v>
      </c>
      <c r="E5366" s="50">
        <v>-1</v>
      </c>
      <c r="F5366" s="51">
        <v>-0.25459304019489148</v>
      </c>
      <c r="G5366" s="51" t="str">
        <v>伊藤 2022/11/22 (火)
平日夜間</v>
      </c>
    </row>
    <row r="5367" spans="1:7" ht="16.149999999999999" x14ac:dyDescent="0.7">
      <c r="A5367" s="49">
        <v>44844.535939583337</v>
      </c>
      <c r="B5367" s="50" t="s">
        <v>2</v>
      </c>
      <c r="C5367" s="50" t="s">
        <v>568</v>
      </c>
      <c r="D5367" s="50" t="s">
        <v>263</v>
      </c>
      <c r="E5367" s="50">
        <v>-1</v>
      </c>
      <c r="F5367" s="51">
        <v>-0.91457248656625212</v>
      </c>
      <c r="G5367" s="51" t="str">
        <v>伊藤 2022/11/23 (水)
休日午前</v>
      </c>
    </row>
    <row r="5368" spans="1:7" ht="16.149999999999999" x14ac:dyDescent="0.7">
      <c r="A5368" s="49">
        <v>44844.535939583337</v>
      </c>
      <c r="B5368" s="50" t="s">
        <v>2</v>
      </c>
      <c r="C5368" s="50" t="s">
        <v>569</v>
      </c>
      <c r="D5368" s="50" t="s">
        <v>261</v>
      </c>
      <c r="E5368" s="50">
        <v>-1</v>
      </c>
      <c r="F5368" s="51">
        <v>-9.0705482384256575E-2</v>
      </c>
      <c r="G5368" s="51" t="str">
        <v>伊藤 2022/11/23 (水)
休日午後</v>
      </c>
    </row>
    <row r="5369" spans="1:7" ht="16.149999999999999" x14ac:dyDescent="0.7">
      <c r="A5369" s="49">
        <v>44844.535939583337</v>
      </c>
      <c r="B5369" s="50" t="s">
        <v>2</v>
      </c>
      <c r="C5369" s="50" t="s">
        <v>557</v>
      </c>
      <c r="D5369" s="50" t="s">
        <v>259</v>
      </c>
      <c r="E5369" s="50">
        <v>-1</v>
      </c>
      <c r="F5369" s="51">
        <v>-0.28739651504243491</v>
      </c>
      <c r="G5369" s="51" t="str">
        <v>伊藤 2022/11/24 (木)
平日夜間</v>
      </c>
    </row>
    <row r="5370" spans="1:7" ht="16.149999999999999" x14ac:dyDescent="0.7">
      <c r="A5370" s="49">
        <v>44844.535939583337</v>
      </c>
      <c r="B5370" s="50" t="s">
        <v>2</v>
      </c>
      <c r="C5370" s="50" t="s">
        <v>558</v>
      </c>
      <c r="D5370" s="50" t="s">
        <v>259</v>
      </c>
      <c r="E5370" s="50">
        <v>-1</v>
      </c>
      <c r="F5370" s="51">
        <v>-0.81548685506499274</v>
      </c>
      <c r="G5370" s="51" t="str">
        <v>伊藤 2022/11/25 (金)
平日夜間</v>
      </c>
    </row>
    <row r="5371" spans="1:7" ht="16.149999999999999" x14ac:dyDescent="0.7">
      <c r="A5371" s="49">
        <v>44844.535939583337</v>
      </c>
      <c r="B5371" s="50" t="s">
        <v>2</v>
      </c>
      <c r="C5371" s="50" t="s">
        <v>559</v>
      </c>
      <c r="D5371" s="50" t="s">
        <v>263</v>
      </c>
      <c r="E5371" s="50">
        <v>-1</v>
      </c>
      <c r="F5371" s="51">
        <v>-0.66489996919654515</v>
      </c>
      <c r="G5371" s="51" t="str">
        <v>伊藤 2022/11/26 (土)
休日午前</v>
      </c>
    </row>
    <row r="5372" spans="1:7" ht="16.149999999999999" x14ac:dyDescent="0.7">
      <c r="A5372" s="49">
        <v>44844.535939583337</v>
      </c>
      <c r="B5372" s="50" t="s">
        <v>2</v>
      </c>
      <c r="C5372" s="50" t="s">
        <v>560</v>
      </c>
      <c r="D5372" s="50" t="s">
        <v>261</v>
      </c>
      <c r="E5372" s="50">
        <v>-1</v>
      </c>
      <c r="F5372" s="51">
        <v>-0.55885326391650381</v>
      </c>
      <c r="G5372" s="51" t="str">
        <v>伊藤 2022/11/26 (土)
休日午後</v>
      </c>
    </row>
    <row r="5373" spans="1:7" ht="16.149999999999999" x14ac:dyDescent="0.7">
      <c r="A5373" s="49">
        <v>44844.535939583337</v>
      </c>
      <c r="B5373" s="50" t="s">
        <v>2</v>
      </c>
      <c r="C5373" s="50" t="s">
        <v>561</v>
      </c>
      <c r="D5373" s="50" t="s">
        <v>263</v>
      </c>
      <c r="E5373" s="50">
        <v>-1</v>
      </c>
      <c r="F5373" s="51">
        <v>-0.27086167057997401</v>
      </c>
      <c r="G5373" s="51" t="str">
        <v>伊藤 2022/11/27 (日)
休日午前</v>
      </c>
    </row>
    <row r="5374" spans="1:7" ht="16.149999999999999" x14ac:dyDescent="0.7">
      <c r="A5374" s="49">
        <v>44844.535939583337</v>
      </c>
      <c r="B5374" s="50" t="s">
        <v>2</v>
      </c>
      <c r="C5374" s="50" t="s">
        <v>562</v>
      </c>
      <c r="D5374" s="50" t="s">
        <v>261</v>
      </c>
      <c r="E5374" s="50">
        <v>-1</v>
      </c>
      <c r="F5374" s="51">
        <v>-0.11782238839043346</v>
      </c>
      <c r="G5374" s="51" t="str">
        <v>伊藤 2022/11/27 (日)
休日午後</v>
      </c>
    </row>
    <row r="5375" spans="1:7" ht="16.149999999999999" x14ac:dyDescent="0.7">
      <c r="A5375" s="49">
        <v>44844.535939583337</v>
      </c>
      <c r="B5375" s="50" t="s">
        <v>2</v>
      </c>
      <c r="C5375" s="50" t="s">
        <v>563</v>
      </c>
      <c r="D5375" s="50" t="s">
        <v>259</v>
      </c>
      <c r="E5375" s="50">
        <v>-1</v>
      </c>
      <c r="F5375" s="51">
        <v>-0.31739426136169158</v>
      </c>
      <c r="G5375" s="51" t="str">
        <v>伊藤 2022/11/28 (月)
平日夜間</v>
      </c>
    </row>
    <row r="5376" spans="1:7" ht="16.149999999999999" x14ac:dyDescent="0.7">
      <c r="A5376" s="49">
        <v>44844.535939583337</v>
      </c>
      <c r="B5376" s="50" t="s">
        <v>2</v>
      </c>
      <c r="C5376" s="50" t="s">
        <v>564</v>
      </c>
      <c r="D5376" s="50" t="s">
        <v>259</v>
      </c>
      <c r="E5376" s="50">
        <v>-1</v>
      </c>
      <c r="F5376" s="51">
        <v>-0.5749381614265987</v>
      </c>
      <c r="G5376" s="51" t="str">
        <v>伊藤 2022/11/29 (火)
平日夜間</v>
      </c>
    </row>
    <row r="5377" spans="1:7" ht="16.149999999999999" x14ac:dyDescent="0.7">
      <c r="A5377" s="49">
        <v>44844.535939583337</v>
      </c>
      <c r="B5377" s="50" t="s">
        <v>2</v>
      </c>
      <c r="C5377" s="50" t="s">
        <v>565</v>
      </c>
      <c r="D5377" s="50" t="s">
        <v>259</v>
      </c>
      <c r="E5377" s="50">
        <v>-1</v>
      </c>
      <c r="F5377" s="51">
        <v>-0.41028400296610701</v>
      </c>
      <c r="G5377" s="51" t="str">
        <v>伊藤 2022/11/30 (水)
平日夜間</v>
      </c>
    </row>
    <row r="5378" spans="1:7" ht="16.149999999999999" x14ac:dyDescent="0.7">
      <c r="A5378" s="49">
        <v>44844.568585034722</v>
      </c>
      <c r="B5378" s="50" t="s">
        <v>15</v>
      </c>
      <c r="C5378" s="50" t="s">
        <v>528</v>
      </c>
      <c r="D5378" s="50" t="s">
        <v>259</v>
      </c>
      <c r="E5378" s="50">
        <v>0</v>
      </c>
      <c r="F5378" s="51">
        <v>0.98728965134200442</v>
      </c>
      <c r="G5378" s="51" t="str">
        <v>太良 2022/11/01 (火)
平日夜間</v>
      </c>
    </row>
    <row r="5379" spans="1:7" ht="16.149999999999999" x14ac:dyDescent="0.7">
      <c r="A5379" s="49">
        <v>44844.568585034722</v>
      </c>
      <c r="B5379" s="50" t="s">
        <v>15</v>
      </c>
      <c r="C5379" s="50" t="s">
        <v>529</v>
      </c>
      <c r="D5379" s="50" t="s">
        <v>259</v>
      </c>
      <c r="E5379" s="50">
        <v>-1</v>
      </c>
      <c r="F5379" s="51">
        <v>-0.54712784443952134</v>
      </c>
      <c r="G5379" s="51" t="str">
        <v>太良 2022/11/02 (水)
平日夜間</v>
      </c>
    </row>
    <row r="5380" spans="1:7" ht="16.149999999999999" x14ac:dyDescent="0.7">
      <c r="A5380" s="49">
        <v>44844.568585034722</v>
      </c>
      <c r="B5380" s="50" t="s">
        <v>15</v>
      </c>
      <c r="C5380" s="50" t="s">
        <v>566</v>
      </c>
      <c r="D5380" s="50" t="s">
        <v>263</v>
      </c>
      <c r="E5380" s="50">
        <v>0</v>
      </c>
      <c r="F5380" s="51">
        <v>0.56928802976646709</v>
      </c>
      <c r="G5380" s="51" t="str">
        <v>太良 2022/11/03 (木)
休日午前</v>
      </c>
    </row>
    <row r="5381" spans="1:7" ht="16.149999999999999" x14ac:dyDescent="0.7">
      <c r="A5381" s="49">
        <v>44844.568585034722</v>
      </c>
      <c r="B5381" s="50" t="s">
        <v>15</v>
      </c>
      <c r="C5381" s="50" t="s">
        <v>567</v>
      </c>
      <c r="D5381" s="50" t="s">
        <v>261</v>
      </c>
      <c r="E5381" s="50">
        <v>-1</v>
      </c>
      <c r="F5381" s="51">
        <v>-0.93108356559377259</v>
      </c>
      <c r="G5381" s="51" t="str">
        <v>太良 2022/11/03 (木)
休日午後</v>
      </c>
    </row>
    <row r="5382" spans="1:7" ht="16.149999999999999" x14ac:dyDescent="0.7">
      <c r="A5382" s="49">
        <v>44844.568585034722</v>
      </c>
      <c r="B5382" s="50" t="s">
        <v>15</v>
      </c>
      <c r="C5382" s="50" t="s">
        <v>531</v>
      </c>
      <c r="D5382" s="50" t="s">
        <v>259</v>
      </c>
      <c r="E5382" s="50">
        <v>-1</v>
      </c>
      <c r="F5382" s="51">
        <v>-0.70304408105346083</v>
      </c>
      <c r="G5382" s="51" t="str">
        <v>太良 2022/11/04 (金)
平日夜間</v>
      </c>
    </row>
    <row r="5383" spans="1:7" ht="16.149999999999999" x14ac:dyDescent="0.7">
      <c r="A5383" s="49">
        <v>44844.568585034722</v>
      </c>
      <c r="B5383" s="50" t="s">
        <v>15</v>
      </c>
      <c r="C5383" s="50" t="s">
        <v>532</v>
      </c>
      <c r="D5383" s="50" t="s">
        <v>263</v>
      </c>
      <c r="E5383" s="50">
        <v>-1</v>
      </c>
      <c r="F5383" s="51">
        <v>-7.4463523316638858E-2</v>
      </c>
      <c r="G5383" s="51" t="str">
        <v>太良 2022/11/05 (土)
休日午前</v>
      </c>
    </row>
    <row r="5384" spans="1:7" ht="16.149999999999999" x14ac:dyDescent="0.7">
      <c r="A5384" s="49">
        <v>44844.568585034722</v>
      </c>
      <c r="B5384" s="50" t="s">
        <v>15</v>
      </c>
      <c r="C5384" s="50" t="s">
        <v>533</v>
      </c>
      <c r="D5384" s="50" t="s">
        <v>261</v>
      </c>
      <c r="E5384" s="50">
        <v>-1</v>
      </c>
      <c r="F5384" s="51">
        <v>-1.5690045865397906E-2</v>
      </c>
      <c r="G5384" s="51" t="str">
        <v>太良 2022/11/05 (土)
休日午後</v>
      </c>
    </row>
    <row r="5385" spans="1:7" ht="16.149999999999999" x14ac:dyDescent="0.7">
      <c r="A5385" s="49">
        <v>44844.568585034722</v>
      </c>
      <c r="B5385" s="50" t="s">
        <v>15</v>
      </c>
      <c r="C5385" s="50" t="s">
        <v>534</v>
      </c>
      <c r="D5385" s="50" t="s">
        <v>263</v>
      </c>
      <c r="E5385" s="50">
        <v>-1</v>
      </c>
      <c r="F5385" s="51">
        <v>-0.94402800814637322</v>
      </c>
      <c r="G5385" s="51" t="str">
        <v>太良 2022/11/06 (日)
休日午前</v>
      </c>
    </row>
    <row r="5386" spans="1:7" ht="16.149999999999999" x14ac:dyDescent="0.7">
      <c r="A5386" s="49">
        <v>44844.568585034722</v>
      </c>
      <c r="B5386" s="50" t="s">
        <v>15</v>
      </c>
      <c r="C5386" s="50" t="s">
        <v>535</v>
      </c>
      <c r="D5386" s="50" t="s">
        <v>261</v>
      </c>
      <c r="E5386" s="50">
        <v>-1</v>
      </c>
      <c r="F5386" s="51">
        <v>-0.94297778829256895</v>
      </c>
      <c r="G5386" s="51" t="str">
        <v>太良 2022/11/06 (日)
休日午後</v>
      </c>
    </row>
    <row r="5387" spans="1:7" ht="16.149999999999999" x14ac:dyDescent="0.7">
      <c r="A5387" s="49">
        <v>44844.568585034722</v>
      </c>
      <c r="B5387" s="50" t="s">
        <v>15</v>
      </c>
      <c r="C5387" s="50" t="s">
        <v>536</v>
      </c>
      <c r="D5387" s="50" t="s">
        <v>259</v>
      </c>
      <c r="E5387" s="50">
        <v>-1</v>
      </c>
      <c r="F5387" s="51">
        <v>-0.9416292839517999</v>
      </c>
      <c r="G5387" s="51" t="str">
        <v>太良 2022/11/07 (月)
平日夜間</v>
      </c>
    </row>
    <row r="5388" spans="1:7" ht="16.149999999999999" x14ac:dyDescent="0.7">
      <c r="A5388" s="49">
        <v>44844.568585034722</v>
      </c>
      <c r="B5388" s="50" t="s">
        <v>15</v>
      </c>
      <c r="C5388" s="50" t="s">
        <v>537</v>
      </c>
      <c r="D5388" s="50" t="s">
        <v>259</v>
      </c>
      <c r="E5388" s="50">
        <v>0</v>
      </c>
      <c r="F5388" s="51">
        <v>0.44520741029099908</v>
      </c>
      <c r="G5388" s="51" t="str">
        <v>太良 2022/11/08 (火)
平日夜間</v>
      </c>
    </row>
    <row r="5389" spans="1:7" ht="16.149999999999999" x14ac:dyDescent="0.7">
      <c r="A5389" s="49">
        <v>44844.568585034722</v>
      </c>
      <c r="B5389" s="50" t="s">
        <v>15</v>
      </c>
      <c r="C5389" s="50" t="s">
        <v>538</v>
      </c>
      <c r="D5389" s="50" t="s">
        <v>259</v>
      </c>
      <c r="E5389" s="50">
        <v>-1</v>
      </c>
      <c r="F5389" s="51">
        <v>-0.36076297020684334</v>
      </c>
      <c r="G5389" s="51" t="str">
        <v>太良 2022/11/09 (水)
平日夜間</v>
      </c>
    </row>
    <row r="5390" spans="1:7" ht="16.149999999999999" x14ac:dyDescent="0.7">
      <c r="A5390" s="49">
        <v>44844.568585034722</v>
      </c>
      <c r="B5390" s="50" t="s">
        <v>15</v>
      </c>
      <c r="C5390" s="50" t="s">
        <v>539</v>
      </c>
      <c r="D5390" s="50" t="s">
        <v>259</v>
      </c>
      <c r="E5390" s="50">
        <v>-1</v>
      </c>
      <c r="F5390" s="51">
        <v>-0.99200072124902783</v>
      </c>
      <c r="G5390" s="51" t="str">
        <v>太良 2022/11/10 (木)
平日夜間</v>
      </c>
    </row>
    <row r="5391" spans="1:7" ht="16.149999999999999" x14ac:dyDescent="0.7">
      <c r="A5391" s="49">
        <v>44844.568585034722</v>
      </c>
      <c r="B5391" s="50" t="s">
        <v>15</v>
      </c>
      <c r="C5391" s="50" t="s">
        <v>540</v>
      </c>
      <c r="D5391" s="50" t="s">
        <v>259</v>
      </c>
      <c r="E5391" s="50">
        <v>-1</v>
      </c>
      <c r="F5391" s="51">
        <v>-0.79294817677829688</v>
      </c>
      <c r="G5391" s="51" t="str">
        <v>太良 2022/11/11 (金)
平日夜間</v>
      </c>
    </row>
    <row r="5392" spans="1:7" ht="16.149999999999999" x14ac:dyDescent="0.7">
      <c r="A5392" s="49">
        <v>44844.568585034722</v>
      </c>
      <c r="B5392" s="50" t="s">
        <v>15</v>
      </c>
      <c r="C5392" s="50" t="s">
        <v>541</v>
      </c>
      <c r="D5392" s="50" t="s">
        <v>263</v>
      </c>
      <c r="E5392" s="50">
        <v>-1</v>
      </c>
      <c r="F5392" s="51">
        <v>-0.58910508535865547</v>
      </c>
      <c r="G5392" s="51" t="str">
        <v>太良 2022/11/12 (土)
休日午前</v>
      </c>
    </row>
    <row r="5393" spans="1:7" ht="16.149999999999999" x14ac:dyDescent="0.7">
      <c r="A5393" s="49">
        <v>44844.568585034722</v>
      </c>
      <c r="B5393" s="50" t="s">
        <v>15</v>
      </c>
      <c r="C5393" s="50" t="s">
        <v>542</v>
      </c>
      <c r="D5393" s="50" t="s">
        <v>261</v>
      </c>
      <c r="E5393" s="50">
        <v>-1</v>
      </c>
      <c r="F5393" s="51">
        <v>-0.20205896326522543</v>
      </c>
      <c r="G5393" s="51" t="str">
        <v>太良 2022/11/12 (土)
休日午後</v>
      </c>
    </row>
    <row r="5394" spans="1:7" ht="16.149999999999999" x14ac:dyDescent="0.7">
      <c r="A5394" s="49">
        <v>44844.568585034722</v>
      </c>
      <c r="B5394" s="50" t="s">
        <v>15</v>
      </c>
      <c r="C5394" s="50" t="s">
        <v>543</v>
      </c>
      <c r="D5394" s="50" t="s">
        <v>263</v>
      </c>
      <c r="E5394" s="50">
        <v>-1</v>
      </c>
      <c r="F5394" s="51">
        <v>-0.15888137270226865</v>
      </c>
      <c r="G5394" s="51" t="str">
        <v>太良 2022/11/13 (日)
休日午前</v>
      </c>
    </row>
    <row r="5395" spans="1:7" ht="16.149999999999999" x14ac:dyDescent="0.7">
      <c r="A5395" s="49">
        <v>44844.568585034722</v>
      </c>
      <c r="B5395" s="50" t="s">
        <v>15</v>
      </c>
      <c r="C5395" s="50" t="s">
        <v>544</v>
      </c>
      <c r="D5395" s="50" t="s">
        <v>261</v>
      </c>
      <c r="E5395" s="50">
        <v>-1</v>
      </c>
      <c r="F5395" s="51">
        <v>-0.9977706542626501</v>
      </c>
      <c r="G5395" s="51" t="str">
        <v>太良 2022/11/13 (日)
休日午後</v>
      </c>
    </row>
    <row r="5396" spans="1:7" ht="16.149999999999999" x14ac:dyDescent="0.7">
      <c r="A5396" s="49">
        <v>44844.568585034722</v>
      </c>
      <c r="B5396" s="50" t="s">
        <v>15</v>
      </c>
      <c r="C5396" s="50" t="s">
        <v>545</v>
      </c>
      <c r="D5396" s="50" t="s">
        <v>259</v>
      </c>
      <c r="E5396" s="50">
        <v>-1</v>
      </c>
      <c r="F5396" s="51">
        <v>-0.74799161066333331</v>
      </c>
      <c r="G5396" s="51" t="str">
        <v>太良 2022/11/14 (月)
平日夜間</v>
      </c>
    </row>
    <row r="5397" spans="1:7" ht="16.149999999999999" x14ac:dyDescent="0.7">
      <c r="A5397" s="49">
        <v>44844.568585034722</v>
      </c>
      <c r="B5397" s="50" t="s">
        <v>15</v>
      </c>
      <c r="C5397" s="50" t="s">
        <v>546</v>
      </c>
      <c r="D5397" s="50" t="s">
        <v>259</v>
      </c>
      <c r="E5397" s="50">
        <v>-1</v>
      </c>
      <c r="F5397" s="51">
        <v>-0.79043657067023854</v>
      </c>
      <c r="G5397" s="51" t="str">
        <v>太良 2022/11/15 (火)
平日夜間</v>
      </c>
    </row>
    <row r="5398" spans="1:7" ht="16.149999999999999" x14ac:dyDescent="0.7">
      <c r="A5398" s="49">
        <v>44844.568585034722</v>
      </c>
      <c r="B5398" s="50" t="s">
        <v>15</v>
      </c>
      <c r="C5398" s="50" t="s">
        <v>547</v>
      </c>
      <c r="D5398" s="50" t="s">
        <v>259</v>
      </c>
      <c r="E5398" s="50">
        <v>-1</v>
      </c>
      <c r="F5398" s="51">
        <v>-0.53090226036035482</v>
      </c>
      <c r="G5398" s="51" t="str">
        <v>太良 2022/11/16 (水)
平日夜間</v>
      </c>
    </row>
    <row r="5399" spans="1:7" ht="16.149999999999999" x14ac:dyDescent="0.7">
      <c r="A5399" s="49">
        <v>44844.568585034722</v>
      </c>
      <c r="B5399" s="50" t="s">
        <v>15</v>
      </c>
      <c r="C5399" s="50" t="s">
        <v>548</v>
      </c>
      <c r="D5399" s="50" t="s">
        <v>259</v>
      </c>
      <c r="E5399" s="50">
        <v>-1</v>
      </c>
      <c r="F5399" s="51">
        <v>-0.55127713111029464</v>
      </c>
      <c r="G5399" s="51" t="str">
        <v>太良 2022/11/17 (木)
平日夜間</v>
      </c>
    </row>
    <row r="5400" spans="1:7" ht="16.149999999999999" x14ac:dyDescent="0.7">
      <c r="A5400" s="49">
        <v>44844.568585034722</v>
      </c>
      <c r="B5400" s="50" t="s">
        <v>15</v>
      </c>
      <c r="C5400" s="50" t="s">
        <v>549</v>
      </c>
      <c r="D5400" s="50" t="s">
        <v>259</v>
      </c>
      <c r="E5400" s="50">
        <v>0</v>
      </c>
      <c r="F5400" s="51">
        <v>0.57310838647836815</v>
      </c>
      <c r="G5400" s="51" t="str">
        <v>太良 2022/11/18 (金)
平日夜間</v>
      </c>
    </row>
    <row r="5401" spans="1:7" ht="16.149999999999999" x14ac:dyDescent="0.7">
      <c r="A5401" s="49">
        <v>44844.568585034722</v>
      </c>
      <c r="B5401" s="50" t="s">
        <v>15</v>
      </c>
      <c r="C5401" s="50" t="s">
        <v>550</v>
      </c>
      <c r="D5401" s="50" t="s">
        <v>263</v>
      </c>
      <c r="E5401" s="50">
        <v>-1</v>
      </c>
      <c r="F5401" s="51">
        <v>-0.92333877655463881</v>
      </c>
      <c r="G5401" s="51" t="str">
        <v>太良 2022/11/19 (土)
休日午前</v>
      </c>
    </row>
    <row r="5402" spans="1:7" ht="16.149999999999999" x14ac:dyDescent="0.7">
      <c r="A5402" s="49">
        <v>44844.568585034722</v>
      </c>
      <c r="B5402" s="50" t="s">
        <v>15</v>
      </c>
      <c r="C5402" s="50" t="s">
        <v>551</v>
      </c>
      <c r="D5402" s="50" t="s">
        <v>261</v>
      </c>
      <c r="E5402" s="50">
        <v>-1</v>
      </c>
      <c r="F5402" s="51">
        <v>-2.9653358073300495E-4</v>
      </c>
      <c r="G5402" s="51" t="str">
        <v>太良 2022/11/19 (土)
休日午後</v>
      </c>
    </row>
    <row r="5403" spans="1:7" ht="16.149999999999999" x14ac:dyDescent="0.7">
      <c r="A5403" s="49">
        <v>44844.568585034722</v>
      </c>
      <c r="B5403" s="50" t="s">
        <v>15</v>
      </c>
      <c r="C5403" s="50" t="s">
        <v>552</v>
      </c>
      <c r="D5403" s="50" t="s">
        <v>263</v>
      </c>
      <c r="E5403" s="50">
        <v>-1</v>
      </c>
      <c r="F5403" s="51">
        <v>-0.93405878698568068</v>
      </c>
      <c r="G5403" s="51" t="str">
        <v>太良 2022/11/20 (日)
休日午前</v>
      </c>
    </row>
    <row r="5404" spans="1:7" ht="16.149999999999999" x14ac:dyDescent="0.7">
      <c r="A5404" s="49">
        <v>44844.568585034722</v>
      </c>
      <c r="B5404" s="50" t="s">
        <v>15</v>
      </c>
      <c r="C5404" s="50" t="s">
        <v>553</v>
      </c>
      <c r="D5404" s="50" t="s">
        <v>261</v>
      </c>
      <c r="E5404" s="50">
        <v>-1</v>
      </c>
      <c r="F5404" s="51">
        <v>-0.90354180720878641</v>
      </c>
      <c r="G5404" s="51" t="str">
        <v>太良 2022/11/20 (日)
休日午後</v>
      </c>
    </row>
    <row r="5405" spans="1:7" ht="16.149999999999999" x14ac:dyDescent="0.7">
      <c r="A5405" s="49">
        <v>44844.568585034722</v>
      </c>
      <c r="B5405" s="50" t="s">
        <v>15</v>
      </c>
      <c r="C5405" s="50" t="s">
        <v>554</v>
      </c>
      <c r="D5405" s="50" t="s">
        <v>259</v>
      </c>
      <c r="E5405" s="50">
        <v>-1</v>
      </c>
      <c r="F5405" s="51">
        <v>-0.57378859571182561</v>
      </c>
      <c r="G5405" s="51" t="str">
        <v>太良 2022/11/21 (月)
平日夜間</v>
      </c>
    </row>
    <row r="5406" spans="1:7" ht="16.149999999999999" x14ac:dyDescent="0.7">
      <c r="A5406" s="49">
        <v>44844.568585034722</v>
      </c>
      <c r="B5406" s="50" t="s">
        <v>15</v>
      </c>
      <c r="C5406" s="50" t="s">
        <v>555</v>
      </c>
      <c r="D5406" s="50" t="s">
        <v>259</v>
      </c>
      <c r="E5406" s="50">
        <v>0</v>
      </c>
      <c r="F5406" s="51">
        <v>0.2621325509215886</v>
      </c>
      <c r="G5406" s="51" t="str">
        <v>太良 2022/11/22 (火)
平日夜間</v>
      </c>
    </row>
    <row r="5407" spans="1:7" ht="16.149999999999999" x14ac:dyDescent="0.7">
      <c r="A5407" s="49">
        <v>44844.568585034722</v>
      </c>
      <c r="B5407" s="50" t="s">
        <v>15</v>
      </c>
      <c r="C5407" s="50" t="s">
        <v>568</v>
      </c>
      <c r="D5407" s="50" t="s">
        <v>263</v>
      </c>
      <c r="E5407" s="50">
        <v>0</v>
      </c>
      <c r="F5407" s="51">
        <v>0.23682893191275101</v>
      </c>
      <c r="G5407" s="51" t="str">
        <v>太良 2022/11/23 (水)
休日午前</v>
      </c>
    </row>
    <row r="5408" spans="1:7" ht="16.149999999999999" x14ac:dyDescent="0.7">
      <c r="A5408" s="49">
        <v>44844.568585034722</v>
      </c>
      <c r="B5408" s="50" t="s">
        <v>15</v>
      </c>
      <c r="C5408" s="50" t="s">
        <v>569</v>
      </c>
      <c r="D5408" s="50" t="s">
        <v>261</v>
      </c>
      <c r="E5408" s="50">
        <v>0</v>
      </c>
      <c r="F5408" s="51">
        <v>0.76759788171825183</v>
      </c>
      <c r="G5408" s="51" t="str">
        <v>太良 2022/11/23 (水)
休日午後</v>
      </c>
    </row>
    <row r="5409" spans="1:7" ht="16.149999999999999" x14ac:dyDescent="0.7">
      <c r="A5409" s="49">
        <v>44844.568585034722</v>
      </c>
      <c r="B5409" s="50" t="s">
        <v>15</v>
      </c>
      <c r="C5409" s="50" t="s">
        <v>557</v>
      </c>
      <c r="D5409" s="50" t="s">
        <v>259</v>
      </c>
      <c r="E5409" s="50">
        <v>-1</v>
      </c>
      <c r="F5409" s="51">
        <v>-0.91588569541381548</v>
      </c>
      <c r="G5409" s="51" t="str">
        <v>太良 2022/11/24 (木)
平日夜間</v>
      </c>
    </row>
    <row r="5410" spans="1:7" ht="16.149999999999999" x14ac:dyDescent="0.7">
      <c r="A5410" s="49">
        <v>44844.568585034722</v>
      </c>
      <c r="B5410" s="50" t="s">
        <v>15</v>
      </c>
      <c r="C5410" s="50" t="s">
        <v>558</v>
      </c>
      <c r="D5410" s="50" t="s">
        <v>259</v>
      </c>
      <c r="E5410" s="50">
        <v>-1</v>
      </c>
      <c r="F5410" s="51">
        <v>-0.70761649505580881</v>
      </c>
      <c r="G5410" s="51" t="str">
        <v>太良 2022/11/25 (金)
平日夜間</v>
      </c>
    </row>
    <row r="5411" spans="1:7" ht="16.149999999999999" x14ac:dyDescent="0.7">
      <c r="A5411" s="49">
        <v>44844.568585034722</v>
      </c>
      <c r="B5411" s="50" t="s">
        <v>15</v>
      </c>
      <c r="C5411" s="50" t="s">
        <v>559</v>
      </c>
      <c r="D5411" s="50" t="s">
        <v>263</v>
      </c>
      <c r="E5411" s="50">
        <v>-1</v>
      </c>
      <c r="F5411" s="51">
        <v>-0.35137868236595704</v>
      </c>
      <c r="G5411" s="51" t="str">
        <v>太良 2022/11/26 (土)
休日午前</v>
      </c>
    </row>
    <row r="5412" spans="1:7" ht="16.149999999999999" x14ac:dyDescent="0.7">
      <c r="A5412" s="49">
        <v>44844.568585034722</v>
      </c>
      <c r="B5412" s="50" t="s">
        <v>15</v>
      </c>
      <c r="C5412" s="50" t="s">
        <v>560</v>
      </c>
      <c r="D5412" s="50" t="s">
        <v>261</v>
      </c>
      <c r="E5412" s="50">
        <v>0</v>
      </c>
      <c r="F5412" s="51">
        <v>7.0037753887912668E-3</v>
      </c>
      <c r="G5412" s="51" t="str">
        <v>太良 2022/11/26 (土)
休日午後</v>
      </c>
    </row>
    <row r="5413" spans="1:7" ht="16.149999999999999" x14ac:dyDescent="0.7">
      <c r="A5413" s="49">
        <v>44844.568585034722</v>
      </c>
      <c r="B5413" s="50" t="s">
        <v>15</v>
      </c>
      <c r="C5413" s="50" t="s">
        <v>561</v>
      </c>
      <c r="D5413" s="50" t="s">
        <v>263</v>
      </c>
      <c r="E5413" s="50">
        <v>0</v>
      </c>
      <c r="F5413" s="51">
        <v>0.21504873819464554</v>
      </c>
      <c r="G5413" s="51" t="str">
        <v>太良 2022/11/27 (日)
休日午前</v>
      </c>
    </row>
    <row r="5414" spans="1:7" ht="16.149999999999999" x14ac:dyDescent="0.7">
      <c r="A5414" s="49">
        <v>44844.568585034722</v>
      </c>
      <c r="B5414" s="50" t="s">
        <v>15</v>
      </c>
      <c r="C5414" s="50" t="s">
        <v>562</v>
      </c>
      <c r="D5414" s="50" t="s">
        <v>261</v>
      </c>
      <c r="E5414" s="50">
        <v>2</v>
      </c>
      <c r="F5414" s="51">
        <v>2.3783634109930123</v>
      </c>
      <c r="G5414" s="51" t="str">
        <v>太良 2022/11/27 (日)
休日午後</v>
      </c>
    </row>
    <row r="5415" spans="1:7" ht="16.149999999999999" x14ac:dyDescent="0.7">
      <c r="A5415" s="49">
        <v>44844.568585034722</v>
      </c>
      <c r="B5415" s="50" t="s">
        <v>15</v>
      </c>
      <c r="C5415" s="50" t="s">
        <v>563</v>
      </c>
      <c r="D5415" s="50" t="s">
        <v>259</v>
      </c>
      <c r="E5415" s="50">
        <v>-1</v>
      </c>
      <c r="F5415" s="51">
        <v>-8.5302979698575143E-2</v>
      </c>
      <c r="G5415" s="51" t="str">
        <v>太良 2022/11/28 (月)
平日夜間</v>
      </c>
    </row>
    <row r="5416" spans="1:7" ht="16.149999999999999" x14ac:dyDescent="0.7">
      <c r="A5416" s="49">
        <v>44844.568585034722</v>
      </c>
      <c r="B5416" s="50" t="s">
        <v>15</v>
      </c>
      <c r="C5416" s="50" t="s">
        <v>564</v>
      </c>
      <c r="D5416" s="50" t="s">
        <v>259</v>
      </c>
      <c r="E5416" s="50">
        <v>0</v>
      </c>
      <c r="F5416" s="51">
        <v>0.48202430529691354</v>
      </c>
      <c r="G5416" s="51" t="str">
        <v>太良 2022/11/29 (火)
平日夜間</v>
      </c>
    </row>
    <row r="5417" spans="1:7" ht="16.149999999999999" x14ac:dyDescent="0.7">
      <c r="A5417" s="49">
        <v>44844.568585034722</v>
      </c>
      <c r="B5417" s="50" t="s">
        <v>15</v>
      </c>
      <c r="C5417" s="50" t="s">
        <v>565</v>
      </c>
      <c r="D5417" s="50" t="s">
        <v>259</v>
      </c>
      <c r="E5417" s="50">
        <v>0</v>
      </c>
      <c r="F5417" s="51">
        <v>0.64649834707374709</v>
      </c>
      <c r="G5417" s="51" t="str">
        <v>太良 2022/11/30 (水)
平日夜間</v>
      </c>
    </row>
    <row r="5418" spans="1:7" ht="16.149999999999999" x14ac:dyDescent="0.7">
      <c r="A5418" s="49">
        <v>44844.585583391206</v>
      </c>
      <c r="B5418" s="50" t="s">
        <v>4</v>
      </c>
      <c r="C5418" s="50" t="s">
        <v>528</v>
      </c>
      <c r="D5418" s="50" t="s">
        <v>259</v>
      </c>
      <c r="E5418" s="50">
        <v>0</v>
      </c>
      <c r="F5418" s="51">
        <v>0.71987780905220022</v>
      </c>
      <c r="G5418" s="51" t="str">
        <v>井上 2022/11/01 (火)
平日夜間</v>
      </c>
    </row>
    <row r="5419" spans="1:7" ht="16.149999999999999" x14ac:dyDescent="0.7">
      <c r="A5419" s="49">
        <v>44844.585583391206</v>
      </c>
      <c r="B5419" s="50" t="s">
        <v>4</v>
      </c>
      <c r="C5419" s="50" t="s">
        <v>529</v>
      </c>
      <c r="D5419" s="50" t="s">
        <v>259</v>
      </c>
      <c r="E5419" s="50">
        <v>0</v>
      </c>
      <c r="F5419" s="51">
        <v>0.58285701624621544</v>
      </c>
      <c r="G5419" s="51" t="str">
        <v>井上 2022/11/02 (水)
平日夜間</v>
      </c>
    </row>
    <row r="5420" spans="1:7" ht="16.149999999999999" x14ac:dyDescent="0.7">
      <c r="A5420" s="49">
        <v>44844.585583391206</v>
      </c>
      <c r="B5420" s="50" t="s">
        <v>4</v>
      </c>
      <c r="C5420" s="50" t="s">
        <v>566</v>
      </c>
      <c r="D5420" s="50" t="s">
        <v>263</v>
      </c>
      <c r="E5420" s="50">
        <v>-1</v>
      </c>
      <c r="F5420" s="51">
        <v>-0.35300856415623394</v>
      </c>
      <c r="G5420" s="51" t="str">
        <v>井上 2022/11/03 (木)
休日午前</v>
      </c>
    </row>
    <row r="5421" spans="1:7" ht="16.149999999999999" x14ac:dyDescent="0.7">
      <c r="A5421" s="49">
        <v>44844.585583391206</v>
      </c>
      <c r="B5421" s="50" t="s">
        <v>4</v>
      </c>
      <c r="C5421" s="50" t="s">
        <v>567</v>
      </c>
      <c r="D5421" s="50" t="s">
        <v>261</v>
      </c>
      <c r="E5421" s="50">
        <v>-1</v>
      </c>
      <c r="F5421" s="51">
        <v>-0.28382712241700547</v>
      </c>
      <c r="G5421" s="51" t="str">
        <v>井上 2022/11/03 (木)
休日午後</v>
      </c>
    </row>
    <row r="5422" spans="1:7" ht="16.149999999999999" x14ac:dyDescent="0.7">
      <c r="A5422" s="49">
        <v>44844.585583391206</v>
      </c>
      <c r="B5422" s="50" t="s">
        <v>4</v>
      </c>
      <c r="C5422" s="50" t="s">
        <v>531</v>
      </c>
      <c r="D5422" s="50" t="s">
        <v>259</v>
      </c>
      <c r="E5422" s="50">
        <v>-1</v>
      </c>
      <c r="F5422" s="51">
        <v>-0.63486262431332952</v>
      </c>
      <c r="G5422" s="51" t="str">
        <v>井上 2022/11/04 (金)
平日夜間</v>
      </c>
    </row>
    <row r="5423" spans="1:7" ht="16.149999999999999" x14ac:dyDescent="0.7">
      <c r="A5423" s="49">
        <v>44844.585583391206</v>
      </c>
      <c r="B5423" s="50" t="s">
        <v>4</v>
      </c>
      <c r="C5423" s="50" t="s">
        <v>532</v>
      </c>
      <c r="D5423" s="50" t="s">
        <v>263</v>
      </c>
      <c r="E5423" s="50">
        <v>-1</v>
      </c>
      <c r="F5423" s="51">
        <v>-0.82389154693422673</v>
      </c>
      <c r="G5423" s="51" t="str">
        <v>井上 2022/11/05 (土)
休日午前</v>
      </c>
    </row>
    <row r="5424" spans="1:7" ht="16.149999999999999" x14ac:dyDescent="0.7">
      <c r="A5424" s="49">
        <v>44844.585583391206</v>
      </c>
      <c r="B5424" s="50" t="s">
        <v>4</v>
      </c>
      <c r="C5424" s="50" t="s">
        <v>533</v>
      </c>
      <c r="D5424" s="50" t="s">
        <v>261</v>
      </c>
      <c r="E5424" s="50">
        <v>-1</v>
      </c>
      <c r="F5424" s="51">
        <v>-0.93244941479119414</v>
      </c>
      <c r="G5424" s="51" t="str">
        <v>井上 2022/11/05 (土)
休日午後</v>
      </c>
    </row>
    <row r="5425" spans="1:7" ht="16.149999999999999" x14ac:dyDescent="0.7">
      <c r="A5425" s="49">
        <v>44844.585583391206</v>
      </c>
      <c r="B5425" s="50" t="s">
        <v>4</v>
      </c>
      <c r="C5425" s="50" t="s">
        <v>534</v>
      </c>
      <c r="D5425" s="50" t="s">
        <v>263</v>
      </c>
      <c r="E5425" s="50">
        <v>-1</v>
      </c>
      <c r="F5425" s="51">
        <v>-6.2953969584336633E-2</v>
      </c>
      <c r="G5425" s="51" t="str">
        <v>井上 2022/11/06 (日)
休日午前</v>
      </c>
    </row>
    <row r="5426" spans="1:7" ht="16.149999999999999" x14ac:dyDescent="0.7">
      <c r="A5426" s="49">
        <v>44844.585583391206</v>
      </c>
      <c r="B5426" s="50" t="s">
        <v>4</v>
      </c>
      <c r="C5426" s="50" t="s">
        <v>535</v>
      </c>
      <c r="D5426" s="50" t="s">
        <v>261</v>
      </c>
      <c r="E5426" s="50">
        <v>-1</v>
      </c>
      <c r="F5426" s="51">
        <v>-0.23072013525375845</v>
      </c>
      <c r="G5426" s="51" t="str">
        <v>井上 2022/11/06 (日)
休日午後</v>
      </c>
    </row>
    <row r="5427" spans="1:7" ht="16.149999999999999" x14ac:dyDescent="0.7">
      <c r="A5427" s="49">
        <v>44844.585583391206</v>
      </c>
      <c r="B5427" s="50" t="s">
        <v>4</v>
      </c>
      <c r="C5427" s="50" t="s">
        <v>536</v>
      </c>
      <c r="D5427" s="50" t="s">
        <v>259</v>
      </c>
      <c r="E5427" s="50">
        <v>-1</v>
      </c>
      <c r="F5427" s="51">
        <v>-0.36638527679088329</v>
      </c>
      <c r="G5427" s="51" t="str">
        <v>井上 2022/11/07 (月)
平日夜間</v>
      </c>
    </row>
    <row r="5428" spans="1:7" ht="16.149999999999999" x14ac:dyDescent="0.7">
      <c r="A5428" s="49">
        <v>44844.585583391206</v>
      </c>
      <c r="B5428" s="50" t="s">
        <v>4</v>
      </c>
      <c r="C5428" s="50" t="s">
        <v>537</v>
      </c>
      <c r="D5428" s="50" t="s">
        <v>259</v>
      </c>
      <c r="E5428" s="50">
        <v>0</v>
      </c>
      <c r="F5428" s="51">
        <v>0.74390385703621265</v>
      </c>
      <c r="G5428" s="51" t="str">
        <v>井上 2022/11/08 (火)
平日夜間</v>
      </c>
    </row>
    <row r="5429" spans="1:7" ht="16.149999999999999" x14ac:dyDescent="0.7">
      <c r="A5429" s="49">
        <v>44844.585583391206</v>
      </c>
      <c r="B5429" s="50" t="s">
        <v>4</v>
      </c>
      <c r="C5429" s="50" t="s">
        <v>538</v>
      </c>
      <c r="D5429" s="50" t="s">
        <v>259</v>
      </c>
      <c r="E5429" s="50">
        <v>0</v>
      </c>
      <c r="F5429" s="51">
        <v>0.35612300384313844</v>
      </c>
      <c r="G5429" s="51" t="str">
        <v>井上 2022/11/09 (水)
平日夜間</v>
      </c>
    </row>
    <row r="5430" spans="1:7" ht="16.149999999999999" x14ac:dyDescent="0.7">
      <c r="A5430" s="49">
        <v>44844.585583391206</v>
      </c>
      <c r="B5430" s="50" t="s">
        <v>4</v>
      </c>
      <c r="C5430" s="50" t="s">
        <v>539</v>
      </c>
      <c r="D5430" s="50" t="s">
        <v>259</v>
      </c>
      <c r="E5430" s="50">
        <v>0</v>
      </c>
      <c r="F5430" s="51">
        <v>0.43904585635691729</v>
      </c>
      <c r="G5430" s="51" t="str">
        <v>井上 2022/11/10 (木)
平日夜間</v>
      </c>
    </row>
    <row r="5431" spans="1:7" ht="16.149999999999999" x14ac:dyDescent="0.7">
      <c r="A5431" s="49">
        <v>44844.585583391206</v>
      </c>
      <c r="B5431" s="50" t="s">
        <v>4</v>
      </c>
      <c r="C5431" s="50" t="s">
        <v>540</v>
      </c>
      <c r="D5431" s="50" t="s">
        <v>259</v>
      </c>
      <c r="E5431" s="50">
        <v>0</v>
      </c>
      <c r="F5431" s="51">
        <v>0.49057702294122896</v>
      </c>
      <c r="G5431" s="51" t="str">
        <v>井上 2022/11/11 (金)
平日夜間</v>
      </c>
    </row>
    <row r="5432" spans="1:7" ht="16.149999999999999" x14ac:dyDescent="0.7">
      <c r="A5432" s="49">
        <v>44844.585583391206</v>
      </c>
      <c r="B5432" s="50" t="s">
        <v>4</v>
      </c>
      <c r="C5432" s="50" t="s">
        <v>541</v>
      </c>
      <c r="D5432" s="50" t="s">
        <v>263</v>
      </c>
      <c r="E5432" s="50">
        <v>0</v>
      </c>
      <c r="F5432" s="51">
        <v>0.87115118789551182</v>
      </c>
      <c r="G5432" s="51" t="str">
        <v>井上 2022/11/12 (土)
休日午前</v>
      </c>
    </row>
    <row r="5433" spans="1:7" ht="16.149999999999999" x14ac:dyDescent="0.7">
      <c r="A5433" s="49">
        <v>44844.585583391206</v>
      </c>
      <c r="B5433" s="50" t="s">
        <v>4</v>
      </c>
      <c r="C5433" s="50" t="s">
        <v>542</v>
      </c>
      <c r="D5433" s="50" t="s">
        <v>261</v>
      </c>
      <c r="E5433" s="50">
        <v>-1</v>
      </c>
      <c r="F5433" s="51">
        <v>-0.79176025471891376</v>
      </c>
      <c r="G5433" s="51" t="str">
        <v>井上 2022/11/12 (土)
休日午後</v>
      </c>
    </row>
    <row r="5434" spans="1:7" ht="16.149999999999999" x14ac:dyDescent="0.7">
      <c r="A5434" s="49">
        <v>44844.585583391206</v>
      </c>
      <c r="B5434" s="50" t="s">
        <v>4</v>
      </c>
      <c r="C5434" s="50" t="s">
        <v>543</v>
      </c>
      <c r="D5434" s="50" t="s">
        <v>263</v>
      </c>
      <c r="E5434" s="50">
        <v>-1</v>
      </c>
      <c r="F5434" s="51">
        <v>-6.3520428750694746E-2</v>
      </c>
      <c r="G5434" s="51" t="str">
        <v>井上 2022/11/13 (日)
休日午前</v>
      </c>
    </row>
    <row r="5435" spans="1:7" ht="16.149999999999999" x14ac:dyDescent="0.7">
      <c r="A5435" s="49">
        <v>44844.585583391206</v>
      </c>
      <c r="B5435" s="50" t="s">
        <v>4</v>
      </c>
      <c r="C5435" s="50" t="s">
        <v>544</v>
      </c>
      <c r="D5435" s="50" t="s">
        <v>261</v>
      </c>
      <c r="E5435" s="50">
        <v>-1</v>
      </c>
      <c r="F5435" s="51">
        <v>-0.74259262015575223</v>
      </c>
      <c r="G5435" s="51" t="str">
        <v>井上 2022/11/13 (日)
休日午後</v>
      </c>
    </row>
    <row r="5436" spans="1:7" ht="16.149999999999999" x14ac:dyDescent="0.7">
      <c r="A5436" s="49">
        <v>44844.585583391206</v>
      </c>
      <c r="B5436" s="50" t="s">
        <v>4</v>
      </c>
      <c r="C5436" s="50" t="s">
        <v>545</v>
      </c>
      <c r="D5436" s="50" t="s">
        <v>259</v>
      </c>
      <c r="E5436" s="50">
        <v>-1</v>
      </c>
      <c r="F5436" s="51">
        <v>-0.16346723190685752</v>
      </c>
      <c r="G5436" s="51" t="str">
        <v>井上 2022/11/14 (月)
平日夜間</v>
      </c>
    </row>
    <row r="5437" spans="1:7" ht="16.149999999999999" x14ac:dyDescent="0.7">
      <c r="A5437" s="49">
        <v>44844.585583391206</v>
      </c>
      <c r="B5437" s="50" t="s">
        <v>4</v>
      </c>
      <c r="C5437" s="50" t="s">
        <v>546</v>
      </c>
      <c r="D5437" s="50" t="s">
        <v>259</v>
      </c>
      <c r="E5437" s="50">
        <v>0</v>
      </c>
      <c r="F5437" s="51">
        <v>0.1621716908524562</v>
      </c>
      <c r="G5437" s="51" t="str">
        <v>井上 2022/11/15 (火)
平日夜間</v>
      </c>
    </row>
    <row r="5438" spans="1:7" ht="16.149999999999999" x14ac:dyDescent="0.7">
      <c r="A5438" s="49">
        <v>44844.585583391206</v>
      </c>
      <c r="B5438" s="50" t="s">
        <v>4</v>
      </c>
      <c r="C5438" s="50" t="s">
        <v>547</v>
      </c>
      <c r="D5438" s="50" t="s">
        <v>259</v>
      </c>
      <c r="E5438" s="50">
        <v>0</v>
      </c>
      <c r="F5438" s="51">
        <v>0.72106686570031431</v>
      </c>
      <c r="G5438" s="51" t="str">
        <v>井上 2022/11/16 (水)
平日夜間</v>
      </c>
    </row>
    <row r="5439" spans="1:7" ht="16.149999999999999" x14ac:dyDescent="0.7">
      <c r="A5439" s="49">
        <v>44844.585583391206</v>
      </c>
      <c r="B5439" s="50" t="s">
        <v>4</v>
      </c>
      <c r="C5439" s="50" t="s">
        <v>548</v>
      </c>
      <c r="D5439" s="50" t="s">
        <v>259</v>
      </c>
      <c r="E5439" s="50">
        <v>-1</v>
      </c>
      <c r="F5439" s="51">
        <v>-0.8423544497764075</v>
      </c>
      <c r="G5439" s="51" t="str">
        <v>井上 2022/11/17 (木)
平日夜間</v>
      </c>
    </row>
    <row r="5440" spans="1:7" ht="16.149999999999999" x14ac:dyDescent="0.7">
      <c r="A5440" s="49">
        <v>44844.585583391206</v>
      </c>
      <c r="B5440" s="50" t="s">
        <v>4</v>
      </c>
      <c r="C5440" s="50" t="s">
        <v>549</v>
      </c>
      <c r="D5440" s="50" t="s">
        <v>259</v>
      </c>
      <c r="E5440" s="50">
        <v>-1</v>
      </c>
      <c r="F5440" s="51">
        <v>-0.60949886439804546</v>
      </c>
      <c r="G5440" s="51" t="str">
        <v>井上 2022/11/18 (金)
平日夜間</v>
      </c>
    </row>
    <row r="5441" spans="1:7" ht="16.149999999999999" x14ac:dyDescent="0.7">
      <c r="A5441" s="49">
        <v>44844.585583391206</v>
      </c>
      <c r="B5441" s="50" t="s">
        <v>4</v>
      </c>
      <c r="C5441" s="50" t="s">
        <v>550</v>
      </c>
      <c r="D5441" s="50" t="s">
        <v>263</v>
      </c>
      <c r="E5441" s="50">
        <v>-1</v>
      </c>
      <c r="F5441" s="51">
        <v>-0.40622427143330975</v>
      </c>
      <c r="G5441" s="51" t="str">
        <v>井上 2022/11/19 (土)
休日午前</v>
      </c>
    </row>
    <row r="5442" spans="1:7" ht="16.149999999999999" x14ac:dyDescent="0.7">
      <c r="A5442" s="49">
        <v>44844.585583391206</v>
      </c>
      <c r="B5442" s="50" t="s">
        <v>4</v>
      </c>
      <c r="C5442" s="50" t="s">
        <v>551</v>
      </c>
      <c r="D5442" s="50" t="s">
        <v>261</v>
      </c>
      <c r="E5442" s="50">
        <v>-1</v>
      </c>
      <c r="F5442" s="51">
        <v>-0.94991362507375898</v>
      </c>
      <c r="G5442" s="51" t="str">
        <v>井上 2022/11/19 (土)
休日午後</v>
      </c>
    </row>
    <row r="5443" spans="1:7" ht="16.149999999999999" x14ac:dyDescent="0.7">
      <c r="A5443" s="49">
        <v>44844.585583391206</v>
      </c>
      <c r="B5443" s="50" t="s">
        <v>4</v>
      </c>
      <c r="C5443" s="50" t="s">
        <v>552</v>
      </c>
      <c r="D5443" s="50" t="s">
        <v>263</v>
      </c>
      <c r="E5443" s="50">
        <v>-1</v>
      </c>
      <c r="F5443" s="51">
        <v>-0.11832720534790453</v>
      </c>
      <c r="G5443" s="51" t="str">
        <v>井上 2022/11/20 (日)
休日午前</v>
      </c>
    </row>
    <row r="5444" spans="1:7" ht="16.149999999999999" x14ac:dyDescent="0.7">
      <c r="A5444" s="49">
        <v>44844.585583391206</v>
      </c>
      <c r="B5444" s="50" t="s">
        <v>4</v>
      </c>
      <c r="C5444" s="50" t="s">
        <v>553</v>
      </c>
      <c r="D5444" s="50" t="s">
        <v>261</v>
      </c>
      <c r="E5444" s="50">
        <v>-1</v>
      </c>
      <c r="F5444" s="51">
        <v>-0.56214718639908279</v>
      </c>
      <c r="G5444" s="51" t="str">
        <v>井上 2022/11/20 (日)
休日午後</v>
      </c>
    </row>
    <row r="5445" spans="1:7" ht="16.149999999999999" x14ac:dyDescent="0.7">
      <c r="A5445" s="49">
        <v>44844.585583391206</v>
      </c>
      <c r="B5445" s="50" t="s">
        <v>4</v>
      </c>
      <c r="C5445" s="50" t="s">
        <v>554</v>
      </c>
      <c r="D5445" s="50" t="s">
        <v>259</v>
      </c>
      <c r="E5445" s="50">
        <v>-1</v>
      </c>
      <c r="F5445" s="51">
        <v>-0.53779686617615985</v>
      </c>
      <c r="G5445" s="51" t="str">
        <v>井上 2022/11/21 (月)
平日夜間</v>
      </c>
    </row>
    <row r="5446" spans="1:7" ht="16.149999999999999" x14ac:dyDescent="0.7">
      <c r="A5446" s="49">
        <v>44844.585583391206</v>
      </c>
      <c r="B5446" s="50" t="s">
        <v>4</v>
      </c>
      <c r="C5446" s="50" t="s">
        <v>555</v>
      </c>
      <c r="D5446" s="50" t="s">
        <v>259</v>
      </c>
      <c r="E5446" s="50">
        <v>-1</v>
      </c>
      <c r="F5446" s="51">
        <v>-0.49862318945845097</v>
      </c>
      <c r="G5446" s="51" t="str">
        <v>井上 2022/11/22 (火)
平日夜間</v>
      </c>
    </row>
    <row r="5447" spans="1:7" ht="16.149999999999999" x14ac:dyDescent="0.7">
      <c r="A5447" s="49">
        <v>44844.585583391206</v>
      </c>
      <c r="B5447" s="50" t="s">
        <v>4</v>
      </c>
      <c r="C5447" s="50" t="s">
        <v>568</v>
      </c>
      <c r="D5447" s="50" t="s">
        <v>263</v>
      </c>
      <c r="E5447" s="50">
        <v>-1</v>
      </c>
      <c r="F5447" s="51">
        <v>-0.69799891334104869</v>
      </c>
      <c r="G5447" s="51" t="str">
        <v>井上 2022/11/23 (水)
休日午前</v>
      </c>
    </row>
    <row r="5448" spans="1:7" ht="16.149999999999999" x14ac:dyDescent="0.7">
      <c r="A5448" s="49">
        <v>44844.585583391206</v>
      </c>
      <c r="B5448" s="50" t="s">
        <v>4</v>
      </c>
      <c r="C5448" s="50" t="s">
        <v>569</v>
      </c>
      <c r="D5448" s="50" t="s">
        <v>261</v>
      </c>
      <c r="E5448" s="50">
        <v>-1</v>
      </c>
      <c r="F5448" s="51">
        <v>-9.8354557631746165E-2</v>
      </c>
      <c r="G5448" s="51" t="str">
        <v>井上 2022/11/23 (水)
休日午後</v>
      </c>
    </row>
    <row r="5449" spans="1:7" ht="16.149999999999999" x14ac:dyDescent="0.7">
      <c r="A5449" s="49">
        <v>44844.585583391206</v>
      </c>
      <c r="B5449" s="50" t="s">
        <v>4</v>
      </c>
      <c r="C5449" s="50" t="s">
        <v>557</v>
      </c>
      <c r="D5449" s="50" t="s">
        <v>259</v>
      </c>
      <c r="E5449" s="50">
        <v>-1</v>
      </c>
      <c r="F5449" s="51">
        <v>-0.15570098732426496</v>
      </c>
      <c r="G5449" s="51" t="str">
        <v>井上 2022/11/24 (木)
平日夜間</v>
      </c>
    </row>
    <row r="5450" spans="1:7" ht="16.149999999999999" x14ac:dyDescent="0.7">
      <c r="A5450" s="49">
        <v>44844.585583391206</v>
      </c>
      <c r="B5450" s="50" t="s">
        <v>4</v>
      </c>
      <c r="C5450" s="50" t="s">
        <v>558</v>
      </c>
      <c r="D5450" s="50" t="s">
        <v>259</v>
      </c>
      <c r="E5450" s="50">
        <v>0</v>
      </c>
      <c r="F5450" s="51">
        <v>0.93625519488650144</v>
      </c>
      <c r="G5450" s="51" t="str">
        <v>井上 2022/11/25 (金)
平日夜間</v>
      </c>
    </row>
    <row r="5451" spans="1:7" ht="16.149999999999999" x14ac:dyDescent="0.7">
      <c r="A5451" s="49">
        <v>44844.585583391206</v>
      </c>
      <c r="B5451" s="50" t="s">
        <v>4</v>
      </c>
      <c r="C5451" s="50" t="s">
        <v>559</v>
      </c>
      <c r="D5451" s="50" t="s">
        <v>263</v>
      </c>
      <c r="E5451" s="50">
        <v>0</v>
      </c>
      <c r="F5451" s="51">
        <v>0.97916755692713142</v>
      </c>
      <c r="G5451" s="51" t="str">
        <v>井上 2022/11/26 (土)
休日午前</v>
      </c>
    </row>
    <row r="5452" spans="1:7" ht="16.149999999999999" x14ac:dyDescent="0.7">
      <c r="A5452" s="49">
        <v>44844.585583391206</v>
      </c>
      <c r="B5452" s="50" t="s">
        <v>4</v>
      </c>
      <c r="C5452" s="50" t="s">
        <v>560</v>
      </c>
      <c r="D5452" s="50" t="s">
        <v>261</v>
      </c>
      <c r="E5452" s="50">
        <v>0</v>
      </c>
      <c r="F5452" s="51">
        <v>0.9658803801416358</v>
      </c>
      <c r="G5452" s="51" t="str">
        <v>井上 2022/11/26 (土)
休日午後</v>
      </c>
    </row>
    <row r="5453" spans="1:7" ht="16.149999999999999" x14ac:dyDescent="0.7">
      <c r="A5453" s="49">
        <v>44844.585583391206</v>
      </c>
      <c r="B5453" s="50" t="s">
        <v>4</v>
      </c>
      <c r="C5453" s="50" t="s">
        <v>561</v>
      </c>
      <c r="D5453" s="50" t="s">
        <v>263</v>
      </c>
      <c r="E5453" s="50">
        <v>0</v>
      </c>
      <c r="F5453" s="51">
        <v>0.48595505280329432</v>
      </c>
      <c r="G5453" s="51" t="str">
        <v>井上 2022/11/27 (日)
休日午前</v>
      </c>
    </row>
    <row r="5454" spans="1:7" ht="16.149999999999999" x14ac:dyDescent="0.7">
      <c r="A5454" s="49">
        <v>44844.585583391206</v>
      </c>
      <c r="B5454" s="50" t="s">
        <v>4</v>
      </c>
      <c r="C5454" s="50" t="s">
        <v>562</v>
      </c>
      <c r="D5454" s="50" t="s">
        <v>261</v>
      </c>
      <c r="E5454" s="50">
        <v>-1</v>
      </c>
      <c r="F5454" s="51">
        <v>-0.15046556928575661</v>
      </c>
      <c r="G5454" s="51" t="str">
        <v>井上 2022/11/27 (日)
休日午後</v>
      </c>
    </row>
    <row r="5455" spans="1:7" ht="16.149999999999999" x14ac:dyDescent="0.7">
      <c r="A5455" s="49">
        <v>44844.585583391206</v>
      </c>
      <c r="B5455" s="50" t="s">
        <v>4</v>
      </c>
      <c r="C5455" s="50" t="s">
        <v>563</v>
      </c>
      <c r="D5455" s="50" t="s">
        <v>259</v>
      </c>
      <c r="E5455" s="50">
        <v>0</v>
      </c>
      <c r="F5455" s="51">
        <v>0.4959560464670949</v>
      </c>
      <c r="G5455" s="51" t="str">
        <v>井上 2022/11/28 (月)
平日夜間</v>
      </c>
    </row>
    <row r="5456" spans="1:7" ht="16.149999999999999" x14ac:dyDescent="0.7">
      <c r="A5456" s="49">
        <v>44844.585583391206</v>
      </c>
      <c r="B5456" s="50" t="s">
        <v>4</v>
      </c>
      <c r="C5456" s="50" t="s">
        <v>564</v>
      </c>
      <c r="D5456" s="50" t="s">
        <v>259</v>
      </c>
      <c r="E5456" s="50">
        <v>0</v>
      </c>
      <c r="F5456" s="51">
        <v>0.73428441419614598</v>
      </c>
      <c r="G5456" s="51" t="str">
        <v>井上 2022/11/29 (火)
平日夜間</v>
      </c>
    </row>
    <row r="5457" spans="1:7" ht="16.149999999999999" x14ac:dyDescent="0.7">
      <c r="A5457" s="49">
        <v>44844.585583391206</v>
      </c>
      <c r="B5457" s="50" t="s">
        <v>4</v>
      </c>
      <c r="C5457" s="50" t="s">
        <v>565</v>
      </c>
      <c r="D5457" s="50" t="s">
        <v>259</v>
      </c>
      <c r="E5457" s="50">
        <v>0</v>
      </c>
      <c r="F5457" s="51">
        <v>0.46902641519879995</v>
      </c>
      <c r="G5457" s="51" t="str">
        <v>井上 2022/11/30 (水)
平日夜間</v>
      </c>
    </row>
    <row r="5458" spans="1:7" ht="16.149999999999999" x14ac:dyDescent="0.7">
      <c r="A5458" s="49">
        <v>44844.615134537038</v>
      </c>
      <c r="B5458" s="50" t="s">
        <v>7</v>
      </c>
      <c r="C5458" s="50" t="s">
        <v>528</v>
      </c>
      <c r="D5458" s="50" t="s">
        <v>259</v>
      </c>
      <c r="E5458" s="50">
        <v>-1</v>
      </c>
      <c r="F5458" s="51">
        <v>-0.76463560751707238</v>
      </c>
      <c r="G5458" s="51" t="str">
        <v>竹藤 2022/11/01 (火)
平日夜間</v>
      </c>
    </row>
    <row r="5459" spans="1:7" ht="16.149999999999999" x14ac:dyDescent="0.7">
      <c r="A5459" s="49">
        <v>44844.615134537038</v>
      </c>
      <c r="B5459" s="50" t="s">
        <v>7</v>
      </c>
      <c r="C5459" s="50" t="s">
        <v>529</v>
      </c>
      <c r="D5459" s="50" t="s">
        <v>259</v>
      </c>
      <c r="E5459" s="50">
        <v>0</v>
      </c>
      <c r="F5459" s="51">
        <v>0.55270775705646691</v>
      </c>
      <c r="G5459" s="51" t="str">
        <v>竹藤 2022/11/02 (水)
平日夜間</v>
      </c>
    </row>
    <row r="5460" spans="1:7" ht="16.149999999999999" x14ac:dyDescent="0.7">
      <c r="A5460" s="49">
        <v>44844.615134537038</v>
      </c>
      <c r="B5460" s="50" t="s">
        <v>7</v>
      </c>
      <c r="C5460" s="50" t="s">
        <v>566</v>
      </c>
      <c r="D5460" s="50" t="s">
        <v>263</v>
      </c>
      <c r="E5460" s="50">
        <v>0</v>
      </c>
      <c r="F5460" s="51">
        <v>0.46438023814574403</v>
      </c>
      <c r="G5460" s="51" t="str">
        <v>竹藤 2022/11/03 (木)
休日午前</v>
      </c>
    </row>
    <row r="5461" spans="1:7" ht="16.149999999999999" x14ac:dyDescent="0.7">
      <c r="A5461" s="49">
        <v>44844.615134537038</v>
      </c>
      <c r="B5461" s="50" t="s">
        <v>7</v>
      </c>
      <c r="C5461" s="50" t="s">
        <v>567</v>
      </c>
      <c r="D5461" s="50" t="s">
        <v>261</v>
      </c>
      <c r="E5461" s="50">
        <v>0</v>
      </c>
      <c r="F5461" s="51">
        <v>0.78591563677474108</v>
      </c>
      <c r="G5461" s="51" t="str">
        <v>竹藤 2022/11/03 (木)
休日午後</v>
      </c>
    </row>
    <row r="5462" spans="1:7" ht="16.149999999999999" x14ac:dyDescent="0.7">
      <c r="A5462" s="49">
        <v>44844.615134537038</v>
      </c>
      <c r="B5462" s="50" t="s">
        <v>7</v>
      </c>
      <c r="C5462" s="50" t="s">
        <v>531</v>
      </c>
      <c r="D5462" s="50" t="s">
        <v>259</v>
      </c>
      <c r="E5462" s="50">
        <v>0</v>
      </c>
      <c r="F5462" s="51">
        <v>0.82019083861089048</v>
      </c>
      <c r="G5462" s="51" t="str">
        <v>竹藤 2022/11/04 (金)
平日夜間</v>
      </c>
    </row>
    <row r="5463" spans="1:7" ht="16.149999999999999" x14ac:dyDescent="0.7">
      <c r="A5463" s="49">
        <v>44844.615134537038</v>
      </c>
      <c r="B5463" s="50" t="s">
        <v>7</v>
      </c>
      <c r="C5463" s="50" t="s">
        <v>532</v>
      </c>
      <c r="D5463" s="50" t="s">
        <v>263</v>
      </c>
      <c r="E5463" s="50">
        <v>0</v>
      </c>
      <c r="F5463" s="51">
        <v>0.93427764991997009</v>
      </c>
      <c r="G5463" s="51" t="str">
        <v>竹藤 2022/11/05 (土)
休日午前</v>
      </c>
    </row>
    <row r="5464" spans="1:7" ht="16.149999999999999" x14ac:dyDescent="0.7">
      <c r="A5464" s="49">
        <v>44844.615134537038</v>
      </c>
      <c r="B5464" s="50" t="s">
        <v>7</v>
      </c>
      <c r="C5464" s="50" t="s">
        <v>533</v>
      </c>
      <c r="D5464" s="50" t="s">
        <v>261</v>
      </c>
      <c r="E5464" s="50">
        <v>0</v>
      </c>
      <c r="F5464" s="51">
        <v>0.63581605072271929</v>
      </c>
      <c r="G5464" s="51" t="str">
        <v>竹藤 2022/11/05 (土)
休日午後</v>
      </c>
    </row>
    <row r="5465" spans="1:7" ht="16.149999999999999" x14ac:dyDescent="0.7">
      <c r="A5465" s="49">
        <v>44844.615134537038</v>
      </c>
      <c r="B5465" s="50" t="s">
        <v>7</v>
      </c>
      <c r="C5465" s="50" t="s">
        <v>534</v>
      </c>
      <c r="D5465" s="50" t="s">
        <v>263</v>
      </c>
      <c r="E5465" s="50">
        <v>0</v>
      </c>
      <c r="F5465" s="51">
        <v>0.48652603542149397</v>
      </c>
      <c r="G5465" s="51" t="str">
        <v>竹藤 2022/11/06 (日)
休日午前</v>
      </c>
    </row>
    <row r="5466" spans="1:7" ht="16.149999999999999" x14ac:dyDescent="0.7">
      <c r="A5466" s="49">
        <v>44844.615134537038</v>
      </c>
      <c r="B5466" s="50" t="s">
        <v>7</v>
      </c>
      <c r="C5466" s="50" t="s">
        <v>535</v>
      </c>
      <c r="D5466" s="50" t="s">
        <v>261</v>
      </c>
      <c r="E5466" s="50">
        <v>0</v>
      </c>
      <c r="F5466" s="51">
        <v>0.79703141108984887</v>
      </c>
      <c r="G5466" s="51" t="str">
        <v>竹藤 2022/11/06 (日)
休日午後</v>
      </c>
    </row>
    <row r="5467" spans="1:7" ht="16.149999999999999" x14ac:dyDescent="0.7">
      <c r="A5467" s="49">
        <v>44844.615134537038</v>
      </c>
      <c r="B5467" s="50" t="s">
        <v>7</v>
      </c>
      <c r="C5467" s="50" t="s">
        <v>536</v>
      </c>
      <c r="D5467" s="50" t="s">
        <v>259</v>
      </c>
      <c r="E5467" s="50">
        <v>2</v>
      </c>
      <c r="F5467" s="51">
        <v>2.4697340469694895</v>
      </c>
      <c r="G5467" s="51" t="str">
        <v>竹藤 2022/11/07 (月)
平日夜間</v>
      </c>
    </row>
    <row r="5468" spans="1:7" ht="16.149999999999999" x14ac:dyDescent="0.7">
      <c r="A5468" s="49">
        <v>44844.615134537038</v>
      </c>
      <c r="B5468" s="50" t="s">
        <v>7</v>
      </c>
      <c r="C5468" s="50" t="s">
        <v>537</v>
      </c>
      <c r="D5468" s="50" t="s">
        <v>259</v>
      </c>
      <c r="E5468" s="50">
        <v>-1</v>
      </c>
      <c r="F5468" s="51">
        <v>-0.38101444661207151</v>
      </c>
      <c r="G5468" s="51" t="str">
        <v>竹藤 2022/11/08 (火)
平日夜間</v>
      </c>
    </row>
    <row r="5469" spans="1:7" ht="16.149999999999999" x14ac:dyDescent="0.7">
      <c r="A5469" s="49">
        <v>44844.615134537038</v>
      </c>
      <c r="B5469" s="50" t="s">
        <v>7</v>
      </c>
      <c r="C5469" s="50" t="s">
        <v>538</v>
      </c>
      <c r="D5469" s="50" t="s">
        <v>259</v>
      </c>
      <c r="E5469" s="50">
        <v>0</v>
      </c>
      <c r="F5469" s="51">
        <v>0.81900694576262767</v>
      </c>
      <c r="G5469" s="51" t="str">
        <v>竹藤 2022/11/09 (水)
平日夜間</v>
      </c>
    </row>
    <row r="5470" spans="1:7" ht="16.149999999999999" x14ac:dyDescent="0.7">
      <c r="A5470" s="49">
        <v>44844.615134537038</v>
      </c>
      <c r="B5470" s="50" t="s">
        <v>7</v>
      </c>
      <c r="C5470" s="50" t="s">
        <v>539</v>
      </c>
      <c r="D5470" s="50" t="s">
        <v>259</v>
      </c>
      <c r="E5470" s="50">
        <v>0</v>
      </c>
      <c r="F5470" s="51">
        <v>1.1328613956603339E-2</v>
      </c>
      <c r="G5470" s="51" t="str">
        <v>竹藤 2022/11/10 (木)
平日夜間</v>
      </c>
    </row>
    <row r="5471" spans="1:7" ht="16.149999999999999" x14ac:dyDescent="0.7">
      <c r="A5471" s="49">
        <v>44844.615134537038</v>
      </c>
      <c r="B5471" s="50" t="s">
        <v>7</v>
      </c>
      <c r="C5471" s="50" t="s">
        <v>540</v>
      </c>
      <c r="D5471" s="50" t="s">
        <v>259</v>
      </c>
      <c r="E5471" s="50">
        <v>0</v>
      </c>
      <c r="F5471" s="51">
        <v>0.11049518688581927</v>
      </c>
      <c r="G5471" s="51" t="str">
        <v>竹藤 2022/11/11 (金)
平日夜間</v>
      </c>
    </row>
    <row r="5472" spans="1:7" ht="16.149999999999999" x14ac:dyDescent="0.7">
      <c r="A5472" s="49">
        <v>44844.615134537038</v>
      </c>
      <c r="B5472" s="50" t="s">
        <v>7</v>
      </c>
      <c r="C5472" s="50" t="s">
        <v>541</v>
      </c>
      <c r="D5472" s="50" t="s">
        <v>263</v>
      </c>
      <c r="E5472" s="50">
        <v>-1</v>
      </c>
      <c r="F5472" s="51">
        <v>-8.049762724196996E-2</v>
      </c>
      <c r="G5472" s="51" t="str">
        <v>竹藤 2022/11/12 (土)
休日午前</v>
      </c>
    </row>
    <row r="5473" spans="1:7" ht="16.149999999999999" x14ac:dyDescent="0.7">
      <c r="A5473" s="49">
        <v>44844.615134537038</v>
      </c>
      <c r="B5473" s="50" t="s">
        <v>7</v>
      </c>
      <c r="C5473" s="50" t="s">
        <v>542</v>
      </c>
      <c r="D5473" s="50" t="s">
        <v>261</v>
      </c>
      <c r="E5473" s="50">
        <v>-1</v>
      </c>
      <c r="F5473" s="51">
        <v>-0.44652730477184011</v>
      </c>
      <c r="G5473" s="51" t="str">
        <v>竹藤 2022/11/12 (土)
休日午後</v>
      </c>
    </row>
    <row r="5474" spans="1:7" ht="16.149999999999999" x14ac:dyDescent="0.7">
      <c r="A5474" s="49">
        <v>44844.615134537038</v>
      </c>
      <c r="B5474" s="50" t="s">
        <v>7</v>
      </c>
      <c r="C5474" s="50" t="s">
        <v>543</v>
      </c>
      <c r="D5474" s="50" t="s">
        <v>263</v>
      </c>
      <c r="E5474" s="50">
        <v>-1</v>
      </c>
      <c r="F5474" s="51">
        <v>-0.13018504135674558</v>
      </c>
      <c r="G5474" s="51" t="str">
        <v>竹藤 2022/11/13 (日)
休日午前</v>
      </c>
    </row>
    <row r="5475" spans="1:7" ht="16.149999999999999" x14ac:dyDescent="0.7">
      <c r="A5475" s="49">
        <v>44844.615134537038</v>
      </c>
      <c r="B5475" s="50" t="s">
        <v>7</v>
      </c>
      <c r="C5475" s="50" t="s">
        <v>544</v>
      </c>
      <c r="D5475" s="50" t="s">
        <v>261</v>
      </c>
      <c r="E5475" s="50">
        <v>-1</v>
      </c>
      <c r="F5475" s="51">
        <v>-0.17070561306746024</v>
      </c>
      <c r="G5475" s="51" t="str">
        <v>竹藤 2022/11/13 (日)
休日午後</v>
      </c>
    </row>
    <row r="5476" spans="1:7" ht="16.149999999999999" x14ac:dyDescent="0.7">
      <c r="A5476" s="49">
        <v>44844.615134537038</v>
      </c>
      <c r="B5476" s="50" t="s">
        <v>7</v>
      </c>
      <c r="C5476" s="50" t="s">
        <v>545</v>
      </c>
      <c r="D5476" s="50" t="s">
        <v>259</v>
      </c>
      <c r="E5476" s="50">
        <v>0</v>
      </c>
      <c r="F5476" s="51">
        <v>0.79791578959818343</v>
      </c>
      <c r="G5476" s="51" t="str">
        <v>竹藤 2022/11/14 (月)
平日夜間</v>
      </c>
    </row>
    <row r="5477" spans="1:7" ht="16.149999999999999" x14ac:dyDescent="0.7">
      <c r="A5477" s="49">
        <v>44844.615134537038</v>
      </c>
      <c r="B5477" s="50" t="s">
        <v>7</v>
      </c>
      <c r="C5477" s="50" t="s">
        <v>546</v>
      </c>
      <c r="D5477" s="50" t="s">
        <v>259</v>
      </c>
      <c r="E5477" s="50">
        <v>-1</v>
      </c>
      <c r="F5477" s="51">
        <v>-0.69414838111549604</v>
      </c>
      <c r="G5477" s="51" t="str">
        <v>竹藤 2022/11/15 (火)
平日夜間</v>
      </c>
    </row>
    <row r="5478" spans="1:7" ht="16.149999999999999" x14ac:dyDescent="0.7">
      <c r="A5478" s="49">
        <v>44844.615134537038</v>
      </c>
      <c r="B5478" s="50" t="s">
        <v>7</v>
      </c>
      <c r="C5478" s="50" t="s">
        <v>547</v>
      </c>
      <c r="D5478" s="50" t="s">
        <v>259</v>
      </c>
      <c r="E5478" s="50">
        <v>2</v>
      </c>
      <c r="F5478" s="51">
        <v>2.6768346053089997</v>
      </c>
      <c r="G5478" s="51" t="str">
        <v>竹藤 2022/11/16 (水)
平日夜間</v>
      </c>
    </row>
    <row r="5479" spans="1:7" ht="16.149999999999999" x14ac:dyDescent="0.7">
      <c r="A5479" s="49">
        <v>44844.615134537038</v>
      </c>
      <c r="B5479" s="50" t="s">
        <v>7</v>
      </c>
      <c r="C5479" s="50" t="s">
        <v>548</v>
      </c>
      <c r="D5479" s="50" t="s">
        <v>259</v>
      </c>
      <c r="E5479" s="50">
        <v>-1</v>
      </c>
      <c r="F5479" s="51">
        <v>-0.70659045498575757</v>
      </c>
      <c r="G5479" s="51" t="str">
        <v>竹藤 2022/11/17 (木)
平日夜間</v>
      </c>
    </row>
    <row r="5480" spans="1:7" ht="16.149999999999999" x14ac:dyDescent="0.7">
      <c r="A5480" s="49">
        <v>44844.615134537038</v>
      </c>
      <c r="B5480" s="50" t="s">
        <v>7</v>
      </c>
      <c r="C5480" s="50" t="s">
        <v>549</v>
      </c>
      <c r="D5480" s="50" t="s">
        <v>259</v>
      </c>
      <c r="E5480" s="50">
        <v>0</v>
      </c>
      <c r="F5480" s="51">
        <v>0.93275344770783963</v>
      </c>
      <c r="G5480" s="51" t="str">
        <v>竹藤 2022/11/18 (金)
平日夜間</v>
      </c>
    </row>
    <row r="5481" spans="1:7" ht="16.149999999999999" x14ac:dyDescent="0.7">
      <c r="A5481" s="49">
        <v>44844.615134537038</v>
      </c>
      <c r="B5481" s="50" t="s">
        <v>7</v>
      </c>
      <c r="C5481" s="50" t="s">
        <v>550</v>
      </c>
      <c r="D5481" s="50" t="s">
        <v>263</v>
      </c>
      <c r="E5481" s="50">
        <v>0</v>
      </c>
      <c r="F5481" s="51">
        <v>0.53197481389338308</v>
      </c>
      <c r="G5481" s="51" t="str">
        <v>竹藤 2022/11/19 (土)
休日午前</v>
      </c>
    </row>
    <row r="5482" spans="1:7" ht="16.149999999999999" x14ac:dyDescent="0.7">
      <c r="A5482" s="49">
        <v>44844.615134537038</v>
      </c>
      <c r="B5482" s="50" t="s">
        <v>7</v>
      </c>
      <c r="C5482" s="50" t="s">
        <v>551</v>
      </c>
      <c r="D5482" s="50" t="s">
        <v>261</v>
      </c>
      <c r="E5482" s="50">
        <v>0</v>
      </c>
      <c r="F5482" s="51">
        <v>0.45938504649734013</v>
      </c>
      <c r="G5482" s="51" t="str">
        <v>竹藤 2022/11/19 (土)
休日午後</v>
      </c>
    </row>
    <row r="5483" spans="1:7" ht="16.149999999999999" x14ac:dyDescent="0.7">
      <c r="A5483" s="49">
        <v>44844.615134537038</v>
      </c>
      <c r="B5483" s="50" t="s">
        <v>7</v>
      </c>
      <c r="C5483" s="50" t="s">
        <v>552</v>
      </c>
      <c r="D5483" s="50" t="s">
        <v>263</v>
      </c>
      <c r="E5483" s="50">
        <v>0</v>
      </c>
      <c r="F5483" s="51">
        <v>0.68502203510460968</v>
      </c>
      <c r="G5483" s="51" t="str">
        <v>竹藤 2022/11/20 (日)
休日午前</v>
      </c>
    </row>
    <row r="5484" spans="1:7" ht="16.149999999999999" x14ac:dyDescent="0.7">
      <c r="A5484" s="49">
        <v>44844.615134537038</v>
      </c>
      <c r="B5484" s="50" t="s">
        <v>7</v>
      </c>
      <c r="C5484" s="50" t="s">
        <v>553</v>
      </c>
      <c r="D5484" s="50" t="s">
        <v>261</v>
      </c>
      <c r="E5484" s="50">
        <v>-1</v>
      </c>
      <c r="F5484" s="51">
        <v>-0.62303462890946038</v>
      </c>
      <c r="G5484" s="51" t="str">
        <v>竹藤 2022/11/20 (日)
休日午後</v>
      </c>
    </row>
    <row r="5485" spans="1:7" ht="16.149999999999999" x14ac:dyDescent="0.7">
      <c r="A5485" s="49">
        <v>44844.615134537038</v>
      </c>
      <c r="B5485" s="50" t="s">
        <v>7</v>
      </c>
      <c r="C5485" s="50" t="s">
        <v>554</v>
      </c>
      <c r="D5485" s="50" t="s">
        <v>259</v>
      </c>
      <c r="E5485" s="50">
        <v>0</v>
      </c>
      <c r="F5485" s="51">
        <v>0.65556709843450944</v>
      </c>
      <c r="G5485" s="51" t="str">
        <v>竹藤 2022/11/21 (月)
平日夜間</v>
      </c>
    </row>
    <row r="5486" spans="1:7" ht="16.149999999999999" x14ac:dyDescent="0.7">
      <c r="A5486" s="49">
        <v>44844.615134537038</v>
      </c>
      <c r="B5486" s="50" t="s">
        <v>7</v>
      </c>
      <c r="C5486" s="50" t="s">
        <v>555</v>
      </c>
      <c r="D5486" s="50" t="s">
        <v>259</v>
      </c>
      <c r="E5486" s="50">
        <v>-1</v>
      </c>
      <c r="F5486" s="51">
        <v>-0.46126505046941646</v>
      </c>
      <c r="G5486" s="51" t="str">
        <v>竹藤 2022/11/22 (火)
平日夜間</v>
      </c>
    </row>
    <row r="5487" spans="1:7" ht="16.149999999999999" x14ac:dyDescent="0.7">
      <c r="A5487" s="49">
        <v>44844.615134537038</v>
      </c>
      <c r="B5487" s="50" t="s">
        <v>7</v>
      </c>
      <c r="C5487" s="50" t="s">
        <v>568</v>
      </c>
      <c r="D5487" s="50" t="s">
        <v>263</v>
      </c>
      <c r="E5487" s="50">
        <v>-1</v>
      </c>
      <c r="F5487" s="51">
        <v>-0.74375564622349333</v>
      </c>
      <c r="G5487" s="51" t="str">
        <v>竹藤 2022/11/23 (水)
休日午前</v>
      </c>
    </row>
    <row r="5488" spans="1:7" ht="16.149999999999999" x14ac:dyDescent="0.7">
      <c r="A5488" s="49">
        <v>44844.615134537038</v>
      </c>
      <c r="B5488" s="50" t="s">
        <v>7</v>
      </c>
      <c r="C5488" s="50" t="s">
        <v>569</v>
      </c>
      <c r="D5488" s="50" t="s">
        <v>261</v>
      </c>
      <c r="E5488" s="50">
        <v>-1</v>
      </c>
      <c r="F5488" s="51">
        <v>-0.32330460600452238</v>
      </c>
      <c r="G5488" s="51" t="str">
        <v>竹藤 2022/11/23 (水)
休日午後</v>
      </c>
    </row>
    <row r="5489" spans="1:7" ht="16.149999999999999" x14ac:dyDescent="0.7">
      <c r="A5489" s="49">
        <v>44844.615134537038</v>
      </c>
      <c r="B5489" s="50" t="s">
        <v>7</v>
      </c>
      <c r="C5489" s="50" t="s">
        <v>557</v>
      </c>
      <c r="D5489" s="50" t="s">
        <v>259</v>
      </c>
      <c r="E5489" s="50">
        <v>-1</v>
      </c>
      <c r="F5489" s="51">
        <v>-0.84167244836405164</v>
      </c>
      <c r="G5489" s="51" t="str">
        <v>竹藤 2022/11/24 (木)
平日夜間</v>
      </c>
    </row>
    <row r="5490" spans="1:7" ht="16.149999999999999" x14ac:dyDescent="0.7">
      <c r="A5490" s="49">
        <v>44844.615134537038</v>
      </c>
      <c r="B5490" s="50" t="s">
        <v>7</v>
      </c>
      <c r="C5490" s="50" t="s">
        <v>558</v>
      </c>
      <c r="D5490" s="50" t="s">
        <v>259</v>
      </c>
      <c r="E5490" s="50">
        <v>-1</v>
      </c>
      <c r="F5490" s="51">
        <v>-0.30160424510246764</v>
      </c>
      <c r="G5490" s="51" t="str">
        <v>竹藤 2022/11/25 (金)
平日夜間</v>
      </c>
    </row>
    <row r="5491" spans="1:7" ht="16.149999999999999" x14ac:dyDescent="0.7">
      <c r="A5491" s="49">
        <v>44844.615134537038</v>
      </c>
      <c r="B5491" s="50" t="s">
        <v>7</v>
      </c>
      <c r="C5491" s="50" t="s">
        <v>559</v>
      </c>
      <c r="D5491" s="50" t="s">
        <v>263</v>
      </c>
      <c r="E5491" s="50">
        <v>-1</v>
      </c>
      <c r="F5491" s="51">
        <v>-0.49943374357935366</v>
      </c>
      <c r="G5491" s="51" t="str">
        <v>竹藤 2022/11/26 (土)
休日午前</v>
      </c>
    </row>
    <row r="5492" spans="1:7" ht="16.149999999999999" x14ac:dyDescent="0.7">
      <c r="A5492" s="49">
        <v>44844.615134537038</v>
      </c>
      <c r="B5492" s="50" t="s">
        <v>7</v>
      </c>
      <c r="C5492" s="50" t="s">
        <v>560</v>
      </c>
      <c r="D5492" s="50" t="s">
        <v>261</v>
      </c>
      <c r="E5492" s="50">
        <v>-1</v>
      </c>
      <c r="F5492" s="51">
        <v>-0.68504626941310831</v>
      </c>
      <c r="G5492" s="51" t="str">
        <v>竹藤 2022/11/26 (土)
休日午後</v>
      </c>
    </row>
    <row r="5493" spans="1:7" ht="16.149999999999999" x14ac:dyDescent="0.7">
      <c r="A5493" s="49">
        <v>44844.615134537038</v>
      </c>
      <c r="B5493" s="50" t="s">
        <v>7</v>
      </c>
      <c r="C5493" s="50" t="s">
        <v>561</v>
      </c>
      <c r="D5493" s="50" t="s">
        <v>263</v>
      </c>
      <c r="E5493" s="50">
        <v>-1</v>
      </c>
      <c r="F5493" s="51">
        <v>-0.81057025446388753</v>
      </c>
      <c r="G5493" s="51" t="str">
        <v>竹藤 2022/11/27 (日)
休日午前</v>
      </c>
    </row>
    <row r="5494" spans="1:7" ht="16.149999999999999" x14ac:dyDescent="0.7">
      <c r="A5494" s="49">
        <v>44844.615134537038</v>
      </c>
      <c r="B5494" s="50" t="s">
        <v>7</v>
      </c>
      <c r="C5494" s="50" t="s">
        <v>562</v>
      </c>
      <c r="D5494" s="50" t="s">
        <v>261</v>
      </c>
      <c r="E5494" s="50">
        <v>-1</v>
      </c>
      <c r="F5494" s="51">
        <v>-0.7558435954278917</v>
      </c>
      <c r="G5494" s="51" t="str">
        <v>竹藤 2022/11/27 (日)
休日午後</v>
      </c>
    </row>
    <row r="5495" spans="1:7" ht="16.149999999999999" x14ac:dyDescent="0.7">
      <c r="A5495" s="49">
        <v>44844.615134537038</v>
      </c>
      <c r="B5495" s="50" t="s">
        <v>7</v>
      </c>
      <c r="C5495" s="50" t="s">
        <v>563</v>
      </c>
      <c r="D5495" s="50" t="s">
        <v>259</v>
      </c>
      <c r="E5495" s="50">
        <v>0</v>
      </c>
      <c r="F5495" s="51">
        <v>0.46842330372225383</v>
      </c>
      <c r="G5495" s="51" t="str">
        <v>竹藤 2022/11/28 (月)
平日夜間</v>
      </c>
    </row>
    <row r="5496" spans="1:7" ht="16.149999999999999" x14ac:dyDescent="0.7">
      <c r="A5496" s="49">
        <v>44844.615134537038</v>
      </c>
      <c r="B5496" s="50" t="s">
        <v>7</v>
      </c>
      <c r="C5496" s="50" t="s">
        <v>564</v>
      </c>
      <c r="D5496" s="50" t="s">
        <v>259</v>
      </c>
      <c r="E5496" s="50">
        <v>-1</v>
      </c>
      <c r="F5496" s="51">
        <v>-0.93151481780747991</v>
      </c>
      <c r="G5496" s="51" t="str">
        <v>竹藤 2022/11/29 (火)
平日夜間</v>
      </c>
    </row>
    <row r="5497" spans="1:7" ht="16.149999999999999" x14ac:dyDescent="0.7">
      <c r="A5497" s="49">
        <v>44844.615134537038</v>
      </c>
      <c r="B5497" s="50" t="s">
        <v>7</v>
      </c>
      <c r="C5497" s="50" t="s">
        <v>565</v>
      </c>
      <c r="D5497" s="50" t="s">
        <v>259</v>
      </c>
      <c r="E5497" s="50">
        <v>0</v>
      </c>
      <c r="F5497" s="51">
        <v>0.7283770870789168</v>
      </c>
      <c r="G5497" s="51" t="str">
        <v>竹藤 2022/11/30 (水)
平日夜間</v>
      </c>
    </row>
    <row r="5498" spans="1:7" ht="16.149999999999999" x14ac:dyDescent="0.7">
      <c r="A5498" s="49">
        <v>44845.638118263887</v>
      </c>
      <c r="B5498" s="50" t="s">
        <v>156</v>
      </c>
      <c r="C5498" s="50" t="s">
        <v>528</v>
      </c>
      <c r="D5498" s="50" t="s">
        <v>259</v>
      </c>
      <c r="E5498" s="50">
        <v>0</v>
      </c>
      <c r="F5498" s="51">
        <v>0.47826366813852172</v>
      </c>
      <c r="G5498" s="51" t="str">
        <v>石田 2022/11/01 (火)
平日夜間</v>
      </c>
    </row>
    <row r="5499" spans="1:7" ht="16.149999999999999" x14ac:dyDescent="0.7">
      <c r="A5499" s="49">
        <v>44845.638118263887</v>
      </c>
      <c r="B5499" s="50" t="s">
        <v>156</v>
      </c>
      <c r="C5499" s="50" t="s">
        <v>529</v>
      </c>
      <c r="D5499" s="50" t="s">
        <v>259</v>
      </c>
      <c r="E5499" s="50">
        <v>0</v>
      </c>
      <c r="F5499" s="51">
        <v>0.94967936032799916</v>
      </c>
      <c r="G5499" s="51" t="str">
        <v>石田 2022/11/02 (水)
平日夜間</v>
      </c>
    </row>
    <row r="5500" spans="1:7" ht="16.149999999999999" x14ac:dyDescent="0.7">
      <c r="A5500" s="49">
        <v>44845.638118263887</v>
      </c>
      <c r="B5500" s="50" t="s">
        <v>156</v>
      </c>
      <c r="C5500" s="50" t="s">
        <v>566</v>
      </c>
      <c r="D5500" s="50" t="s">
        <v>263</v>
      </c>
      <c r="E5500" s="50">
        <v>0</v>
      </c>
      <c r="F5500" s="51">
        <v>0.55448103161222351</v>
      </c>
      <c r="G5500" s="51" t="str">
        <v>石田 2022/11/03 (木)
休日午前</v>
      </c>
    </row>
    <row r="5501" spans="1:7" ht="16.149999999999999" x14ac:dyDescent="0.7">
      <c r="A5501" s="49">
        <v>44845.638118263887</v>
      </c>
      <c r="B5501" s="50" t="s">
        <v>156</v>
      </c>
      <c r="C5501" s="50" t="s">
        <v>567</v>
      </c>
      <c r="D5501" s="50" t="s">
        <v>261</v>
      </c>
      <c r="E5501" s="50">
        <v>0</v>
      </c>
      <c r="F5501" s="51">
        <v>0.16279880295273719</v>
      </c>
      <c r="G5501" s="51" t="str">
        <v>石田 2022/11/03 (木)
休日午後</v>
      </c>
    </row>
    <row r="5502" spans="1:7" ht="16.149999999999999" x14ac:dyDescent="0.7">
      <c r="A5502" s="49">
        <v>44845.638118263887</v>
      </c>
      <c r="B5502" s="50" t="s">
        <v>156</v>
      </c>
      <c r="C5502" s="50" t="s">
        <v>531</v>
      </c>
      <c r="D5502" s="50" t="s">
        <v>259</v>
      </c>
      <c r="E5502" s="50">
        <v>0</v>
      </c>
      <c r="F5502" s="51">
        <v>0.57487728793817117</v>
      </c>
      <c r="G5502" s="51" t="str">
        <v>石田 2022/11/04 (金)
平日夜間</v>
      </c>
    </row>
    <row r="5503" spans="1:7" ht="16.149999999999999" x14ac:dyDescent="0.7">
      <c r="A5503" s="49">
        <v>44845.638118263887</v>
      </c>
      <c r="B5503" s="50" t="s">
        <v>156</v>
      </c>
      <c r="C5503" s="50" t="s">
        <v>532</v>
      </c>
      <c r="D5503" s="50" t="s">
        <v>263</v>
      </c>
      <c r="E5503" s="50">
        <v>-1</v>
      </c>
      <c r="F5503" s="51">
        <v>-0.56215300664025714</v>
      </c>
      <c r="G5503" s="51" t="str">
        <v>石田 2022/11/05 (土)
休日午前</v>
      </c>
    </row>
    <row r="5504" spans="1:7" ht="16.149999999999999" x14ac:dyDescent="0.7">
      <c r="A5504" s="49">
        <v>44845.638118263887</v>
      </c>
      <c r="B5504" s="50" t="s">
        <v>156</v>
      </c>
      <c r="C5504" s="50" t="s">
        <v>533</v>
      </c>
      <c r="D5504" s="50" t="s">
        <v>261</v>
      </c>
      <c r="E5504" s="50">
        <v>-1</v>
      </c>
      <c r="F5504" s="51">
        <v>-0.69475320861736289</v>
      </c>
      <c r="G5504" s="51" t="str">
        <v>石田 2022/11/05 (土)
休日午後</v>
      </c>
    </row>
    <row r="5505" spans="1:7" ht="16.149999999999999" x14ac:dyDescent="0.7">
      <c r="A5505" s="49">
        <v>44845.638118263887</v>
      </c>
      <c r="B5505" s="50" t="s">
        <v>156</v>
      </c>
      <c r="C5505" s="50" t="s">
        <v>534</v>
      </c>
      <c r="D5505" s="50" t="s">
        <v>263</v>
      </c>
      <c r="E5505" s="50">
        <v>-1</v>
      </c>
      <c r="F5505" s="51">
        <v>-0.42729155128653962</v>
      </c>
      <c r="G5505" s="51" t="str">
        <v>石田 2022/11/06 (日)
休日午前</v>
      </c>
    </row>
    <row r="5506" spans="1:7" ht="16.149999999999999" x14ac:dyDescent="0.7">
      <c r="A5506" s="49">
        <v>44845.638118263887</v>
      </c>
      <c r="B5506" s="50" t="s">
        <v>156</v>
      </c>
      <c r="C5506" s="50" t="s">
        <v>535</v>
      </c>
      <c r="D5506" s="50" t="s">
        <v>261</v>
      </c>
      <c r="E5506" s="50">
        <v>-1</v>
      </c>
      <c r="F5506" s="51">
        <v>-0.94188394288086497</v>
      </c>
      <c r="G5506" s="51" t="str">
        <v>石田 2022/11/06 (日)
休日午後</v>
      </c>
    </row>
    <row r="5507" spans="1:7" ht="16.149999999999999" x14ac:dyDescent="0.7">
      <c r="A5507" s="49">
        <v>44845.638118263887</v>
      </c>
      <c r="B5507" s="50" t="s">
        <v>156</v>
      </c>
      <c r="C5507" s="50" t="s">
        <v>536</v>
      </c>
      <c r="D5507" s="50" t="s">
        <v>259</v>
      </c>
      <c r="E5507" s="50">
        <v>0</v>
      </c>
      <c r="F5507" s="51">
        <v>0.32409868320584212</v>
      </c>
      <c r="G5507" s="51" t="str">
        <v>石田 2022/11/07 (月)
平日夜間</v>
      </c>
    </row>
    <row r="5508" spans="1:7" ht="16.149999999999999" x14ac:dyDescent="0.7">
      <c r="A5508" s="49">
        <v>44845.638118263887</v>
      </c>
      <c r="B5508" s="50" t="s">
        <v>156</v>
      </c>
      <c r="C5508" s="50" t="s">
        <v>537</v>
      </c>
      <c r="D5508" s="50" t="s">
        <v>259</v>
      </c>
      <c r="E5508" s="50">
        <v>0</v>
      </c>
      <c r="F5508" s="51">
        <v>0.24780397275875199</v>
      </c>
      <c r="G5508" s="51" t="str">
        <v>石田 2022/11/08 (火)
平日夜間</v>
      </c>
    </row>
    <row r="5509" spans="1:7" ht="16.149999999999999" x14ac:dyDescent="0.7">
      <c r="A5509" s="49">
        <v>44845.638118263887</v>
      </c>
      <c r="B5509" s="50" t="s">
        <v>156</v>
      </c>
      <c r="C5509" s="50" t="s">
        <v>538</v>
      </c>
      <c r="D5509" s="50" t="s">
        <v>259</v>
      </c>
      <c r="E5509" s="50">
        <v>0</v>
      </c>
      <c r="F5509" s="51">
        <v>0.20347337127685083</v>
      </c>
      <c r="G5509" s="51" t="str">
        <v>石田 2022/11/09 (水)
平日夜間</v>
      </c>
    </row>
    <row r="5510" spans="1:7" ht="16.149999999999999" x14ac:dyDescent="0.7">
      <c r="A5510" s="49">
        <v>44845.638118263887</v>
      </c>
      <c r="B5510" s="50" t="s">
        <v>156</v>
      </c>
      <c r="C5510" s="50" t="s">
        <v>539</v>
      </c>
      <c r="D5510" s="50" t="s">
        <v>259</v>
      </c>
      <c r="E5510" s="50">
        <v>0</v>
      </c>
      <c r="F5510" s="51">
        <v>0.21381094951827384</v>
      </c>
      <c r="G5510" s="51" t="str">
        <v>石田 2022/11/10 (木)
平日夜間</v>
      </c>
    </row>
    <row r="5511" spans="1:7" ht="16.149999999999999" x14ac:dyDescent="0.7">
      <c r="A5511" s="49">
        <v>44845.638118263887</v>
      </c>
      <c r="B5511" s="50" t="s">
        <v>156</v>
      </c>
      <c r="C5511" s="50" t="s">
        <v>540</v>
      </c>
      <c r="D5511" s="50" t="s">
        <v>259</v>
      </c>
      <c r="E5511" s="50">
        <v>0</v>
      </c>
      <c r="F5511" s="51">
        <v>0.53140885132765803</v>
      </c>
      <c r="G5511" s="51" t="str">
        <v>石田 2022/11/11 (金)
平日夜間</v>
      </c>
    </row>
    <row r="5512" spans="1:7" ht="16.149999999999999" x14ac:dyDescent="0.7">
      <c r="A5512" s="49">
        <v>44845.638118263887</v>
      </c>
      <c r="B5512" s="50" t="s">
        <v>156</v>
      </c>
      <c r="C5512" s="50" t="s">
        <v>541</v>
      </c>
      <c r="D5512" s="50" t="s">
        <v>263</v>
      </c>
      <c r="E5512" s="50">
        <v>-1</v>
      </c>
      <c r="F5512" s="51">
        <v>-0.72604990350383591</v>
      </c>
      <c r="G5512" s="51" t="str">
        <v>石田 2022/11/12 (土)
休日午前</v>
      </c>
    </row>
    <row r="5513" spans="1:7" ht="16.149999999999999" x14ac:dyDescent="0.7">
      <c r="A5513" s="49">
        <v>44845.638118263887</v>
      </c>
      <c r="B5513" s="50" t="s">
        <v>156</v>
      </c>
      <c r="C5513" s="50" t="s">
        <v>542</v>
      </c>
      <c r="D5513" s="50" t="s">
        <v>261</v>
      </c>
      <c r="E5513" s="50">
        <v>-1</v>
      </c>
      <c r="F5513" s="51">
        <v>-4.0545554967426067E-2</v>
      </c>
      <c r="G5513" s="51" t="str">
        <v>石田 2022/11/12 (土)
休日午後</v>
      </c>
    </row>
    <row r="5514" spans="1:7" ht="16.149999999999999" x14ac:dyDescent="0.7">
      <c r="A5514" s="49">
        <v>44845.638118263887</v>
      </c>
      <c r="B5514" s="50" t="s">
        <v>156</v>
      </c>
      <c r="C5514" s="50" t="s">
        <v>543</v>
      </c>
      <c r="D5514" s="50" t="s">
        <v>263</v>
      </c>
      <c r="E5514" s="50">
        <v>-1</v>
      </c>
      <c r="F5514" s="51">
        <v>-0.21063000258591158</v>
      </c>
      <c r="G5514" s="51" t="str">
        <v>石田 2022/11/13 (日)
休日午前</v>
      </c>
    </row>
    <row r="5515" spans="1:7" ht="16.149999999999999" x14ac:dyDescent="0.7">
      <c r="A5515" s="49">
        <v>44845.638118263887</v>
      </c>
      <c r="B5515" s="50" t="s">
        <v>156</v>
      </c>
      <c r="C5515" s="50" t="s">
        <v>544</v>
      </c>
      <c r="D5515" s="50" t="s">
        <v>261</v>
      </c>
      <c r="E5515" s="50">
        <v>-1</v>
      </c>
      <c r="F5515" s="51">
        <v>-0.93239412514156217</v>
      </c>
      <c r="G5515" s="51" t="str">
        <v>石田 2022/11/13 (日)
休日午後</v>
      </c>
    </row>
    <row r="5516" spans="1:7" ht="16.149999999999999" x14ac:dyDescent="0.7">
      <c r="A5516" s="49">
        <v>44845.638118263887</v>
      </c>
      <c r="B5516" s="50" t="s">
        <v>156</v>
      </c>
      <c r="C5516" s="50" t="s">
        <v>545</v>
      </c>
      <c r="D5516" s="50" t="s">
        <v>259</v>
      </c>
      <c r="E5516" s="50">
        <v>0</v>
      </c>
      <c r="F5516" s="51">
        <v>0.61465123575747449</v>
      </c>
      <c r="G5516" s="51" t="str">
        <v>石田 2022/11/14 (月)
平日夜間</v>
      </c>
    </row>
    <row r="5517" spans="1:7" ht="16.149999999999999" x14ac:dyDescent="0.7">
      <c r="A5517" s="49">
        <v>44845.638118263887</v>
      </c>
      <c r="B5517" s="50" t="s">
        <v>156</v>
      </c>
      <c r="C5517" s="50" t="s">
        <v>546</v>
      </c>
      <c r="D5517" s="50" t="s">
        <v>259</v>
      </c>
      <c r="E5517" s="50">
        <v>0</v>
      </c>
      <c r="F5517" s="51">
        <v>0.51059163297977417</v>
      </c>
      <c r="G5517" s="51" t="str">
        <v>石田 2022/11/15 (火)
平日夜間</v>
      </c>
    </row>
    <row r="5518" spans="1:7" ht="16.149999999999999" x14ac:dyDescent="0.7">
      <c r="A5518" s="49">
        <v>44845.638118263887</v>
      </c>
      <c r="B5518" s="50" t="s">
        <v>156</v>
      </c>
      <c r="C5518" s="50" t="s">
        <v>547</v>
      </c>
      <c r="D5518" s="50" t="s">
        <v>259</v>
      </c>
      <c r="E5518" s="50">
        <v>0</v>
      </c>
      <c r="F5518" s="51">
        <v>0.92043113164023294</v>
      </c>
      <c r="G5518" s="51" t="str">
        <v>石田 2022/11/16 (水)
平日夜間</v>
      </c>
    </row>
    <row r="5519" spans="1:7" ht="16.149999999999999" x14ac:dyDescent="0.7">
      <c r="A5519" s="49">
        <v>44845.638118263887</v>
      </c>
      <c r="B5519" s="50" t="s">
        <v>156</v>
      </c>
      <c r="C5519" s="50" t="s">
        <v>548</v>
      </c>
      <c r="D5519" s="50" t="s">
        <v>259</v>
      </c>
      <c r="E5519" s="50">
        <v>0</v>
      </c>
      <c r="F5519" s="51">
        <v>0.50344442295126557</v>
      </c>
      <c r="G5519" s="51" t="str">
        <v>石田 2022/11/17 (木)
平日夜間</v>
      </c>
    </row>
    <row r="5520" spans="1:7" ht="16.149999999999999" x14ac:dyDescent="0.7">
      <c r="A5520" s="49">
        <v>44845.638118263887</v>
      </c>
      <c r="B5520" s="50" t="s">
        <v>156</v>
      </c>
      <c r="C5520" s="50" t="s">
        <v>549</v>
      </c>
      <c r="D5520" s="50" t="s">
        <v>259</v>
      </c>
      <c r="E5520" s="50">
        <v>-1</v>
      </c>
      <c r="F5520" s="51">
        <v>-0.55044173061002133</v>
      </c>
      <c r="G5520" s="51" t="str">
        <v>石田 2022/11/18 (金)
平日夜間</v>
      </c>
    </row>
    <row r="5521" spans="1:7" ht="16.149999999999999" x14ac:dyDescent="0.7">
      <c r="A5521" s="49">
        <v>44845.638118263887</v>
      </c>
      <c r="B5521" s="50" t="s">
        <v>156</v>
      </c>
      <c r="C5521" s="50" t="s">
        <v>550</v>
      </c>
      <c r="D5521" s="50" t="s">
        <v>263</v>
      </c>
      <c r="E5521" s="50">
        <v>-1</v>
      </c>
      <c r="F5521" s="51">
        <v>-4.6197410738542777E-2</v>
      </c>
      <c r="G5521" s="51" t="str">
        <v>石田 2022/11/19 (土)
休日午前</v>
      </c>
    </row>
    <row r="5522" spans="1:7" ht="16.149999999999999" x14ac:dyDescent="0.7">
      <c r="A5522" s="49">
        <v>44845.638118263887</v>
      </c>
      <c r="B5522" s="50" t="s">
        <v>156</v>
      </c>
      <c r="C5522" s="50" t="s">
        <v>551</v>
      </c>
      <c r="D5522" s="50" t="s">
        <v>261</v>
      </c>
      <c r="E5522" s="50">
        <v>-1</v>
      </c>
      <c r="F5522" s="51">
        <v>-7.4581453659779973E-2</v>
      </c>
      <c r="G5522" s="51" t="str">
        <v>石田 2022/11/19 (土)
休日午後</v>
      </c>
    </row>
    <row r="5523" spans="1:7" ht="16.149999999999999" x14ac:dyDescent="0.7">
      <c r="A5523" s="49">
        <v>44845.638118263887</v>
      </c>
      <c r="B5523" s="50" t="s">
        <v>156</v>
      </c>
      <c r="C5523" s="50" t="s">
        <v>552</v>
      </c>
      <c r="D5523" s="50" t="s">
        <v>263</v>
      </c>
      <c r="E5523" s="50">
        <v>-1</v>
      </c>
      <c r="F5523" s="51">
        <v>-0.54584486199044346</v>
      </c>
      <c r="G5523" s="51" t="str">
        <v>石田 2022/11/20 (日)
休日午前</v>
      </c>
    </row>
    <row r="5524" spans="1:7" ht="16.149999999999999" x14ac:dyDescent="0.7">
      <c r="A5524" s="49">
        <v>44845.638118263887</v>
      </c>
      <c r="B5524" s="50" t="s">
        <v>156</v>
      </c>
      <c r="C5524" s="50" t="s">
        <v>553</v>
      </c>
      <c r="D5524" s="50" t="s">
        <v>261</v>
      </c>
      <c r="E5524" s="50">
        <v>-1</v>
      </c>
      <c r="F5524" s="51">
        <v>-0.16253133918567042</v>
      </c>
      <c r="G5524" s="51" t="str">
        <v>石田 2022/11/20 (日)
休日午後</v>
      </c>
    </row>
    <row r="5525" spans="1:7" ht="16.149999999999999" x14ac:dyDescent="0.7">
      <c r="A5525" s="49">
        <v>44845.638118263887</v>
      </c>
      <c r="B5525" s="50" t="s">
        <v>156</v>
      </c>
      <c r="C5525" s="50" t="s">
        <v>554</v>
      </c>
      <c r="D5525" s="50" t="s">
        <v>259</v>
      </c>
      <c r="E5525" s="50">
        <v>0</v>
      </c>
      <c r="F5525" s="51">
        <v>0.51164485554297645</v>
      </c>
      <c r="G5525" s="51" t="str">
        <v>石田 2022/11/21 (月)
平日夜間</v>
      </c>
    </row>
    <row r="5526" spans="1:7" ht="16.149999999999999" x14ac:dyDescent="0.7">
      <c r="A5526" s="49">
        <v>44845.638118263887</v>
      </c>
      <c r="B5526" s="50" t="s">
        <v>156</v>
      </c>
      <c r="C5526" s="50" t="s">
        <v>555</v>
      </c>
      <c r="D5526" s="50" t="s">
        <v>259</v>
      </c>
      <c r="E5526" s="50">
        <v>0</v>
      </c>
      <c r="F5526" s="51">
        <v>7.8038964138657851E-2</v>
      </c>
      <c r="G5526" s="51" t="str">
        <v>石田 2022/11/22 (火)
平日夜間</v>
      </c>
    </row>
    <row r="5527" spans="1:7" ht="16.149999999999999" x14ac:dyDescent="0.7">
      <c r="A5527" s="49">
        <v>44845.638118263887</v>
      </c>
      <c r="B5527" s="50" t="s">
        <v>156</v>
      </c>
      <c r="C5527" s="50" t="s">
        <v>568</v>
      </c>
      <c r="D5527" s="50" t="s">
        <v>263</v>
      </c>
      <c r="E5527" s="50">
        <v>0</v>
      </c>
      <c r="F5527" s="51">
        <v>0.56784057634510732</v>
      </c>
      <c r="G5527" s="51" t="str">
        <v>石田 2022/11/23 (水)
休日午前</v>
      </c>
    </row>
    <row r="5528" spans="1:7" ht="16.149999999999999" x14ac:dyDescent="0.7">
      <c r="A5528" s="49">
        <v>44845.638118263887</v>
      </c>
      <c r="B5528" s="50" t="s">
        <v>156</v>
      </c>
      <c r="C5528" s="50" t="s">
        <v>569</v>
      </c>
      <c r="D5528" s="50" t="s">
        <v>261</v>
      </c>
      <c r="E5528" s="50">
        <v>0</v>
      </c>
      <c r="F5528" s="51">
        <v>0.25075301648260839</v>
      </c>
      <c r="G5528" s="51" t="str">
        <v>石田 2022/11/23 (水)
休日午後</v>
      </c>
    </row>
    <row r="5529" spans="1:7" ht="16.149999999999999" x14ac:dyDescent="0.7">
      <c r="A5529" s="49">
        <v>44845.638118263887</v>
      </c>
      <c r="B5529" s="50" t="s">
        <v>156</v>
      </c>
      <c r="C5529" s="50" t="s">
        <v>557</v>
      </c>
      <c r="D5529" s="50" t="s">
        <v>259</v>
      </c>
      <c r="E5529" s="50">
        <v>0</v>
      </c>
      <c r="F5529" s="51">
        <v>0.51340357307591589</v>
      </c>
      <c r="G5529" s="51" t="str">
        <v>石田 2022/11/24 (木)
平日夜間</v>
      </c>
    </row>
    <row r="5530" spans="1:7" ht="16.149999999999999" x14ac:dyDescent="0.7">
      <c r="A5530" s="49">
        <v>44845.638118263887</v>
      </c>
      <c r="B5530" s="50" t="s">
        <v>156</v>
      </c>
      <c r="C5530" s="50" t="s">
        <v>558</v>
      </c>
      <c r="D5530" s="50" t="s">
        <v>259</v>
      </c>
      <c r="E5530" s="50">
        <v>0</v>
      </c>
      <c r="F5530" s="51">
        <v>3.4895634136270948E-2</v>
      </c>
      <c r="G5530" s="51" t="str">
        <v>石田 2022/11/25 (金)
平日夜間</v>
      </c>
    </row>
    <row r="5531" spans="1:7" ht="16.149999999999999" x14ac:dyDescent="0.7">
      <c r="A5531" s="49">
        <v>44845.638118263887</v>
      </c>
      <c r="B5531" s="50" t="s">
        <v>156</v>
      </c>
      <c r="C5531" s="50" t="s">
        <v>559</v>
      </c>
      <c r="D5531" s="50" t="s">
        <v>263</v>
      </c>
      <c r="E5531" s="50">
        <v>-1</v>
      </c>
      <c r="F5531" s="51">
        <v>-0.80091050571488509</v>
      </c>
      <c r="G5531" s="51" t="str">
        <v>石田 2022/11/26 (土)
休日午前</v>
      </c>
    </row>
    <row r="5532" spans="1:7" ht="16.149999999999999" x14ac:dyDescent="0.7">
      <c r="A5532" s="49">
        <v>44845.638118263887</v>
      </c>
      <c r="B5532" s="50" t="s">
        <v>156</v>
      </c>
      <c r="C5532" s="50" t="s">
        <v>560</v>
      </c>
      <c r="D5532" s="50" t="s">
        <v>261</v>
      </c>
      <c r="E5532" s="50">
        <v>-1</v>
      </c>
      <c r="F5532" s="51">
        <v>-0.67345411632786645</v>
      </c>
      <c r="G5532" s="51" t="str">
        <v>石田 2022/11/26 (土)
休日午後</v>
      </c>
    </row>
    <row r="5533" spans="1:7" ht="16.149999999999999" x14ac:dyDescent="0.7">
      <c r="A5533" s="49">
        <v>44845.638118263887</v>
      </c>
      <c r="B5533" s="50" t="s">
        <v>156</v>
      </c>
      <c r="C5533" s="50" t="s">
        <v>561</v>
      </c>
      <c r="D5533" s="50" t="s">
        <v>263</v>
      </c>
      <c r="E5533" s="50">
        <v>-1</v>
      </c>
      <c r="F5533" s="51">
        <v>-0.22849909731644202</v>
      </c>
      <c r="G5533" s="51" t="str">
        <v>石田 2022/11/27 (日)
休日午前</v>
      </c>
    </row>
    <row r="5534" spans="1:7" ht="16.149999999999999" x14ac:dyDescent="0.7">
      <c r="A5534" s="49">
        <v>44845.638118263887</v>
      </c>
      <c r="B5534" s="50" t="s">
        <v>156</v>
      </c>
      <c r="C5534" s="50" t="s">
        <v>562</v>
      </c>
      <c r="D5534" s="50" t="s">
        <v>261</v>
      </c>
      <c r="E5534" s="50">
        <v>-1</v>
      </c>
      <c r="F5534" s="51">
        <v>-0.2266614046523614</v>
      </c>
      <c r="G5534" s="51" t="str">
        <v>石田 2022/11/27 (日)
休日午後</v>
      </c>
    </row>
    <row r="5535" spans="1:7" ht="16.149999999999999" x14ac:dyDescent="0.7">
      <c r="A5535" s="49">
        <v>44845.638118263887</v>
      </c>
      <c r="B5535" s="50" t="s">
        <v>156</v>
      </c>
      <c r="C5535" s="50" t="s">
        <v>563</v>
      </c>
      <c r="D5535" s="50" t="s">
        <v>259</v>
      </c>
      <c r="E5535" s="50">
        <v>0</v>
      </c>
      <c r="F5535" s="51">
        <v>0.98126041670082076</v>
      </c>
      <c r="G5535" s="51" t="str">
        <v>石田 2022/11/28 (月)
平日夜間</v>
      </c>
    </row>
    <row r="5536" spans="1:7" ht="16.149999999999999" x14ac:dyDescent="0.7">
      <c r="A5536" s="49">
        <v>44845.638118263887</v>
      </c>
      <c r="B5536" s="50" t="s">
        <v>156</v>
      </c>
      <c r="C5536" s="50" t="s">
        <v>564</v>
      </c>
      <c r="D5536" s="50" t="s">
        <v>259</v>
      </c>
      <c r="E5536" s="50">
        <v>0</v>
      </c>
      <c r="F5536" s="51">
        <v>0.47881582581947058</v>
      </c>
      <c r="G5536" s="51" t="str">
        <v>石田 2022/11/29 (火)
平日夜間</v>
      </c>
    </row>
    <row r="5537" spans="1:7" ht="16.149999999999999" x14ac:dyDescent="0.7">
      <c r="A5537" s="49">
        <v>44845.638118263887</v>
      </c>
      <c r="B5537" s="50" t="s">
        <v>156</v>
      </c>
      <c r="C5537" s="50" t="s">
        <v>565</v>
      </c>
      <c r="D5537" s="50" t="s">
        <v>259</v>
      </c>
      <c r="E5537" s="50">
        <v>2</v>
      </c>
      <c r="F5537" s="51">
        <v>2.7903319950914858</v>
      </c>
      <c r="G5537" s="51" t="str">
        <v>石田 2022/11/30 (水)
平日夜間</v>
      </c>
    </row>
    <row r="5538" spans="1:7" ht="16.149999999999999" x14ac:dyDescent="0.7">
      <c r="A5538" s="49">
        <v>44845.935205891205</v>
      </c>
      <c r="B5538" s="50" t="s">
        <v>148</v>
      </c>
      <c r="C5538" s="50" t="s">
        <v>528</v>
      </c>
      <c r="D5538" s="50" t="s">
        <v>259</v>
      </c>
      <c r="E5538" s="50">
        <v>-1</v>
      </c>
      <c r="F5538" s="51">
        <v>-0.81099690915486655</v>
      </c>
      <c r="G5538" s="51" t="str">
        <v>橋元 2022/11/01 (火)
平日夜間</v>
      </c>
    </row>
    <row r="5539" spans="1:7" ht="16.149999999999999" x14ac:dyDescent="0.7">
      <c r="A5539" s="49">
        <v>44845.935205891205</v>
      </c>
      <c r="B5539" s="50" t="s">
        <v>148</v>
      </c>
      <c r="C5539" s="50" t="s">
        <v>529</v>
      </c>
      <c r="D5539" s="50" t="s">
        <v>259</v>
      </c>
      <c r="E5539" s="50">
        <v>-1</v>
      </c>
      <c r="F5539" s="51">
        <v>-0.30958218313607233</v>
      </c>
      <c r="G5539" s="51" t="str">
        <v>橋元 2022/11/02 (水)
平日夜間</v>
      </c>
    </row>
    <row r="5540" spans="1:7" ht="16.149999999999999" x14ac:dyDescent="0.7">
      <c r="A5540" s="49">
        <v>44845.935205891205</v>
      </c>
      <c r="B5540" s="50" t="s">
        <v>148</v>
      </c>
      <c r="C5540" s="50" t="s">
        <v>566</v>
      </c>
      <c r="D5540" s="50" t="s">
        <v>263</v>
      </c>
      <c r="E5540" s="50">
        <v>-1</v>
      </c>
      <c r="F5540" s="51">
        <v>-4.7817891871447582E-2</v>
      </c>
      <c r="G5540" s="51" t="str">
        <v>橋元 2022/11/03 (木)
休日午前</v>
      </c>
    </row>
    <row r="5541" spans="1:7" ht="16.149999999999999" x14ac:dyDescent="0.7">
      <c r="A5541" s="49">
        <v>44845.935205891205</v>
      </c>
      <c r="B5541" s="50" t="s">
        <v>148</v>
      </c>
      <c r="C5541" s="50" t="s">
        <v>567</v>
      </c>
      <c r="D5541" s="50" t="s">
        <v>261</v>
      </c>
      <c r="E5541" s="50">
        <v>-1</v>
      </c>
      <c r="F5541" s="51">
        <v>-0.31129789948333308</v>
      </c>
      <c r="G5541" s="51" t="str">
        <v>橋元 2022/11/03 (木)
休日午後</v>
      </c>
    </row>
    <row r="5542" spans="1:7" ht="16.149999999999999" x14ac:dyDescent="0.7">
      <c r="A5542" s="49">
        <v>44845.935205891205</v>
      </c>
      <c r="B5542" s="50" t="s">
        <v>148</v>
      </c>
      <c r="C5542" s="50" t="s">
        <v>531</v>
      </c>
      <c r="D5542" s="50" t="s">
        <v>259</v>
      </c>
      <c r="E5542" s="50">
        <v>-1</v>
      </c>
      <c r="F5542" s="51">
        <v>-0.21580367754036467</v>
      </c>
      <c r="G5542" s="51" t="str">
        <v>橋元 2022/11/04 (金)
平日夜間</v>
      </c>
    </row>
    <row r="5543" spans="1:7" ht="16.149999999999999" x14ac:dyDescent="0.7">
      <c r="A5543" s="49">
        <v>44845.935205891205</v>
      </c>
      <c r="B5543" s="50" t="s">
        <v>148</v>
      </c>
      <c r="C5543" s="50" t="s">
        <v>532</v>
      </c>
      <c r="D5543" s="50" t="s">
        <v>263</v>
      </c>
      <c r="E5543" s="50">
        <v>1</v>
      </c>
      <c r="F5543" s="51">
        <v>1.2478485442642013</v>
      </c>
      <c r="G5543" s="51" t="str">
        <v>橋元 2022/11/05 (土)
休日午前</v>
      </c>
    </row>
    <row r="5544" spans="1:7" ht="16.149999999999999" x14ac:dyDescent="0.7">
      <c r="A5544" s="49">
        <v>44845.935205891205</v>
      </c>
      <c r="B5544" s="50" t="s">
        <v>148</v>
      </c>
      <c r="C5544" s="50" t="s">
        <v>533</v>
      </c>
      <c r="D5544" s="50" t="s">
        <v>261</v>
      </c>
      <c r="E5544" s="50">
        <v>-1</v>
      </c>
      <c r="F5544" s="51">
        <v>-0.1772085255650353</v>
      </c>
      <c r="G5544" s="51" t="str">
        <v>橋元 2022/11/05 (土)
休日午後</v>
      </c>
    </row>
    <row r="5545" spans="1:7" ht="16.149999999999999" x14ac:dyDescent="0.7">
      <c r="A5545" s="49">
        <v>44845.935205891205</v>
      </c>
      <c r="B5545" s="50" t="s">
        <v>148</v>
      </c>
      <c r="C5545" s="50" t="s">
        <v>534</v>
      </c>
      <c r="D5545" s="50" t="s">
        <v>263</v>
      </c>
      <c r="E5545" s="50">
        <v>-1</v>
      </c>
      <c r="F5545" s="51">
        <v>-0.2653542376342648</v>
      </c>
      <c r="G5545" s="51" t="str">
        <v>橋元 2022/11/06 (日)
休日午前</v>
      </c>
    </row>
    <row r="5546" spans="1:7" ht="16.149999999999999" x14ac:dyDescent="0.7">
      <c r="A5546" s="49">
        <v>44845.935205891205</v>
      </c>
      <c r="B5546" s="50" t="s">
        <v>148</v>
      </c>
      <c r="C5546" s="50" t="s">
        <v>535</v>
      </c>
      <c r="D5546" s="50" t="s">
        <v>261</v>
      </c>
      <c r="E5546" s="50">
        <v>-1</v>
      </c>
      <c r="F5546" s="51">
        <v>-1.5900651265730037E-3</v>
      </c>
      <c r="G5546" s="51" t="str">
        <v>橋元 2022/11/06 (日)
休日午後</v>
      </c>
    </row>
    <row r="5547" spans="1:7" ht="16.149999999999999" x14ac:dyDescent="0.7">
      <c r="A5547" s="49">
        <v>44845.935205891205</v>
      </c>
      <c r="B5547" s="50" t="s">
        <v>148</v>
      </c>
      <c r="C5547" s="50" t="s">
        <v>536</v>
      </c>
      <c r="D5547" s="50" t="s">
        <v>259</v>
      </c>
      <c r="E5547" s="50">
        <v>0</v>
      </c>
      <c r="F5547" s="51">
        <v>0.42303421339178815</v>
      </c>
      <c r="G5547" s="51" t="str">
        <v>橋元 2022/11/07 (月)
平日夜間</v>
      </c>
    </row>
    <row r="5548" spans="1:7" ht="16.149999999999999" x14ac:dyDescent="0.7">
      <c r="A5548" s="49">
        <v>44845.935205891205</v>
      </c>
      <c r="B5548" s="50" t="s">
        <v>148</v>
      </c>
      <c r="C5548" s="50" t="s">
        <v>537</v>
      </c>
      <c r="D5548" s="50" t="s">
        <v>259</v>
      </c>
      <c r="E5548" s="50">
        <v>-1</v>
      </c>
      <c r="F5548" s="51">
        <v>-0.99198155765585017</v>
      </c>
      <c r="G5548" s="51" t="str">
        <v>橋元 2022/11/08 (火)
平日夜間</v>
      </c>
    </row>
    <row r="5549" spans="1:7" ht="16.149999999999999" x14ac:dyDescent="0.7">
      <c r="A5549" s="49">
        <v>44845.935205891205</v>
      </c>
      <c r="B5549" s="50" t="s">
        <v>148</v>
      </c>
      <c r="C5549" s="50" t="s">
        <v>538</v>
      </c>
      <c r="D5549" s="50" t="s">
        <v>259</v>
      </c>
      <c r="E5549" s="50">
        <v>0</v>
      </c>
      <c r="F5549" s="51">
        <v>0.5435849304464111</v>
      </c>
      <c r="G5549" s="51" t="str">
        <v>橋元 2022/11/09 (水)
平日夜間</v>
      </c>
    </row>
    <row r="5550" spans="1:7" ht="16.149999999999999" x14ac:dyDescent="0.7">
      <c r="A5550" s="49">
        <v>44845.935205891205</v>
      </c>
      <c r="B5550" s="50" t="s">
        <v>148</v>
      </c>
      <c r="C5550" s="50" t="s">
        <v>539</v>
      </c>
      <c r="D5550" s="50" t="s">
        <v>259</v>
      </c>
      <c r="E5550" s="50">
        <v>0</v>
      </c>
      <c r="F5550" s="51">
        <v>0.52013898455071406</v>
      </c>
      <c r="G5550" s="51" t="str">
        <v>橋元 2022/11/10 (木)
平日夜間</v>
      </c>
    </row>
    <row r="5551" spans="1:7" ht="16.149999999999999" x14ac:dyDescent="0.7">
      <c r="A5551" s="49">
        <v>44845.935205891205</v>
      </c>
      <c r="B5551" s="50" t="s">
        <v>148</v>
      </c>
      <c r="C5551" s="50" t="s">
        <v>540</v>
      </c>
      <c r="D5551" s="50" t="s">
        <v>259</v>
      </c>
      <c r="E5551" s="50">
        <v>0</v>
      </c>
      <c r="F5551" s="51">
        <v>0.33882014113504688</v>
      </c>
      <c r="G5551" s="51" t="str">
        <v>橋元 2022/11/11 (金)
平日夜間</v>
      </c>
    </row>
    <row r="5552" spans="1:7" ht="16.149999999999999" x14ac:dyDescent="0.7">
      <c r="A5552" s="49">
        <v>44845.935205891205</v>
      </c>
      <c r="B5552" s="50" t="s">
        <v>148</v>
      </c>
      <c r="C5552" s="50" t="s">
        <v>541</v>
      </c>
      <c r="D5552" s="50" t="s">
        <v>263</v>
      </c>
      <c r="E5552" s="50">
        <v>-1</v>
      </c>
      <c r="F5552" s="51">
        <v>-6.7340822261776401E-2</v>
      </c>
      <c r="G5552" s="51" t="str">
        <v>橋元 2022/11/12 (土)
休日午前</v>
      </c>
    </row>
    <row r="5553" spans="1:7" ht="16.149999999999999" x14ac:dyDescent="0.7">
      <c r="A5553" s="49">
        <v>44845.935205891205</v>
      </c>
      <c r="B5553" s="50" t="s">
        <v>148</v>
      </c>
      <c r="C5553" s="50" t="s">
        <v>542</v>
      </c>
      <c r="D5553" s="50" t="s">
        <v>261</v>
      </c>
      <c r="E5553" s="50">
        <v>-1</v>
      </c>
      <c r="F5553" s="51">
        <v>-0.41873059575956573</v>
      </c>
      <c r="G5553" s="51" t="str">
        <v>橋元 2022/11/12 (土)
休日午後</v>
      </c>
    </row>
    <row r="5554" spans="1:7" ht="16.149999999999999" x14ac:dyDescent="0.7">
      <c r="A5554" s="49">
        <v>44845.935205891205</v>
      </c>
      <c r="B5554" s="50" t="s">
        <v>148</v>
      </c>
      <c r="C5554" s="50" t="s">
        <v>543</v>
      </c>
      <c r="D5554" s="50" t="s">
        <v>263</v>
      </c>
      <c r="E5554" s="50">
        <v>-1</v>
      </c>
      <c r="F5554" s="51">
        <v>-0.98498350669079615</v>
      </c>
      <c r="G5554" s="51" t="str">
        <v>橋元 2022/11/13 (日)
休日午前</v>
      </c>
    </row>
    <row r="5555" spans="1:7" ht="16.149999999999999" x14ac:dyDescent="0.7">
      <c r="A5555" s="49">
        <v>44845.935205891205</v>
      </c>
      <c r="B5555" s="50" t="s">
        <v>148</v>
      </c>
      <c r="C5555" s="50" t="s">
        <v>544</v>
      </c>
      <c r="D5555" s="50" t="s">
        <v>261</v>
      </c>
      <c r="E5555" s="50">
        <v>-1</v>
      </c>
      <c r="F5555" s="51">
        <v>-0.52457655284684557</v>
      </c>
      <c r="G5555" s="51" t="str">
        <v>橋元 2022/11/13 (日)
休日午後</v>
      </c>
    </row>
    <row r="5556" spans="1:7" ht="16.149999999999999" x14ac:dyDescent="0.7">
      <c r="A5556" s="49">
        <v>44845.935205891205</v>
      </c>
      <c r="B5556" s="50" t="s">
        <v>148</v>
      </c>
      <c r="C5556" s="50" t="s">
        <v>545</v>
      </c>
      <c r="D5556" s="50" t="s">
        <v>259</v>
      </c>
      <c r="E5556" s="50">
        <v>0</v>
      </c>
      <c r="F5556" s="51">
        <v>0.64413450590022392</v>
      </c>
      <c r="G5556" s="51" t="str">
        <v>橋元 2022/11/14 (月)
平日夜間</v>
      </c>
    </row>
    <row r="5557" spans="1:7" ht="16.149999999999999" x14ac:dyDescent="0.7">
      <c r="A5557" s="49">
        <v>44845.935205891205</v>
      </c>
      <c r="B5557" s="50" t="s">
        <v>148</v>
      </c>
      <c r="C5557" s="50" t="s">
        <v>546</v>
      </c>
      <c r="D5557" s="50" t="s">
        <v>259</v>
      </c>
      <c r="E5557" s="50">
        <v>-1</v>
      </c>
      <c r="F5557" s="51">
        <v>-0.16806292084017871</v>
      </c>
      <c r="G5557" s="51" t="str">
        <v>橋元 2022/11/15 (火)
平日夜間</v>
      </c>
    </row>
    <row r="5558" spans="1:7" ht="16.149999999999999" x14ac:dyDescent="0.7">
      <c r="A5558" s="49">
        <v>44845.935205891205</v>
      </c>
      <c r="B5558" s="50" t="s">
        <v>148</v>
      </c>
      <c r="C5558" s="50" t="s">
        <v>547</v>
      </c>
      <c r="D5558" s="50" t="s">
        <v>259</v>
      </c>
      <c r="E5558" s="50">
        <v>-1</v>
      </c>
      <c r="F5558" s="51">
        <v>-5.5761992164615304E-2</v>
      </c>
      <c r="G5558" s="51" t="str">
        <v>橋元 2022/11/16 (水)
平日夜間</v>
      </c>
    </row>
    <row r="5559" spans="1:7" ht="16.149999999999999" x14ac:dyDescent="0.7">
      <c r="A5559" s="49">
        <v>44845.935205891205</v>
      </c>
      <c r="B5559" s="50" t="s">
        <v>148</v>
      </c>
      <c r="C5559" s="50" t="s">
        <v>548</v>
      </c>
      <c r="D5559" s="50" t="s">
        <v>259</v>
      </c>
      <c r="E5559" s="50">
        <v>2</v>
      </c>
      <c r="F5559" s="51">
        <v>2.0419097170139069</v>
      </c>
      <c r="G5559" s="51" t="str">
        <v>橋元 2022/11/17 (木)
平日夜間</v>
      </c>
    </row>
    <row r="5560" spans="1:7" ht="16.149999999999999" x14ac:dyDescent="0.7">
      <c r="A5560" s="49">
        <v>44845.935205891205</v>
      </c>
      <c r="B5560" s="50" t="s">
        <v>148</v>
      </c>
      <c r="C5560" s="50" t="s">
        <v>549</v>
      </c>
      <c r="D5560" s="50" t="s">
        <v>259</v>
      </c>
      <c r="E5560" s="50">
        <v>-1</v>
      </c>
      <c r="F5560" s="51">
        <v>-0.72302094198782907</v>
      </c>
      <c r="G5560" s="51" t="str">
        <v>橋元 2022/11/18 (金)
平日夜間</v>
      </c>
    </row>
    <row r="5561" spans="1:7" ht="16.149999999999999" x14ac:dyDescent="0.7">
      <c r="A5561" s="49">
        <v>44845.935205891205</v>
      </c>
      <c r="B5561" s="50" t="s">
        <v>148</v>
      </c>
      <c r="C5561" s="50" t="s">
        <v>550</v>
      </c>
      <c r="D5561" s="50" t="s">
        <v>263</v>
      </c>
      <c r="E5561" s="50">
        <v>1</v>
      </c>
      <c r="F5561" s="51">
        <v>1.9657250323423796</v>
      </c>
      <c r="G5561" s="51" t="str">
        <v>橋元 2022/11/19 (土)
休日午前</v>
      </c>
    </row>
    <row r="5562" spans="1:7" ht="16.149999999999999" x14ac:dyDescent="0.7">
      <c r="A5562" s="49">
        <v>44845.935205891205</v>
      </c>
      <c r="B5562" s="50" t="s">
        <v>148</v>
      </c>
      <c r="C5562" s="50" t="s">
        <v>551</v>
      </c>
      <c r="D5562" s="50" t="s">
        <v>261</v>
      </c>
      <c r="E5562" s="50">
        <v>-1</v>
      </c>
      <c r="F5562" s="51">
        <v>-0.82698433212634459</v>
      </c>
      <c r="G5562" s="51" t="str">
        <v>橋元 2022/11/19 (土)
休日午後</v>
      </c>
    </row>
    <row r="5563" spans="1:7" ht="16.149999999999999" x14ac:dyDescent="0.7">
      <c r="A5563" s="49">
        <v>44845.935205891205</v>
      </c>
      <c r="B5563" s="50" t="s">
        <v>148</v>
      </c>
      <c r="C5563" s="50" t="s">
        <v>552</v>
      </c>
      <c r="D5563" s="50" t="s">
        <v>263</v>
      </c>
      <c r="E5563" s="50">
        <v>-1</v>
      </c>
      <c r="F5563" s="51">
        <v>-0.8928157389109368</v>
      </c>
      <c r="G5563" s="51" t="str">
        <v>橋元 2022/11/20 (日)
休日午前</v>
      </c>
    </row>
    <row r="5564" spans="1:7" ht="16.149999999999999" x14ac:dyDescent="0.7">
      <c r="A5564" s="49">
        <v>44845.935205891205</v>
      </c>
      <c r="B5564" s="50" t="s">
        <v>148</v>
      </c>
      <c r="C5564" s="50" t="s">
        <v>553</v>
      </c>
      <c r="D5564" s="50" t="s">
        <v>261</v>
      </c>
      <c r="E5564" s="50">
        <v>-1</v>
      </c>
      <c r="F5564" s="51">
        <v>-0.34476929133322187</v>
      </c>
      <c r="G5564" s="51" t="str">
        <v>橋元 2022/11/20 (日)
休日午後</v>
      </c>
    </row>
    <row r="5565" spans="1:7" ht="16.149999999999999" x14ac:dyDescent="0.7">
      <c r="A5565" s="49">
        <v>44845.935205891205</v>
      </c>
      <c r="B5565" s="50" t="s">
        <v>148</v>
      </c>
      <c r="C5565" s="50" t="s">
        <v>554</v>
      </c>
      <c r="D5565" s="50" t="s">
        <v>259</v>
      </c>
      <c r="E5565" s="50">
        <v>0</v>
      </c>
      <c r="F5565" s="51">
        <v>4.0368642004249722E-2</v>
      </c>
      <c r="G5565" s="51" t="str">
        <v>橋元 2022/11/21 (月)
平日夜間</v>
      </c>
    </row>
    <row r="5566" spans="1:7" ht="16.149999999999999" x14ac:dyDescent="0.7">
      <c r="A5566" s="49">
        <v>44845.935205891205</v>
      </c>
      <c r="B5566" s="50" t="s">
        <v>148</v>
      </c>
      <c r="C5566" s="50" t="s">
        <v>555</v>
      </c>
      <c r="D5566" s="50" t="s">
        <v>259</v>
      </c>
      <c r="E5566" s="50">
        <v>-1</v>
      </c>
      <c r="F5566" s="51">
        <v>-9.6590144421491164E-3</v>
      </c>
      <c r="G5566" s="51" t="str">
        <v>橋元 2022/11/22 (火)
平日夜間</v>
      </c>
    </row>
    <row r="5567" spans="1:7" ht="16.149999999999999" x14ac:dyDescent="0.7">
      <c r="A5567" s="49">
        <v>44845.935205891205</v>
      </c>
      <c r="B5567" s="50" t="s">
        <v>148</v>
      </c>
      <c r="C5567" s="50" t="s">
        <v>568</v>
      </c>
      <c r="D5567" s="50" t="s">
        <v>263</v>
      </c>
      <c r="E5567" s="50">
        <v>-1</v>
      </c>
      <c r="F5567" s="51">
        <v>-0.38867003688391732</v>
      </c>
      <c r="G5567" s="51" t="str">
        <v>橋元 2022/11/23 (水)
休日午前</v>
      </c>
    </row>
    <row r="5568" spans="1:7" ht="16.149999999999999" x14ac:dyDescent="0.7">
      <c r="A5568" s="49">
        <v>44845.935205891205</v>
      </c>
      <c r="B5568" s="50" t="s">
        <v>148</v>
      </c>
      <c r="C5568" s="50" t="s">
        <v>569</v>
      </c>
      <c r="D5568" s="50" t="s">
        <v>261</v>
      </c>
      <c r="E5568" s="50">
        <v>-1</v>
      </c>
      <c r="F5568" s="51">
        <v>-0.2155968352299773</v>
      </c>
      <c r="G5568" s="51" t="str">
        <v>橋元 2022/11/23 (水)
休日午後</v>
      </c>
    </row>
    <row r="5569" spans="1:7" ht="16.149999999999999" x14ac:dyDescent="0.7">
      <c r="A5569" s="49">
        <v>44845.935205891205</v>
      </c>
      <c r="B5569" s="50" t="s">
        <v>148</v>
      </c>
      <c r="C5569" s="50" t="s">
        <v>557</v>
      </c>
      <c r="D5569" s="50" t="s">
        <v>259</v>
      </c>
      <c r="E5569" s="50">
        <v>0</v>
      </c>
      <c r="F5569" s="51">
        <v>0.40191020941170974</v>
      </c>
      <c r="G5569" s="51" t="str">
        <v>橋元 2022/11/24 (木)
平日夜間</v>
      </c>
    </row>
    <row r="5570" spans="1:7" ht="16.149999999999999" x14ac:dyDescent="0.7">
      <c r="A5570" s="49">
        <v>44845.935205891205</v>
      </c>
      <c r="B5570" s="50" t="s">
        <v>148</v>
      </c>
      <c r="C5570" s="50" t="s">
        <v>558</v>
      </c>
      <c r="D5570" s="50" t="s">
        <v>259</v>
      </c>
      <c r="E5570" s="50">
        <v>-1</v>
      </c>
      <c r="F5570" s="51">
        <v>-0.16110366912371332</v>
      </c>
      <c r="G5570" s="51" t="str">
        <v>橋元 2022/11/25 (金)
平日夜間</v>
      </c>
    </row>
    <row r="5571" spans="1:7" ht="16.149999999999999" x14ac:dyDescent="0.7">
      <c r="A5571" s="49">
        <v>44845.935205891205</v>
      </c>
      <c r="B5571" s="50" t="s">
        <v>148</v>
      </c>
      <c r="C5571" s="50" t="s">
        <v>559</v>
      </c>
      <c r="D5571" s="50" t="s">
        <v>263</v>
      </c>
      <c r="E5571" s="50">
        <v>1</v>
      </c>
      <c r="F5571" s="51">
        <v>1.9909437063840454</v>
      </c>
      <c r="G5571" s="51" t="str">
        <v>橋元 2022/11/26 (土)
休日午前</v>
      </c>
    </row>
    <row r="5572" spans="1:7" ht="16.149999999999999" x14ac:dyDescent="0.7">
      <c r="A5572" s="49">
        <v>44845.935205891205</v>
      </c>
      <c r="B5572" s="50" t="s">
        <v>148</v>
      </c>
      <c r="C5572" s="50" t="s">
        <v>560</v>
      </c>
      <c r="D5572" s="50" t="s">
        <v>261</v>
      </c>
      <c r="E5572" s="50">
        <v>-1</v>
      </c>
      <c r="F5572" s="51">
        <v>-0.8158588389407988</v>
      </c>
      <c r="G5572" s="51" t="str">
        <v>橋元 2022/11/26 (土)
休日午後</v>
      </c>
    </row>
    <row r="5573" spans="1:7" ht="16.149999999999999" x14ac:dyDescent="0.7">
      <c r="A5573" s="49">
        <v>44845.935205891205</v>
      </c>
      <c r="B5573" s="50" t="s">
        <v>148</v>
      </c>
      <c r="C5573" s="50" t="s">
        <v>561</v>
      </c>
      <c r="D5573" s="50" t="s">
        <v>263</v>
      </c>
      <c r="E5573" s="50">
        <v>-1</v>
      </c>
      <c r="F5573" s="51">
        <v>-0.95330776577986565</v>
      </c>
      <c r="G5573" s="51" t="str">
        <v>橋元 2022/11/27 (日)
休日午前</v>
      </c>
    </row>
    <row r="5574" spans="1:7" ht="16.149999999999999" x14ac:dyDescent="0.7">
      <c r="A5574" s="49">
        <v>44845.935205891205</v>
      </c>
      <c r="B5574" s="50" t="s">
        <v>148</v>
      </c>
      <c r="C5574" s="50" t="s">
        <v>562</v>
      </c>
      <c r="D5574" s="50" t="s">
        <v>261</v>
      </c>
      <c r="E5574" s="50">
        <v>-1</v>
      </c>
      <c r="F5574" s="51">
        <v>-0.77858625516564994</v>
      </c>
      <c r="G5574" s="51" t="str">
        <v>橋元 2022/11/27 (日)
休日午後</v>
      </c>
    </row>
    <row r="5575" spans="1:7" ht="16.149999999999999" x14ac:dyDescent="0.7">
      <c r="A5575" s="49">
        <v>44845.935205891205</v>
      </c>
      <c r="B5575" s="50" t="s">
        <v>148</v>
      </c>
      <c r="C5575" s="50" t="s">
        <v>563</v>
      </c>
      <c r="D5575" s="50" t="s">
        <v>259</v>
      </c>
      <c r="E5575" s="50">
        <v>0</v>
      </c>
      <c r="F5575" s="51">
        <v>0.91502783885117078</v>
      </c>
      <c r="G5575" s="51" t="str">
        <v>橋元 2022/11/28 (月)
平日夜間</v>
      </c>
    </row>
    <row r="5576" spans="1:7" ht="16.149999999999999" x14ac:dyDescent="0.7">
      <c r="A5576" s="49">
        <v>44845.935205891205</v>
      </c>
      <c r="B5576" s="50" t="s">
        <v>148</v>
      </c>
      <c r="C5576" s="50" t="s">
        <v>564</v>
      </c>
      <c r="D5576" s="50" t="s">
        <v>259</v>
      </c>
      <c r="E5576" s="50">
        <v>0</v>
      </c>
      <c r="F5576" s="51">
        <v>0.62810175975572302</v>
      </c>
      <c r="G5576" s="51" t="str">
        <v>橋元 2022/11/29 (火)
平日夜間</v>
      </c>
    </row>
    <row r="5577" spans="1:7" ht="16.149999999999999" x14ac:dyDescent="0.7">
      <c r="A5577" s="49">
        <v>44845.935205891205</v>
      </c>
      <c r="B5577" s="50" t="s">
        <v>148</v>
      </c>
      <c r="C5577" s="50" t="s">
        <v>565</v>
      </c>
      <c r="D5577" s="50" t="s">
        <v>259</v>
      </c>
      <c r="E5577" s="50">
        <v>-1</v>
      </c>
      <c r="F5577" s="51">
        <v>-0.56745563246822228</v>
      </c>
      <c r="G5577" s="51" t="str">
        <v>橋元 2022/11/30 (水)
平日夜間</v>
      </c>
    </row>
    <row r="5578" spans="1:7" ht="16.149999999999999" x14ac:dyDescent="0.7">
      <c r="A5578" s="49">
        <v>44846.933849039357</v>
      </c>
      <c r="B5578" s="50" t="s">
        <v>6</v>
      </c>
      <c r="C5578" s="50" t="s">
        <v>528</v>
      </c>
      <c r="D5578" s="50" t="s">
        <v>259</v>
      </c>
      <c r="E5578" s="50">
        <v>-1</v>
      </c>
      <c r="F5578" s="51">
        <v>-0.4816077083592647</v>
      </c>
      <c r="G5578" s="51" t="str">
        <v>西谷 2022/11/01 (火)
平日夜間</v>
      </c>
    </row>
    <row r="5579" spans="1:7" ht="16.149999999999999" x14ac:dyDescent="0.7">
      <c r="A5579" s="49">
        <v>44846.933849039357</v>
      </c>
      <c r="B5579" s="50" t="s">
        <v>6</v>
      </c>
      <c r="C5579" s="50" t="s">
        <v>529</v>
      </c>
      <c r="D5579" s="50" t="s">
        <v>259</v>
      </c>
      <c r="E5579" s="50">
        <v>-1</v>
      </c>
      <c r="F5579" s="51">
        <v>-0.57472813165094605</v>
      </c>
      <c r="G5579" s="51" t="str">
        <v>西谷 2022/11/02 (水)
平日夜間</v>
      </c>
    </row>
    <row r="5580" spans="1:7" ht="16.149999999999999" x14ac:dyDescent="0.7">
      <c r="A5580" s="49">
        <v>44846.933849039357</v>
      </c>
      <c r="B5580" s="50" t="s">
        <v>6</v>
      </c>
      <c r="C5580" s="50" t="s">
        <v>566</v>
      </c>
      <c r="D5580" s="50" t="s">
        <v>263</v>
      </c>
      <c r="E5580" s="50">
        <v>-1</v>
      </c>
      <c r="F5580" s="51">
        <v>-0.77781905953558095</v>
      </c>
      <c r="G5580" s="51" t="str">
        <v>西谷 2022/11/03 (木)
休日午前</v>
      </c>
    </row>
    <row r="5581" spans="1:7" ht="16.149999999999999" x14ac:dyDescent="0.7">
      <c r="A5581" s="49">
        <v>44846.933849039357</v>
      </c>
      <c r="B5581" s="50" t="s">
        <v>6</v>
      </c>
      <c r="C5581" s="50" t="s">
        <v>567</v>
      </c>
      <c r="D5581" s="50" t="s">
        <v>261</v>
      </c>
      <c r="E5581" s="50">
        <v>-1</v>
      </c>
      <c r="F5581" s="51">
        <v>-0.56473288157618939</v>
      </c>
      <c r="G5581" s="51" t="str">
        <v>西谷 2022/11/03 (木)
休日午後</v>
      </c>
    </row>
    <row r="5582" spans="1:7" ht="16.149999999999999" x14ac:dyDescent="0.7">
      <c r="A5582" s="49">
        <v>44846.933849039357</v>
      </c>
      <c r="B5582" s="50" t="s">
        <v>6</v>
      </c>
      <c r="C5582" s="50" t="s">
        <v>531</v>
      </c>
      <c r="D5582" s="50" t="s">
        <v>259</v>
      </c>
      <c r="E5582" s="50">
        <v>-1</v>
      </c>
      <c r="F5582" s="51">
        <v>-0.81083674362099067</v>
      </c>
      <c r="G5582" s="51" t="str">
        <v>西谷 2022/11/04 (金)
平日夜間</v>
      </c>
    </row>
    <row r="5583" spans="1:7" ht="16.149999999999999" x14ac:dyDescent="0.7">
      <c r="A5583" s="49">
        <v>44846.933849039357</v>
      </c>
      <c r="B5583" s="50" t="s">
        <v>6</v>
      </c>
      <c r="C5583" s="50" t="s">
        <v>532</v>
      </c>
      <c r="D5583" s="50" t="s">
        <v>263</v>
      </c>
      <c r="E5583" s="50">
        <v>-1</v>
      </c>
      <c r="F5583" s="51">
        <v>-0.93615409017239659</v>
      </c>
      <c r="G5583" s="51" t="str">
        <v>西谷 2022/11/05 (土)
休日午前</v>
      </c>
    </row>
    <row r="5584" spans="1:7" ht="16.149999999999999" x14ac:dyDescent="0.7">
      <c r="A5584" s="49">
        <v>44846.933849039357</v>
      </c>
      <c r="B5584" s="50" t="s">
        <v>6</v>
      </c>
      <c r="C5584" s="50" t="s">
        <v>533</v>
      </c>
      <c r="D5584" s="50" t="s">
        <v>261</v>
      </c>
      <c r="E5584" s="50">
        <v>-1</v>
      </c>
      <c r="F5584" s="51">
        <v>-0.96924827624300747</v>
      </c>
      <c r="G5584" s="51" t="str">
        <v>西谷 2022/11/05 (土)
休日午後</v>
      </c>
    </row>
    <row r="5585" spans="1:7" ht="16.149999999999999" x14ac:dyDescent="0.7">
      <c r="A5585" s="49">
        <v>44846.933849039357</v>
      </c>
      <c r="B5585" s="50" t="s">
        <v>6</v>
      </c>
      <c r="C5585" s="50" t="s">
        <v>534</v>
      </c>
      <c r="D5585" s="50" t="s">
        <v>263</v>
      </c>
      <c r="E5585" s="50">
        <v>0</v>
      </c>
      <c r="F5585" s="51">
        <v>0.66804537014538146</v>
      </c>
      <c r="G5585" s="51" t="str">
        <v>西谷 2022/11/06 (日)
休日午前</v>
      </c>
    </row>
    <row r="5586" spans="1:7" ht="16.149999999999999" x14ac:dyDescent="0.7">
      <c r="A5586" s="49">
        <v>44846.933849039357</v>
      </c>
      <c r="B5586" s="50" t="s">
        <v>6</v>
      </c>
      <c r="C5586" s="50" t="s">
        <v>535</v>
      </c>
      <c r="D5586" s="50" t="s">
        <v>261</v>
      </c>
      <c r="E5586" s="50">
        <v>0</v>
      </c>
      <c r="F5586" s="51">
        <v>0.32950842031393179</v>
      </c>
      <c r="G5586" s="51" t="str">
        <v>西谷 2022/11/06 (日)
休日午後</v>
      </c>
    </row>
    <row r="5587" spans="1:7" ht="16.149999999999999" x14ac:dyDescent="0.7">
      <c r="A5587" s="49">
        <v>44846.933849039357</v>
      </c>
      <c r="B5587" s="50" t="s">
        <v>6</v>
      </c>
      <c r="C5587" s="50" t="s">
        <v>536</v>
      </c>
      <c r="D5587" s="50" t="s">
        <v>259</v>
      </c>
      <c r="E5587" s="50">
        <v>0</v>
      </c>
      <c r="F5587" s="51">
        <v>0.82611908583812554</v>
      </c>
      <c r="G5587" s="51" t="str">
        <v>西谷 2022/11/07 (月)
平日夜間</v>
      </c>
    </row>
    <row r="5588" spans="1:7" ht="16.149999999999999" x14ac:dyDescent="0.7">
      <c r="A5588" s="49">
        <v>44846.933849039357</v>
      </c>
      <c r="B5588" s="50" t="s">
        <v>6</v>
      </c>
      <c r="C5588" s="50" t="s">
        <v>537</v>
      </c>
      <c r="D5588" s="50" t="s">
        <v>259</v>
      </c>
      <c r="E5588" s="50">
        <v>1</v>
      </c>
      <c r="F5588" s="51">
        <v>1.0223508489410238</v>
      </c>
      <c r="G5588" s="51" t="str">
        <v>西谷 2022/11/08 (火)
平日夜間</v>
      </c>
    </row>
    <row r="5589" spans="1:7" ht="16.149999999999999" x14ac:dyDescent="0.7">
      <c r="A5589" s="49">
        <v>44846.933849039357</v>
      </c>
      <c r="B5589" s="50" t="s">
        <v>6</v>
      </c>
      <c r="C5589" s="50" t="s">
        <v>538</v>
      </c>
      <c r="D5589" s="50" t="s">
        <v>259</v>
      </c>
      <c r="E5589" s="50">
        <v>0</v>
      </c>
      <c r="F5589" s="51">
        <v>0.66104596852965436</v>
      </c>
      <c r="G5589" s="51" t="str">
        <v>西谷 2022/11/09 (水)
平日夜間</v>
      </c>
    </row>
    <row r="5590" spans="1:7" ht="16.149999999999999" x14ac:dyDescent="0.7">
      <c r="A5590" s="49">
        <v>44846.933849039357</v>
      </c>
      <c r="B5590" s="50" t="s">
        <v>6</v>
      </c>
      <c r="C5590" s="50" t="s">
        <v>539</v>
      </c>
      <c r="D5590" s="50" t="s">
        <v>259</v>
      </c>
      <c r="E5590" s="50">
        <v>0</v>
      </c>
      <c r="F5590" s="51">
        <v>0.32132267893918542</v>
      </c>
      <c r="G5590" s="51" t="str">
        <v>西谷 2022/11/10 (木)
平日夜間</v>
      </c>
    </row>
    <row r="5591" spans="1:7" ht="16.149999999999999" x14ac:dyDescent="0.7">
      <c r="A5591" s="49">
        <v>44846.933849039357</v>
      </c>
      <c r="B5591" s="50" t="s">
        <v>6</v>
      </c>
      <c r="C5591" s="50" t="s">
        <v>540</v>
      </c>
      <c r="D5591" s="50" t="s">
        <v>259</v>
      </c>
      <c r="E5591" s="50">
        <v>-1</v>
      </c>
      <c r="F5591" s="51">
        <v>-0.39597459051327344</v>
      </c>
      <c r="G5591" s="51" t="str">
        <v>西谷 2022/11/11 (金)
平日夜間</v>
      </c>
    </row>
    <row r="5592" spans="1:7" ht="16.149999999999999" x14ac:dyDescent="0.7">
      <c r="A5592" s="49">
        <v>44846.933849039357</v>
      </c>
      <c r="B5592" s="50" t="s">
        <v>6</v>
      </c>
      <c r="C5592" s="50" t="s">
        <v>541</v>
      </c>
      <c r="D5592" s="50" t="s">
        <v>263</v>
      </c>
      <c r="E5592" s="50">
        <v>0</v>
      </c>
      <c r="F5592" s="51">
        <v>0.82167829327725417</v>
      </c>
      <c r="G5592" s="51" t="str">
        <v>西谷 2022/11/12 (土)
休日午前</v>
      </c>
    </row>
    <row r="5593" spans="1:7" ht="16.149999999999999" x14ac:dyDescent="0.7">
      <c r="A5593" s="49">
        <v>44846.933849039357</v>
      </c>
      <c r="B5593" s="50" t="s">
        <v>6</v>
      </c>
      <c r="C5593" s="50" t="s">
        <v>542</v>
      </c>
      <c r="D5593" s="50" t="s">
        <v>261</v>
      </c>
      <c r="E5593" s="50">
        <v>0</v>
      </c>
      <c r="F5593" s="51">
        <v>0.40992762150161588</v>
      </c>
      <c r="G5593" s="51" t="str">
        <v>西谷 2022/11/12 (土)
休日午後</v>
      </c>
    </row>
    <row r="5594" spans="1:7" ht="16.149999999999999" x14ac:dyDescent="0.7">
      <c r="A5594" s="49">
        <v>44846.933849039357</v>
      </c>
      <c r="B5594" s="50" t="s">
        <v>6</v>
      </c>
      <c r="C5594" s="50" t="s">
        <v>543</v>
      </c>
      <c r="D5594" s="50" t="s">
        <v>263</v>
      </c>
      <c r="E5594" s="50">
        <v>0</v>
      </c>
      <c r="F5594" s="51">
        <v>0.83200471770869822</v>
      </c>
      <c r="G5594" s="51" t="str">
        <v>西谷 2022/11/13 (日)
休日午前</v>
      </c>
    </row>
    <row r="5595" spans="1:7" ht="16.149999999999999" x14ac:dyDescent="0.7">
      <c r="A5595" s="49">
        <v>44846.933849039357</v>
      </c>
      <c r="B5595" s="50" t="s">
        <v>6</v>
      </c>
      <c r="C5595" s="50" t="s">
        <v>544</v>
      </c>
      <c r="D5595" s="50" t="s">
        <v>261</v>
      </c>
      <c r="E5595" s="50">
        <v>0</v>
      </c>
      <c r="F5595" s="51">
        <v>0.5456681511130963</v>
      </c>
      <c r="G5595" s="51" t="str">
        <v>西谷 2022/11/13 (日)
休日午後</v>
      </c>
    </row>
    <row r="5596" spans="1:7" ht="16.149999999999999" x14ac:dyDescent="0.7">
      <c r="A5596" s="49">
        <v>44846.933849039357</v>
      </c>
      <c r="B5596" s="50" t="s">
        <v>6</v>
      </c>
      <c r="C5596" s="50" t="s">
        <v>545</v>
      </c>
      <c r="D5596" s="50" t="s">
        <v>259</v>
      </c>
      <c r="E5596" s="50">
        <v>0</v>
      </c>
      <c r="F5596" s="51">
        <v>0.11910226997129092</v>
      </c>
      <c r="G5596" s="51" t="str">
        <v>西谷 2022/11/14 (月)
平日夜間</v>
      </c>
    </row>
    <row r="5597" spans="1:7" ht="16.149999999999999" x14ac:dyDescent="0.7">
      <c r="A5597" s="49">
        <v>44846.933849039357</v>
      </c>
      <c r="B5597" s="50" t="s">
        <v>6</v>
      </c>
      <c r="C5597" s="50" t="s">
        <v>546</v>
      </c>
      <c r="D5597" s="50" t="s">
        <v>259</v>
      </c>
      <c r="E5597" s="50">
        <v>0</v>
      </c>
      <c r="F5597" s="51">
        <v>0.42337774936395056</v>
      </c>
      <c r="G5597" s="51" t="str">
        <v>西谷 2022/11/15 (火)
平日夜間</v>
      </c>
    </row>
    <row r="5598" spans="1:7" ht="16.149999999999999" x14ac:dyDescent="0.7">
      <c r="A5598" s="49">
        <v>44846.933849039357</v>
      </c>
      <c r="B5598" s="50" t="s">
        <v>6</v>
      </c>
      <c r="C5598" s="50" t="s">
        <v>547</v>
      </c>
      <c r="D5598" s="50" t="s">
        <v>259</v>
      </c>
      <c r="E5598" s="50">
        <v>0</v>
      </c>
      <c r="F5598" s="51">
        <v>0.42776037734900529</v>
      </c>
      <c r="G5598" s="51" t="str">
        <v>西谷 2022/11/16 (水)
平日夜間</v>
      </c>
    </row>
    <row r="5599" spans="1:7" ht="16.149999999999999" x14ac:dyDescent="0.7">
      <c r="A5599" s="49">
        <v>44846.933849039357</v>
      </c>
      <c r="B5599" s="50" t="s">
        <v>6</v>
      </c>
      <c r="C5599" s="50" t="s">
        <v>548</v>
      </c>
      <c r="D5599" s="50" t="s">
        <v>259</v>
      </c>
      <c r="E5599" s="50">
        <v>0</v>
      </c>
      <c r="F5599" s="51">
        <v>0.87128256211793054</v>
      </c>
      <c r="G5599" s="51" t="str">
        <v>西谷 2022/11/17 (木)
平日夜間</v>
      </c>
    </row>
    <row r="5600" spans="1:7" ht="16.149999999999999" x14ac:dyDescent="0.7">
      <c r="A5600" s="49">
        <v>44846.933849039357</v>
      </c>
      <c r="B5600" s="50" t="s">
        <v>6</v>
      </c>
      <c r="C5600" s="50" t="s">
        <v>549</v>
      </c>
      <c r="D5600" s="50" t="s">
        <v>259</v>
      </c>
      <c r="E5600" s="50">
        <v>-1</v>
      </c>
      <c r="F5600" s="51">
        <v>-0.81452374255072058</v>
      </c>
      <c r="G5600" s="51" t="str">
        <v>西谷 2022/11/18 (金)
平日夜間</v>
      </c>
    </row>
    <row r="5601" spans="1:7" ht="16.149999999999999" x14ac:dyDescent="0.7">
      <c r="A5601" s="49">
        <v>44846.933849039357</v>
      </c>
      <c r="B5601" s="50" t="s">
        <v>6</v>
      </c>
      <c r="C5601" s="50" t="s">
        <v>550</v>
      </c>
      <c r="D5601" s="50" t="s">
        <v>263</v>
      </c>
      <c r="E5601" s="50">
        <v>-1</v>
      </c>
      <c r="F5601" s="51">
        <v>-0.76768853745355781</v>
      </c>
      <c r="G5601" s="51" t="str">
        <v>西谷 2022/11/19 (土)
休日午前</v>
      </c>
    </row>
    <row r="5602" spans="1:7" ht="16.149999999999999" x14ac:dyDescent="0.7">
      <c r="A5602" s="49">
        <v>44846.933849039357</v>
      </c>
      <c r="B5602" s="50" t="s">
        <v>6</v>
      </c>
      <c r="C5602" s="50" t="s">
        <v>551</v>
      </c>
      <c r="D5602" s="50" t="s">
        <v>261</v>
      </c>
      <c r="E5602" s="50">
        <v>0</v>
      </c>
      <c r="F5602" s="51">
        <v>0.33113768732964477</v>
      </c>
      <c r="G5602" s="51" t="str">
        <v>西谷 2022/11/19 (土)
休日午後</v>
      </c>
    </row>
    <row r="5603" spans="1:7" ht="16.149999999999999" x14ac:dyDescent="0.7">
      <c r="A5603" s="49">
        <v>44846.933849039357</v>
      </c>
      <c r="B5603" s="50" t="s">
        <v>6</v>
      </c>
      <c r="C5603" s="50" t="s">
        <v>552</v>
      </c>
      <c r="D5603" s="50" t="s">
        <v>263</v>
      </c>
      <c r="E5603" s="50">
        <v>-1</v>
      </c>
      <c r="F5603" s="51">
        <v>-0.98355097531108959</v>
      </c>
      <c r="G5603" s="51" t="str">
        <v>西谷 2022/11/20 (日)
休日午前</v>
      </c>
    </row>
    <row r="5604" spans="1:7" ht="16.149999999999999" x14ac:dyDescent="0.7">
      <c r="A5604" s="49">
        <v>44846.933849039357</v>
      </c>
      <c r="B5604" s="50" t="s">
        <v>6</v>
      </c>
      <c r="C5604" s="50" t="s">
        <v>553</v>
      </c>
      <c r="D5604" s="50" t="s">
        <v>261</v>
      </c>
      <c r="E5604" s="50">
        <v>0</v>
      </c>
      <c r="F5604" s="51">
        <v>0.6014967900862993</v>
      </c>
      <c r="G5604" s="51" t="str">
        <v>西谷 2022/11/20 (日)
休日午後</v>
      </c>
    </row>
    <row r="5605" spans="1:7" ht="16.149999999999999" x14ac:dyDescent="0.7">
      <c r="A5605" s="49">
        <v>44846.933849039357</v>
      </c>
      <c r="B5605" s="50" t="s">
        <v>6</v>
      </c>
      <c r="C5605" s="50" t="s">
        <v>554</v>
      </c>
      <c r="D5605" s="50" t="s">
        <v>259</v>
      </c>
      <c r="E5605" s="50">
        <v>0</v>
      </c>
      <c r="F5605" s="51">
        <v>0.17772706630508761</v>
      </c>
      <c r="G5605" s="51" t="str">
        <v>西谷 2022/11/21 (月)
平日夜間</v>
      </c>
    </row>
    <row r="5606" spans="1:7" ht="16.149999999999999" x14ac:dyDescent="0.7">
      <c r="A5606" s="49">
        <v>44846.933849039357</v>
      </c>
      <c r="B5606" s="50" t="s">
        <v>6</v>
      </c>
      <c r="C5606" s="50" t="s">
        <v>555</v>
      </c>
      <c r="D5606" s="50" t="s">
        <v>259</v>
      </c>
      <c r="E5606" s="50">
        <v>-1</v>
      </c>
      <c r="F5606" s="51">
        <v>-0.68634964301772472</v>
      </c>
      <c r="G5606" s="51" t="str">
        <v>西谷 2022/11/22 (火)
平日夜間</v>
      </c>
    </row>
    <row r="5607" spans="1:7" ht="16.149999999999999" x14ac:dyDescent="0.7">
      <c r="A5607" s="49">
        <v>44846.933849039357</v>
      </c>
      <c r="B5607" s="50" t="s">
        <v>6</v>
      </c>
      <c r="C5607" s="50" t="s">
        <v>568</v>
      </c>
      <c r="D5607" s="50" t="s">
        <v>263</v>
      </c>
      <c r="E5607" s="50">
        <v>-1</v>
      </c>
      <c r="F5607" s="51">
        <v>-0.71149001040781257</v>
      </c>
      <c r="G5607" s="51" t="str">
        <v>西谷 2022/11/23 (水)
休日午前</v>
      </c>
    </row>
    <row r="5608" spans="1:7" ht="16.149999999999999" x14ac:dyDescent="0.7">
      <c r="A5608" s="49">
        <v>44846.933849039357</v>
      </c>
      <c r="B5608" s="50" t="s">
        <v>6</v>
      </c>
      <c r="C5608" s="50" t="s">
        <v>569</v>
      </c>
      <c r="D5608" s="50" t="s">
        <v>261</v>
      </c>
      <c r="E5608" s="50">
        <v>0</v>
      </c>
      <c r="F5608" s="51">
        <v>0.81588158444578274</v>
      </c>
      <c r="G5608" s="51" t="str">
        <v>西谷 2022/11/23 (水)
休日午後</v>
      </c>
    </row>
    <row r="5609" spans="1:7" ht="16.149999999999999" x14ac:dyDescent="0.7">
      <c r="A5609" s="49">
        <v>44846.933849039357</v>
      </c>
      <c r="B5609" s="50" t="s">
        <v>6</v>
      </c>
      <c r="C5609" s="50" t="s">
        <v>557</v>
      </c>
      <c r="D5609" s="50" t="s">
        <v>259</v>
      </c>
      <c r="E5609" s="50">
        <v>-1</v>
      </c>
      <c r="F5609" s="51">
        <v>-0.77318851506008435</v>
      </c>
      <c r="G5609" s="51" t="str">
        <v>西谷 2022/11/24 (木)
平日夜間</v>
      </c>
    </row>
    <row r="5610" spans="1:7" ht="16.149999999999999" x14ac:dyDescent="0.7">
      <c r="A5610" s="49">
        <v>44846.933849039357</v>
      </c>
      <c r="B5610" s="50" t="s">
        <v>6</v>
      </c>
      <c r="C5610" s="50" t="s">
        <v>558</v>
      </c>
      <c r="D5610" s="50" t="s">
        <v>259</v>
      </c>
      <c r="E5610" s="50">
        <v>0</v>
      </c>
      <c r="F5610" s="51">
        <v>0.798029798326922</v>
      </c>
      <c r="G5610" s="51" t="str">
        <v>西谷 2022/11/25 (金)
平日夜間</v>
      </c>
    </row>
    <row r="5611" spans="1:7" ht="16.149999999999999" x14ac:dyDescent="0.7">
      <c r="A5611" s="49">
        <v>44846.933849039357</v>
      </c>
      <c r="B5611" s="50" t="s">
        <v>6</v>
      </c>
      <c r="C5611" s="50" t="s">
        <v>559</v>
      </c>
      <c r="D5611" s="50" t="s">
        <v>263</v>
      </c>
      <c r="E5611" s="50">
        <v>0</v>
      </c>
      <c r="F5611" s="51">
        <v>0.3579126214529913</v>
      </c>
      <c r="G5611" s="51" t="str">
        <v>西谷 2022/11/26 (土)
休日午前</v>
      </c>
    </row>
    <row r="5612" spans="1:7" ht="16.149999999999999" x14ac:dyDescent="0.7">
      <c r="A5612" s="49">
        <v>44846.933849039357</v>
      </c>
      <c r="B5612" s="50" t="s">
        <v>6</v>
      </c>
      <c r="C5612" s="50" t="s">
        <v>560</v>
      </c>
      <c r="D5612" s="50" t="s">
        <v>261</v>
      </c>
      <c r="E5612" s="50">
        <v>0</v>
      </c>
      <c r="F5612" s="51">
        <v>0.60150230587125653</v>
      </c>
      <c r="G5612" s="51" t="str">
        <v>西谷 2022/11/26 (土)
休日午後</v>
      </c>
    </row>
    <row r="5613" spans="1:7" ht="16.149999999999999" x14ac:dyDescent="0.7">
      <c r="A5613" s="49">
        <v>44846.933849039357</v>
      </c>
      <c r="B5613" s="50" t="s">
        <v>6</v>
      </c>
      <c r="C5613" s="50" t="s">
        <v>561</v>
      </c>
      <c r="D5613" s="50" t="s">
        <v>263</v>
      </c>
      <c r="E5613" s="50">
        <v>0</v>
      </c>
      <c r="F5613" s="51">
        <v>0.15303777411689268</v>
      </c>
      <c r="G5613" s="51" t="str">
        <v>西谷 2022/11/27 (日)
休日午前</v>
      </c>
    </row>
    <row r="5614" spans="1:7" ht="16.149999999999999" x14ac:dyDescent="0.7">
      <c r="A5614" s="49">
        <v>44846.933849039357</v>
      </c>
      <c r="B5614" s="50" t="s">
        <v>6</v>
      </c>
      <c r="C5614" s="50" t="s">
        <v>562</v>
      </c>
      <c r="D5614" s="50" t="s">
        <v>261</v>
      </c>
      <c r="E5614" s="50">
        <v>0</v>
      </c>
      <c r="F5614" s="51">
        <v>0.11559434387662249</v>
      </c>
      <c r="G5614" s="51" t="str">
        <v>西谷 2022/11/27 (日)
休日午後</v>
      </c>
    </row>
    <row r="5615" spans="1:7" ht="16.149999999999999" x14ac:dyDescent="0.7">
      <c r="A5615" s="49">
        <v>44846.933849039357</v>
      </c>
      <c r="B5615" s="50" t="s">
        <v>6</v>
      </c>
      <c r="C5615" s="50" t="s">
        <v>563</v>
      </c>
      <c r="D5615" s="50" t="s">
        <v>259</v>
      </c>
      <c r="E5615" s="50">
        <v>0</v>
      </c>
      <c r="F5615" s="51">
        <v>0.31870978100783276</v>
      </c>
      <c r="G5615" s="51" t="str">
        <v>西谷 2022/11/28 (月)
平日夜間</v>
      </c>
    </row>
    <row r="5616" spans="1:7" ht="16.149999999999999" x14ac:dyDescent="0.7">
      <c r="A5616" s="49">
        <v>44846.933849039357</v>
      </c>
      <c r="B5616" s="50" t="s">
        <v>6</v>
      </c>
      <c r="C5616" s="50" t="s">
        <v>564</v>
      </c>
      <c r="D5616" s="50" t="s">
        <v>259</v>
      </c>
      <c r="E5616" s="50">
        <v>0</v>
      </c>
      <c r="F5616" s="51">
        <v>9.9949042121843634E-2</v>
      </c>
      <c r="G5616" s="51" t="str">
        <v>西谷 2022/11/29 (火)
平日夜間</v>
      </c>
    </row>
    <row r="5617" spans="1:7" ht="16.149999999999999" x14ac:dyDescent="0.7">
      <c r="A5617" s="49">
        <v>44846.933849039357</v>
      </c>
      <c r="B5617" s="50" t="s">
        <v>6</v>
      </c>
      <c r="C5617" s="50" t="s">
        <v>565</v>
      </c>
      <c r="D5617" s="50" t="s">
        <v>259</v>
      </c>
      <c r="E5617" s="50">
        <v>0</v>
      </c>
      <c r="F5617" s="51">
        <v>0.14015226619372823</v>
      </c>
      <c r="G5617" s="51" t="str">
        <v>西谷 2022/11/30 (水)
平日夜間</v>
      </c>
    </row>
    <row r="5618" spans="1:7" ht="16.149999999999999" x14ac:dyDescent="0.7">
      <c r="A5618" s="49">
        <v>44847.437585115738</v>
      </c>
      <c r="B5618" s="50" t="s">
        <v>14</v>
      </c>
      <c r="C5618" s="50" t="s">
        <v>528</v>
      </c>
      <c r="D5618" s="50" t="s">
        <v>259</v>
      </c>
      <c r="E5618" s="50">
        <v>0</v>
      </c>
      <c r="F5618" s="51">
        <v>0.54939924777982219</v>
      </c>
      <c r="G5618" s="51" t="str">
        <v>林智 2022/11/01 (火)
平日夜間</v>
      </c>
    </row>
    <row r="5619" spans="1:7" ht="16.149999999999999" x14ac:dyDescent="0.7">
      <c r="A5619" s="49">
        <v>44847.437585115738</v>
      </c>
      <c r="B5619" s="50" t="s">
        <v>14</v>
      </c>
      <c r="C5619" s="50" t="s">
        <v>529</v>
      </c>
      <c r="D5619" s="50" t="s">
        <v>259</v>
      </c>
      <c r="E5619" s="50">
        <v>0</v>
      </c>
      <c r="F5619" s="51">
        <v>0.30883931669155285</v>
      </c>
      <c r="G5619" s="51" t="str">
        <v>林智 2022/11/02 (水)
平日夜間</v>
      </c>
    </row>
    <row r="5620" spans="1:7" ht="16.149999999999999" x14ac:dyDescent="0.7">
      <c r="A5620" s="49">
        <v>44847.437585115738</v>
      </c>
      <c r="B5620" s="50" t="s">
        <v>14</v>
      </c>
      <c r="C5620" s="50" t="s">
        <v>566</v>
      </c>
      <c r="D5620" s="50" t="s">
        <v>263</v>
      </c>
      <c r="E5620" s="50">
        <v>-1</v>
      </c>
      <c r="F5620" s="51">
        <v>-8.9246730054159285E-2</v>
      </c>
      <c r="G5620" s="51" t="str">
        <v>林智 2022/11/03 (木)
休日午前</v>
      </c>
    </row>
    <row r="5621" spans="1:7" ht="16.149999999999999" x14ac:dyDescent="0.7">
      <c r="A5621" s="49">
        <v>44847.437585115738</v>
      </c>
      <c r="B5621" s="50" t="s">
        <v>14</v>
      </c>
      <c r="C5621" s="50" t="s">
        <v>567</v>
      </c>
      <c r="D5621" s="50" t="s">
        <v>261</v>
      </c>
      <c r="E5621" s="50">
        <v>-1</v>
      </c>
      <c r="F5621" s="51">
        <v>-0.69295133246150953</v>
      </c>
      <c r="G5621" s="51" t="str">
        <v>林智 2022/11/03 (木)
休日午後</v>
      </c>
    </row>
    <row r="5622" spans="1:7" ht="16.149999999999999" x14ac:dyDescent="0.7">
      <c r="A5622" s="49">
        <v>44847.437585115738</v>
      </c>
      <c r="B5622" s="50" t="s">
        <v>14</v>
      </c>
      <c r="C5622" s="50" t="s">
        <v>531</v>
      </c>
      <c r="D5622" s="50" t="s">
        <v>259</v>
      </c>
      <c r="E5622" s="50">
        <v>0</v>
      </c>
      <c r="F5622" s="51">
        <v>3.8557610654884389E-2</v>
      </c>
      <c r="G5622" s="51" t="str">
        <v>林智 2022/11/04 (金)
平日夜間</v>
      </c>
    </row>
    <row r="5623" spans="1:7" ht="16.149999999999999" x14ac:dyDescent="0.7">
      <c r="A5623" s="49">
        <v>44847.437585115738</v>
      </c>
      <c r="B5623" s="50" t="s">
        <v>14</v>
      </c>
      <c r="C5623" s="50" t="s">
        <v>532</v>
      </c>
      <c r="D5623" s="50" t="s">
        <v>263</v>
      </c>
      <c r="E5623" s="50">
        <v>-1</v>
      </c>
      <c r="F5623" s="51">
        <v>-0.18724637137182754</v>
      </c>
      <c r="G5623" s="51" t="str">
        <v>林智 2022/11/05 (土)
休日午前</v>
      </c>
    </row>
    <row r="5624" spans="1:7" ht="16.149999999999999" x14ac:dyDescent="0.7">
      <c r="A5624" s="49">
        <v>44847.437585115738</v>
      </c>
      <c r="B5624" s="50" t="s">
        <v>14</v>
      </c>
      <c r="C5624" s="50" t="s">
        <v>533</v>
      </c>
      <c r="D5624" s="50" t="s">
        <v>261</v>
      </c>
      <c r="E5624" s="50">
        <v>-1</v>
      </c>
      <c r="F5624" s="51">
        <v>-0.14045822351735171</v>
      </c>
      <c r="G5624" s="51" t="str">
        <v>林智 2022/11/05 (土)
休日午後</v>
      </c>
    </row>
    <row r="5625" spans="1:7" ht="16.149999999999999" x14ac:dyDescent="0.7">
      <c r="A5625" s="49">
        <v>44847.437585115738</v>
      </c>
      <c r="B5625" s="50" t="s">
        <v>14</v>
      </c>
      <c r="C5625" s="50" t="s">
        <v>534</v>
      </c>
      <c r="D5625" s="50" t="s">
        <v>263</v>
      </c>
      <c r="E5625" s="50">
        <v>-1</v>
      </c>
      <c r="F5625" s="51">
        <v>-0.16887750063683415</v>
      </c>
      <c r="G5625" s="51" t="str">
        <v>林智 2022/11/06 (日)
休日午前</v>
      </c>
    </row>
    <row r="5626" spans="1:7" ht="16.149999999999999" x14ac:dyDescent="0.7">
      <c r="A5626" s="49">
        <v>44847.437585115738</v>
      </c>
      <c r="B5626" s="50" t="s">
        <v>14</v>
      </c>
      <c r="C5626" s="50" t="s">
        <v>535</v>
      </c>
      <c r="D5626" s="50" t="s">
        <v>261</v>
      </c>
      <c r="E5626" s="50">
        <v>-1</v>
      </c>
      <c r="F5626" s="51">
        <v>-7.438100677286652E-2</v>
      </c>
      <c r="G5626" s="51" t="str">
        <v>林智 2022/11/06 (日)
休日午後</v>
      </c>
    </row>
    <row r="5627" spans="1:7" ht="16.149999999999999" x14ac:dyDescent="0.7">
      <c r="A5627" s="49">
        <v>44847.437585115738</v>
      </c>
      <c r="B5627" s="50" t="s">
        <v>14</v>
      </c>
      <c r="C5627" s="50" t="s">
        <v>536</v>
      </c>
      <c r="D5627" s="50" t="s">
        <v>259</v>
      </c>
      <c r="E5627" s="50">
        <v>0</v>
      </c>
      <c r="F5627" s="51">
        <v>0.7620171285866324</v>
      </c>
      <c r="G5627" s="51" t="str">
        <v>林智 2022/11/07 (月)
平日夜間</v>
      </c>
    </row>
    <row r="5628" spans="1:7" ht="16.149999999999999" x14ac:dyDescent="0.7">
      <c r="A5628" s="49">
        <v>44847.437585115738</v>
      </c>
      <c r="B5628" s="50" t="s">
        <v>14</v>
      </c>
      <c r="C5628" s="50" t="s">
        <v>537</v>
      </c>
      <c r="D5628" s="50" t="s">
        <v>259</v>
      </c>
      <c r="E5628" s="50">
        <v>0</v>
      </c>
      <c r="F5628" s="51">
        <v>0.48046414046522523</v>
      </c>
      <c r="G5628" s="51" t="str">
        <v>林智 2022/11/08 (火)
平日夜間</v>
      </c>
    </row>
    <row r="5629" spans="1:7" ht="16.149999999999999" x14ac:dyDescent="0.7">
      <c r="A5629" s="49">
        <v>44847.437585115738</v>
      </c>
      <c r="B5629" s="50" t="s">
        <v>14</v>
      </c>
      <c r="C5629" s="50" t="s">
        <v>538</v>
      </c>
      <c r="D5629" s="50" t="s">
        <v>259</v>
      </c>
      <c r="E5629" s="50">
        <v>0</v>
      </c>
      <c r="F5629" s="51">
        <v>0.67091656577636316</v>
      </c>
      <c r="G5629" s="51" t="str">
        <v>林智 2022/11/09 (水)
平日夜間</v>
      </c>
    </row>
    <row r="5630" spans="1:7" ht="16.149999999999999" x14ac:dyDescent="0.7">
      <c r="A5630" s="49">
        <v>44847.437585115738</v>
      </c>
      <c r="B5630" s="50" t="s">
        <v>14</v>
      </c>
      <c r="C5630" s="50" t="s">
        <v>539</v>
      </c>
      <c r="D5630" s="50" t="s">
        <v>259</v>
      </c>
      <c r="E5630" s="50">
        <v>0</v>
      </c>
      <c r="F5630" s="51">
        <v>0.8151304729154718</v>
      </c>
      <c r="G5630" s="51" t="str">
        <v>林智 2022/11/10 (木)
平日夜間</v>
      </c>
    </row>
    <row r="5631" spans="1:7" ht="16.149999999999999" x14ac:dyDescent="0.7">
      <c r="A5631" s="49">
        <v>44847.437585115738</v>
      </c>
      <c r="B5631" s="50" t="s">
        <v>14</v>
      </c>
      <c r="C5631" s="50" t="s">
        <v>540</v>
      </c>
      <c r="D5631" s="50" t="s">
        <v>259</v>
      </c>
      <c r="E5631" s="50">
        <v>0</v>
      </c>
      <c r="F5631" s="51">
        <v>0.50617325072011221</v>
      </c>
      <c r="G5631" s="51" t="str">
        <v>林智 2022/11/11 (金)
平日夜間</v>
      </c>
    </row>
    <row r="5632" spans="1:7" ht="16.149999999999999" x14ac:dyDescent="0.7">
      <c r="A5632" s="49">
        <v>44847.437585115738</v>
      </c>
      <c r="B5632" s="50" t="s">
        <v>14</v>
      </c>
      <c r="C5632" s="50" t="s">
        <v>541</v>
      </c>
      <c r="D5632" s="50" t="s">
        <v>263</v>
      </c>
      <c r="E5632" s="50">
        <v>0</v>
      </c>
      <c r="F5632" s="51">
        <v>0.51869461962262786</v>
      </c>
      <c r="G5632" s="51" t="str">
        <v>林智 2022/11/12 (土)
休日午前</v>
      </c>
    </row>
    <row r="5633" spans="1:7" ht="16.149999999999999" x14ac:dyDescent="0.7">
      <c r="A5633" s="49">
        <v>44847.437585115738</v>
      </c>
      <c r="B5633" s="50" t="s">
        <v>14</v>
      </c>
      <c r="C5633" s="50" t="s">
        <v>542</v>
      </c>
      <c r="D5633" s="50" t="s">
        <v>261</v>
      </c>
      <c r="E5633" s="50">
        <v>-1</v>
      </c>
      <c r="F5633" s="51">
        <v>-0.3113112798594122</v>
      </c>
      <c r="G5633" s="51" t="str">
        <v>林智 2022/11/12 (土)
休日午後</v>
      </c>
    </row>
    <row r="5634" spans="1:7" ht="16.149999999999999" x14ac:dyDescent="0.7">
      <c r="A5634" s="49">
        <v>44847.437585115738</v>
      </c>
      <c r="B5634" s="50" t="s">
        <v>14</v>
      </c>
      <c r="C5634" s="50" t="s">
        <v>543</v>
      </c>
      <c r="D5634" s="50" t="s">
        <v>263</v>
      </c>
      <c r="E5634" s="50">
        <v>0</v>
      </c>
      <c r="F5634" s="51">
        <v>0.31208663963524219</v>
      </c>
      <c r="G5634" s="51" t="str">
        <v>林智 2022/11/13 (日)
休日午前</v>
      </c>
    </row>
    <row r="5635" spans="1:7" ht="16.149999999999999" x14ac:dyDescent="0.7">
      <c r="A5635" s="49">
        <v>44847.437585115738</v>
      </c>
      <c r="B5635" s="50" t="s">
        <v>14</v>
      </c>
      <c r="C5635" s="50" t="s">
        <v>544</v>
      </c>
      <c r="D5635" s="50" t="s">
        <v>261</v>
      </c>
      <c r="E5635" s="50">
        <v>-1</v>
      </c>
      <c r="F5635" s="51">
        <v>-0.15432963900700214</v>
      </c>
      <c r="G5635" s="51" t="str">
        <v>林智 2022/11/13 (日)
休日午後</v>
      </c>
    </row>
    <row r="5636" spans="1:7" ht="16.149999999999999" x14ac:dyDescent="0.7">
      <c r="A5636" s="49">
        <v>44847.437585115738</v>
      </c>
      <c r="B5636" s="50" t="s">
        <v>14</v>
      </c>
      <c r="C5636" s="50" t="s">
        <v>545</v>
      </c>
      <c r="D5636" s="50" t="s">
        <v>259</v>
      </c>
      <c r="E5636" s="50">
        <v>-1</v>
      </c>
      <c r="F5636" s="51">
        <v>-0.19774587686333733</v>
      </c>
      <c r="G5636" s="51" t="str">
        <v>林智 2022/11/14 (月)
平日夜間</v>
      </c>
    </row>
    <row r="5637" spans="1:7" ht="16.149999999999999" x14ac:dyDescent="0.7">
      <c r="A5637" s="49">
        <v>44847.437585115738</v>
      </c>
      <c r="B5637" s="50" t="s">
        <v>14</v>
      </c>
      <c r="C5637" s="50" t="s">
        <v>546</v>
      </c>
      <c r="D5637" s="50" t="s">
        <v>259</v>
      </c>
      <c r="E5637" s="50">
        <v>-1</v>
      </c>
      <c r="F5637" s="51">
        <v>-0.64948638684639914</v>
      </c>
      <c r="G5637" s="51" t="str">
        <v>林智 2022/11/15 (火)
平日夜間</v>
      </c>
    </row>
    <row r="5638" spans="1:7" ht="16.149999999999999" x14ac:dyDescent="0.7">
      <c r="A5638" s="49">
        <v>44847.437585115738</v>
      </c>
      <c r="B5638" s="50" t="s">
        <v>14</v>
      </c>
      <c r="C5638" s="50" t="s">
        <v>547</v>
      </c>
      <c r="D5638" s="50" t="s">
        <v>259</v>
      </c>
      <c r="E5638" s="50">
        <v>0</v>
      </c>
      <c r="F5638" s="51">
        <v>0.87670283983623221</v>
      </c>
      <c r="G5638" s="51" t="str">
        <v>林智 2022/11/16 (水)
平日夜間</v>
      </c>
    </row>
    <row r="5639" spans="1:7" ht="16.149999999999999" x14ac:dyDescent="0.7">
      <c r="A5639" s="49">
        <v>44847.437585115738</v>
      </c>
      <c r="B5639" s="50" t="s">
        <v>14</v>
      </c>
      <c r="C5639" s="50" t="s">
        <v>548</v>
      </c>
      <c r="D5639" s="50" t="s">
        <v>259</v>
      </c>
      <c r="E5639" s="50">
        <v>0</v>
      </c>
      <c r="F5639" s="51">
        <v>0.10021777472020599</v>
      </c>
      <c r="G5639" s="51" t="str">
        <v>林智 2022/11/17 (木)
平日夜間</v>
      </c>
    </row>
    <row r="5640" spans="1:7" ht="16.149999999999999" x14ac:dyDescent="0.7">
      <c r="A5640" s="49">
        <v>44847.437585115738</v>
      </c>
      <c r="B5640" s="50" t="s">
        <v>14</v>
      </c>
      <c r="C5640" s="50" t="s">
        <v>549</v>
      </c>
      <c r="D5640" s="50" t="s">
        <v>259</v>
      </c>
      <c r="E5640" s="50">
        <v>0</v>
      </c>
      <c r="F5640" s="51">
        <v>0.47290974894831295</v>
      </c>
      <c r="G5640" s="51" t="str">
        <v>林智 2022/11/18 (金)
平日夜間</v>
      </c>
    </row>
    <row r="5641" spans="1:7" ht="16.149999999999999" x14ac:dyDescent="0.7">
      <c r="A5641" s="49">
        <v>44847.437585115738</v>
      </c>
      <c r="B5641" s="50" t="s">
        <v>14</v>
      </c>
      <c r="C5641" s="50" t="s">
        <v>550</v>
      </c>
      <c r="D5641" s="50" t="s">
        <v>263</v>
      </c>
      <c r="E5641" s="50">
        <v>-1</v>
      </c>
      <c r="F5641" s="51">
        <v>-4.7689488394232704E-2</v>
      </c>
      <c r="G5641" s="51" t="str">
        <v>林智 2022/11/19 (土)
休日午前</v>
      </c>
    </row>
    <row r="5642" spans="1:7" ht="16.149999999999999" x14ac:dyDescent="0.7">
      <c r="A5642" s="49">
        <v>44847.437585115738</v>
      </c>
      <c r="B5642" s="50" t="s">
        <v>14</v>
      </c>
      <c r="C5642" s="50" t="s">
        <v>551</v>
      </c>
      <c r="D5642" s="50" t="s">
        <v>261</v>
      </c>
      <c r="E5642" s="50">
        <v>-1</v>
      </c>
      <c r="F5642" s="51">
        <v>-0.35736069904256484</v>
      </c>
      <c r="G5642" s="51" t="str">
        <v>林智 2022/11/19 (土)
休日午後</v>
      </c>
    </row>
    <row r="5643" spans="1:7" ht="16.149999999999999" x14ac:dyDescent="0.7">
      <c r="A5643" s="49">
        <v>44847.437585115738</v>
      </c>
      <c r="B5643" s="50" t="s">
        <v>14</v>
      </c>
      <c r="C5643" s="50" t="s">
        <v>552</v>
      </c>
      <c r="D5643" s="50" t="s">
        <v>263</v>
      </c>
      <c r="E5643" s="50">
        <v>0</v>
      </c>
      <c r="F5643" s="51">
        <v>0.54305480247982474</v>
      </c>
      <c r="G5643" s="51" t="str">
        <v>林智 2022/11/20 (日)
休日午前</v>
      </c>
    </row>
    <row r="5644" spans="1:7" ht="16.149999999999999" x14ac:dyDescent="0.7">
      <c r="A5644" s="49">
        <v>44847.437585115738</v>
      </c>
      <c r="B5644" s="50" t="s">
        <v>14</v>
      </c>
      <c r="C5644" s="50" t="s">
        <v>553</v>
      </c>
      <c r="D5644" s="50" t="s">
        <v>261</v>
      </c>
      <c r="E5644" s="50">
        <v>-1</v>
      </c>
      <c r="F5644" s="51">
        <v>-0.11596944285266209</v>
      </c>
      <c r="G5644" s="51" t="str">
        <v>林智 2022/11/20 (日)
休日午後</v>
      </c>
    </row>
    <row r="5645" spans="1:7" ht="16.149999999999999" x14ac:dyDescent="0.7">
      <c r="A5645" s="49">
        <v>44847.437585115738</v>
      </c>
      <c r="B5645" s="50" t="s">
        <v>14</v>
      </c>
      <c r="C5645" s="50" t="s">
        <v>554</v>
      </c>
      <c r="D5645" s="50" t="s">
        <v>259</v>
      </c>
      <c r="E5645" s="50">
        <v>0</v>
      </c>
      <c r="F5645" s="51">
        <v>0.6885510501718175</v>
      </c>
      <c r="G5645" s="51" t="str">
        <v>林智 2022/11/21 (月)
平日夜間</v>
      </c>
    </row>
    <row r="5646" spans="1:7" ht="16.149999999999999" x14ac:dyDescent="0.7">
      <c r="A5646" s="49">
        <v>44847.437585115738</v>
      </c>
      <c r="B5646" s="50" t="s">
        <v>14</v>
      </c>
      <c r="C5646" s="50" t="s">
        <v>555</v>
      </c>
      <c r="D5646" s="50" t="s">
        <v>259</v>
      </c>
      <c r="E5646" s="50">
        <v>0</v>
      </c>
      <c r="F5646" s="51">
        <v>0.50790832194136204</v>
      </c>
      <c r="G5646" s="51" t="str">
        <v>林智 2022/11/22 (火)
平日夜間</v>
      </c>
    </row>
    <row r="5647" spans="1:7" ht="16.149999999999999" x14ac:dyDescent="0.7">
      <c r="A5647" s="49">
        <v>44847.437585115738</v>
      </c>
      <c r="B5647" s="50" t="s">
        <v>14</v>
      </c>
      <c r="C5647" s="50" t="s">
        <v>568</v>
      </c>
      <c r="D5647" s="50" t="s">
        <v>263</v>
      </c>
      <c r="E5647" s="50">
        <v>0</v>
      </c>
      <c r="F5647" s="51">
        <v>0.42483965982857552</v>
      </c>
      <c r="G5647" s="51" t="str">
        <v>林智 2022/11/23 (水)
休日午前</v>
      </c>
    </row>
    <row r="5648" spans="1:7" ht="16.149999999999999" x14ac:dyDescent="0.7">
      <c r="A5648" s="49">
        <v>44847.437585115738</v>
      </c>
      <c r="B5648" s="50" t="s">
        <v>14</v>
      </c>
      <c r="C5648" s="50" t="s">
        <v>569</v>
      </c>
      <c r="D5648" s="50" t="s">
        <v>261</v>
      </c>
      <c r="E5648" s="50">
        <v>2</v>
      </c>
      <c r="F5648" s="51">
        <v>2.4479753507384414</v>
      </c>
      <c r="G5648" s="51" t="str">
        <v>林智 2022/11/23 (水)
休日午後</v>
      </c>
    </row>
    <row r="5649" spans="1:7" ht="16.149999999999999" x14ac:dyDescent="0.7">
      <c r="A5649" s="49">
        <v>44847.437585115738</v>
      </c>
      <c r="B5649" s="50" t="s">
        <v>14</v>
      </c>
      <c r="C5649" s="50" t="s">
        <v>557</v>
      </c>
      <c r="D5649" s="50" t="s">
        <v>259</v>
      </c>
      <c r="E5649" s="50">
        <v>-1</v>
      </c>
      <c r="F5649" s="51">
        <v>-0.12109839982537585</v>
      </c>
      <c r="G5649" s="51" t="str">
        <v>林智 2022/11/24 (木)
平日夜間</v>
      </c>
    </row>
    <row r="5650" spans="1:7" ht="16.149999999999999" x14ac:dyDescent="0.7">
      <c r="A5650" s="49">
        <v>44847.437585115738</v>
      </c>
      <c r="B5650" s="50" t="s">
        <v>14</v>
      </c>
      <c r="C5650" s="50" t="s">
        <v>558</v>
      </c>
      <c r="D5650" s="50" t="s">
        <v>259</v>
      </c>
      <c r="E5650" s="50">
        <v>0</v>
      </c>
      <c r="F5650" s="51">
        <v>0.80622045519167362</v>
      </c>
      <c r="G5650" s="51" t="str">
        <v>林智 2022/11/25 (金)
平日夜間</v>
      </c>
    </row>
    <row r="5651" spans="1:7" ht="16.149999999999999" x14ac:dyDescent="0.7">
      <c r="A5651" s="49">
        <v>44847.437585115738</v>
      </c>
      <c r="B5651" s="50" t="s">
        <v>14</v>
      </c>
      <c r="C5651" s="50" t="s">
        <v>559</v>
      </c>
      <c r="D5651" s="50" t="s">
        <v>263</v>
      </c>
      <c r="E5651" s="50">
        <v>-1</v>
      </c>
      <c r="F5651" s="51">
        <v>-0.87235009008422448</v>
      </c>
      <c r="G5651" s="51" t="str">
        <v>林智 2022/11/26 (土)
休日午前</v>
      </c>
    </row>
    <row r="5652" spans="1:7" ht="16.149999999999999" x14ac:dyDescent="0.7">
      <c r="A5652" s="49">
        <v>44847.437585115738</v>
      </c>
      <c r="B5652" s="50" t="s">
        <v>14</v>
      </c>
      <c r="C5652" s="50" t="s">
        <v>560</v>
      </c>
      <c r="D5652" s="50" t="s">
        <v>261</v>
      </c>
      <c r="E5652" s="50">
        <v>-1</v>
      </c>
      <c r="F5652" s="51">
        <v>-0.93221497555361887</v>
      </c>
      <c r="G5652" s="51" t="str">
        <v>林智 2022/11/26 (土)
休日午後</v>
      </c>
    </row>
    <row r="5653" spans="1:7" ht="16.149999999999999" x14ac:dyDescent="0.7">
      <c r="A5653" s="49">
        <v>44847.437585115738</v>
      </c>
      <c r="B5653" s="50" t="s">
        <v>14</v>
      </c>
      <c r="C5653" s="50" t="s">
        <v>561</v>
      </c>
      <c r="D5653" s="50" t="s">
        <v>263</v>
      </c>
      <c r="E5653" s="50">
        <v>-1</v>
      </c>
      <c r="F5653" s="51">
        <v>-0.41760353517015636</v>
      </c>
      <c r="G5653" s="51" t="str">
        <v>林智 2022/11/27 (日)
休日午前</v>
      </c>
    </row>
    <row r="5654" spans="1:7" ht="16.149999999999999" x14ac:dyDescent="0.7">
      <c r="A5654" s="49">
        <v>44847.437585115738</v>
      </c>
      <c r="B5654" s="50" t="s">
        <v>14</v>
      </c>
      <c r="C5654" s="50" t="s">
        <v>562</v>
      </c>
      <c r="D5654" s="50" t="s">
        <v>261</v>
      </c>
      <c r="E5654" s="50">
        <v>-1</v>
      </c>
      <c r="F5654" s="51">
        <v>-0.31177422945183619</v>
      </c>
      <c r="G5654" s="51" t="str">
        <v>林智 2022/11/27 (日)
休日午後</v>
      </c>
    </row>
    <row r="5655" spans="1:7" ht="16.149999999999999" x14ac:dyDescent="0.7">
      <c r="A5655" s="49">
        <v>44847.437585115738</v>
      </c>
      <c r="B5655" s="50" t="s">
        <v>14</v>
      </c>
      <c r="C5655" s="50" t="s">
        <v>563</v>
      </c>
      <c r="D5655" s="50" t="s">
        <v>259</v>
      </c>
      <c r="E5655" s="50">
        <v>0</v>
      </c>
      <c r="F5655" s="51">
        <v>0.53245707483340809</v>
      </c>
      <c r="G5655" s="51" t="str">
        <v>林智 2022/11/28 (月)
平日夜間</v>
      </c>
    </row>
    <row r="5656" spans="1:7" ht="16.149999999999999" x14ac:dyDescent="0.7">
      <c r="A5656" s="49">
        <v>44847.437585115738</v>
      </c>
      <c r="B5656" s="50" t="s">
        <v>14</v>
      </c>
      <c r="C5656" s="50" t="s">
        <v>564</v>
      </c>
      <c r="D5656" s="50" t="s">
        <v>259</v>
      </c>
      <c r="E5656" s="50">
        <v>0</v>
      </c>
      <c r="F5656" s="51">
        <v>9.6144453150340148E-2</v>
      </c>
      <c r="G5656" s="51" t="str">
        <v>林智 2022/11/29 (火)
平日夜間</v>
      </c>
    </row>
    <row r="5657" spans="1:7" ht="16.149999999999999" x14ac:dyDescent="0.7">
      <c r="A5657" s="49">
        <v>44847.437585115738</v>
      </c>
      <c r="B5657" s="50" t="s">
        <v>14</v>
      </c>
      <c r="C5657" s="50" t="s">
        <v>565</v>
      </c>
      <c r="D5657" s="50" t="s">
        <v>259</v>
      </c>
      <c r="E5657" s="50">
        <v>0</v>
      </c>
      <c r="F5657" s="51">
        <v>0.64952006497569736</v>
      </c>
      <c r="G5657" s="51" t="str">
        <v>林智 2022/11/30 (水)
平日夜間</v>
      </c>
    </row>
    <row r="5658" spans="1:7" ht="16.149999999999999" x14ac:dyDescent="0.7">
      <c r="A5658" s="49">
        <v>44847.441549571755</v>
      </c>
      <c r="B5658" s="50" t="s">
        <v>149</v>
      </c>
      <c r="C5658" s="50" t="s">
        <v>528</v>
      </c>
      <c r="D5658" s="50" t="s">
        <v>259</v>
      </c>
      <c r="E5658" s="50">
        <v>0</v>
      </c>
      <c r="F5658" s="51">
        <v>0.64348032413323608</v>
      </c>
      <c r="G5658" s="51" t="str">
        <v>中野 2022/11/01 (火)
平日夜間</v>
      </c>
    </row>
    <row r="5659" spans="1:7" ht="16.149999999999999" x14ac:dyDescent="0.7">
      <c r="A5659" s="49">
        <v>44847.441549571755</v>
      </c>
      <c r="B5659" s="50" t="s">
        <v>149</v>
      </c>
      <c r="C5659" s="50" t="s">
        <v>529</v>
      </c>
      <c r="D5659" s="50" t="s">
        <v>259</v>
      </c>
      <c r="E5659" s="50">
        <v>0</v>
      </c>
      <c r="F5659" s="51">
        <v>0.42138611371980828</v>
      </c>
      <c r="G5659" s="51" t="str">
        <v>中野 2022/11/02 (水)
平日夜間</v>
      </c>
    </row>
    <row r="5660" spans="1:7" ht="16.149999999999999" x14ac:dyDescent="0.7">
      <c r="A5660" s="49">
        <v>44847.441549571755</v>
      </c>
      <c r="B5660" s="50" t="s">
        <v>149</v>
      </c>
      <c r="C5660" s="50" t="s">
        <v>566</v>
      </c>
      <c r="D5660" s="50" t="s">
        <v>263</v>
      </c>
      <c r="E5660" s="50">
        <v>0</v>
      </c>
      <c r="F5660" s="51">
        <v>0.88664450385761229</v>
      </c>
      <c r="G5660" s="51" t="str">
        <v>中野 2022/11/03 (木)
休日午前</v>
      </c>
    </row>
    <row r="5661" spans="1:7" ht="16.149999999999999" x14ac:dyDescent="0.7">
      <c r="A5661" s="49">
        <v>44847.441549571755</v>
      </c>
      <c r="B5661" s="50" t="s">
        <v>149</v>
      </c>
      <c r="C5661" s="50" t="s">
        <v>567</v>
      </c>
      <c r="D5661" s="50" t="s">
        <v>261</v>
      </c>
      <c r="E5661" s="50">
        <v>0</v>
      </c>
      <c r="F5661" s="51">
        <v>0.19538208615287789</v>
      </c>
      <c r="G5661" s="51" t="str">
        <v>中野 2022/11/03 (木)
休日午後</v>
      </c>
    </row>
    <row r="5662" spans="1:7" ht="16.149999999999999" x14ac:dyDescent="0.7">
      <c r="A5662" s="49">
        <v>44847.441549571755</v>
      </c>
      <c r="B5662" s="50" t="s">
        <v>149</v>
      </c>
      <c r="C5662" s="50" t="s">
        <v>531</v>
      </c>
      <c r="D5662" s="50" t="s">
        <v>259</v>
      </c>
      <c r="E5662" s="50">
        <v>0</v>
      </c>
      <c r="F5662" s="51">
        <v>0.25355619941327112</v>
      </c>
      <c r="G5662" s="51" t="str">
        <v>中野 2022/11/04 (金)
平日夜間</v>
      </c>
    </row>
    <row r="5663" spans="1:7" ht="16.149999999999999" x14ac:dyDescent="0.7">
      <c r="A5663" s="49">
        <v>44847.441549571755</v>
      </c>
      <c r="B5663" s="50" t="s">
        <v>149</v>
      </c>
      <c r="C5663" s="50" t="s">
        <v>532</v>
      </c>
      <c r="D5663" s="50" t="s">
        <v>263</v>
      </c>
      <c r="E5663" s="50">
        <v>0</v>
      </c>
      <c r="F5663" s="51">
        <v>0.1003038190542318</v>
      </c>
      <c r="G5663" s="51" t="str">
        <v>中野 2022/11/05 (土)
休日午前</v>
      </c>
    </row>
    <row r="5664" spans="1:7" ht="16.149999999999999" x14ac:dyDescent="0.7">
      <c r="A5664" s="49">
        <v>44847.441549571755</v>
      </c>
      <c r="B5664" s="50" t="s">
        <v>149</v>
      </c>
      <c r="C5664" s="50" t="s">
        <v>533</v>
      </c>
      <c r="D5664" s="50" t="s">
        <v>261</v>
      </c>
      <c r="E5664" s="50">
        <v>-1</v>
      </c>
      <c r="F5664" s="51">
        <v>-0.73535226519137087</v>
      </c>
      <c r="G5664" s="51" t="str">
        <v>中野 2022/11/05 (土)
休日午後</v>
      </c>
    </row>
    <row r="5665" spans="1:7" ht="16.149999999999999" x14ac:dyDescent="0.7">
      <c r="A5665" s="49">
        <v>44847.441549571755</v>
      </c>
      <c r="B5665" s="50" t="s">
        <v>149</v>
      </c>
      <c r="C5665" s="50" t="s">
        <v>534</v>
      </c>
      <c r="D5665" s="50" t="s">
        <v>263</v>
      </c>
      <c r="E5665" s="50">
        <v>-1</v>
      </c>
      <c r="F5665" s="51">
        <v>-5.3814571271810108E-2</v>
      </c>
      <c r="G5665" s="51" t="str">
        <v>中野 2022/11/06 (日)
休日午前</v>
      </c>
    </row>
    <row r="5666" spans="1:7" ht="16.149999999999999" x14ac:dyDescent="0.7">
      <c r="A5666" s="49">
        <v>44847.441549571755</v>
      </c>
      <c r="B5666" s="50" t="s">
        <v>149</v>
      </c>
      <c r="C5666" s="50" t="s">
        <v>535</v>
      </c>
      <c r="D5666" s="50" t="s">
        <v>261</v>
      </c>
      <c r="E5666" s="50">
        <v>-1</v>
      </c>
      <c r="F5666" s="51">
        <v>-0.48759255433881799</v>
      </c>
      <c r="G5666" s="51" t="str">
        <v>中野 2022/11/06 (日)
休日午後</v>
      </c>
    </row>
    <row r="5667" spans="1:7" ht="16.149999999999999" x14ac:dyDescent="0.7">
      <c r="A5667" s="49">
        <v>44847.441549571755</v>
      </c>
      <c r="B5667" s="50" t="s">
        <v>149</v>
      </c>
      <c r="C5667" s="50" t="s">
        <v>536</v>
      </c>
      <c r="D5667" s="50" t="s">
        <v>259</v>
      </c>
      <c r="E5667" s="50">
        <v>0</v>
      </c>
      <c r="F5667" s="51">
        <v>0.78860053092210269</v>
      </c>
      <c r="G5667" s="51" t="str">
        <v>中野 2022/11/07 (月)
平日夜間</v>
      </c>
    </row>
    <row r="5668" spans="1:7" ht="16.149999999999999" x14ac:dyDescent="0.7">
      <c r="A5668" s="49">
        <v>44847.441549571755</v>
      </c>
      <c r="B5668" s="50" t="s">
        <v>149</v>
      </c>
      <c r="C5668" s="50" t="s">
        <v>537</v>
      </c>
      <c r="D5668" s="50" t="s">
        <v>259</v>
      </c>
      <c r="E5668" s="50">
        <v>0</v>
      </c>
      <c r="F5668" s="51">
        <v>0.40034415418684044</v>
      </c>
      <c r="G5668" s="51" t="str">
        <v>中野 2022/11/08 (火)
平日夜間</v>
      </c>
    </row>
    <row r="5669" spans="1:7" ht="16.149999999999999" x14ac:dyDescent="0.7">
      <c r="A5669" s="49">
        <v>44847.441549571755</v>
      </c>
      <c r="B5669" s="50" t="s">
        <v>149</v>
      </c>
      <c r="C5669" s="50" t="s">
        <v>538</v>
      </c>
      <c r="D5669" s="50" t="s">
        <v>259</v>
      </c>
      <c r="E5669" s="50">
        <v>0</v>
      </c>
      <c r="F5669" s="51">
        <v>0.11374517647253124</v>
      </c>
      <c r="G5669" s="51" t="str">
        <v>中野 2022/11/09 (水)
平日夜間</v>
      </c>
    </row>
    <row r="5670" spans="1:7" ht="16.149999999999999" x14ac:dyDescent="0.7">
      <c r="A5670" s="49">
        <v>44847.441549571755</v>
      </c>
      <c r="B5670" s="50" t="s">
        <v>149</v>
      </c>
      <c r="C5670" s="50" t="s">
        <v>539</v>
      </c>
      <c r="D5670" s="50" t="s">
        <v>259</v>
      </c>
      <c r="E5670" s="50">
        <v>0</v>
      </c>
      <c r="F5670" s="51">
        <v>0.77901789362495277</v>
      </c>
      <c r="G5670" s="51" t="str">
        <v>中野 2022/11/10 (木)
平日夜間</v>
      </c>
    </row>
    <row r="5671" spans="1:7" ht="16.149999999999999" x14ac:dyDescent="0.7">
      <c r="A5671" s="49">
        <v>44847.441549571755</v>
      </c>
      <c r="B5671" s="50" t="s">
        <v>149</v>
      </c>
      <c r="C5671" s="50" t="s">
        <v>540</v>
      </c>
      <c r="D5671" s="50" t="s">
        <v>259</v>
      </c>
      <c r="E5671" s="50">
        <v>-1</v>
      </c>
      <c r="F5671" s="51">
        <v>-0.31001407894410882</v>
      </c>
      <c r="G5671" s="51" t="str">
        <v>中野 2022/11/11 (金)
平日夜間</v>
      </c>
    </row>
    <row r="5672" spans="1:7" ht="16.149999999999999" x14ac:dyDescent="0.7">
      <c r="A5672" s="49">
        <v>44847.441549571755</v>
      </c>
      <c r="B5672" s="50" t="s">
        <v>149</v>
      </c>
      <c r="C5672" s="50" t="s">
        <v>541</v>
      </c>
      <c r="D5672" s="50" t="s">
        <v>263</v>
      </c>
      <c r="E5672" s="50">
        <v>-1</v>
      </c>
      <c r="F5672" s="51">
        <v>-0.79663201991835653</v>
      </c>
      <c r="G5672" s="51" t="str">
        <v>中野 2022/11/12 (土)
休日午前</v>
      </c>
    </row>
    <row r="5673" spans="1:7" ht="16.149999999999999" x14ac:dyDescent="0.7">
      <c r="A5673" s="49">
        <v>44847.441549571755</v>
      </c>
      <c r="B5673" s="50" t="s">
        <v>149</v>
      </c>
      <c r="C5673" s="50" t="s">
        <v>542</v>
      </c>
      <c r="D5673" s="50" t="s">
        <v>261</v>
      </c>
      <c r="E5673" s="50">
        <v>-1</v>
      </c>
      <c r="F5673" s="51">
        <v>-9.0573856379003725E-2</v>
      </c>
      <c r="G5673" s="51" t="str">
        <v>中野 2022/11/12 (土)
休日午後</v>
      </c>
    </row>
    <row r="5674" spans="1:7" ht="16.149999999999999" x14ac:dyDescent="0.7">
      <c r="A5674" s="49">
        <v>44847.441549571755</v>
      </c>
      <c r="B5674" s="50" t="s">
        <v>149</v>
      </c>
      <c r="C5674" s="50" t="s">
        <v>543</v>
      </c>
      <c r="D5674" s="50" t="s">
        <v>263</v>
      </c>
      <c r="E5674" s="50">
        <v>-1</v>
      </c>
      <c r="F5674" s="51">
        <v>-8.2336222534507009E-4</v>
      </c>
      <c r="G5674" s="51" t="str">
        <v>中野 2022/11/13 (日)
休日午前</v>
      </c>
    </row>
    <row r="5675" spans="1:7" ht="16.149999999999999" x14ac:dyDescent="0.7">
      <c r="A5675" s="49">
        <v>44847.441549571755</v>
      </c>
      <c r="B5675" s="50" t="s">
        <v>149</v>
      </c>
      <c r="C5675" s="50" t="s">
        <v>544</v>
      </c>
      <c r="D5675" s="50" t="s">
        <v>261</v>
      </c>
      <c r="E5675" s="50">
        <v>-1</v>
      </c>
      <c r="F5675" s="51">
        <v>-7.1924092924242844E-2</v>
      </c>
      <c r="G5675" s="51" t="str">
        <v>中野 2022/11/13 (日)
休日午後</v>
      </c>
    </row>
    <row r="5676" spans="1:7" ht="16.149999999999999" x14ac:dyDescent="0.7">
      <c r="A5676" s="49">
        <v>44847.441549571755</v>
      </c>
      <c r="B5676" s="50" t="s">
        <v>149</v>
      </c>
      <c r="C5676" s="50" t="s">
        <v>545</v>
      </c>
      <c r="D5676" s="50" t="s">
        <v>259</v>
      </c>
      <c r="E5676" s="50">
        <v>0</v>
      </c>
      <c r="F5676" s="51">
        <v>0.84403130891960521</v>
      </c>
      <c r="G5676" s="51" t="str">
        <v>中野 2022/11/14 (月)
平日夜間</v>
      </c>
    </row>
    <row r="5677" spans="1:7" ht="16.149999999999999" x14ac:dyDescent="0.7">
      <c r="A5677" s="49">
        <v>44847.441549571755</v>
      </c>
      <c r="B5677" s="50" t="s">
        <v>149</v>
      </c>
      <c r="C5677" s="50" t="s">
        <v>546</v>
      </c>
      <c r="D5677" s="50" t="s">
        <v>259</v>
      </c>
      <c r="E5677" s="50">
        <v>0</v>
      </c>
      <c r="F5677" s="51">
        <v>0.76040219849826562</v>
      </c>
      <c r="G5677" s="51" t="str">
        <v>中野 2022/11/15 (火)
平日夜間</v>
      </c>
    </row>
    <row r="5678" spans="1:7" ht="16.149999999999999" x14ac:dyDescent="0.7">
      <c r="A5678" s="49">
        <v>44847.441549571755</v>
      </c>
      <c r="B5678" s="50" t="s">
        <v>149</v>
      </c>
      <c r="C5678" s="50" t="s">
        <v>547</v>
      </c>
      <c r="D5678" s="50" t="s">
        <v>259</v>
      </c>
      <c r="E5678" s="50">
        <v>-1</v>
      </c>
      <c r="F5678" s="51">
        <v>-0.76562832236938538</v>
      </c>
      <c r="G5678" s="51" t="str">
        <v>中野 2022/11/16 (水)
平日夜間</v>
      </c>
    </row>
    <row r="5679" spans="1:7" ht="16.149999999999999" x14ac:dyDescent="0.7">
      <c r="A5679" s="49">
        <v>44847.441549571755</v>
      </c>
      <c r="B5679" s="50" t="s">
        <v>149</v>
      </c>
      <c r="C5679" s="50" t="s">
        <v>548</v>
      </c>
      <c r="D5679" s="50" t="s">
        <v>259</v>
      </c>
      <c r="E5679" s="50">
        <v>-1</v>
      </c>
      <c r="F5679" s="51">
        <v>-0.20645103490092676</v>
      </c>
      <c r="G5679" s="51" t="str">
        <v>中野 2022/11/17 (木)
平日夜間</v>
      </c>
    </row>
    <row r="5680" spans="1:7" ht="16.149999999999999" x14ac:dyDescent="0.7">
      <c r="A5680" s="49">
        <v>44847.6063140162</v>
      </c>
      <c r="B5680" s="50" t="s">
        <v>127</v>
      </c>
      <c r="C5680" s="50" t="s">
        <v>528</v>
      </c>
      <c r="D5680" s="50" t="s">
        <v>259</v>
      </c>
      <c r="E5680" s="50">
        <v>0</v>
      </c>
      <c r="F5680" s="51">
        <v>0.6742949309195938</v>
      </c>
      <c r="G5680" s="51" t="str">
        <v>稲葉 2022/11/01 (火)
平日夜間</v>
      </c>
    </row>
    <row r="5681" spans="1:7" ht="16.149999999999999" x14ac:dyDescent="0.7">
      <c r="A5681" s="49">
        <v>44847.6063140162</v>
      </c>
      <c r="B5681" s="50" t="s">
        <v>127</v>
      </c>
      <c r="C5681" s="50" t="s">
        <v>529</v>
      </c>
      <c r="D5681" s="50" t="s">
        <v>259</v>
      </c>
      <c r="E5681" s="50">
        <v>0</v>
      </c>
      <c r="F5681" s="51">
        <v>0.39606442850259604</v>
      </c>
      <c r="G5681" s="51" t="str">
        <v>稲葉 2022/11/02 (水)
平日夜間</v>
      </c>
    </row>
    <row r="5682" spans="1:7" ht="16.149999999999999" x14ac:dyDescent="0.7">
      <c r="A5682" s="49">
        <v>44847.6063140162</v>
      </c>
      <c r="B5682" s="50" t="s">
        <v>127</v>
      </c>
      <c r="C5682" s="50" t="s">
        <v>566</v>
      </c>
      <c r="D5682" s="50" t="s">
        <v>263</v>
      </c>
      <c r="E5682" s="50">
        <v>0</v>
      </c>
      <c r="F5682" s="51">
        <v>0.42778451949152729</v>
      </c>
      <c r="G5682" s="51" t="str">
        <v>稲葉 2022/11/03 (木)
休日午前</v>
      </c>
    </row>
    <row r="5683" spans="1:7" ht="16.149999999999999" x14ac:dyDescent="0.7">
      <c r="A5683" s="49">
        <v>44847.6063140162</v>
      </c>
      <c r="B5683" s="50" t="s">
        <v>127</v>
      </c>
      <c r="C5683" s="50" t="s">
        <v>567</v>
      </c>
      <c r="D5683" s="50" t="s">
        <v>261</v>
      </c>
      <c r="E5683" s="50">
        <v>0</v>
      </c>
      <c r="F5683" s="51">
        <v>7.6660884208162194E-2</v>
      </c>
      <c r="G5683" s="51" t="str">
        <v>稲葉 2022/11/03 (木)
休日午後</v>
      </c>
    </row>
    <row r="5684" spans="1:7" ht="16.149999999999999" x14ac:dyDescent="0.7">
      <c r="A5684" s="49">
        <v>44847.6063140162</v>
      </c>
      <c r="B5684" s="50" t="s">
        <v>127</v>
      </c>
      <c r="C5684" s="50" t="s">
        <v>531</v>
      </c>
      <c r="D5684" s="50" t="s">
        <v>259</v>
      </c>
      <c r="E5684" s="50">
        <v>0</v>
      </c>
      <c r="F5684" s="51">
        <v>0.41760028375688485</v>
      </c>
      <c r="G5684" s="51" t="str">
        <v>稲葉 2022/11/04 (金)
平日夜間</v>
      </c>
    </row>
    <row r="5685" spans="1:7" ht="16.149999999999999" x14ac:dyDescent="0.7">
      <c r="A5685" s="49">
        <v>44847.6063140162</v>
      </c>
      <c r="B5685" s="50" t="s">
        <v>127</v>
      </c>
      <c r="C5685" s="50" t="s">
        <v>532</v>
      </c>
      <c r="D5685" s="50" t="s">
        <v>263</v>
      </c>
      <c r="E5685" s="50">
        <v>0</v>
      </c>
      <c r="F5685" s="51">
        <v>0.81385632284043607</v>
      </c>
      <c r="G5685" s="51" t="str">
        <v>稲葉 2022/11/05 (土)
休日午前</v>
      </c>
    </row>
    <row r="5686" spans="1:7" ht="16.149999999999999" x14ac:dyDescent="0.7">
      <c r="A5686" s="49">
        <v>44847.6063140162</v>
      </c>
      <c r="B5686" s="50" t="s">
        <v>127</v>
      </c>
      <c r="C5686" s="50" t="s">
        <v>533</v>
      </c>
      <c r="D5686" s="50" t="s">
        <v>261</v>
      </c>
      <c r="E5686" s="50">
        <v>0</v>
      </c>
      <c r="F5686" s="51">
        <v>0.36943565503351183</v>
      </c>
      <c r="G5686" s="51" t="str">
        <v>稲葉 2022/11/05 (土)
休日午後</v>
      </c>
    </row>
    <row r="5687" spans="1:7" ht="16.149999999999999" x14ac:dyDescent="0.7">
      <c r="A5687" s="49">
        <v>44847.6063140162</v>
      </c>
      <c r="B5687" s="50" t="s">
        <v>127</v>
      </c>
      <c r="C5687" s="50" t="s">
        <v>534</v>
      </c>
      <c r="D5687" s="50" t="s">
        <v>263</v>
      </c>
      <c r="E5687" s="50">
        <v>0</v>
      </c>
      <c r="F5687" s="51">
        <v>0.21493681976773327</v>
      </c>
      <c r="G5687" s="51" t="str">
        <v>稲葉 2022/11/06 (日)
休日午前</v>
      </c>
    </row>
    <row r="5688" spans="1:7" ht="16.149999999999999" x14ac:dyDescent="0.7">
      <c r="A5688" s="49">
        <v>44847.6063140162</v>
      </c>
      <c r="B5688" s="50" t="s">
        <v>127</v>
      </c>
      <c r="C5688" s="50" t="s">
        <v>535</v>
      </c>
      <c r="D5688" s="50" t="s">
        <v>261</v>
      </c>
      <c r="E5688" s="50">
        <v>0</v>
      </c>
      <c r="F5688" s="51">
        <v>0.96398909358416951</v>
      </c>
      <c r="G5688" s="51" t="str">
        <v>稲葉 2022/11/06 (日)
休日午後</v>
      </c>
    </row>
    <row r="5689" spans="1:7" ht="16.149999999999999" x14ac:dyDescent="0.7">
      <c r="A5689" s="49">
        <v>44847.6063140162</v>
      </c>
      <c r="B5689" s="50" t="s">
        <v>127</v>
      </c>
      <c r="C5689" s="50" t="s">
        <v>536</v>
      </c>
      <c r="D5689" s="50" t="s">
        <v>259</v>
      </c>
      <c r="E5689" s="50">
        <v>0</v>
      </c>
      <c r="F5689" s="51">
        <v>0.74801176727526131</v>
      </c>
      <c r="G5689" s="51" t="str">
        <v>稲葉 2022/11/07 (月)
平日夜間</v>
      </c>
    </row>
    <row r="5690" spans="1:7" ht="16.149999999999999" x14ac:dyDescent="0.7">
      <c r="A5690" s="49">
        <v>44847.6063140162</v>
      </c>
      <c r="B5690" s="50" t="s">
        <v>127</v>
      </c>
      <c r="C5690" s="50" t="s">
        <v>537</v>
      </c>
      <c r="D5690" s="50" t="s">
        <v>259</v>
      </c>
      <c r="E5690" s="50">
        <v>0</v>
      </c>
      <c r="F5690" s="51">
        <v>0.31084263611598728</v>
      </c>
      <c r="G5690" s="51" t="str">
        <v>稲葉 2022/11/08 (火)
平日夜間</v>
      </c>
    </row>
    <row r="5691" spans="1:7" ht="16.149999999999999" x14ac:dyDescent="0.7">
      <c r="A5691" s="49">
        <v>44847.6063140162</v>
      </c>
      <c r="B5691" s="50" t="s">
        <v>127</v>
      </c>
      <c r="C5691" s="50" t="s">
        <v>538</v>
      </c>
      <c r="D5691" s="50" t="s">
        <v>259</v>
      </c>
      <c r="E5691" s="50">
        <v>0</v>
      </c>
      <c r="F5691" s="51">
        <v>0.5061511329799262</v>
      </c>
      <c r="G5691" s="51" t="str">
        <v>稲葉 2022/11/09 (水)
平日夜間</v>
      </c>
    </row>
    <row r="5692" spans="1:7" ht="16.149999999999999" x14ac:dyDescent="0.7">
      <c r="A5692" s="49">
        <v>44847.6063140162</v>
      </c>
      <c r="B5692" s="50" t="s">
        <v>127</v>
      </c>
      <c r="C5692" s="50" t="s">
        <v>539</v>
      </c>
      <c r="D5692" s="50" t="s">
        <v>259</v>
      </c>
      <c r="E5692" s="50">
        <v>0</v>
      </c>
      <c r="F5692" s="51">
        <v>0.72763758351799712</v>
      </c>
      <c r="G5692" s="51" t="str">
        <v>稲葉 2022/11/10 (木)
平日夜間</v>
      </c>
    </row>
    <row r="5693" spans="1:7" ht="16.149999999999999" x14ac:dyDescent="0.7">
      <c r="A5693" s="49">
        <v>44847.6063140162</v>
      </c>
      <c r="B5693" s="50" t="s">
        <v>127</v>
      </c>
      <c r="C5693" s="50" t="s">
        <v>540</v>
      </c>
      <c r="D5693" s="50" t="s">
        <v>259</v>
      </c>
      <c r="E5693" s="50">
        <v>0</v>
      </c>
      <c r="F5693" s="51">
        <v>0.94282266988310215</v>
      </c>
      <c r="G5693" s="51" t="str">
        <v>稲葉 2022/11/11 (金)
平日夜間</v>
      </c>
    </row>
    <row r="5694" spans="1:7" ht="16.149999999999999" x14ac:dyDescent="0.7">
      <c r="A5694" s="49">
        <v>44847.6063140162</v>
      </c>
      <c r="B5694" s="50" t="s">
        <v>127</v>
      </c>
      <c r="C5694" s="50" t="s">
        <v>541</v>
      </c>
      <c r="D5694" s="50" t="s">
        <v>263</v>
      </c>
      <c r="E5694" s="50">
        <v>0</v>
      </c>
      <c r="F5694" s="51">
        <v>0.23325925351743249</v>
      </c>
      <c r="G5694" s="51" t="str">
        <v>稲葉 2022/11/12 (土)
休日午前</v>
      </c>
    </row>
    <row r="5695" spans="1:7" ht="16.149999999999999" x14ac:dyDescent="0.7">
      <c r="A5695" s="49">
        <v>44847.6063140162</v>
      </c>
      <c r="B5695" s="50" t="s">
        <v>127</v>
      </c>
      <c r="C5695" s="50" t="s">
        <v>542</v>
      </c>
      <c r="D5695" s="50" t="s">
        <v>261</v>
      </c>
      <c r="E5695" s="50">
        <v>0</v>
      </c>
      <c r="F5695" s="51">
        <v>3.8342447592367046E-2</v>
      </c>
      <c r="G5695" s="51" t="str">
        <v>稲葉 2022/11/12 (土)
休日午後</v>
      </c>
    </row>
    <row r="5696" spans="1:7" ht="16.149999999999999" x14ac:dyDescent="0.7">
      <c r="A5696" s="49">
        <v>44847.6063140162</v>
      </c>
      <c r="B5696" s="50" t="s">
        <v>127</v>
      </c>
      <c r="C5696" s="50" t="s">
        <v>543</v>
      </c>
      <c r="D5696" s="50" t="s">
        <v>263</v>
      </c>
      <c r="E5696" s="50">
        <v>0</v>
      </c>
      <c r="F5696" s="51">
        <v>0.98207483117488259</v>
      </c>
      <c r="G5696" s="51" t="str">
        <v>稲葉 2022/11/13 (日)
休日午前</v>
      </c>
    </row>
    <row r="5697" spans="1:7" ht="16.149999999999999" x14ac:dyDescent="0.7">
      <c r="A5697" s="49">
        <v>44847.6063140162</v>
      </c>
      <c r="B5697" s="50" t="s">
        <v>127</v>
      </c>
      <c r="C5697" s="50" t="s">
        <v>544</v>
      </c>
      <c r="D5697" s="50" t="s">
        <v>261</v>
      </c>
      <c r="E5697" s="50">
        <v>0</v>
      </c>
      <c r="F5697" s="51">
        <v>0.74673346316578137</v>
      </c>
      <c r="G5697" s="51" t="str">
        <v>稲葉 2022/11/13 (日)
休日午後</v>
      </c>
    </row>
    <row r="5698" spans="1:7" ht="16.149999999999999" x14ac:dyDescent="0.7">
      <c r="A5698" s="49">
        <v>44847.6063140162</v>
      </c>
      <c r="B5698" s="50" t="s">
        <v>127</v>
      </c>
      <c r="C5698" s="50" t="s">
        <v>545</v>
      </c>
      <c r="D5698" s="50" t="s">
        <v>259</v>
      </c>
      <c r="E5698" s="50">
        <v>0</v>
      </c>
      <c r="F5698" s="51">
        <v>0.79815858978793175</v>
      </c>
      <c r="G5698" s="51" t="str">
        <v>稲葉 2022/11/14 (月)
平日夜間</v>
      </c>
    </row>
    <row r="5699" spans="1:7" ht="16.149999999999999" x14ac:dyDescent="0.7">
      <c r="A5699" s="49">
        <v>44847.6063140162</v>
      </c>
      <c r="B5699" s="50" t="s">
        <v>127</v>
      </c>
      <c r="C5699" s="50" t="s">
        <v>546</v>
      </c>
      <c r="D5699" s="50" t="s">
        <v>259</v>
      </c>
      <c r="E5699" s="50">
        <v>-1</v>
      </c>
      <c r="F5699" s="51">
        <v>-0.35996224701323154</v>
      </c>
      <c r="G5699" s="51" t="str">
        <v>稲葉 2022/11/15 (火)
平日夜間</v>
      </c>
    </row>
    <row r="5700" spans="1:7" ht="16.149999999999999" x14ac:dyDescent="0.7">
      <c r="A5700" s="49">
        <v>44847.6063140162</v>
      </c>
      <c r="B5700" s="50" t="s">
        <v>127</v>
      </c>
      <c r="C5700" s="50" t="s">
        <v>547</v>
      </c>
      <c r="D5700" s="50" t="s">
        <v>259</v>
      </c>
      <c r="E5700" s="50">
        <v>0</v>
      </c>
      <c r="F5700" s="51">
        <v>0.79251607015611159</v>
      </c>
      <c r="G5700" s="51" t="str">
        <v>稲葉 2022/11/16 (水)
平日夜間</v>
      </c>
    </row>
    <row r="5701" spans="1:7" ht="16.149999999999999" x14ac:dyDescent="0.7">
      <c r="A5701" s="49">
        <v>44847.6063140162</v>
      </c>
      <c r="B5701" s="50" t="s">
        <v>127</v>
      </c>
      <c r="C5701" s="50" t="s">
        <v>548</v>
      </c>
      <c r="D5701" s="50" t="s">
        <v>259</v>
      </c>
      <c r="E5701" s="50">
        <v>0</v>
      </c>
      <c r="F5701" s="51">
        <v>0.36407938043643751</v>
      </c>
      <c r="G5701" s="51" t="str">
        <v>稲葉 2022/11/17 (木)
平日夜間</v>
      </c>
    </row>
    <row r="5702" spans="1:7" ht="16.149999999999999" x14ac:dyDescent="0.7">
      <c r="A5702" s="49">
        <v>44847.6063140162</v>
      </c>
      <c r="B5702" s="50" t="s">
        <v>127</v>
      </c>
      <c r="C5702" s="50" t="s">
        <v>549</v>
      </c>
      <c r="D5702" s="50" t="s">
        <v>259</v>
      </c>
      <c r="E5702" s="50">
        <v>0</v>
      </c>
      <c r="F5702" s="51">
        <v>0.83618906222941081</v>
      </c>
      <c r="G5702" s="51" t="str">
        <v>稲葉 2022/11/18 (金)
平日夜間</v>
      </c>
    </row>
    <row r="5703" spans="1:7" ht="16.149999999999999" x14ac:dyDescent="0.7">
      <c r="A5703" s="49">
        <v>44847.6063140162</v>
      </c>
      <c r="B5703" s="50" t="s">
        <v>127</v>
      </c>
      <c r="C5703" s="50" t="s">
        <v>550</v>
      </c>
      <c r="D5703" s="50" t="s">
        <v>263</v>
      </c>
      <c r="E5703" s="50">
        <v>0</v>
      </c>
      <c r="F5703" s="51">
        <v>0.34536621873414863</v>
      </c>
      <c r="G5703" s="51" t="str">
        <v>稲葉 2022/11/19 (土)
休日午前</v>
      </c>
    </row>
    <row r="5704" spans="1:7" ht="16.149999999999999" x14ac:dyDescent="0.7">
      <c r="A5704" s="49">
        <v>44847.6063140162</v>
      </c>
      <c r="B5704" s="50" t="s">
        <v>127</v>
      </c>
      <c r="C5704" s="50" t="s">
        <v>551</v>
      </c>
      <c r="D5704" s="50" t="s">
        <v>261</v>
      </c>
      <c r="E5704" s="50">
        <v>0</v>
      </c>
      <c r="F5704" s="51">
        <v>0.58029736344097826</v>
      </c>
      <c r="G5704" s="51" t="str">
        <v>稲葉 2022/11/19 (土)
休日午後</v>
      </c>
    </row>
    <row r="5705" spans="1:7" ht="16.149999999999999" x14ac:dyDescent="0.7">
      <c r="A5705" s="49">
        <v>44847.6063140162</v>
      </c>
      <c r="B5705" s="50" t="s">
        <v>127</v>
      </c>
      <c r="C5705" s="50" t="s">
        <v>552</v>
      </c>
      <c r="D5705" s="50" t="s">
        <v>263</v>
      </c>
      <c r="E5705" s="50">
        <v>0</v>
      </c>
      <c r="F5705" s="51">
        <v>7.4020131529610955E-2</v>
      </c>
      <c r="G5705" s="51" t="str">
        <v>稲葉 2022/11/20 (日)
休日午前</v>
      </c>
    </row>
    <row r="5706" spans="1:7" ht="16.149999999999999" x14ac:dyDescent="0.7">
      <c r="A5706" s="49">
        <v>44847.6063140162</v>
      </c>
      <c r="B5706" s="50" t="s">
        <v>127</v>
      </c>
      <c r="C5706" s="50" t="s">
        <v>553</v>
      </c>
      <c r="D5706" s="50" t="s">
        <v>261</v>
      </c>
      <c r="E5706" s="50">
        <v>0</v>
      </c>
      <c r="F5706" s="51">
        <v>0.14308853580875747</v>
      </c>
      <c r="G5706" s="51" t="str">
        <v>稲葉 2022/11/20 (日)
休日午後</v>
      </c>
    </row>
    <row r="5707" spans="1:7" ht="16.149999999999999" x14ac:dyDescent="0.7">
      <c r="A5707" s="49">
        <v>44847.6063140162</v>
      </c>
      <c r="B5707" s="50" t="s">
        <v>127</v>
      </c>
      <c r="C5707" s="50" t="s">
        <v>554</v>
      </c>
      <c r="D5707" s="50" t="s">
        <v>259</v>
      </c>
      <c r="E5707" s="50">
        <v>0</v>
      </c>
      <c r="F5707" s="51">
        <v>2.8258704304602977E-2</v>
      </c>
      <c r="G5707" s="51" t="str">
        <v>稲葉 2022/11/21 (月)
平日夜間</v>
      </c>
    </row>
    <row r="5708" spans="1:7" ht="16.149999999999999" x14ac:dyDescent="0.7">
      <c r="A5708" s="49">
        <v>44847.6063140162</v>
      </c>
      <c r="B5708" s="50" t="s">
        <v>127</v>
      </c>
      <c r="C5708" s="50" t="s">
        <v>555</v>
      </c>
      <c r="D5708" s="50" t="s">
        <v>259</v>
      </c>
      <c r="E5708" s="50">
        <v>0</v>
      </c>
      <c r="F5708" s="51">
        <v>0.41854671051160941</v>
      </c>
      <c r="G5708" s="51" t="str">
        <v>稲葉 2022/11/22 (火)
平日夜間</v>
      </c>
    </row>
    <row r="5709" spans="1:7" ht="16.149999999999999" x14ac:dyDescent="0.7">
      <c r="A5709" s="49">
        <v>44847.6063140162</v>
      </c>
      <c r="B5709" s="50" t="s">
        <v>127</v>
      </c>
      <c r="C5709" s="50" t="s">
        <v>568</v>
      </c>
      <c r="D5709" s="50" t="s">
        <v>263</v>
      </c>
      <c r="E5709" s="50">
        <v>0</v>
      </c>
      <c r="F5709" s="51">
        <v>0.21996621243593695</v>
      </c>
      <c r="G5709" s="51" t="str">
        <v>稲葉 2022/11/23 (水)
休日午前</v>
      </c>
    </row>
    <row r="5710" spans="1:7" ht="16.149999999999999" x14ac:dyDescent="0.7">
      <c r="A5710" s="49">
        <v>44847.6063140162</v>
      </c>
      <c r="B5710" s="50" t="s">
        <v>127</v>
      </c>
      <c r="C5710" s="50" t="s">
        <v>569</v>
      </c>
      <c r="D5710" s="50" t="s">
        <v>261</v>
      </c>
      <c r="E5710" s="50">
        <v>0</v>
      </c>
      <c r="F5710" s="51">
        <v>0.61192772528231454</v>
      </c>
      <c r="G5710" s="51" t="str">
        <v>稲葉 2022/11/23 (水)
休日午後</v>
      </c>
    </row>
    <row r="5711" spans="1:7" ht="16.149999999999999" x14ac:dyDescent="0.7">
      <c r="A5711" s="49">
        <v>44847.6063140162</v>
      </c>
      <c r="B5711" s="50" t="s">
        <v>127</v>
      </c>
      <c r="C5711" s="50" t="s">
        <v>557</v>
      </c>
      <c r="D5711" s="50" t="s">
        <v>259</v>
      </c>
      <c r="E5711" s="50">
        <v>0</v>
      </c>
      <c r="F5711" s="51">
        <v>5.5328329445403224E-2</v>
      </c>
      <c r="G5711" s="51" t="str">
        <v>稲葉 2022/11/24 (木)
平日夜間</v>
      </c>
    </row>
    <row r="5712" spans="1:7" ht="16.149999999999999" x14ac:dyDescent="0.7">
      <c r="A5712" s="49">
        <v>44847.6063140162</v>
      </c>
      <c r="B5712" s="50" t="s">
        <v>127</v>
      </c>
      <c r="C5712" s="50" t="s">
        <v>558</v>
      </c>
      <c r="D5712" s="50" t="s">
        <v>259</v>
      </c>
      <c r="E5712" s="50">
        <v>0</v>
      </c>
      <c r="F5712" s="51">
        <v>0.41982686238629063</v>
      </c>
      <c r="G5712" s="51" t="str">
        <v>稲葉 2022/11/25 (金)
平日夜間</v>
      </c>
    </row>
    <row r="5713" spans="1:7" ht="16.149999999999999" x14ac:dyDescent="0.7">
      <c r="A5713" s="49">
        <v>44847.6063140162</v>
      </c>
      <c r="B5713" s="50" t="s">
        <v>127</v>
      </c>
      <c r="C5713" s="50" t="s">
        <v>559</v>
      </c>
      <c r="D5713" s="50" t="s">
        <v>263</v>
      </c>
      <c r="E5713" s="50">
        <v>2</v>
      </c>
      <c r="F5713" s="51">
        <v>2.502000796526942</v>
      </c>
      <c r="G5713" s="51" t="str">
        <v>稲葉 2022/11/26 (土)
休日午前</v>
      </c>
    </row>
    <row r="5714" spans="1:7" ht="16.149999999999999" x14ac:dyDescent="0.7">
      <c r="A5714" s="49">
        <v>44847.6063140162</v>
      </c>
      <c r="B5714" s="50" t="s">
        <v>127</v>
      </c>
      <c r="C5714" s="50" t="s">
        <v>560</v>
      </c>
      <c r="D5714" s="50" t="s">
        <v>261</v>
      </c>
      <c r="E5714" s="50">
        <v>2</v>
      </c>
      <c r="F5714" s="51">
        <v>2.575124439204878</v>
      </c>
      <c r="G5714" s="51" t="str">
        <v>稲葉 2022/11/26 (土)
休日午後</v>
      </c>
    </row>
    <row r="5715" spans="1:7" ht="16.149999999999999" x14ac:dyDescent="0.7">
      <c r="A5715" s="49">
        <v>44847.6063140162</v>
      </c>
      <c r="B5715" s="50" t="s">
        <v>127</v>
      </c>
      <c r="C5715" s="50" t="s">
        <v>561</v>
      </c>
      <c r="D5715" s="50" t="s">
        <v>263</v>
      </c>
      <c r="E5715" s="50">
        <v>0</v>
      </c>
      <c r="F5715" s="51">
        <v>0.88181626146065017</v>
      </c>
      <c r="G5715" s="51" t="str">
        <v>稲葉 2022/11/27 (日)
休日午前</v>
      </c>
    </row>
    <row r="5716" spans="1:7" ht="16.149999999999999" x14ac:dyDescent="0.7">
      <c r="A5716" s="49">
        <v>44847.6063140162</v>
      </c>
      <c r="B5716" s="50" t="s">
        <v>127</v>
      </c>
      <c r="C5716" s="50" t="s">
        <v>562</v>
      </c>
      <c r="D5716" s="50" t="s">
        <v>261</v>
      </c>
      <c r="E5716" s="50">
        <v>-1</v>
      </c>
      <c r="F5716" s="51">
        <v>-0.11257796656763275</v>
      </c>
      <c r="G5716" s="51" t="str">
        <v>稲葉 2022/11/27 (日)
休日午後</v>
      </c>
    </row>
    <row r="5717" spans="1:7" ht="16.149999999999999" x14ac:dyDescent="0.7">
      <c r="A5717" s="49">
        <v>44847.6063140162</v>
      </c>
      <c r="B5717" s="50" t="s">
        <v>127</v>
      </c>
      <c r="C5717" s="50" t="s">
        <v>563</v>
      </c>
      <c r="D5717" s="50" t="s">
        <v>259</v>
      </c>
      <c r="E5717" s="50">
        <v>0</v>
      </c>
      <c r="F5717" s="51">
        <v>0.39866571343435075</v>
      </c>
      <c r="G5717" s="51" t="str">
        <v>稲葉 2022/11/28 (月)
平日夜間</v>
      </c>
    </row>
    <row r="5718" spans="1:7" ht="16.149999999999999" x14ac:dyDescent="0.7">
      <c r="A5718" s="49">
        <v>44847.6063140162</v>
      </c>
      <c r="B5718" s="50" t="s">
        <v>127</v>
      </c>
      <c r="C5718" s="50" t="s">
        <v>564</v>
      </c>
      <c r="D5718" s="50" t="s">
        <v>259</v>
      </c>
      <c r="E5718" s="50">
        <v>0</v>
      </c>
      <c r="F5718" s="51">
        <v>8.684832747360538E-2</v>
      </c>
      <c r="G5718" s="51" t="str">
        <v>稲葉 2022/11/29 (火)
平日夜間</v>
      </c>
    </row>
    <row r="5719" spans="1:7" ht="16.149999999999999" x14ac:dyDescent="0.7">
      <c r="A5719" s="49">
        <v>44847.6063140162</v>
      </c>
      <c r="B5719" s="50" t="s">
        <v>127</v>
      </c>
      <c r="C5719" s="50" t="s">
        <v>565</v>
      </c>
      <c r="D5719" s="50" t="s">
        <v>259</v>
      </c>
      <c r="E5719" s="50">
        <v>0</v>
      </c>
      <c r="F5719" s="51">
        <v>2.4633931826447686E-3</v>
      </c>
      <c r="G5719" s="51" t="str">
        <v>稲葉 2022/11/30 (水)
平日夜間</v>
      </c>
    </row>
    <row r="5720" spans="1:7" ht="16.149999999999999" x14ac:dyDescent="0.7">
      <c r="A5720" s="49">
        <v>44847.728163599539</v>
      </c>
      <c r="B5720" s="50" t="s">
        <v>9</v>
      </c>
      <c r="C5720" s="50" t="s">
        <v>528</v>
      </c>
      <c r="D5720" s="50" t="s">
        <v>259</v>
      </c>
      <c r="E5720" s="50">
        <v>0</v>
      </c>
      <c r="F5720" s="51">
        <v>7.4769852385161428E-2</v>
      </c>
      <c r="G5720" s="51" t="str">
        <v>山口 2022/11/01 (火)
平日夜間</v>
      </c>
    </row>
    <row r="5721" spans="1:7" ht="16.149999999999999" x14ac:dyDescent="0.7">
      <c r="A5721" s="49">
        <v>44847.728163599539</v>
      </c>
      <c r="B5721" s="50" t="s">
        <v>9</v>
      </c>
      <c r="C5721" s="50" t="s">
        <v>529</v>
      </c>
      <c r="D5721" s="50" t="s">
        <v>259</v>
      </c>
      <c r="E5721" s="50">
        <v>0</v>
      </c>
      <c r="F5721" s="51">
        <v>0.93069173752562473</v>
      </c>
      <c r="G5721" s="51" t="str">
        <v>山口 2022/11/02 (水)
平日夜間</v>
      </c>
    </row>
    <row r="5722" spans="1:7" ht="16.149999999999999" x14ac:dyDescent="0.7">
      <c r="A5722" s="49">
        <v>44847.728163599539</v>
      </c>
      <c r="B5722" s="50" t="s">
        <v>9</v>
      </c>
      <c r="C5722" s="50" t="s">
        <v>566</v>
      </c>
      <c r="D5722" s="50" t="s">
        <v>263</v>
      </c>
      <c r="E5722" s="50">
        <v>0</v>
      </c>
      <c r="F5722" s="51">
        <v>0.10475467504239311</v>
      </c>
      <c r="G5722" s="51" t="str">
        <v>山口 2022/11/03 (木)
休日午前</v>
      </c>
    </row>
    <row r="5723" spans="1:7" ht="16.149999999999999" x14ac:dyDescent="0.7">
      <c r="A5723" s="49">
        <v>44847.728163599539</v>
      </c>
      <c r="B5723" s="50" t="s">
        <v>9</v>
      </c>
      <c r="C5723" s="50" t="s">
        <v>567</v>
      </c>
      <c r="D5723" s="50" t="s">
        <v>261</v>
      </c>
      <c r="E5723" s="50">
        <v>-1</v>
      </c>
      <c r="F5723" s="51">
        <v>-0.22668931567902706</v>
      </c>
      <c r="G5723" s="51" t="str">
        <v>山口 2022/11/03 (木)
休日午後</v>
      </c>
    </row>
    <row r="5724" spans="1:7" ht="16.149999999999999" x14ac:dyDescent="0.7">
      <c r="A5724" s="49">
        <v>44847.728163599539</v>
      </c>
      <c r="B5724" s="50" t="s">
        <v>9</v>
      </c>
      <c r="C5724" s="50" t="s">
        <v>531</v>
      </c>
      <c r="D5724" s="50" t="s">
        <v>259</v>
      </c>
      <c r="E5724" s="50">
        <v>0</v>
      </c>
      <c r="F5724" s="51">
        <v>0.51038651054543527</v>
      </c>
      <c r="G5724" s="51" t="str">
        <v>山口 2022/11/04 (金)
平日夜間</v>
      </c>
    </row>
    <row r="5725" spans="1:7" ht="16.149999999999999" x14ac:dyDescent="0.7">
      <c r="A5725" s="49">
        <v>44847.728163599539</v>
      </c>
      <c r="B5725" s="50" t="s">
        <v>9</v>
      </c>
      <c r="C5725" s="50" t="s">
        <v>532</v>
      </c>
      <c r="D5725" s="50" t="s">
        <v>263</v>
      </c>
      <c r="E5725" s="50">
        <v>0</v>
      </c>
      <c r="F5725" s="51">
        <v>0.71450936128751641</v>
      </c>
      <c r="G5725" s="51" t="str">
        <v>山口 2022/11/05 (土)
休日午前</v>
      </c>
    </row>
    <row r="5726" spans="1:7" ht="16.149999999999999" x14ac:dyDescent="0.7">
      <c r="A5726" s="49">
        <v>44847.728163599539</v>
      </c>
      <c r="B5726" s="50" t="s">
        <v>9</v>
      </c>
      <c r="C5726" s="50" t="s">
        <v>533</v>
      </c>
      <c r="D5726" s="50" t="s">
        <v>261</v>
      </c>
      <c r="E5726" s="50">
        <v>0</v>
      </c>
      <c r="F5726" s="51">
        <v>0.32365434179108088</v>
      </c>
      <c r="G5726" s="51" t="str">
        <v>山口 2022/11/05 (土)
休日午後</v>
      </c>
    </row>
    <row r="5727" spans="1:7" ht="16.149999999999999" x14ac:dyDescent="0.7">
      <c r="A5727" s="49">
        <v>44847.728163599539</v>
      </c>
      <c r="B5727" s="50" t="s">
        <v>9</v>
      </c>
      <c r="C5727" s="50" t="s">
        <v>534</v>
      </c>
      <c r="D5727" s="50" t="s">
        <v>263</v>
      </c>
      <c r="E5727" s="50">
        <v>0</v>
      </c>
      <c r="F5727" s="51">
        <v>0.51742212486831729</v>
      </c>
      <c r="G5727" s="51" t="str">
        <v>山口 2022/11/06 (日)
休日午前</v>
      </c>
    </row>
    <row r="5728" spans="1:7" ht="16.149999999999999" x14ac:dyDescent="0.7">
      <c r="A5728" s="49">
        <v>44847.728163599539</v>
      </c>
      <c r="B5728" s="50" t="s">
        <v>9</v>
      </c>
      <c r="C5728" s="50" t="s">
        <v>535</v>
      </c>
      <c r="D5728" s="50" t="s">
        <v>261</v>
      </c>
      <c r="E5728" s="50">
        <v>0</v>
      </c>
      <c r="F5728" s="51">
        <v>0.26944107670846296</v>
      </c>
      <c r="G5728" s="51" t="str">
        <v>山口 2022/11/06 (日)
休日午後</v>
      </c>
    </row>
    <row r="5729" spans="1:7" ht="16.149999999999999" x14ac:dyDescent="0.7">
      <c r="A5729" s="49">
        <v>44847.728163599539</v>
      </c>
      <c r="B5729" s="50" t="s">
        <v>9</v>
      </c>
      <c r="C5729" s="50" t="s">
        <v>536</v>
      </c>
      <c r="D5729" s="50" t="s">
        <v>259</v>
      </c>
      <c r="E5729" s="50">
        <v>0</v>
      </c>
      <c r="F5729" s="51">
        <v>0.92842890933790945</v>
      </c>
      <c r="G5729" s="51" t="str">
        <v>山口 2022/11/07 (月)
平日夜間</v>
      </c>
    </row>
    <row r="5730" spans="1:7" ht="16.149999999999999" x14ac:dyDescent="0.7">
      <c r="A5730" s="49">
        <v>44847.728163599539</v>
      </c>
      <c r="B5730" s="50" t="s">
        <v>9</v>
      </c>
      <c r="C5730" s="50" t="s">
        <v>537</v>
      </c>
      <c r="D5730" s="50" t="s">
        <v>259</v>
      </c>
      <c r="E5730" s="50">
        <v>0</v>
      </c>
      <c r="F5730" s="51">
        <v>4.9270707085772081E-2</v>
      </c>
      <c r="G5730" s="51" t="str">
        <v>山口 2022/11/08 (火)
平日夜間</v>
      </c>
    </row>
    <row r="5731" spans="1:7" ht="16.149999999999999" x14ac:dyDescent="0.7">
      <c r="A5731" s="49">
        <v>44847.728163599539</v>
      </c>
      <c r="B5731" s="50" t="s">
        <v>9</v>
      </c>
      <c r="C5731" s="50" t="s">
        <v>538</v>
      </c>
      <c r="D5731" s="50" t="s">
        <v>259</v>
      </c>
      <c r="E5731" s="50">
        <v>0</v>
      </c>
      <c r="F5731" s="51">
        <v>0.78117014783891925</v>
      </c>
      <c r="G5731" s="51" t="str">
        <v>山口 2022/11/09 (水)
平日夜間</v>
      </c>
    </row>
    <row r="5732" spans="1:7" ht="16.149999999999999" x14ac:dyDescent="0.7">
      <c r="A5732" s="49">
        <v>44847.728163599539</v>
      </c>
      <c r="B5732" s="50" t="s">
        <v>9</v>
      </c>
      <c r="C5732" s="50" t="s">
        <v>539</v>
      </c>
      <c r="D5732" s="50" t="s">
        <v>259</v>
      </c>
      <c r="E5732" s="50">
        <v>2</v>
      </c>
      <c r="F5732" s="51">
        <v>2.9736165042728464</v>
      </c>
      <c r="G5732" s="51" t="str">
        <v>山口 2022/11/10 (木)
平日夜間</v>
      </c>
    </row>
    <row r="5733" spans="1:7" ht="16.149999999999999" x14ac:dyDescent="0.7">
      <c r="A5733" s="49">
        <v>44847.728163599539</v>
      </c>
      <c r="B5733" s="50" t="s">
        <v>9</v>
      </c>
      <c r="C5733" s="50" t="s">
        <v>540</v>
      </c>
      <c r="D5733" s="50" t="s">
        <v>259</v>
      </c>
      <c r="E5733" s="50">
        <v>0</v>
      </c>
      <c r="F5733" s="51">
        <v>0.37322680713259393</v>
      </c>
      <c r="G5733" s="51" t="str">
        <v>山口 2022/11/11 (金)
平日夜間</v>
      </c>
    </row>
    <row r="5734" spans="1:7" ht="16.149999999999999" x14ac:dyDescent="0.7">
      <c r="A5734" s="49">
        <v>44847.728163599539</v>
      </c>
      <c r="B5734" s="50" t="s">
        <v>9</v>
      </c>
      <c r="C5734" s="50" t="s">
        <v>541</v>
      </c>
      <c r="D5734" s="50" t="s">
        <v>263</v>
      </c>
      <c r="E5734" s="50">
        <v>0</v>
      </c>
      <c r="F5734" s="51">
        <v>0.22684891366170357</v>
      </c>
      <c r="G5734" s="51" t="str">
        <v>山口 2022/11/12 (土)
休日午前</v>
      </c>
    </row>
    <row r="5735" spans="1:7" ht="16.149999999999999" x14ac:dyDescent="0.7">
      <c r="A5735" s="49">
        <v>44847.728163599539</v>
      </c>
      <c r="B5735" s="50" t="s">
        <v>9</v>
      </c>
      <c r="C5735" s="50" t="s">
        <v>542</v>
      </c>
      <c r="D5735" s="50" t="s">
        <v>261</v>
      </c>
      <c r="E5735" s="50">
        <v>0</v>
      </c>
      <c r="F5735" s="51">
        <v>0.13021698817621319</v>
      </c>
      <c r="G5735" s="51" t="str">
        <v>山口 2022/11/12 (土)
休日午後</v>
      </c>
    </row>
    <row r="5736" spans="1:7" ht="16.149999999999999" x14ac:dyDescent="0.7">
      <c r="A5736" s="49">
        <v>44847.728163599539</v>
      </c>
      <c r="B5736" s="50" t="s">
        <v>9</v>
      </c>
      <c r="C5736" s="50" t="s">
        <v>543</v>
      </c>
      <c r="D5736" s="50" t="s">
        <v>263</v>
      </c>
      <c r="E5736" s="50">
        <v>0</v>
      </c>
      <c r="F5736" s="51">
        <v>0.67950805588602803</v>
      </c>
      <c r="G5736" s="51" t="str">
        <v>山口 2022/11/13 (日)
休日午前</v>
      </c>
    </row>
    <row r="5737" spans="1:7" ht="16.149999999999999" x14ac:dyDescent="0.7">
      <c r="A5737" s="49">
        <v>44847.728163599539</v>
      </c>
      <c r="B5737" s="50" t="s">
        <v>9</v>
      </c>
      <c r="C5737" s="50" t="s">
        <v>544</v>
      </c>
      <c r="D5737" s="50" t="s">
        <v>261</v>
      </c>
      <c r="E5737" s="50">
        <v>0</v>
      </c>
      <c r="F5737" s="51">
        <v>0.12224132750026739</v>
      </c>
      <c r="G5737" s="51" t="str">
        <v>山口 2022/11/13 (日)
休日午後</v>
      </c>
    </row>
    <row r="5738" spans="1:7" ht="16.149999999999999" x14ac:dyDescent="0.7">
      <c r="A5738" s="49">
        <v>44847.728163599539</v>
      </c>
      <c r="B5738" s="50" t="s">
        <v>9</v>
      </c>
      <c r="C5738" s="50" t="s">
        <v>545</v>
      </c>
      <c r="D5738" s="50" t="s">
        <v>259</v>
      </c>
      <c r="E5738" s="50">
        <v>0</v>
      </c>
      <c r="F5738" s="51">
        <v>0.84358267732450432</v>
      </c>
      <c r="G5738" s="51" t="str">
        <v>山口 2022/11/14 (月)
平日夜間</v>
      </c>
    </row>
    <row r="5739" spans="1:7" ht="16.149999999999999" x14ac:dyDescent="0.7">
      <c r="A5739" s="49">
        <v>44847.728163599539</v>
      </c>
      <c r="B5739" s="50" t="s">
        <v>9</v>
      </c>
      <c r="C5739" s="50" t="s">
        <v>546</v>
      </c>
      <c r="D5739" s="50" t="s">
        <v>259</v>
      </c>
      <c r="E5739" s="50">
        <v>0</v>
      </c>
      <c r="F5739" s="51">
        <v>0.77223444593154222</v>
      </c>
      <c r="G5739" s="51" t="str">
        <v>山口 2022/11/15 (火)
平日夜間</v>
      </c>
    </row>
    <row r="5740" spans="1:7" ht="16.149999999999999" x14ac:dyDescent="0.7">
      <c r="A5740" s="49">
        <v>44847.728163599539</v>
      </c>
      <c r="B5740" s="50" t="s">
        <v>9</v>
      </c>
      <c r="C5740" s="50" t="s">
        <v>547</v>
      </c>
      <c r="D5740" s="50" t="s">
        <v>259</v>
      </c>
      <c r="E5740" s="50">
        <v>0</v>
      </c>
      <c r="F5740" s="51">
        <v>0.18228652930427613</v>
      </c>
      <c r="G5740" s="51" t="str">
        <v>山口 2022/11/16 (水)
平日夜間</v>
      </c>
    </row>
    <row r="5741" spans="1:7" ht="16.149999999999999" x14ac:dyDescent="0.7">
      <c r="A5741" s="49">
        <v>44847.728163599539</v>
      </c>
      <c r="B5741" s="50" t="s">
        <v>9</v>
      </c>
      <c r="C5741" s="50" t="s">
        <v>548</v>
      </c>
      <c r="D5741" s="50" t="s">
        <v>259</v>
      </c>
      <c r="E5741" s="50">
        <v>-1</v>
      </c>
      <c r="F5741" s="51">
        <v>-6.1775790897628635E-2</v>
      </c>
      <c r="G5741" s="51" t="str">
        <v>山口 2022/11/17 (木)
平日夜間</v>
      </c>
    </row>
    <row r="5742" spans="1:7" ht="16.149999999999999" x14ac:dyDescent="0.7">
      <c r="A5742" s="49">
        <v>44847.728163599539</v>
      </c>
      <c r="B5742" s="50" t="s">
        <v>9</v>
      </c>
      <c r="C5742" s="50" t="s">
        <v>549</v>
      </c>
      <c r="D5742" s="50" t="s">
        <v>259</v>
      </c>
      <c r="E5742" s="50">
        <v>0</v>
      </c>
      <c r="F5742" s="51">
        <v>0.19754301574608424</v>
      </c>
      <c r="G5742" s="51" t="str">
        <v>山口 2022/11/18 (金)
平日夜間</v>
      </c>
    </row>
    <row r="5743" spans="1:7" ht="16.149999999999999" x14ac:dyDescent="0.7">
      <c r="A5743" s="49">
        <v>44847.728163599539</v>
      </c>
      <c r="B5743" s="50" t="s">
        <v>9</v>
      </c>
      <c r="C5743" s="50" t="s">
        <v>550</v>
      </c>
      <c r="D5743" s="50" t="s">
        <v>263</v>
      </c>
      <c r="E5743" s="50">
        <v>0</v>
      </c>
      <c r="F5743" s="51">
        <v>0.32673353753118017</v>
      </c>
      <c r="G5743" s="51" t="str">
        <v>山口 2022/11/19 (土)
休日午前</v>
      </c>
    </row>
    <row r="5744" spans="1:7" ht="16.149999999999999" x14ac:dyDescent="0.7">
      <c r="A5744" s="49">
        <v>44847.728163599539</v>
      </c>
      <c r="B5744" s="50" t="s">
        <v>9</v>
      </c>
      <c r="C5744" s="50" t="s">
        <v>551</v>
      </c>
      <c r="D5744" s="50" t="s">
        <v>261</v>
      </c>
      <c r="E5744" s="50">
        <v>0</v>
      </c>
      <c r="F5744" s="51">
        <v>0.63187810823013946</v>
      </c>
      <c r="G5744" s="51" t="str">
        <v>山口 2022/11/19 (土)
休日午後</v>
      </c>
    </row>
    <row r="5745" spans="1:7" ht="16.149999999999999" x14ac:dyDescent="0.7">
      <c r="A5745" s="49">
        <v>44847.728163599539</v>
      </c>
      <c r="B5745" s="50" t="s">
        <v>9</v>
      </c>
      <c r="C5745" s="50" t="s">
        <v>552</v>
      </c>
      <c r="D5745" s="50" t="s">
        <v>263</v>
      </c>
      <c r="E5745" s="50">
        <v>0</v>
      </c>
      <c r="F5745" s="51">
        <v>0.19177481694772935</v>
      </c>
      <c r="G5745" s="51" t="str">
        <v>山口 2022/11/20 (日)
休日午前</v>
      </c>
    </row>
    <row r="5746" spans="1:7" ht="16.149999999999999" x14ac:dyDescent="0.7">
      <c r="A5746" s="49">
        <v>44847.728163599539</v>
      </c>
      <c r="B5746" s="50" t="s">
        <v>9</v>
      </c>
      <c r="C5746" s="50" t="s">
        <v>553</v>
      </c>
      <c r="D5746" s="50" t="s">
        <v>261</v>
      </c>
      <c r="E5746" s="50">
        <v>0</v>
      </c>
      <c r="F5746" s="51">
        <v>0.99286954801595129</v>
      </c>
      <c r="G5746" s="51" t="str">
        <v>山口 2022/11/20 (日)
休日午後</v>
      </c>
    </row>
    <row r="5747" spans="1:7" ht="16.149999999999999" x14ac:dyDescent="0.7">
      <c r="A5747" s="49">
        <v>44847.728163599539</v>
      </c>
      <c r="B5747" s="50" t="s">
        <v>9</v>
      </c>
      <c r="C5747" s="50" t="s">
        <v>554</v>
      </c>
      <c r="D5747" s="50" t="s">
        <v>259</v>
      </c>
      <c r="E5747" s="50">
        <v>0</v>
      </c>
      <c r="F5747" s="51">
        <v>1.1731600483737559E-2</v>
      </c>
      <c r="G5747" s="51" t="str">
        <v>山口 2022/11/21 (月)
平日夜間</v>
      </c>
    </row>
    <row r="5748" spans="1:7" ht="16.149999999999999" x14ac:dyDescent="0.7">
      <c r="A5748" s="49">
        <v>44847.728163599539</v>
      </c>
      <c r="B5748" s="50" t="s">
        <v>9</v>
      </c>
      <c r="C5748" s="50" t="s">
        <v>555</v>
      </c>
      <c r="D5748" s="50" t="s">
        <v>259</v>
      </c>
      <c r="E5748" s="50">
        <v>0</v>
      </c>
      <c r="F5748" s="51">
        <v>0.9161690583679698</v>
      </c>
      <c r="G5748" s="51" t="str">
        <v>山口 2022/11/22 (火)
平日夜間</v>
      </c>
    </row>
    <row r="5749" spans="1:7" ht="16.149999999999999" x14ac:dyDescent="0.7">
      <c r="A5749" s="49">
        <v>44847.728163599539</v>
      </c>
      <c r="B5749" s="50" t="s">
        <v>9</v>
      </c>
      <c r="C5749" s="50" t="s">
        <v>568</v>
      </c>
      <c r="D5749" s="50" t="s">
        <v>263</v>
      </c>
      <c r="E5749" s="50">
        <v>0</v>
      </c>
      <c r="F5749" s="51">
        <v>0.97010887499279908</v>
      </c>
      <c r="G5749" s="51" t="str">
        <v>山口 2022/11/23 (水)
休日午前</v>
      </c>
    </row>
    <row r="5750" spans="1:7" ht="16.149999999999999" x14ac:dyDescent="0.7">
      <c r="A5750" s="49">
        <v>44847.728163599539</v>
      </c>
      <c r="B5750" s="50" t="s">
        <v>9</v>
      </c>
      <c r="C5750" s="50" t="s">
        <v>569</v>
      </c>
      <c r="D5750" s="50" t="s">
        <v>261</v>
      </c>
      <c r="E5750" s="50">
        <v>0</v>
      </c>
      <c r="F5750" s="51">
        <v>0.47602133967940241</v>
      </c>
      <c r="G5750" s="51" t="str">
        <v>山口 2022/11/23 (水)
休日午後</v>
      </c>
    </row>
    <row r="5751" spans="1:7" ht="16.149999999999999" x14ac:dyDescent="0.7">
      <c r="A5751" s="49">
        <v>44847.728163599539</v>
      </c>
      <c r="B5751" s="50" t="s">
        <v>9</v>
      </c>
      <c r="C5751" s="50" t="s">
        <v>557</v>
      </c>
      <c r="D5751" s="50" t="s">
        <v>259</v>
      </c>
      <c r="E5751" s="50">
        <v>0</v>
      </c>
      <c r="F5751" s="51">
        <v>0.30842206601205424</v>
      </c>
      <c r="G5751" s="51" t="str">
        <v>山口 2022/11/24 (木)
平日夜間</v>
      </c>
    </row>
    <row r="5752" spans="1:7" ht="16.149999999999999" x14ac:dyDescent="0.7">
      <c r="A5752" s="49">
        <v>44847.728163599539</v>
      </c>
      <c r="B5752" s="50" t="s">
        <v>9</v>
      </c>
      <c r="C5752" s="50" t="s">
        <v>558</v>
      </c>
      <c r="D5752" s="50" t="s">
        <v>259</v>
      </c>
      <c r="E5752" s="50">
        <v>0</v>
      </c>
      <c r="F5752" s="51">
        <v>0.37082581677233928</v>
      </c>
      <c r="G5752" s="51" t="str">
        <v>山口 2022/11/25 (金)
平日夜間</v>
      </c>
    </row>
    <row r="5753" spans="1:7" ht="16.149999999999999" x14ac:dyDescent="0.7">
      <c r="A5753" s="49">
        <v>44847.728163599539</v>
      </c>
      <c r="B5753" s="50" t="s">
        <v>9</v>
      </c>
      <c r="C5753" s="50" t="s">
        <v>559</v>
      </c>
      <c r="D5753" s="50" t="s">
        <v>263</v>
      </c>
      <c r="E5753" s="50">
        <v>0</v>
      </c>
      <c r="F5753" s="51">
        <v>0.58491474653100073</v>
      </c>
      <c r="G5753" s="51" t="str">
        <v>山口 2022/11/26 (土)
休日午前</v>
      </c>
    </row>
    <row r="5754" spans="1:7" ht="16.149999999999999" x14ac:dyDescent="0.7">
      <c r="A5754" s="49">
        <v>44847.728163599539</v>
      </c>
      <c r="B5754" s="50" t="s">
        <v>9</v>
      </c>
      <c r="C5754" s="50" t="s">
        <v>560</v>
      </c>
      <c r="D5754" s="50" t="s">
        <v>261</v>
      </c>
      <c r="E5754" s="50">
        <v>0</v>
      </c>
      <c r="F5754" s="51">
        <v>0.79151558966651914</v>
      </c>
      <c r="G5754" s="51" t="str">
        <v>山口 2022/11/26 (土)
休日午後</v>
      </c>
    </row>
    <row r="5755" spans="1:7" ht="16.149999999999999" x14ac:dyDescent="0.7">
      <c r="A5755" s="49">
        <v>44847.728163599539</v>
      </c>
      <c r="B5755" s="50" t="s">
        <v>9</v>
      </c>
      <c r="C5755" s="50" t="s">
        <v>561</v>
      </c>
      <c r="D5755" s="50" t="s">
        <v>263</v>
      </c>
      <c r="E5755" s="50">
        <v>0</v>
      </c>
      <c r="F5755" s="51">
        <v>0.75753696213703514</v>
      </c>
      <c r="G5755" s="51" t="str">
        <v>山口 2022/11/27 (日)
休日午前</v>
      </c>
    </row>
    <row r="5756" spans="1:7" ht="16.149999999999999" x14ac:dyDescent="0.7">
      <c r="A5756" s="49">
        <v>44847.728163599539</v>
      </c>
      <c r="B5756" s="50" t="s">
        <v>9</v>
      </c>
      <c r="C5756" s="50" t="s">
        <v>562</v>
      </c>
      <c r="D5756" s="50" t="s">
        <v>261</v>
      </c>
      <c r="E5756" s="50">
        <v>0</v>
      </c>
      <c r="F5756" s="51">
        <v>0.74653908066124863</v>
      </c>
      <c r="G5756" s="51" t="str">
        <v>山口 2022/11/27 (日)
休日午後</v>
      </c>
    </row>
    <row r="5757" spans="1:7" ht="16.149999999999999" x14ac:dyDescent="0.7">
      <c r="A5757" s="49">
        <v>44847.728163599539</v>
      </c>
      <c r="B5757" s="50" t="s">
        <v>9</v>
      </c>
      <c r="C5757" s="50" t="s">
        <v>563</v>
      </c>
      <c r="D5757" s="50" t="s">
        <v>259</v>
      </c>
      <c r="E5757" s="50">
        <v>-1</v>
      </c>
      <c r="F5757" s="51">
        <v>-0.54953431448421175</v>
      </c>
      <c r="G5757" s="51" t="str">
        <v>山口 2022/11/28 (月)
平日夜間</v>
      </c>
    </row>
    <row r="5758" spans="1:7" ht="16.149999999999999" x14ac:dyDescent="0.7">
      <c r="A5758" s="49">
        <v>44847.728163599539</v>
      </c>
      <c r="B5758" s="50" t="s">
        <v>9</v>
      </c>
      <c r="C5758" s="50" t="s">
        <v>564</v>
      </c>
      <c r="D5758" s="50" t="s">
        <v>259</v>
      </c>
      <c r="E5758" s="50">
        <v>0</v>
      </c>
      <c r="F5758" s="51">
        <v>0.67355458444742689</v>
      </c>
      <c r="G5758" s="51" t="str">
        <v>山口 2022/11/29 (火)
平日夜間</v>
      </c>
    </row>
    <row r="5759" spans="1:7" ht="16.149999999999999" x14ac:dyDescent="0.7">
      <c r="A5759" s="49">
        <v>44847.728163599539</v>
      </c>
      <c r="B5759" s="50" t="s">
        <v>9</v>
      </c>
      <c r="C5759" s="50" t="s">
        <v>565</v>
      </c>
      <c r="D5759" s="50" t="s">
        <v>259</v>
      </c>
      <c r="E5759" s="50">
        <v>0</v>
      </c>
      <c r="F5759" s="51">
        <v>0.95048370045903985</v>
      </c>
      <c r="G5759" s="51" t="str">
        <v>山口 2022/11/30 (水)
平日夜間</v>
      </c>
    </row>
    <row r="5760" spans="1:7" ht="16.149999999999999" x14ac:dyDescent="0.7">
      <c r="A5760" s="49">
        <v>44849.338248217595</v>
      </c>
      <c r="B5760" s="50" t="s">
        <v>10</v>
      </c>
      <c r="C5760" s="50" t="s">
        <v>528</v>
      </c>
      <c r="D5760" s="50" t="s">
        <v>259</v>
      </c>
      <c r="E5760" s="50">
        <v>-1</v>
      </c>
      <c r="F5760" s="51">
        <v>-0.31648402739867088</v>
      </c>
      <c r="G5760" s="51" t="str">
        <v>福井 2022/11/01 (火)
平日夜間</v>
      </c>
    </row>
    <row r="5761" spans="1:7" ht="16.149999999999999" x14ac:dyDescent="0.7">
      <c r="A5761" s="49">
        <v>44849.338248217595</v>
      </c>
      <c r="B5761" s="50" t="s">
        <v>10</v>
      </c>
      <c r="C5761" s="50" t="s">
        <v>529</v>
      </c>
      <c r="D5761" s="50" t="s">
        <v>259</v>
      </c>
      <c r="E5761" s="50">
        <v>0</v>
      </c>
      <c r="F5761" s="51">
        <v>0.81883568568410858</v>
      </c>
      <c r="G5761" s="51" t="str">
        <v>福井 2022/11/02 (水)
平日夜間</v>
      </c>
    </row>
    <row r="5762" spans="1:7" ht="16.149999999999999" x14ac:dyDescent="0.7">
      <c r="A5762" s="49">
        <v>44849.338248217595</v>
      </c>
      <c r="B5762" s="50" t="s">
        <v>10</v>
      </c>
      <c r="C5762" s="50" t="s">
        <v>566</v>
      </c>
      <c r="D5762" s="50" t="s">
        <v>263</v>
      </c>
      <c r="E5762" s="50">
        <v>-1</v>
      </c>
      <c r="F5762" s="51">
        <v>-0.19725326313868541</v>
      </c>
      <c r="G5762" s="51" t="str">
        <v>福井 2022/11/03 (木)
休日午前</v>
      </c>
    </row>
    <row r="5763" spans="1:7" ht="16.149999999999999" x14ac:dyDescent="0.7">
      <c r="A5763" s="49">
        <v>44849.338248217595</v>
      </c>
      <c r="B5763" s="50" t="s">
        <v>10</v>
      </c>
      <c r="C5763" s="50" t="s">
        <v>567</v>
      </c>
      <c r="D5763" s="50" t="s">
        <v>261</v>
      </c>
      <c r="E5763" s="50">
        <v>-1</v>
      </c>
      <c r="F5763" s="51">
        <v>-8.9380388610752037E-2</v>
      </c>
      <c r="G5763" s="51" t="str">
        <v>福井 2022/11/03 (木)
休日午後</v>
      </c>
    </row>
    <row r="5764" spans="1:7" ht="16.149999999999999" x14ac:dyDescent="0.7">
      <c r="A5764" s="49">
        <v>44849.338248217595</v>
      </c>
      <c r="B5764" s="50" t="s">
        <v>10</v>
      </c>
      <c r="C5764" s="50" t="s">
        <v>531</v>
      </c>
      <c r="D5764" s="50" t="s">
        <v>259</v>
      </c>
      <c r="E5764" s="50">
        <v>-1</v>
      </c>
      <c r="F5764" s="51">
        <v>-0.5281258391583048</v>
      </c>
      <c r="G5764" s="51" t="str">
        <v>福井 2022/11/04 (金)
平日夜間</v>
      </c>
    </row>
    <row r="5765" spans="1:7" ht="16.149999999999999" x14ac:dyDescent="0.7">
      <c r="A5765" s="49">
        <v>44849.338248217595</v>
      </c>
      <c r="B5765" s="50" t="s">
        <v>10</v>
      </c>
      <c r="C5765" s="50" t="s">
        <v>532</v>
      </c>
      <c r="D5765" s="50" t="s">
        <v>263</v>
      </c>
      <c r="E5765" s="50">
        <v>0</v>
      </c>
      <c r="F5765" s="51">
        <v>0.99013142877796745</v>
      </c>
      <c r="G5765" s="51" t="str">
        <v>福井 2022/11/05 (土)
休日午前</v>
      </c>
    </row>
    <row r="5766" spans="1:7" ht="16.149999999999999" x14ac:dyDescent="0.7">
      <c r="A5766" s="49">
        <v>44849.338248217595</v>
      </c>
      <c r="B5766" s="50" t="s">
        <v>10</v>
      </c>
      <c r="C5766" s="50" t="s">
        <v>533</v>
      </c>
      <c r="D5766" s="50" t="s">
        <v>261</v>
      </c>
      <c r="E5766" s="50">
        <v>0</v>
      </c>
      <c r="F5766" s="51">
        <v>0.85571865674475744</v>
      </c>
      <c r="G5766" s="51" t="str">
        <v>福井 2022/11/05 (土)
休日午後</v>
      </c>
    </row>
    <row r="5767" spans="1:7" ht="16.149999999999999" x14ac:dyDescent="0.7">
      <c r="A5767" s="49">
        <v>44849.338248217595</v>
      </c>
      <c r="B5767" s="50" t="s">
        <v>10</v>
      </c>
      <c r="C5767" s="50" t="s">
        <v>534</v>
      </c>
      <c r="D5767" s="50" t="s">
        <v>263</v>
      </c>
      <c r="E5767" s="50">
        <v>0</v>
      </c>
      <c r="F5767" s="51">
        <v>0.95487699755883249</v>
      </c>
      <c r="G5767" s="51" t="str">
        <v>福井 2022/11/06 (日)
休日午前</v>
      </c>
    </row>
    <row r="5768" spans="1:7" ht="16.149999999999999" x14ac:dyDescent="0.7">
      <c r="A5768" s="49">
        <v>44849.338248217595</v>
      </c>
      <c r="B5768" s="50" t="s">
        <v>10</v>
      </c>
      <c r="C5768" s="50" t="s">
        <v>535</v>
      </c>
      <c r="D5768" s="50" t="s">
        <v>261</v>
      </c>
      <c r="E5768" s="50">
        <v>0</v>
      </c>
      <c r="F5768" s="51">
        <v>0.64232487001164529</v>
      </c>
      <c r="G5768" s="51" t="str">
        <v>福井 2022/11/06 (日)
休日午後</v>
      </c>
    </row>
    <row r="5769" spans="1:7" ht="16.149999999999999" x14ac:dyDescent="0.7">
      <c r="A5769" s="49">
        <v>44849.338248217595</v>
      </c>
      <c r="B5769" s="50" t="s">
        <v>10</v>
      </c>
      <c r="C5769" s="50" t="s">
        <v>536</v>
      </c>
      <c r="D5769" s="50" t="s">
        <v>259</v>
      </c>
      <c r="E5769" s="50">
        <v>0</v>
      </c>
      <c r="F5769" s="51">
        <v>0.45394827619096279</v>
      </c>
      <c r="G5769" s="51" t="str">
        <v>福井 2022/11/07 (月)
平日夜間</v>
      </c>
    </row>
    <row r="5770" spans="1:7" ht="16.149999999999999" x14ac:dyDescent="0.7">
      <c r="A5770" s="49">
        <v>44849.338248217595</v>
      </c>
      <c r="B5770" s="50" t="s">
        <v>10</v>
      </c>
      <c r="C5770" s="50" t="s">
        <v>537</v>
      </c>
      <c r="D5770" s="50" t="s">
        <v>259</v>
      </c>
      <c r="E5770" s="50">
        <v>-1</v>
      </c>
      <c r="F5770" s="51">
        <v>-0.70334308051077454</v>
      </c>
      <c r="G5770" s="51" t="str">
        <v>福井 2022/11/08 (火)
平日夜間</v>
      </c>
    </row>
    <row r="5771" spans="1:7" ht="16.149999999999999" x14ac:dyDescent="0.7">
      <c r="A5771" s="49">
        <v>44849.338248217595</v>
      </c>
      <c r="B5771" s="50" t="s">
        <v>10</v>
      </c>
      <c r="C5771" s="50" t="s">
        <v>538</v>
      </c>
      <c r="D5771" s="50" t="s">
        <v>259</v>
      </c>
      <c r="E5771" s="50">
        <v>0</v>
      </c>
      <c r="F5771" s="51">
        <v>0.57649894632267129</v>
      </c>
      <c r="G5771" s="51" t="str">
        <v>福井 2022/11/09 (水)
平日夜間</v>
      </c>
    </row>
    <row r="5772" spans="1:7" ht="16.149999999999999" x14ac:dyDescent="0.7">
      <c r="A5772" s="49">
        <v>44849.338248217595</v>
      </c>
      <c r="B5772" s="50" t="s">
        <v>10</v>
      </c>
      <c r="C5772" s="50" t="s">
        <v>539</v>
      </c>
      <c r="D5772" s="50" t="s">
        <v>259</v>
      </c>
      <c r="E5772" s="50">
        <v>0</v>
      </c>
      <c r="F5772" s="51">
        <v>0.9964291040983837</v>
      </c>
      <c r="G5772" s="51" t="str">
        <v>福井 2022/11/10 (木)
平日夜間</v>
      </c>
    </row>
    <row r="5773" spans="1:7" ht="16.149999999999999" x14ac:dyDescent="0.7">
      <c r="A5773" s="49">
        <v>44849.338248217595</v>
      </c>
      <c r="B5773" s="50" t="s">
        <v>10</v>
      </c>
      <c r="C5773" s="50" t="s">
        <v>540</v>
      </c>
      <c r="D5773" s="50" t="s">
        <v>259</v>
      </c>
      <c r="E5773" s="50">
        <v>2</v>
      </c>
      <c r="F5773" s="51">
        <v>2.7126042670235568</v>
      </c>
      <c r="G5773" s="51" t="str">
        <v>福井 2022/11/11 (金)
平日夜間</v>
      </c>
    </row>
    <row r="5774" spans="1:7" ht="16.149999999999999" x14ac:dyDescent="0.7">
      <c r="A5774" s="49">
        <v>44849.338248217595</v>
      </c>
      <c r="B5774" s="50" t="s">
        <v>10</v>
      </c>
      <c r="C5774" s="50" t="s">
        <v>541</v>
      </c>
      <c r="D5774" s="50" t="s">
        <v>263</v>
      </c>
      <c r="E5774" s="50">
        <v>0</v>
      </c>
      <c r="F5774" s="51">
        <v>0.40851666122836972</v>
      </c>
      <c r="G5774" s="51" t="str">
        <v>福井 2022/11/12 (土)
休日午前</v>
      </c>
    </row>
    <row r="5775" spans="1:7" ht="16.149999999999999" x14ac:dyDescent="0.7">
      <c r="A5775" s="49">
        <v>44849.338248217595</v>
      </c>
      <c r="B5775" s="50" t="s">
        <v>10</v>
      </c>
      <c r="C5775" s="50" t="s">
        <v>542</v>
      </c>
      <c r="D5775" s="50" t="s">
        <v>261</v>
      </c>
      <c r="E5775" s="50">
        <v>0</v>
      </c>
      <c r="F5775" s="51">
        <v>0.69317417570349193</v>
      </c>
      <c r="G5775" s="51" t="str">
        <v>福井 2022/11/12 (土)
休日午後</v>
      </c>
    </row>
    <row r="5776" spans="1:7" ht="16.149999999999999" x14ac:dyDescent="0.7">
      <c r="A5776" s="49">
        <v>44849.338248217595</v>
      </c>
      <c r="B5776" s="50" t="s">
        <v>10</v>
      </c>
      <c r="C5776" s="50" t="s">
        <v>543</v>
      </c>
      <c r="D5776" s="50" t="s">
        <v>263</v>
      </c>
      <c r="E5776" s="50">
        <v>0</v>
      </c>
      <c r="F5776" s="51">
        <v>0.90325894898846726</v>
      </c>
      <c r="G5776" s="51" t="str">
        <v>福井 2022/11/13 (日)
休日午前</v>
      </c>
    </row>
    <row r="5777" spans="1:7" ht="16.149999999999999" x14ac:dyDescent="0.7">
      <c r="A5777" s="49">
        <v>44849.338248217595</v>
      </c>
      <c r="B5777" s="50" t="s">
        <v>10</v>
      </c>
      <c r="C5777" s="50" t="s">
        <v>544</v>
      </c>
      <c r="D5777" s="50" t="s">
        <v>261</v>
      </c>
      <c r="E5777" s="50">
        <v>0</v>
      </c>
      <c r="F5777" s="51">
        <v>0.97707172316099555</v>
      </c>
      <c r="G5777" s="51" t="str">
        <v>福井 2022/11/13 (日)
休日午後</v>
      </c>
    </row>
    <row r="5778" spans="1:7" ht="16.149999999999999" x14ac:dyDescent="0.7">
      <c r="A5778" s="49">
        <v>44849.338248217595</v>
      </c>
      <c r="B5778" s="50" t="s">
        <v>10</v>
      </c>
      <c r="C5778" s="50" t="s">
        <v>545</v>
      </c>
      <c r="D5778" s="50" t="s">
        <v>259</v>
      </c>
      <c r="E5778" s="50">
        <v>0</v>
      </c>
      <c r="F5778" s="51">
        <v>0.60000902623979324</v>
      </c>
      <c r="G5778" s="51" t="str">
        <v>福井 2022/11/14 (月)
平日夜間</v>
      </c>
    </row>
    <row r="5779" spans="1:7" ht="16.149999999999999" x14ac:dyDescent="0.7">
      <c r="A5779" s="49">
        <v>44849.338248217595</v>
      </c>
      <c r="B5779" s="50" t="s">
        <v>10</v>
      </c>
      <c r="C5779" s="50" t="s">
        <v>546</v>
      </c>
      <c r="D5779" s="50" t="s">
        <v>259</v>
      </c>
      <c r="E5779" s="50">
        <v>-1</v>
      </c>
      <c r="F5779" s="51">
        <v>-0.15039852505261675</v>
      </c>
      <c r="G5779" s="51" t="str">
        <v>福井 2022/11/15 (火)
平日夜間</v>
      </c>
    </row>
    <row r="5780" spans="1:7" ht="16.149999999999999" x14ac:dyDescent="0.7">
      <c r="A5780" s="49">
        <v>44849.338248217595</v>
      </c>
      <c r="B5780" s="50" t="s">
        <v>10</v>
      </c>
      <c r="C5780" s="50" t="s">
        <v>547</v>
      </c>
      <c r="D5780" s="50" t="s">
        <v>259</v>
      </c>
      <c r="E5780" s="50">
        <v>0</v>
      </c>
      <c r="F5780" s="51">
        <v>0.78090602487667971</v>
      </c>
      <c r="G5780" s="51" t="str">
        <v>福井 2022/11/16 (水)
平日夜間</v>
      </c>
    </row>
    <row r="5781" spans="1:7" ht="16.149999999999999" x14ac:dyDescent="0.7">
      <c r="A5781" s="49">
        <v>44849.338248217595</v>
      </c>
      <c r="B5781" s="50" t="s">
        <v>10</v>
      </c>
      <c r="C5781" s="50" t="s">
        <v>548</v>
      </c>
      <c r="D5781" s="50" t="s">
        <v>259</v>
      </c>
      <c r="E5781" s="50">
        <v>0</v>
      </c>
      <c r="F5781" s="51">
        <v>9.1355566846836656E-2</v>
      </c>
      <c r="G5781" s="51" t="str">
        <v>福井 2022/11/17 (木)
平日夜間</v>
      </c>
    </row>
    <row r="5782" spans="1:7" ht="16.149999999999999" x14ac:dyDescent="0.7">
      <c r="A5782" s="49">
        <v>44849.338248217595</v>
      </c>
      <c r="B5782" s="50" t="s">
        <v>10</v>
      </c>
      <c r="C5782" s="50" t="s">
        <v>549</v>
      </c>
      <c r="D5782" s="50" t="s">
        <v>259</v>
      </c>
      <c r="E5782" s="50">
        <v>-1</v>
      </c>
      <c r="F5782" s="51">
        <v>-0.46652277181419843</v>
      </c>
      <c r="G5782" s="51" t="str">
        <v>福井 2022/11/18 (金)
平日夜間</v>
      </c>
    </row>
    <row r="5783" spans="1:7" ht="16.149999999999999" x14ac:dyDescent="0.7">
      <c r="A5783" s="49">
        <v>44849.338248217595</v>
      </c>
      <c r="B5783" s="50" t="s">
        <v>10</v>
      </c>
      <c r="C5783" s="50" t="s">
        <v>550</v>
      </c>
      <c r="D5783" s="50" t="s">
        <v>263</v>
      </c>
      <c r="E5783" s="50">
        <v>-1</v>
      </c>
      <c r="F5783" s="51">
        <v>-0.86510613678039761</v>
      </c>
      <c r="G5783" s="51" t="str">
        <v>福井 2022/11/19 (土)
休日午前</v>
      </c>
    </row>
    <row r="5784" spans="1:7" ht="16.149999999999999" x14ac:dyDescent="0.7">
      <c r="A5784" s="49">
        <v>44849.338248217595</v>
      </c>
      <c r="B5784" s="50" t="s">
        <v>10</v>
      </c>
      <c r="C5784" s="50" t="s">
        <v>551</v>
      </c>
      <c r="D5784" s="50" t="s">
        <v>261</v>
      </c>
      <c r="E5784" s="50">
        <v>-1</v>
      </c>
      <c r="F5784" s="51">
        <v>-0.38640508472364399</v>
      </c>
      <c r="G5784" s="51" t="str">
        <v>福井 2022/11/19 (土)
休日午後</v>
      </c>
    </row>
    <row r="5785" spans="1:7" ht="16.149999999999999" x14ac:dyDescent="0.7">
      <c r="A5785" s="49">
        <v>44849.338248217595</v>
      </c>
      <c r="B5785" s="50" t="s">
        <v>10</v>
      </c>
      <c r="C5785" s="50" t="s">
        <v>552</v>
      </c>
      <c r="D5785" s="50" t="s">
        <v>263</v>
      </c>
      <c r="E5785" s="50">
        <v>-1</v>
      </c>
      <c r="F5785" s="51">
        <v>-0.21558994458668179</v>
      </c>
      <c r="G5785" s="51" t="str">
        <v>福井 2022/11/20 (日)
休日午前</v>
      </c>
    </row>
    <row r="5786" spans="1:7" ht="16.149999999999999" x14ac:dyDescent="0.7">
      <c r="A5786" s="49">
        <v>44849.338248217595</v>
      </c>
      <c r="B5786" s="50" t="s">
        <v>10</v>
      </c>
      <c r="C5786" s="50" t="s">
        <v>553</v>
      </c>
      <c r="D5786" s="50" t="s">
        <v>261</v>
      </c>
      <c r="E5786" s="50">
        <v>-1</v>
      </c>
      <c r="F5786" s="51">
        <v>-0.72078441706059615</v>
      </c>
      <c r="G5786" s="51" t="str">
        <v>福井 2022/11/20 (日)
休日午後</v>
      </c>
    </row>
    <row r="5787" spans="1:7" ht="16.149999999999999" x14ac:dyDescent="0.7">
      <c r="A5787" s="49">
        <v>44849.338248217595</v>
      </c>
      <c r="B5787" s="50" t="s">
        <v>10</v>
      </c>
      <c r="C5787" s="50" t="s">
        <v>554</v>
      </c>
      <c r="D5787" s="50" t="s">
        <v>259</v>
      </c>
      <c r="E5787" s="50">
        <v>0</v>
      </c>
      <c r="F5787" s="51">
        <v>0.88049464620038864</v>
      </c>
      <c r="G5787" s="51" t="str">
        <v>福井 2022/11/21 (月)
平日夜間</v>
      </c>
    </row>
    <row r="5788" spans="1:7" ht="16.149999999999999" x14ac:dyDescent="0.7">
      <c r="A5788" s="49">
        <v>44849.338248217595</v>
      </c>
      <c r="B5788" s="50" t="s">
        <v>10</v>
      </c>
      <c r="C5788" s="50" t="s">
        <v>555</v>
      </c>
      <c r="D5788" s="50" t="s">
        <v>259</v>
      </c>
      <c r="E5788" s="50">
        <v>-1</v>
      </c>
      <c r="F5788" s="51">
        <v>-0.84927099919006266</v>
      </c>
      <c r="G5788" s="51" t="str">
        <v>福井 2022/11/22 (火)
平日夜間</v>
      </c>
    </row>
    <row r="5789" spans="1:7" ht="16.149999999999999" x14ac:dyDescent="0.7">
      <c r="A5789" s="49">
        <v>44849.338248217595</v>
      </c>
      <c r="B5789" s="50" t="s">
        <v>10</v>
      </c>
      <c r="C5789" s="50" t="s">
        <v>568</v>
      </c>
      <c r="D5789" s="50" t="s">
        <v>263</v>
      </c>
      <c r="E5789" s="50">
        <v>-1</v>
      </c>
      <c r="F5789" s="51">
        <v>-0.18854951473362136</v>
      </c>
      <c r="G5789" s="51" t="str">
        <v>福井 2022/11/23 (水)
休日午前</v>
      </c>
    </row>
    <row r="5790" spans="1:7" ht="16.149999999999999" x14ac:dyDescent="0.7">
      <c r="A5790" s="49">
        <v>44849.338248217595</v>
      </c>
      <c r="B5790" s="50" t="s">
        <v>10</v>
      </c>
      <c r="C5790" s="50" t="s">
        <v>569</v>
      </c>
      <c r="D5790" s="50" t="s">
        <v>261</v>
      </c>
      <c r="E5790" s="50">
        <v>-1</v>
      </c>
      <c r="F5790" s="51">
        <v>-0.68421843928366322</v>
      </c>
      <c r="G5790" s="51" t="str">
        <v>福井 2022/11/23 (水)
休日午後</v>
      </c>
    </row>
    <row r="5791" spans="1:7" ht="16.149999999999999" x14ac:dyDescent="0.7">
      <c r="A5791" s="49">
        <v>44849.338248217595</v>
      </c>
      <c r="B5791" s="50" t="s">
        <v>10</v>
      </c>
      <c r="C5791" s="50" t="s">
        <v>557</v>
      </c>
      <c r="D5791" s="50" t="s">
        <v>259</v>
      </c>
      <c r="E5791" s="50">
        <v>0</v>
      </c>
      <c r="F5791" s="51">
        <v>0.34697589638939008</v>
      </c>
      <c r="G5791" s="51" t="str">
        <v>福井 2022/11/24 (木)
平日夜間</v>
      </c>
    </row>
    <row r="5792" spans="1:7" ht="16.149999999999999" x14ac:dyDescent="0.7">
      <c r="A5792" s="49">
        <v>44849.338248217595</v>
      </c>
      <c r="B5792" s="50" t="s">
        <v>10</v>
      </c>
      <c r="C5792" s="50" t="s">
        <v>558</v>
      </c>
      <c r="D5792" s="50" t="s">
        <v>259</v>
      </c>
      <c r="E5792" s="50">
        <v>0</v>
      </c>
      <c r="F5792" s="51">
        <v>0.19455018350419517</v>
      </c>
      <c r="G5792" s="51" t="str">
        <v>福井 2022/11/25 (金)
平日夜間</v>
      </c>
    </row>
    <row r="5793" spans="1:7" ht="16.149999999999999" x14ac:dyDescent="0.7">
      <c r="A5793" s="49">
        <v>44849.338248217595</v>
      </c>
      <c r="B5793" s="50" t="s">
        <v>10</v>
      </c>
      <c r="C5793" s="50" t="s">
        <v>559</v>
      </c>
      <c r="D5793" s="50" t="s">
        <v>263</v>
      </c>
      <c r="E5793" s="50">
        <v>-1</v>
      </c>
      <c r="F5793" s="51">
        <v>-0.63309190192212084</v>
      </c>
      <c r="G5793" s="51" t="str">
        <v>福井 2022/11/26 (土)
休日午前</v>
      </c>
    </row>
    <row r="5794" spans="1:7" ht="16.149999999999999" x14ac:dyDescent="0.7">
      <c r="A5794" s="49">
        <v>44849.338248217595</v>
      </c>
      <c r="B5794" s="50" t="s">
        <v>10</v>
      </c>
      <c r="C5794" s="50" t="s">
        <v>560</v>
      </c>
      <c r="D5794" s="50" t="s">
        <v>261</v>
      </c>
      <c r="E5794" s="50">
        <v>1</v>
      </c>
      <c r="F5794" s="51">
        <v>1.2331916501607245</v>
      </c>
      <c r="G5794" s="51" t="str">
        <v>福井 2022/11/26 (土)
休日午後</v>
      </c>
    </row>
    <row r="5795" spans="1:7" ht="16.149999999999999" x14ac:dyDescent="0.7">
      <c r="A5795" s="49">
        <v>44849.338248217595</v>
      </c>
      <c r="B5795" s="50" t="s">
        <v>10</v>
      </c>
      <c r="C5795" s="50" t="s">
        <v>561</v>
      </c>
      <c r="D5795" s="50" t="s">
        <v>263</v>
      </c>
      <c r="E5795" s="50">
        <v>0</v>
      </c>
      <c r="F5795" s="51">
        <v>0.59205817515417891</v>
      </c>
      <c r="G5795" s="51" t="str">
        <v>福井 2022/11/27 (日)
休日午前</v>
      </c>
    </row>
    <row r="5796" spans="1:7" ht="16.149999999999999" x14ac:dyDescent="0.7">
      <c r="A5796" s="49">
        <v>44849.338248217595</v>
      </c>
      <c r="B5796" s="50" t="s">
        <v>10</v>
      </c>
      <c r="C5796" s="50" t="s">
        <v>562</v>
      </c>
      <c r="D5796" s="50" t="s">
        <v>261</v>
      </c>
      <c r="E5796" s="50">
        <v>2</v>
      </c>
      <c r="F5796" s="51">
        <v>2.6770375973745608</v>
      </c>
      <c r="G5796" s="51" t="str">
        <v>福井 2022/11/27 (日)
休日午後</v>
      </c>
    </row>
    <row r="5797" spans="1:7" ht="16.149999999999999" x14ac:dyDescent="0.7">
      <c r="A5797" s="49">
        <v>44849.338248217595</v>
      </c>
      <c r="B5797" s="50" t="s">
        <v>10</v>
      </c>
      <c r="C5797" s="50" t="s">
        <v>563</v>
      </c>
      <c r="D5797" s="50" t="s">
        <v>259</v>
      </c>
      <c r="E5797" s="50">
        <v>0</v>
      </c>
      <c r="F5797" s="51">
        <v>0.75052213430424319</v>
      </c>
      <c r="G5797" s="51" t="str">
        <v>福井 2022/11/28 (月)
平日夜間</v>
      </c>
    </row>
    <row r="5798" spans="1:7" ht="16.149999999999999" x14ac:dyDescent="0.7">
      <c r="A5798" s="49">
        <v>44849.338248217595</v>
      </c>
      <c r="B5798" s="50" t="s">
        <v>10</v>
      </c>
      <c r="C5798" s="50" t="s">
        <v>564</v>
      </c>
      <c r="D5798" s="50" t="s">
        <v>259</v>
      </c>
      <c r="E5798" s="50">
        <v>-1</v>
      </c>
      <c r="F5798" s="51">
        <v>-0.62507627040878977</v>
      </c>
      <c r="G5798" s="51" t="str">
        <v>福井 2022/11/29 (火)
平日夜間</v>
      </c>
    </row>
    <row r="5799" spans="1:7" ht="16.149999999999999" x14ac:dyDescent="0.7">
      <c r="A5799" s="49">
        <v>44849.338248217595</v>
      </c>
      <c r="B5799" s="50" t="s">
        <v>10</v>
      </c>
      <c r="C5799" s="50" t="s">
        <v>565</v>
      </c>
      <c r="D5799" s="50" t="s">
        <v>259</v>
      </c>
      <c r="E5799" s="50">
        <v>0</v>
      </c>
      <c r="F5799" s="51">
        <v>0.98723928788023341</v>
      </c>
      <c r="G5799" s="51" t="str">
        <v>福井 2022/11/30 (水)
平日夜間</v>
      </c>
    </row>
    <row r="5800" spans="1:7" ht="16.149999999999999" x14ac:dyDescent="0.7">
      <c r="A5800" s="49">
        <v>44849.425700358799</v>
      </c>
      <c r="B5800" s="50" t="s">
        <v>13</v>
      </c>
      <c r="C5800" s="50" t="s">
        <v>528</v>
      </c>
      <c r="D5800" s="50" t="s">
        <v>259</v>
      </c>
      <c r="E5800" s="50">
        <v>0</v>
      </c>
      <c r="F5800" s="51">
        <v>0.61885906648794187</v>
      </c>
      <c r="G5800" s="51" t="str">
        <v>新美 2022/11/01 (火)
平日夜間</v>
      </c>
    </row>
    <row r="5801" spans="1:7" ht="16.149999999999999" x14ac:dyDescent="0.7">
      <c r="A5801" s="49">
        <v>44849.425700358799</v>
      </c>
      <c r="B5801" s="50" t="s">
        <v>13</v>
      </c>
      <c r="C5801" s="50" t="s">
        <v>529</v>
      </c>
      <c r="D5801" s="50" t="s">
        <v>259</v>
      </c>
      <c r="E5801" s="50">
        <v>-1</v>
      </c>
      <c r="F5801" s="51">
        <v>-0.93989172358291628</v>
      </c>
      <c r="G5801" s="51" t="str">
        <v>新美 2022/11/02 (水)
平日夜間</v>
      </c>
    </row>
    <row r="5802" spans="1:7" ht="16.149999999999999" x14ac:dyDescent="0.7">
      <c r="A5802" s="49">
        <v>44849.425700358799</v>
      </c>
      <c r="B5802" s="50" t="s">
        <v>13</v>
      </c>
      <c r="C5802" s="50" t="s">
        <v>566</v>
      </c>
      <c r="D5802" s="50" t="s">
        <v>263</v>
      </c>
      <c r="E5802" s="50">
        <v>0</v>
      </c>
      <c r="F5802" s="51">
        <v>0.14397426966384574</v>
      </c>
      <c r="G5802" s="51" t="str">
        <v>新美 2022/11/03 (木)
休日午前</v>
      </c>
    </row>
    <row r="5803" spans="1:7" ht="16.149999999999999" x14ac:dyDescent="0.7">
      <c r="A5803" s="49">
        <v>44849.425700358799</v>
      </c>
      <c r="B5803" s="50" t="s">
        <v>13</v>
      </c>
      <c r="C5803" s="50" t="s">
        <v>567</v>
      </c>
      <c r="D5803" s="50" t="s">
        <v>261</v>
      </c>
      <c r="E5803" s="50">
        <v>0</v>
      </c>
      <c r="F5803" s="51">
        <v>0.51034780271229163</v>
      </c>
      <c r="G5803" s="51" t="str">
        <v>新美 2022/11/03 (木)
休日午後</v>
      </c>
    </row>
    <row r="5804" spans="1:7" ht="16.149999999999999" x14ac:dyDescent="0.7">
      <c r="A5804" s="49">
        <v>44849.425700358799</v>
      </c>
      <c r="B5804" s="50" t="s">
        <v>13</v>
      </c>
      <c r="C5804" s="50" t="s">
        <v>531</v>
      </c>
      <c r="D5804" s="50" t="s">
        <v>259</v>
      </c>
      <c r="E5804" s="50">
        <v>-1</v>
      </c>
      <c r="F5804" s="51">
        <v>-0.32988833731818645</v>
      </c>
      <c r="G5804" s="51" t="str">
        <v>新美 2022/11/04 (金)
平日夜間</v>
      </c>
    </row>
    <row r="5805" spans="1:7" ht="16.149999999999999" x14ac:dyDescent="0.7">
      <c r="A5805" s="49">
        <v>44849.425700358799</v>
      </c>
      <c r="B5805" s="50" t="s">
        <v>13</v>
      </c>
      <c r="C5805" s="50" t="s">
        <v>532</v>
      </c>
      <c r="D5805" s="50" t="s">
        <v>263</v>
      </c>
      <c r="E5805" s="50">
        <v>-1</v>
      </c>
      <c r="F5805" s="51">
        <v>-0.26229052714048717</v>
      </c>
      <c r="G5805" s="51" t="str">
        <v>新美 2022/11/05 (土)
休日午前</v>
      </c>
    </row>
    <row r="5806" spans="1:7" ht="16.149999999999999" x14ac:dyDescent="0.7">
      <c r="A5806" s="49">
        <v>44849.425700358799</v>
      </c>
      <c r="B5806" s="50" t="s">
        <v>13</v>
      </c>
      <c r="C5806" s="50" t="s">
        <v>533</v>
      </c>
      <c r="D5806" s="50" t="s">
        <v>261</v>
      </c>
      <c r="E5806" s="50">
        <v>-1</v>
      </c>
      <c r="F5806" s="51">
        <v>-0.72485359701202823</v>
      </c>
      <c r="G5806" s="51" t="str">
        <v>新美 2022/11/05 (土)
休日午後</v>
      </c>
    </row>
    <row r="5807" spans="1:7" ht="16.149999999999999" x14ac:dyDescent="0.7">
      <c r="A5807" s="49">
        <v>44849.425700358799</v>
      </c>
      <c r="B5807" s="50" t="s">
        <v>13</v>
      </c>
      <c r="C5807" s="50" t="s">
        <v>534</v>
      </c>
      <c r="D5807" s="50" t="s">
        <v>263</v>
      </c>
      <c r="E5807" s="50">
        <v>-1</v>
      </c>
      <c r="F5807" s="51">
        <v>-0.72864833485384595</v>
      </c>
      <c r="G5807" s="51" t="str">
        <v>新美 2022/11/06 (日)
休日午前</v>
      </c>
    </row>
    <row r="5808" spans="1:7" ht="16.149999999999999" x14ac:dyDescent="0.7">
      <c r="A5808" s="49">
        <v>44849.425700358799</v>
      </c>
      <c r="B5808" s="50" t="s">
        <v>13</v>
      </c>
      <c r="C5808" s="50" t="s">
        <v>535</v>
      </c>
      <c r="D5808" s="50" t="s">
        <v>261</v>
      </c>
      <c r="E5808" s="50">
        <v>-1</v>
      </c>
      <c r="F5808" s="51">
        <v>-0.75270459226440622</v>
      </c>
      <c r="G5808" s="51" t="str">
        <v>新美 2022/11/06 (日)
休日午後</v>
      </c>
    </row>
    <row r="5809" spans="1:7" ht="16.149999999999999" x14ac:dyDescent="0.7">
      <c r="A5809" s="49">
        <v>44849.425700358799</v>
      </c>
      <c r="B5809" s="50" t="s">
        <v>13</v>
      </c>
      <c r="C5809" s="50" t="s">
        <v>536</v>
      </c>
      <c r="D5809" s="50" t="s">
        <v>259</v>
      </c>
      <c r="E5809" s="50">
        <v>0</v>
      </c>
      <c r="F5809" s="51">
        <v>0.19316235710475738</v>
      </c>
      <c r="G5809" s="51" t="str">
        <v>新美 2022/11/07 (月)
平日夜間</v>
      </c>
    </row>
    <row r="5810" spans="1:7" ht="16.149999999999999" x14ac:dyDescent="0.7">
      <c r="A5810" s="49">
        <v>44849.425700358799</v>
      </c>
      <c r="B5810" s="50" t="s">
        <v>13</v>
      </c>
      <c r="C5810" s="50" t="s">
        <v>537</v>
      </c>
      <c r="D5810" s="50" t="s">
        <v>259</v>
      </c>
      <c r="E5810" s="50">
        <v>0</v>
      </c>
      <c r="F5810" s="51">
        <v>0.33526758659315647</v>
      </c>
      <c r="G5810" s="51" t="str">
        <v>新美 2022/11/08 (火)
平日夜間</v>
      </c>
    </row>
    <row r="5811" spans="1:7" ht="16.149999999999999" x14ac:dyDescent="0.7">
      <c r="A5811" s="49">
        <v>44849.425700358799</v>
      </c>
      <c r="B5811" s="50" t="s">
        <v>13</v>
      </c>
      <c r="C5811" s="50" t="s">
        <v>538</v>
      </c>
      <c r="D5811" s="50" t="s">
        <v>259</v>
      </c>
      <c r="E5811" s="50">
        <v>-1</v>
      </c>
      <c r="F5811" s="51">
        <v>-0.1981538935161411</v>
      </c>
      <c r="G5811" s="51" t="str">
        <v>新美 2022/11/09 (水)
平日夜間</v>
      </c>
    </row>
    <row r="5812" spans="1:7" ht="16.149999999999999" x14ac:dyDescent="0.7">
      <c r="A5812" s="49">
        <v>44849.425700358799</v>
      </c>
      <c r="B5812" s="50" t="s">
        <v>13</v>
      </c>
      <c r="C5812" s="50" t="s">
        <v>539</v>
      </c>
      <c r="D5812" s="50" t="s">
        <v>259</v>
      </c>
      <c r="E5812" s="50">
        <v>0</v>
      </c>
      <c r="F5812" s="51">
        <v>4.9968669356777351E-2</v>
      </c>
      <c r="G5812" s="51" t="str">
        <v>新美 2022/11/10 (木)
平日夜間</v>
      </c>
    </row>
    <row r="5813" spans="1:7" ht="16.149999999999999" x14ac:dyDescent="0.7">
      <c r="A5813" s="49">
        <v>44849.425700358799</v>
      </c>
      <c r="B5813" s="50" t="s">
        <v>13</v>
      </c>
      <c r="C5813" s="50" t="s">
        <v>540</v>
      </c>
      <c r="D5813" s="50" t="s">
        <v>259</v>
      </c>
      <c r="E5813" s="50">
        <v>0</v>
      </c>
      <c r="F5813" s="51">
        <v>0.32814748098905655</v>
      </c>
      <c r="G5813" s="51" t="str">
        <v>新美 2022/11/11 (金)
平日夜間</v>
      </c>
    </row>
    <row r="5814" spans="1:7" ht="16.149999999999999" x14ac:dyDescent="0.7">
      <c r="A5814" s="49">
        <v>44849.425700358799</v>
      </c>
      <c r="B5814" s="50" t="s">
        <v>13</v>
      </c>
      <c r="C5814" s="50" t="s">
        <v>541</v>
      </c>
      <c r="D5814" s="50" t="s">
        <v>263</v>
      </c>
      <c r="E5814" s="50">
        <v>0</v>
      </c>
      <c r="F5814" s="51">
        <v>3.8556375113776742E-2</v>
      </c>
      <c r="G5814" s="51" t="str">
        <v>新美 2022/11/12 (土)
休日午前</v>
      </c>
    </row>
    <row r="5815" spans="1:7" ht="16.149999999999999" x14ac:dyDescent="0.7">
      <c r="A5815" s="49">
        <v>44849.425700358799</v>
      </c>
      <c r="B5815" s="50" t="s">
        <v>13</v>
      </c>
      <c r="C5815" s="50" t="s">
        <v>542</v>
      </c>
      <c r="D5815" s="50" t="s">
        <v>261</v>
      </c>
      <c r="E5815" s="50">
        <v>0</v>
      </c>
      <c r="F5815" s="51">
        <v>0.5916796674279321</v>
      </c>
      <c r="G5815" s="51" t="str">
        <v>新美 2022/11/12 (土)
休日午後</v>
      </c>
    </row>
    <row r="5816" spans="1:7" ht="16.149999999999999" x14ac:dyDescent="0.7">
      <c r="A5816" s="49">
        <v>44849.425700358799</v>
      </c>
      <c r="B5816" s="50" t="s">
        <v>13</v>
      </c>
      <c r="C5816" s="50" t="s">
        <v>543</v>
      </c>
      <c r="D5816" s="50" t="s">
        <v>263</v>
      </c>
      <c r="E5816" s="50">
        <v>0</v>
      </c>
      <c r="F5816" s="51">
        <v>0.54928184404609492</v>
      </c>
      <c r="G5816" s="51" t="str">
        <v>新美 2022/11/13 (日)
休日午前</v>
      </c>
    </row>
    <row r="5817" spans="1:7" ht="16.149999999999999" x14ac:dyDescent="0.7">
      <c r="A5817" s="49">
        <v>44849.425700358799</v>
      </c>
      <c r="B5817" s="50" t="s">
        <v>13</v>
      </c>
      <c r="C5817" s="50" t="s">
        <v>544</v>
      </c>
      <c r="D5817" s="50" t="s">
        <v>261</v>
      </c>
      <c r="E5817" s="50">
        <v>0</v>
      </c>
      <c r="F5817" s="51">
        <v>0.74275084107838407</v>
      </c>
      <c r="G5817" s="51" t="str">
        <v>新美 2022/11/13 (日)
休日午後</v>
      </c>
    </row>
    <row r="5818" spans="1:7" ht="16.149999999999999" x14ac:dyDescent="0.7">
      <c r="A5818" s="49">
        <v>44849.425700358799</v>
      </c>
      <c r="B5818" s="50" t="s">
        <v>13</v>
      </c>
      <c r="C5818" s="50" t="s">
        <v>545</v>
      </c>
      <c r="D5818" s="50" t="s">
        <v>259</v>
      </c>
      <c r="E5818" s="50">
        <v>0</v>
      </c>
      <c r="F5818" s="51">
        <v>0.70446640575874442</v>
      </c>
      <c r="G5818" s="51" t="str">
        <v>新美 2022/11/14 (月)
平日夜間</v>
      </c>
    </row>
    <row r="5819" spans="1:7" ht="16.149999999999999" x14ac:dyDescent="0.7">
      <c r="A5819" s="49">
        <v>44849.425700358799</v>
      </c>
      <c r="B5819" s="50" t="s">
        <v>13</v>
      </c>
      <c r="C5819" s="50" t="s">
        <v>546</v>
      </c>
      <c r="D5819" s="50" t="s">
        <v>259</v>
      </c>
      <c r="E5819" s="50">
        <v>-1</v>
      </c>
      <c r="F5819" s="51">
        <v>-0.53175717700328806</v>
      </c>
      <c r="G5819" s="51" t="str">
        <v>新美 2022/11/15 (火)
平日夜間</v>
      </c>
    </row>
    <row r="5820" spans="1:7" ht="16.149999999999999" x14ac:dyDescent="0.7">
      <c r="A5820" s="49">
        <v>44849.425700358799</v>
      </c>
      <c r="B5820" s="50" t="s">
        <v>13</v>
      </c>
      <c r="C5820" s="50" t="s">
        <v>547</v>
      </c>
      <c r="D5820" s="50" t="s">
        <v>259</v>
      </c>
      <c r="E5820" s="50">
        <v>-1</v>
      </c>
      <c r="F5820" s="51">
        <v>-0.6364710784520109</v>
      </c>
      <c r="G5820" s="51" t="str">
        <v>新美 2022/11/16 (水)
平日夜間</v>
      </c>
    </row>
    <row r="5821" spans="1:7" ht="16.149999999999999" x14ac:dyDescent="0.7">
      <c r="A5821" s="49">
        <v>44849.425700358799</v>
      </c>
      <c r="B5821" s="50" t="s">
        <v>13</v>
      </c>
      <c r="C5821" s="50" t="s">
        <v>548</v>
      </c>
      <c r="D5821" s="50" t="s">
        <v>259</v>
      </c>
      <c r="E5821" s="50">
        <v>0</v>
      </c>
      <c r="F5821" s="51">
        <v>0.33175581606905014</v>
      </c>
      <c r="G5821" s="51" t="str">
        <v>新美 2022/11/17 (木)
平日夜間</v>
      </c>
    </row>
    <row r="5822" spans="1:7" ht="16.149999999999999" x14ac:dyDescent="0.7">
      <c r="A5822" s="49">
        <v>44849.425700358799</v>
      </c>
      <c r="B5822" s="50" t="s">
        <v>13</v>
      </c>
      <c r="C5822" s="50" t="s">
        <v>549</v>
      </c>
      <c r="D5822" s="50" t="s">
        <v>259</v>
      </c>
      <c r="E5822" s="50">
        <v>0</v>
      </c>
      <c r="F5822" s="51">
        <v>0.28988781748168191</v>
      </c>
      <c r="G5822" s="51" t="str">
        <v>新美 2022/11/18 (金)
平日夜間</v>
      </c>
    </row>
    <row r="5823" spans="1:7" ht="16.149999999999999" x14ac:dyDescent="0.7">
      <c r="A5823" s="49">
        <v>44849.426402800927</v>
      </c>
      <c r="B5823" s="50" t="s">
        <v>1</v>
      </c>
      <c r="C5823" s="50" t="s">
        <v>528</v>
      </c>
      <c r="D5823" s="50" t="s">
        <v>259</v>
      </c>
      <c r="E5823" s="50">
        <v>0</v>
      </c>
      <c r="F5823" s="51">
        <v>0.53604204640865172</v>
      </c>
      <c r="G5823" s="51" t="str">
        <v>菊野 2022/11/01 (火)
平日夜間</v>
      </c>
    </row>
    <row r="5824" spans="1:7" ht="16.149999999999999" x14ac:dyDescent="0.7">
      <c r="A5824" s="49">
        <v>44849.425700358799</v>
      </c>
      <c r="B5824" s="50" t="s">
        <v>13</v>
      </c>
      <c r="C5824" s="50" t="s">
        <v>550</v>
      </c>
      <c r="D5824" s="50" t="s">
        <v>263</v>
      </c>
      <c r="E5824" s="50">
        <v>0</v>
      </c>
      <c r="F5824" s="51">
        <v>0.57162744391421039</v>
      </c>
      <c r="G5824" s="51" t="str">
        <v>新美 2022/11/19 (土)
休日午前</v>
      </c>
    </row>
    <row r="5825" spans="1:7" ht="16.149999999999999" x14ac:dyDescent="0.7">
      <c r="A5825" s="49">
        <v>44849.426402800927</v>
      </c>
      <c r="B5825" s="50" t="s">
        <v>1</v>
      </c>
      <c r="C5825" s="50" t="s">
        <v>529</v>
      </c>
      <c r="D5825" s="50" t="s">
        <v>259</v>
      </c>
      <c r="E5825" s="50">
        <v>0</v>
      </c>
      <c r="F5825" s="51">
        <v>0.2361924079904314</v>
      </c>
      <c r="G5825" s="51" t="str">
        <v>菊野 2022/11/02 (水)
平日夜間</v>
      </c>
    </row>
    <row r="5826" spans="1:7" ht="16.149999999999999" x14ac:dyDescent="0.7">
      <c r="A5826" s="49">
        <v>44849.425700358799</v>
      </c>
      <c r="B5826" s="50" t="s">
        <v>13</v>
      </c>
      <c r="C5826" s="50" t="s">
        <v>551</v>
      </c>
      <c r="D5826" s="50" t="s">
        <v>261</v>
      </c>
      <c r="E5826" s="50">
        <v>0</v>
      </c>
      <c r="F5826" s="51">
        <v>0.32373315584932949</v>
      </c>
      <c r="G5826" s="51" t="str">
        <v>新美 2022/11/19 (土)
休日午後</v>
      </c>
    </row>
    <row r="5827" spans="1:7" ht="16.149999999999999" x14ac:dyDescent="0.7">
      <c r="A5827" s="49">
        <v>44849.426402800927</v>
      </c>
      <c r="B5827" s="50" t="s">
        <v>1</v>
      </c>
      <c r="C5827" s="50" t="s">
        <v>566</v>
      </c>
      <c r="D5827" s="50" t="s">
        <v>263</v>
      </c>
      <c r="E5827" s="50">
        <v>0</v>
      </c>
      <c r="F5827" s="51">
        <v>0.63469184525893296</v>
      </c>
      <c r="G5827" s="51" t="str">
        <v>菊野 2022/11/03 (木)
休日午前</v>
      </c>
    </row>
    <row r="5828" spans="1:7" ht="16.149999999999999" x14ac:dyDescent="0.7">
      <c r="A5828" s="49">
        <v>44849.425700358799</v>
      </c>
      <c r="B5828" s="50" t="s">
        <v>13</v>
      </c>
      <c r="C5828" s="50" t="s">
        <v>552</v>
      </c>
      <c r="D5828" s="50" t="s">
        <v>263</v>
      </c>
      <c r="E5828" s="50">
        <v>0</v>
      </c>
      <c r="F5828" s="51">
        <v>1.1807056005023853E-2</v>
      </c>
      <c r="G5828" s="51" t="str">
        <v>新美 2022/11/20 (日)
休日午前</v>
      </c>
    </row>
    <row r="5829" spans="1:7" ht="16.149999999999999" x14ac:dyDescent="0.7">
      <c r="A5829" s="49">
        <v>44849.426402800927</v>
      </c>
      <c r="B5829" s="50" t="s">
        <v>1</v>
      </c>
      <c r="C5829" s="50" t="s">
        <v>567</v>
      </c>
      <c r="D5829" s="50" t="s">
        <v>261</v>
      </c>
      <c r="E5829" s="50">
        <v>0</v>
      </c>
      <c r="F5829" s="51">
        <v>0.12110978413957008</v>
      </c>
      <c r="G5829" s="51" t="str">
        <v>菊野 2022/11/03 (木)
休日午後</v>
      </c>
    </row>
    <row r="5830" spans="1:7" ht="16.149999999999999" x14ac:dyDescent="0.7">
      <c r="A5830" s="49">
        <v>44849.425700358799</v>
      </c>
      <c r="B5830" s="50" t="s">
        <v>13</v>
      </c>
      <c r="C5830" s="50" t="s">
        <v>553</v>
      </c>
      <c r="D5830" s="50" t="s">
        <v>261</v>
      </c>
      <c r="E5830" s="50">
        <v>0</v>
      </c>
      <c r="F5830" s="51">
        <v>0.36053836981945486</v>
      </c>
      <c r="G5830" s="51" t="str">
        <v>新美 2022/11/20 (日)
休日午後</v>
      </c>
    </row>
    <row r="5831" spans="1:7" ht="16.149999999999999" x14ac:dyDescent="0.7">
      <c r="A5831" s="49">
        <v>44849.426402800927</v>
      </c>
      <c r="B5831" s="50" t="s">
        <v>1</v>
      </c>
      <c r="C5831" s="50" t="s">
        <v>531</v>
      </c>
      <c r="D5831" s="50" t="s">
        <v>259</v>
      </c>
      <c r="E5831" s="50">
        <v>0</v>
      </c>
      <c r="F5831" s="51">
        <v>0.67393732908625514</v>
      </c>
      <c r="G5831" s="51" t="str">
        <v>菊野 2022/11/04 (金)
平日夜間</v>
      </c>
    </row>
    <row r="5832" spans="1:7" ht="16.149999999999999" x14ac:dyDescent="0.7">
      <c r="A5832" s="49">
        <v>44849.425700358799</v>
      </c>
      <c r="B5832" s="50" t="s">
        <v>13</v>
      </c>
      <c r="C5832" s="50" t="s">
        <v>554</v>
      </c>
      <c r="D5832" s="50" t="s">
        <v>259</v>
      </c>
      <c r="E5832" s="50">
        <v>0</v>
      </c>
      <c r="F5832" s="51">
        <v>0.56102464387111817</v>
      </c>
      <c r="G5832" s="51" t="str">
        <v>新美 2022/11/21 (月)
平日夜間</v>
      </c>
    </row>
    <row r="5833" spans="1:7" ht="16.149999999999999" x14ac:dyDescent="0.7">
      <c r="A5833" s="49">
        <v>44849.426402800927</v>
      </c>
      <c r="B5833" s="50" t="s">
        <v>1</v>
      </c>
      <c r="C5833" s="50" t="s">
        <v>532</v>
      </c>
      <c r="D5833" s="50" t="s">
        <v>263</v>
      </c>
      <c r="E5833" s="50">
        <v>0</v>
      </c>
      <c r="F5833" s="51">
        <v>0.20544869039114921</v>
      </c>
      <c r="G5833" s="51" t="str">
        <v>菊野 2022/11/05 (土)
休日午前</v>
      </c>
    </row>
    <row r="5834" spans="1:7" ht="16.149999999999999" x14ac:dyDescent="0.7">
      <c r="A5834" s="49">
        <v>44849.425700358799</v>
      </c>
      <c r="B5834" s="50" t="s">
        <v>13</v>
      </c>
      <c r="C5834" s="50" t="s">
        <v>555</v>
      </c>
      <c r="D5834" s="50" t="s">
        <v>259</v>
      </c>
      <c r="E5834" s="50">
        <v>-1</v>
      </c>
      <c r="F5834" s="51">
        <v>-2.4939994184818737E-2</v>
      </c>
      <c r="G5834" s="51" t="str">
        <v>新美 2022/11/22 (火)
平日夜間</v>
      </c>
    </row>
    <row r="5835" spans="1:7" ht="16.149999999999999" x14ac:dyDescent="0.7">
      <c r="A5835" s="49">
        <v>44849.426402800927</v>
      </c>
      <c r="B5835" s="50" t="s">
        <v>1</v>
      </c>
      <c r="C5835" s="50" t="s">
        <v>533</v>
      </c>
      <c r="D5835" s="50" t="s">
        <v>261</v>
      </c>
      <c r="E5835" s="50">
        <v>0</v>
      </c>
      <c r="F5835" s="51">
        <v>0.28453896231194542</v>
      </c>
      <c r="G5835" s="51" t="str">
        <v>菊野 2022/11/05 (土)
休日午後</v>
      </c>
    </row>
    <row r="5836" spans="1:7" ht="16.149999999999999" x14ac:dyDescent="0.7">
      <c r="A5836" s="49">
        <v>44849.425700358799</v>
      </c>
      <c r="B5836" s="50" t="s">
        <v>13</v>
      </c>
      <c r="C5836" s="50" t="s">
        <v>568</v>
      </c>
      <c r="D5836" s="50" t="s">
        <v>263</v>
      </c>
      <c r="E5836" s="50">
        <v>0</v>
      </c>
      <c r="F5836" s="51">
        <v>2.4566225843984713E-2</v>
      </c>
      <c r="G5836" s="51" t="str">
        <v>新美 2022/11/23 (水)
休日午前</v>
      </c>
    </row>
    <row r="5837" spans="1:7" ht="16.149999999999999" x14ac:dyDescent="0.7">
      <c r="A5837" s="49">
        <v>44849.426402800927</v>
      </c>
      <c r="B5837" s="50" t="s">
        <v>1</v>
      </c>
      <c r="C5837" s="50" t="s">
        <v>534</v>
      </c>
      <c r="D5837" s="50" t="s">
        <v>263</v>
      </c>
      <c r="E5837" s="50">
        <v>0</v>
      </c>
      <c r="F5837" s="51">
        <v>0.38731338056280595</v>
      </c>
      <c r="G5837" s="51" t="str">
        <v>菊野 2022/11/06 (日)
休日午前</v>
      </c>
    </row>
    <row r="5838" spans="1:7" ht="16.149999999999999" x14ac:dyDescent="0.7">
      <c r="A5838" s="49">
        <v>44849.425700358799</v>
      </c>
      <c r="B5838" s="50" t="s">
        <v>13</v>
      </c>
      <c r="C5838" s="50" t="s">
        <v>569</v>
      </c>
      <c r="D5838" s="50" t="s">
        <v>261</v>
      </c>
      <c r="E5838" s="50">
        <v>-1</v>
      </c>
      <c r="F5838" s="51">
        <v>-0.833637972706605</v>
      </c>
      <c r="G5838" s="51" t="str">
        <v>新美 2022/11/23 (水)
休日午後</v>
      </c>
    </row>
    <row r="5839" spans="1:7" ht="16.149999999999999" x14ac:dyDescent="0.7">
      <c r="A5839" s="49">
        <v>44849.426402800927</v>
      </c>
      <c r="B5839" s="50" t="s">
        <v>1</v>
      </c>
      <c r="C5839" s="50" t="s">
        <v>535</v>
      </c>
      <c r="D5839" s="50" t="s">
        <v>261</v>
      </c>
      <c r="E5839" s="50">
        <v>0</v>
      </c>
      <c r="F5839" s="51">
        <v>0.39675549342179917</v>
      </c>
      <c r="G5839" s="51" t="str">
        <v>菊野 2022/11/06 (日)
休日午後</v>
      </c>
    </row>
    <row r="5840" spans="1:7" ht="16.149999999999999" x14ac:dyDescent="0.7">
      <c r="A5840" s="49">
        <v>44849.425700358799</v>
      </c>
      <c r="B5840" s="50" t="s">
        <v>13</v>
      </c>
      <c r="C5840" s="50" t="s">
        <v>557</v>
      </c>
      <c r="D5840" s="50" t="s">
        <v>259</v>
      </c>
      <c r="E5840" s="50">
        <v>0</v>
      </c>
      <c r="F5840" s="51">
        <v>5.1272884941492736E-2</v>
      </c>
      <c r="G5840" s="51" t="str">
        <v>新美 2022/11/24 (木)
平日夜間</v>
      </c>
    </row>
    <row r="5841" spans="1:7" ht="16.149999999999999" x14ac:dyDescent="0.7">
      <c r="A5841" s="49">
        <v>44849.426402800927</v>
      </c>
      <c r="B5841" s="50" t="s">
        <v>1</v>
      </c>
      <c r="C5841" s="50" t="s">
        <v>536</v>
      </c>
      <c r="D5841" s="50" t="s">
        <v>259</v>
      </c>
      <c r="E5841" s="50">
        <v>0</v>
      </c>
      <c r="F5841" s="51">
        <v>0.50660473435691888</v>
      </c>
      <c r="G5841" s="51" t="str">
        <v>菊野 2022/11/07 (月)
平日夜間</v>
      </c>
    </row>
    <row r="5842" spans="1:7" ht="16.149999999999999" x14ac:dyDescent="0.7">
      <c r="A5842" s="49">
        <v>44849.425700358799</v>
      </c>
      <c r="B5842" s="50" t="s">
        <v>13</v>
      </c>
      <c r="C5842" s="50" t="s">
        <v>558</v>
      </c>
      <c r="D5842" s="50" t="s">
        <v>259</v>
      </c>
      <c r="E5842" s="50">
        <v>0</v>
      </c>
      <c r="F5842" s="51">
        <v>0.34467381217486648</v>
      </c>
      <c r="G5842" s="51" t="str">
        <v>新美 2022/11/25 (金)
平日夜間</v>
      </c>
    </row>
    <row r="5843" spans="1:7" ht="16.149999999999999" x14ac:dyDescent="0.7">
      <c r="A5843" s="49">
        <v>44849.426402800927</v>
      </c>
      <c r="B5843" s="50" t="s">
        <v>1</v>
      </c>
      <c r="C5843" s="50" t="s">
        <v>537</v>
      </c>
      <c r="D5843" s="50" t="s">
        <v>259</v>
      </c>
      <c r="E5843" s="50">
        <v>0</v>
      </c>
      <c r="F5843" s="51">
        <v>0.88246298105599164</v>
      </c>
      <c r="G5843" s="51" t="str">
        <v>菊野 2022/11/08 (火)
平日夜間</v>
      </c>
    </row>
    <row r="5844" spans="1:7" ht="16.149999999999999" x14ac:dyDescent="0.7">
      <c r="A5844" s="49">
        <v>44849.425700358799</v>
      </c>
      <c r="B5844" s="50" t="s">
        <v>13</v>
      </c>
      <c r="C5844" s="50" t="s">
        <v>559</v>
      </c>
      <c r="D5844" s="50" t="s">
        <v>263</v>
      </c>
      <c r="E5844" s="50">
        <v>0</v>
      </c>
      <c r="F5844" s="51">
        <v>0.67487287234859972</v>
      </c>
      <c r="G5844" s="51" t="str">
        <v>新美 2022/11/26 (土)
休日午前</v>
      </c>
    </row>
    <row r="5845" spans="1:7" ht="16.149999999999999" x14ac:dyDescent="0.7">
      <c r="A5845" s="49">
        <v>44849.426402800927</v>
      </c>
      <c r="B5845" s="50" t="s">
        <v>1</v>
      </c>
      <c r="C5845" s="50" t="s">
        <v>538</v>
      </c>
      <c r="D5845" s="50" t="s">
        <v>259</v>
      </c>
      <c r="E5845" s="50">
        <v>0</v>
      </c>
      <c r="F5845" s="51">
        <v>0.90775722648542967</v>
      </c>
      <c r="G5845" s="51" t="str">
        <v>菊野 2022/11/09 (水)
平日夜間</v>
      </c>
    </row>
    <row r="5846" spans="1:7" ht="16.149999999999999" x14ac:dyDescent="0.7">
      <c r="A5846" s="49">
        <v>44849.425700358799</v>
      </c>
      <c r="B5846" s="50" t="s">
        <v>13</v>
      </c>
      <c r="C5846" s="50" t="s">
        <v>560</v>
      </c>
      <c r="D5846" s="50" t="s">
        <v>261</v>
      </c>
      <c r="E5846" s="50">
        <v>0</v>
      </c>
      <c r="F5846" s="51">
        <v>0.81434072763685394</v>
      </c>
      <c r="G5846" s="51" t="str">
        <v>新美 2022/11/26 (土)
休日午後</v>
      </c>
    </row>
    <row r="5847" spans="1:7" ht="16.149999999999999" x14ac:dyDescent="0.7">
      <c r="A5847" s="49">
        <v>44849.426402800927</v>
      </c>
      <c r="B5847" s="50" t="s">
        <v>1</v>
      </c>
      <c r="C5847" s="50" t="s">
        <v>539</v>
      </c>
      <c r="D5847" s="50" t="s">
        <v>259</v>
      </c>
      <c r="E5847" s="50">
        <v>0</v>
      </c>
      <c r="F5847" s="51">
        <v>0.86148808384609965</v>
      </c>
      <c r="G5847" s="51" t="str">
        <v>菊野 2022/11/10 (木)
平日夜間</v>
      </c>
    </row>
    <row r="5848" spans="1:7" ht="16.149999999999999" x14ac:dyDescent="0.7">
      <c r="A5848" s="49">
        <v>44849.425700358799</v>
      </c>
      <c r="B5848" s="50" t="s">
        <v>13</v>
      </c>
      <c r="C5848" s="50" t="s">
        <v>561</v>
      </c>
      <c r="D5848" s="50" t="s">
        <v>263</v>
      </c>
      <c r="E5848" s="50">
        <v>0</v>
      </c>
      <c r="F5848" s="51">
        <v>0.78876885274106256</v>
      </c>
      <c r="G5848" s="51" t="str">
        <v>新美 2022/11/27 (日)
休日午前</v>
      </c>
    </row>
    <row r="5849" spans="1:7" ht="16.149999999999999" x14ac:dyDescent="0.7">
      <c r="A5849" s="49">
        <v>44849.426402800927</v>
      </c>
      <c r="B5849" s="50" t="s">
        <v>1</v>
      </c>
      <c r="C5849" s="50" t="s">
        <v>540</v>
      </c>
      <c r="D5849" s="50" t="s">
        <v>259</v>
      </c>
      <c r="E5849" s="50">
        <v>0</v>
      </c>
      <c r="F5849" s="51">
        <v>0.96067056107522908</v>
      </c>
      <c r="G5849" s="51" t="str">
        <v>菊野 2022/11/11 (金)
平日夜間</v>
      </c>
    </row>
    <row r="5850" spans="1:7" ht="16.149999999999999" x14ac:dyDescent="0.7">
      <c r="A5850" s="49">
        <v>44849.425700358799</v>
      </c>
      <c r="B5850" s="50" t="s">
        <v>13</v>
      </c>
      <c r="C5850" s="50" t="s">
        <v>562</v>
      </c>
      <c r="D5850" s="50" t="s">
        <v>261</v>
      </c>
      <c r="E5850" s="50">
        <v>0</v>
      </c>
      <c r="F5850" s="51">
        <v>0.29307261974214405</v>
      </c>
      <c r="G5850" s="51" t="str">
        <v>新美 2022/11/27 (日)
休日午後</v>
      </c>
    </row>
    <row r="5851" spans="1:7" ht="16.149999999999999" x14ac:dyDescent="0.7">
      <c r="A5851" s="49">
        <v>44849.426402800927</v>
      </c>
      <c r="B5851" s="50" t="s">
        <v>1</v>
      </c>
      <c r="C5851" s="50" t="s">
        <v>541</v>
      </c>
      <c r="D5851" s="50" t="s">
        <v>263</v>
      </c>
      <c r="E5851" s="50">
        <v>0</v>
      </c>
      <c r="F5851" s="51">
        <v>9.4578765948872601E-2</v>
      </c>
      <c r="G5851" s="51" t="str">
        <v>菊野 2022/11/12 (土)
休日午前</v>
      </c>
    </row>
    <row r="5852" spans="1:7" ht="16.149999999999999" x14ac:dyDescent="0.7">
      <c r="A5852" s="49">
        <v>44849.425700358799</v>
      </c>
      <c r="B5852" s="50" t="s">
        <v>13</v>
      </c>
      <c r="C5852" s="50" t="s">
        <v>563</v>
      </c>
      <c r="D5852" s="50" t="s">
        <v>259</v>
      </c>
      <c r="E5852" s="50">
        <v>0</v>
      </c>
      <c r="F5852" s="51">
        <v>0.82297078532514001</v>
      </c>
      <c r="G5852" s="51" t="str">
        <v>新美 2022/11/28 (月)
平日夜間</v>
      </c>
    </row>
    <row r="5853" spans="1:7" ht="16.149999999999999" x14ac:dyDescent="0.7">
      <c r="A5853" s="49">
        <v>44849.426402800927</v>
      </c>
      <c r="B5853" s="50" t="s">
        <v>1</v>
      </c>
      <c r="C5853" s="50" t="s">
        <v>542</v>
      </c>
      <c r="D5853" s="50" t="s">
        <v>261</v>
      </c>
      <c r="E5853" s="50">
        <v>0</v>
      </c>
      <c r="F5853" s="51">
        <v>0.93448197975988756</v>
      </c>
      <c r="G5853" s="51" t="str">
        <v>菊野 2022/11/12 (土)
休日午後</v>
      </c>
    </row>
    <row r="5854" spans="1:7" ht="16.149999999999999" x14ac:dyDescent="0.7">
      <c r="A5854" s="49">
        <v>44849.425700358799</v>
      </c>
      <c r="B5854" s="50" t="s">
        <v>13</v>
      </c>
      <c r="C5854" s="50" t="s">
        <v>564</v>
      </c>
      <c r="D5854" s="50" t="s">
        <v>259</v>
      </c>
      <c r="E5854" s="50">
        <v>0</v>
      </c>
      <c r="F5854" s="51">
        <v>0.56870758917357689</v>
      </c>
      <c r="G5854" s="51" t="str">
        <v>新美 2022/11/29 (火)
平日夜間</v>
      </c>
    </row>
    <row r="5855" spans="1:7" ht="16.149999999999999" x14ac:dyDescent="0.7">
      <c r="A5855" s="49">
        <v>44849.426402800927</v>
      </c>
      <c r="B5855" s="50" t="s">
        <v>1</v>
      </c>
      <c r="C5855" s="50" t="s">
        <v>543</v>
      </c>
      <c r="D5855" s="50" t="s">
        <v>263</v>
      </c>
      <c r="E5855" s="50">
        <v>0</v>
      </c>
      <c r="F5855" s="51">
        <v>0.79415526811839943</v>
      </c>
      <c r="G5855" s="51" t="str">
        <v>菊野 2022/11/13 (日)
休日午前</v>
      </c>
    </row>
    <row r="5856" spans="1:7" ht="16.149999999999999" x14ac:dyDescent="0.7">
      <c r="A5856" s="49">
        <v>44849.425700358799</v>
      </c>
      <c r="B5856" s="50" t="s">
        <v>13</v>
      </c>
      <c r="C5856" s="50" t="s">
        <v>565</v>
      </c>
      <c r="D5856" s="50" t="s">
        <v>259</v>
      </c>
      <c r="E5856" s="50">
        <v>-1</v>
      </c>
      <c r="F5856" s="51">
        <v>-0.47359063943072144</v>
      </c>
      <c r="G5856" s="51" t="str">
        <v>新美 2022/11/30 (水)
平日夜間</v>
      </c>
    </row>
    <row r="5857" spans="1:7" ht="16.149999999999999" x14ac:dyDescent="0.7">
      <c r="A5857" s="49">
        <v>44849.426402800927</v>
      </c>
      <c r="B5857" s="50" t="s">
        <v>1</v>
      </c>
      <c r="C5857" s="50" t="s">
        <v>544</v>
      </c>
      <c r="D5857" s="50" t="s">
        <v>261</v>
      </c>
      <c r="E5857" s="50">
        <v>0</v>
      </c>
      <c r="F5857" s="51">
        <v>0.88913807641333142</v>
      </c>
      <c r="G5857" s="51" t="str">
        <v>菊野 2022/11/13 (日)
休日午後</v>
      </c>
    </row>
    <row r="5858" spans="1:7" ht="16.149999999999999" x14ac:dyDescent="0.7">
      <c r="A5858" s="49">
        <v>44849.426402800927</v>
      </c>
      <c r="B5858" s="50" t="s">
        <v>1</v>
      </c>
      <c r="C5858" s="50" t="s">
        <v>545</v>
      </c>
      <c r="D5858" s="50" t="s">
        <v>259</v>
      </c>
      <c r="E5858" s="50">
        <v>0</v>
      </c>
      <c r="F5858" s="51">
        <v>0.79899738931326003</v>
      </c>
      <c r="G5858" s="51" t="str">
        <v>菊野 2022/11/14 (月)
平日夜間</v>
      </c>
    </row>
    <row r="5859" spans="1:7" ht="16.149999999999999" x14ac:dyDescent="0.7">
      <c r="A5859" s="49">
        <v>44849.426402800927</v>
      </c>
      <c r="B5859" s="50" t="s">
        <v>1</v>
      </c>
      <c r="C5859" s="50" t="s">
        <v>546</v>
      </c>
      <c r="D5859" s="50" t="s">
        <v>259</v>
      </c>
      <c r="E5859" s="50">
        <v>0</v>
      </c>
      <c r="F5859" s="51">
        <v>0.71333260533261567</v>
      </c>
      <c r="G5859" s="51" t="str">
        <v>菊野 2022/11/15 (火)
平日夜間</v>
      </c>
    </row>
    <row r="5860" spans="1:7" ht="16.149999999999999" x14ac:dyDescent="0.7">
      <c r="A5860" s="49">
        <v>44849.426402800927</v>
      </c>
      <c r="B5860" s="50" t="s">
        <v>1</v>
      </c>
      <c r="C5860" s="50" t="s">
        <v>547</v>
      </c>
      <c r="D5860" s="50" t="s">
        <v>259</v>
      </c>
      <c r="E5860" s="50">
        <v>2</v>
      </c>
      <c r="F5860" s="51">
        <v>2.0438730051621352</v>
      </c>
      <c r="G5860" s="51" t="str">
        <v>菊野 2022/11/16 (水)
平日夜間</v>
      </c>
    </row>
    <row r="5861" spans="1:7" ht="16.149999999999999" x14ac:dyDescent="0.7">
      <c r="A5861" s="49">
        <v>44849.426402800927</v>
      </c>
      <c r="B5861" s="50" t="s">
        <v>1</v>
      </c>
      <c r="C5861" s="50" t="s">
        <v>548</v>
      </c>
      <c r="D5861" s="50" t="s">
        <v>259</v>
      </c>
      <c r="E5861" s="50">
        <v>0</v>
      </c>
      <c r="F5861" s="51">
        <v>0.8934692559370041</v>
      </c>
      <c r="G5861" s="51" t="str">
        <v>菊野 2022/11/17 (木)
平日夜間</v>
      </c>
    </row>
    <row r="5862" spans="1:7" ht="16.149999999999999" x14ac:dyDescent="0.7">
      <c r="A5862" s="49">
        <v>44849.426402800927</v>
      </c>
      <c r="B5862" s="50" t="s">
        <v>1</v>
      </c>
      <c r="C5862" s="50" t="s">
        <v>549</v>
      </c>
      <c r="D5862" s="50" t="s">
        <v>259</v>
      </c>
      <c r="E5862" s="50">
        <v>0</v>
      </c>
      <c r="F5862" s="51">
        <v>0.16409155982674495</v>
      </c>
      <c r="G5862" s="51" t="str">
        <v>菊野 2022/11/18 (金)
平日夜間</v>
      </c>
    </row>
    <row r="5863" spans="1:7" ht="16.149999999999999" x14ac:dyDescent="0.7">
      <c r="A5863" s="49">
        <v>44849.426402800927</v>
      </c>
      <c r="B5863" s="50" t="s">
        <v>1</v>
      </c>
      <c r="C5863" s="50" t="s">
        <v>550</v>
      </c>
      <c r="D5863" s="50" t="s">
        <v>263</v>
      </c>
      <c r="E5863" s="50">
        <v>0</v>
      </c>
      <c r="F5863" s="51">
        <v>0.50145295955893898</v>
      </c>
      <c r="G5863" s="51" t="str">
        <v>菊野 2022/11/19 (土)
休日午前</v>
      </c>
    </row>
    <row r="5864" spans="1:7" ht="16.149999999999999" x14ac:dyDescent="0.7">
      <c r="A5864" s="49">
        <v>44849.426402800927</v>
      </c>
      <c r="B5864" s="50" t="s">
        <v>1</v>
      </c>
      <c r="C5864" s="50" t="s">
        <v>551</v>
      </c>
      <c r="D5864" s="50" t="s">
        <v>261</v>
      </c>
      <c r="E5864" s="50">
        <v>0</v>
      </c>
      <c r="F5864" s="51">
        <v>0.45604716189162975</v>
      </c>
      <c r="G5864" s="51" t="str">
        <v>菊野 2022/11/19 (土)
休日午後</v>
      </c>
    </row>
    <row r="5865" spans="1:7" ht="16.149999999999999" x14ac:dyDescent="0.7">
      <c r="A5865" s="49">
        <v>44849.426402800927</v>
      </c>
      <c r="B5865" s="50" t="s">
        <v>1</v>
      </c>
      <c r="C5865" s="50" t="s">
        <v>552</v>
      </c>
      <c r="D5865" s="50" t="s">
        <v>263</v>
      </c>
      <c r="E5865" s="50">
        <v>0</v>
      </c>
      <c r="F5865" s="51">
        <v>0.29223570143078481</v>
      </c>
      <c r="G5865" s="51" t="str">
        <v>菊野 2022/11/20 (日)
休日午前</v>
      </c>
    </row>
    <row r="5866" spans="1:7" ht="16.149999999999999" x14ac:dyDescent="0.7">
      <c r="A5866" s="49">
        <v>44849.426402800927</v>
      </c>
      <c r="B5866" s="50" t="s">
        <v>1</v>
      </c>
      <c r="C5866" s="50" t="s">
        <v>553</v>
      </c>
      <c r="D5866" s="50" t="s">
        <v>261</v>
      </c>
      <c r="E5866" s="50">
        <v>0</v>
      </c>
      <c r="F5866" s="51">
        <v>0.21031296795895549</v>
      </c>
      <c r="G5866" s="51" t="str">
        <v>菊野 2022/11/20 (日)
休日午後</v>
      </c>
    </row>
    <row r="5867" spans="1:7" ht="16.149999999999999" x14ac:dyDescent="0.7">
      <c r="A5867" s="49">
        <v>44849.426402800927</v>
      </c>
      <c r="B5867" s="50" t="s">
        <v>1</v>
      </c>
      <c r="C5867" s="50" t="s">
        <v>554</v>
      </c>
      <c r="D5867" s="50" t="s">
        <v>259</v>
      </c>
      <c r="E5867" s="50">
        <v>0</v>
      </c>
      <c r="F5867" s="51">
        <v>0.55045794879350063</v>
      </c>
      <c r="G5867" s="51" t="str">
        <v>菊野 2022/11/21 (月)
平日夜間</v>
      </c>
    </row>
    <row r="5868" spans="1:7" ht="16.149999999999999" x14ac:dyDescent="0.7">
      <c r="A5868" s="49">
        <v>44849.426402800927</v>
      </c>
      <c r="B5868" s="50" t="s">
        <v>1</v>
      </c>
      <c r="C5868" s="50" t="s">
        <v>555</v>
      </c>
      <c r="D5868" s="50" t="s">
        <v>259</v>
      </c>
      <c r="E5868" s="50">
        <v>0</v>
      </c>
      <c r="F5868" s="51">
        <v>0.19992667905879347</v>
      </c>
      <c r="G5868" s="51" t="str">
        <v>菊野 2022/11/22 (火)
平日夜間</v>
      </c>
    </row>
    <row r="5869" spans="1:7" ht="16.149999999999999" x14ac:dyDescent="0.7">
      <c r="A5869" s="49">
        <v>44849.426402800927</v>
      </c>
      <c r="B5869" s="50" t="s">
        <v>1</v>
      </c>
      <c r="C5869" s="50" t="s">
        <v>568</v>
      </c>
      <c r="D5869" s="50" t="s">
        <v>263</v>
      </c>
      <c r="E5869" s="50">
        <v>-1</v>
      </c>
      <c r="F5869" s="51">
        <v>-0.60869135153148579</v>
      </c>
      <c r="G5869" s="51" t="str">
        <v>菊野 2022/11/23 (水)
休日午前</v>
      </c>
    </row>
    <row r="5870" spans="1:7" ht="16.149999999999999" x14ac:dyDescent="0.7">
      <c r="A5870" s="49">
        <v>44849.426402800927</v>
      </c>
      <c r="B5870" s="50" t="s">
        <v>1</v>
      </c>
      <c r="C5870" s="50" t="s">
        <v>569</v>
      </c>
      <c r="D5870" s="50" t="s">
        <v>261</v>
      </c>
      <c r="E5870" s="50">
        <v>-1</v>
      </c>
      <c r="F5870" s="51">
        <v>-0.87535044135521178</v>
      </c>
      <c r="G5870" s="51" t="str">
        <v>菊野 2022/11/23 (水)
休日午後</v>
      </c>
    </row>
    <row r="5871" spans="1:7" ht="16.149999999999999" x14ac:dyDescent="0.7">
      <c r="A5871" s="49">
        <v>44849.426402800927</v>
      </c>
      <c r="B5871" s="50" t="s">
        <v>1</v>
      </c>
      <c r="C5871" s="50" t="s">
        <v>557</v>
      </c>
      <c r="D5871" s="50" t="s">
        <v>259</v>
      </c>
      <c r="E5871" s="50">
        <v>-1</v>
      </c>
      <c r="F5871" s="51">
        <v>-0.55046307630048252</v>
      </c>
      <c r="G5871" s="51" t="str">
        <v>菊野 2022/11/24 (木)
平日夜間</v>
      </c>
    </row>
    <row r="5872" spans="1:7" ht="16.149999999999999" x14ac:dyDescent="0.7">
      <c r="A5872" s="49">
        <v>44849.426402800927</v>
      </c>
      <c r="B5872" s="50" t="s">
        <v>1</v>
      </c>
      <c r="C5872" s="50" t="s">
        <v>558</v>
      </c>
      <c r="D5872" s="50" t="s">
        <v>259</v>
      </c>
      <c r="E5872" s="50">
        <v>-1</v>
      </c>
      <c r="F5872" s="51">
        <v>-0.7153178285279107</v>
      </c>
      <c r="G5872" s="51" t="str">
        <v>菊野 2022/11/25 (金)
平日夜間</v>
      </c>
    </row>
    <row r="5873" spans="1:7" ht="16.149999999999999" x14ac:dyDescent="0.7">
      <c r="A5873" s="49">
        <v>44849.426402800927</v>
      </c>
      <c r="B5873" s="50" t="s">
        <v>1</v>
      </c>
      <c r="C5873" s="50" t="s">
        <v>559</v>
      </c>
      <c r="D5873" s="50" t="s">
        <v>263</v>
      </c>
      <c r="E5873" s="50">
        <v>-1</v>
      </c>
      <c r="F5873" s="51">
        <v>-0.94790360767710635</v>
      </c>
      <c r="G5873" s="51" t="str">
        <v>菊野 2022/11/26 (土)
休日午前</v>
      </c>
    </row>
    <row r="5874" spans="1:7" ht="16.149999999999999" x14ac:dyDescent="0.7">
      <c r="A5874" s="49">
        <v>44849.426402800927</v>
      </c>
      <c r="B5874" s="50" t="s">
        <v>1</v>
      </c>
      <c r="C5874" s="50" t="s">
        <v>560</v>
      </c>
      <c r="D5874" s="50" t="s">
        <v>261</v>
      </c>
      <c r="E5874" s="50">
        <v>-1</v>
      </c>
      <c r="F5874" s="51">
        <v>-0.82729203556588859</v>
      </c>
      <c r="G5874" s="51" t="str">
        <v>菊野 2022/11/26 (土)
休日午後</v>
      </c>
    </row>
    <row r="5875" spans="1:7" ht="16.149999999999999" x14ac:dyDescent="0.7">
      <c r="A5875" s="49">
        <v>44849.426402800927</v>
      </c>
      <c r="B5875" s="50" t="s">
        <v>1</v>
      </c>
      <c r="C5875" s="50" t="s">
        <v>561</v>
      </c>
      <c r="D5875" s="50" t="s">
        <v>263</v>
      </c>
      <c r="E5875" s="50">
        <v>-1</v>
      </c>
      <c r="F5875" s="51">
        <v>-0.9149881356208851</v>
      </c>
      <c r="G5875" s="51" t="str">
        <v>菊野 2022/11/27 (日)
休日午前</v>
      </c>
    </row>
    <row r="5876" spans="1:7" ht="16.149999999999999" x14ac:dyDescent="0.7">
      <c r="A5876" s="49">
        <v>44849.426402800927</v>
      </c>
      <c r="B5876" s="50" t="s">
        <v>1</v>
      </c>
      <c r="C5876" s="50" t="s">
        <v>562</v>
      </c>
      <c r="D5876" s="50" t="s">
        <v>261</v>
      </c>
      <c r="E5876" s="50">
        <v>-1</v>
      </c>
      <c r="F5876" s="51">
        <v>-9.4948903532540152E-2</v>
      </c>
      <c r="G5876" s="51" t="str">
        <v>菊野 2022/11/27 (日)
休日午後</v>
      </c>
    </row>
    <row r="5877" spans="1:7" ht="16.149999999999999" x14ac:dyDescent="0.7">
      <c r="A5877" s="49">
        <v>44849.426402800927</v>
      </c>
      <c r="B5877" s="50" t="s">
        <v>1</v>
      </c>
      <c r="C5877" s="50" t="s">
        <v>563</v>
      </c>
      <c r="D5877" s="50" t="s">
        <v>259</v>
      </c>
      <c r="E5877" s="50">
        <v>-1</v>
      </c>
      <c r="F5877" s="51">
        <v>-0.8367340733647568</v>
      </c>
      <c r="G5877" s="51" t="str">
        <v>菊野 2022/11/28 (月)
平日夜間</v>
      </c>
    </row>
    <row r="5878" spans="1:7" ht="16.149999999999999" x14ac:dyDescent="0.7">
      <c r="A5878" s="49">
        <v>44849.426402800927</v>
      </c>
      <c r="B5878" s="50" t="s">
        <v>1</v>
      </c>
      <c r="C5878" s="50" t="s">
        <v>564</v>
      </c>
      <c r="D5878" s="50" t="s">
        <v>259</v>
      </c>
      <c r="E5878" s="50">
        <v>-1</v>
      </c>
      <c r="F5878" s="51">
        <v>-0.76595592984711791</v>
      </c>
      <c r="G5878" s="51" t="str">
        <v>菊野 2022/11/29 (火)
平日夜間</v>
      </c>
    </row>
    <row r="5879" spans="1:7" ht="16.149999999999999" x14ac:dyDescent="0.7">
      <c r="A5879" s="49">
        <v>44849.426402800927</v>
      </c>
      <c r="B5879" s="50" t="s">
        <v>1</v>
      </c>
      <c r="C5879" s="50" t="s">
        <v>565</v>
      </c>
      <c r="D5879" s="50" t="s">
        <v>259</v>
      </c>
      <c r="E5879" s="50">
        <v>-1</v>
      </c>
      <c r="F5879" s="51">
        <v>-0.1455104608933282</v>
      </c>
      <c r="G5879" s="51" t="str">
        <v>菊野 2022/11/30 (水)
平日夜間</v>
      </c>
    </row>
    <row r="5880" spans="1:7" ht="16.149999999999999" x14ac:dyDescent="0.7">
      <c r="A5880" s="49">
        <v>44849.429390891208</v>
      </c>
      <c r="B5880" s="50" t="s">
        <v>16</v>
      </c>
      <c r="C5880" s="50" t="s">
        <v>528</v>
      </c>
      <c r="D5880" s="50" t="s">
        <v>259</v>
      </c>
      <c r="E5880" s="50">
        <v>0</v>
      </c>
      <c r="F5880" s="51">
        <v>0.75137176690923613</v>
      </c>
      <c r="G5880" s="51" t="str">
        <v>吉田 2022/11/01 (火)
平日夜間</v>
      </c>
    </row>
    <row r="5881" spans="1:7" ht="16.149999999999999" x14ac:dyDescent="0.7">
      <c r="A5881" s="49">
        <v>44849.429390891208</v>
      </c>
      <c r="B5881" s="50" t="s">
        <v>16</v>
      </c>
      <c r="C5881" s="50" t="s">
        <v>529</v>
      </c>
      <c r="D5881" s="50" t="s">
        <v>259</v>
      </c>
      <c r="E5881" s="50">
        <v>0</v>
      </c>
      <c r="F5881" s="51">
        <v>0.70533242054798984</v>
      </c>
      <c r="G5881" s="51" t="str">
        <v>吉田 2022/11/02 (水)
平日夜間</v>
      </c>
    </row>
    <row r="5882" spans="1:7" ht="16.149999999999999" x14ac:dyDescent="0.7">
      <c r="A5882" s="49">
        <v>44849.429390891208</v>
      </c>
      <c r="B5882" s="50" t="s">
        <v>16</v>
      </c>
      <c r="C5882" s="50" t="s">
        <v>566</v>
      </c>
      <c r="D5882" s="50" t="s">
        <v>263</v>
      </c>
      <c r="E5882" s="50">
        <v>-1</v>
      </c>
      <c r="F5882" s="51">
        <v>-0.41196156933283334</v>
      </c>
      <c r="G5882" s="51" t="str">
        <v>吉田 2022/11/03 (木)
休日午前</v>
      </c>
    </row>
    <row r="5883" spans="1:7" ht="16.149999999999999" x14ac:dyDescent="0.7">
      <c r="A5883" s="49">
        <v>44849.429390891208</v>
      </c>
      <c r="B5883" s="50" t="s">
        <v>16</v>
      </c>
      <c r="C5883" s="50" t="s">
        <v>567</v>
      </c>
      <c r="D5883" s="50" t="s">
        <v>261</v>
      </c>
      <c r="E5883" s="50">
        <v>-1</v>
      </c>
      <c r="F5883" s="51">
        <v>-0.95379445990473588</v>
      </c>
      <c r="G5883" s="51" t="str">
        <v>吉田 2022/11/03 (木)
休日午後</v>
      </c>
    </row>
    <row r="5884" spans="1:7" ht="16.149999999999999" x14ac:dyDescent="0.7">
      <c r="A5884" s="49">
        <v>44849.429390891208</v>
      </c>
      <c r="B5884" s="50" t="s">
        <v>16</v>
      </c>
      <c r="C5884" s="50" t="s">
        <v>531</v>
      </c>
      <c r="D5884" s="50" t="s">
        <v>259</v>
      </c>
      <c r="E5884" s="50">
        <v>0</v>
      </c>
      <c r="F5884" s="51">
        <v>0.79195634642456669</v>
      </c>
      <c r="G5884" s="51" t="str">
        <v>吉田 2022/11/04 (金)
平日夜間</v>
      </c>
    </row>
    <row r="5885" spans="1:7" ht="16.149999999999999" x14ac:dyDescent="0.7">
      <c r="A5885" s="49">
        <v>44849.429390891208</v>
      </c>
      <c r="B5885" s="50" t="s">
        <v>16</v>
      </c>
      <c r="C5885" s="50" t="s">
        <v>532</v>
      </c>
      <c r="D5885" s="50" t="s">
        <v>263</v>
      </c>
      <c r="E5885" s="50">
        <v>0</v>
      </c>
      <c r="F5885" s="51">
        <v>0.42458530415110207</v>
      </c>
      <c r="G5885" s="51" t="str">
        <v>吉田 2022/11/05 (土)
休日午前</v>
      </c>
    </row>
    <row r="5886" spans="1:7" ht="16.149999999999999" x14ac:dyDescent="0.7">
      <c r="A5886" s="49">
        <v>44849.429390891208</v>
      </c>
      <c r="B5886" s="50" t="s">
        <v>16</v>
      </c>
      <c r="C5886" s="50" t="s">
        <v>533</v>
      </c>
      <c r="D5886" s="50" t="s">
        <v>261</v>
      </c>
      <c r="E5886" s="50">
        <v>0</v>
      </c>
      <c r="F5886" s="51">
        <v>0.31485735931726566</v>
      </c>
      <c r="G5886" s="51" t="str">
        <v>吉田 2022/11/05 (土)
休日午後</v>
      </c>
    </row>
    <row r="5887" spans="1:7" ht="16.149999999999999" x14ac:dyDescent="0.7">
      <c r="A5887" s="49">
        <v>44849.429390891208</v>
      </c>
      <c r="B5887" s="50" t="s">
        <v>16</v>
      </c>
      <c r="C5887" s="50" t="s">
        <v>534</v>
      </c>
      <c r="D5887" s="50" t="s">
        <v>263</v>
      </c>
      <c r="E5887" s="50">
        <v>0</v>
      </c>
      <c r="F5887" s="51">
        <v>0.26223283961425836</v>
      </c>
      <c r="G5887" s="51" t="str">
        <v>吉田 2022/11/06 (日)
休日午前</v>
      </c>
    </row>
    <row r="5888" spans="1:7" ht="16.149999999999999" x14ac:dyDescent="0.7">
      <c r="A5888" s="49">
        <v>44849.429390891208</v>
      </c>
      <c r="B5888" s="50" t="s">
        <v>16</v>
      </c>
      <c r="C5888" s="50" t="s">
        <v>535</v>
      </c>
      <c r="D5888" s="50" t="s">
        <v>261</v>
      </c>
      <c r="E5888" s="50">
        <v>0</v>
      </c>
      <c r="F5888" s="51">
        <v>9.2035176327689872E-2</v>
      </c>
      <c r="G5888" s="51" t="str">
        <v>吉田 2022/11/06 (日)
休日午後</v>
      </c>
    </row>
    <row r="5889" spans="1:7" ht="16.149999999999999" x14ac:dyDescent="0.7">
      <c r="A5889" s="49">
        <v>44849.429390891208</v>
      </c>
      <c r="B5889" s="50" t="s">
        <v>16</v>
      </c>
      <c r="C5889" s="50" t="s">
        <v>536</v>
      </c>
      <c r="D5889" s="50" t="s">
        <v>259</v>
      </c>
      <c r="E5889" s="50">
        <v>0</v>
      </c>
      <c r="F5889" s="51">
        <v>0.22753959099290788</v>
      </c>
      <c r="G5889" s="51" t="str">
        <v>吉田 2022/11/07 (月)
平日夜間</v>
      </c>
    </row>
    <row r="5890" spans="1:7" ht="16.149999999999999" x14ac:dyDescent="0.7">
      <c r="A5890" s="49">
        <v>44849.429390891208</v>
      </c>
      <c r="B5890" s="50" t="s">
        <v>16</v>
      </c>
      <c r="C5890" s="50" t="s">
        <v>537</v>
      </c>
      <c r="D5890" s="50" t="s">
        <v>259</v>
      </c>
      <c r="E5890" s="50">
        <v>-1</v>
      </c>
      <c r="F5890" s="51">
        <v>-0.54132314368990442</v>
      </c>
      <c r="G5890" s="51" t="str">
        <v>吉田 2022/11/08 (火)
平日夜間</v>
      </c>
    </row>
    <row r="5891" spans="1:7" ht="16.149999999999999" x14ac:dyDescent="0.7">
      <c r="A5891" s="49">
        <v>44849.429390891208</v>
      </c>
      <c r="B5891" s="50" t="s">
        <v>16</v>
      </c>
      <c r="C5891" s="50" t="s">
        <v>538</v>
      </c>
      <c r="D5891" s="50" t="s">
        <v>259</v>
      </c>
      <c r="E5891" s="50">
        <v>0</v>
      </c>
      <c r="F5891" s="51">
        <v>0.79258543523081149</v>
      </c>
      <c r="G5891" s="51" t="str">
        <v>吉田 2022/11/09 (水)
平日夜間</v>
      </c>
    </row>
    <row r="5892" spans="1:7" ht="16.149999999999999" x14ac:dyDescent="0.7">
      <c r="A5892" s="49">
        <v>44849.429390891208</v>
      </c>
      <c r="B5892" s="50" t="s">
        <v>16</v>
      </c>
      <c r="C5892" s="50" t="s">
        <v>539</v>
      </c>
      <c r="D5892" s="50" t="s">
        <v>259</v>
      </c>
      <c r="E5892" s="50">
        <v>0</v>
      </c>
      <c r="F5892" s="51">
        <v>0.38417671519711361</v>
      </c>
      <c r="G5892" s="51" t="str">
        <v>吉田 2022/11/10 (木)
平日夜間</v>
      </c>
    </row>
    <row r="5893" spans="1:7" ht="16.149999999999999" x14ac:dyDescent="0.7">
      <c r="A5893" s="49">
        <v>44849.429390891208</v>
      </c>
      <c r="B5893" s="50" t="s">
        <v>16</v>
      </c>
      <c r="C5893" s="50" t="s">
        <v>540</v>
      </c>
      <c r="D5893" s="50" t="s">
        <v>259</v>
      </c>
      <c r="E5893" s="50">
        <v>0</v>
      </c>
      <c r="F5893" s="51">
        <v>0.7985470764438547</v>
      </c>
      <c r="G5893" s="51" t="str">
        <v>吉田 2022/11/11 (金)
平日夜間</v>
      </c>
    </row>
    <row r="5894" spans="1:7" ht="16.149999999999999" x14ac:dyDescent="0.7">
      <c r="A5894" s="49">
        <v>44849.429390891208</v>
      </c>
      <c r="B5894" s="50" t="s">
        <v>16</v>
      </c>
      <c r="C5894" s="50" t="s">
        <v>541</v>
      </c>
      <c r="D5894" s="50" t="s">
        <v>263</v>
      </c>
      <c r="E5894" s="50">
        <v>0</v>
      </c>
      <c r="F5894" s="51">
        <v>0.25964402235083739</v>
      </c>
      <c r="G5894" s="51" t="str">
        <v>吉田 2022/11/12 (土)
休日午前</v>
      </c>
    </row>
    <row r="5895" spans="1:7" ht="16.149999999999999" x14ac:dyDescent="0.7">
      <c r="A5895" s="49">
        <v>44849.429390891208</v>
      </c>
      <c r="B5895" s="50" t="s">
        <v>16</v>
      </c>
      <c r="C5895" s="50" t="s">
        <v>542</v>
      </c>
      <c r="D5895" s="50" t="s">
        <v>261</v>
      </c>
      <c r="E5895" s="50">
        <v>0</v>
      </c>
      <c r="F5895" s="51">
        <v>0.25628588327918722</v>
      </c>
      <c r="G5895" s="51" t="str">
        <v>吉田 2022/11/12 (土)
休日午後</v>
      </c>
    </row>
    <row r="5896" spans="1:7" ht="16.149999999999999" x14ac:dyDescent="0.7">
      <c r="A5896" s="49">
        <v>44849.429390891208</v>
      </c>
      <c r="B5896" s="50" t="s">
        <v>16</v>
      </c>
      <c r="C5896" s="50" t="s">
        <v>543</v>
      </c>
      <c r="D5896" s="50" t="s">
        <v>263</v>
      </c>
      <c r="E5896" s="50">
        <v>0</v>
      </c>
      <c r="F5896" s="51">
        <v>0.13279570737554902</v>
      </c>
      <c r="G5896" s="51" t="str">
        <v>吉田 2022/11/13 (日)
休日午前</v>
      </c>
    </row>
    <row r="5897" spans="1:7" ht="16.149999999999999" x14ac:dyDescent="0.7">
      <c r="A5897" s="49">
        <v>44849.429390891208</v>
      </c>
      <c r="B5897" s="50" t="s">
        <v>16</v>
      </c>
      <c r="C5897" s="50" t="s">
        <v>544</v>
      </c>
      <c r="D5897" s="50" t="s">
        <v>261</v>
      </c>
      <c r="E5897" s="50">
        <v>0</v>
      </c>
      <c r="F5897" s="51">
        <v>0.96332485553523939</v>
      </c>
      <c r="G5897" s="51" t="str">
        <v>吉田 2022/11/13 (日)
休日午後</v>
      </c>
    </row>
    <row r="5898" spans="1:7" ht="16.149999999999999" x14ac:dyDescent="0.7">
      <c r="A5898" s="49">
        <v>44849.429390891208</v>
      </c>
      <c r="B5898" s="50" t="s">
        <v>16</v>
      </c>
      <c r="C5898" s="50" t="s">
        <v>545</v>
      </c>
      <c r="D5898" s="50" t="s">
        <v>259</v>
      </c>
      <c r="E5898" s="50">
        <v>0</v>
      </c>
      <c r="F5898" s="51">
        <v>0.75885463745854609</v>
      </c>
      <c r="G5898" s="51" t="str">
        <v>吉田 2022/11/14 (月)
平日夜間</v>
      </c>
    </row>
    <row r="5899" spans="1:7" ht="16.149999999999999" x14ac:dyDescent="0.7">
      <c r="A5899" s="49">
        <v>44849.429390891208</v>
      </c>
      <c r="B5899" s="50" t="s">
        <v>16</v>
      </c>
      <c r="C5899" s="50" t="s">
        <v>546</v>
      </c>
      <c r="D5899" s="50" t="s">
        <v>259</v>
      </c>
      <c r="E5899" s="50">
        <v>-1</v>
      </c>
      <c r="F5899" s="51">
        <v>-0.75881814518974067</v>
      </c>
      <c r="G5899" s="51" t="str">
        <v>吉田 2022/11/15 (火)
平日夜間</v>
      </c>
    </row>
    <row r="5900" spans="1:7" ht="16.149999999999999" x14ac:dyDescent="0.7">
      <c r="A5900" s="49">
        <v>44849.429390891208</v>
      </c>
      <c r="B5900" s="50" t="s">
        <v>16</v>
      </c>
      <c r="C5900" s="50" t="s">
        <v>547</v>
      </c>
      <c r="D5900" s="50" t="s">
        <v>259</v>
      </c>
      <c r="E5900" s="50">
        <v>-1</v>
      </c>
      <c r="F5900" s="51">
        <v>-0.97042715903036325</v>
      </c>
      <c r="G5900" s="51" t="str">
        <v>吉田 2022/11/16 (水)
平日夜間</v>
      </c>
    </row>
    <row r="5901" spans="1:7" ht="16.149999999999999" x14ac:dyDescent="0.7">
      <c r="A5901" s="49">
        <v>44849.429390891208</v>
      </c>
      <c r="B5901" s="50" t="s">
        <v>16</v>
      </c>
      <c r="C5901" s="50" t="s">
        <v>548</v>
      </c>
      <c r="D5901" s="50" t="s">
        <v>259</v>
      </c>
      <c r="E5901" s="50">
        <v>0</v>
      </c>
      <c r="F5901" s="51">
        <v>9.4420091263562878E-2</v>
      </c>
      <c r="G5901" s="51" t="str">
        <v>吉田 2022/11/17 (木)
平日夜間</v>
      </c>
    </row>
    <row r="5902" spans="1:7" ht="16.149999999999999" x14ac:dyDescent="0.7">
      <c r="A5902" s="49">
        <v>44849.429390891208</v>
      </c>
      <c r="B5902" s="50" t="s">
        <v>16</v>
      </c>
      <c r="C5902" s="50" t="s">
        <v>549</v>
      </c>
      <c r="D5902" s="50" t="s">
        <v>259</v>
      </c>
      <c r="E5902" s="50">
        <v>0</v>
      </c>
      <c r="F5902" s="51">
        <v>4.9515852276970529E-2</v>
      </c>
      <c r="G5902" s="51" t="str">
        <v>吉田 2022/11/18 (金)
平日夜間</v>
      </c>
    </row>
    <row r="5903" spans="1:7" ht="16.149999999999999" x14ac:dyDescent="0.7">
      <c r="A5903" s="49">
        <v>44849.429390891208</v>
      </c>
      <c r="B5903" s="50" t="s">
        <v>16</v>
      </c>
      <c r="C5903" s="50" t="s">
        <v>550</v>
      </c>
      <c r="D5903" s="50" t="s">
        <v>263</v>
      </c>
      <c r="E5903" s="50">
        <v>-1</v>
      </c>
      <c r="F5903" s="51">
        <v>-0.91529846137210225</v>
      </c>
      <c r="G5903" s="51" t="str">
        <v>吉田 2022/11/19 (土)
休日午前</v>
      </c>
    </row>
    <row r="5904" spans="1:7" ht="16.149999999999999" x14ac:dyDescent="0.7">
      <c r="A5904" s="49">
        <v>44849.429390891208</v>
      </c>
      <c r="B5904" s="50" t="s">
        <v>16</v>
      </c>
      <c r="C5904" s="50" t="s">
        <v>551</v>
      </c>
      <c r="D5904" s="50" t="s">
        <v>261</v>
      </c>
      <c r="E5904" s="50">
        <v>-1</v>
      </c>
      <c r="F5904" s="51">
        <v>-0.50415379929864623</v>
      </c>
      <c r="G5904" s="51" t="str">
        <v>吉田 2022/11/19 (土)
休日午後</v>
      </c>
    </row>
    <row r="5905" spans="1:7" ht="16.149999999999999" x14ac:dyDescent="0.7">
      <c r="A5905" s="49">
        <v>44849.429390891208</v>
      </c>
      <c r="B5905" s="50" t="s">
        <v>16</v>
      </c>
      <c r="C5905" s="50" t="s">
        <v>552</v>
      </c>
      <c r="D5905" s="50" t="s">
        <v>263</v>
      </c>
      <c r="E5905" s="50">
        <v>-1</v>
      </c>
      <c r="F5905" s="51">
        <v>-0.1868478379141294</v>
      </c>
      <c r="G5905" s="51" t="str">
        <v>吉田 2022/11/20 (日)
休日午前</v>
      </c>
    </row>
    <row r="5906" spans="1:7" ht="16.149999999999999" x14ac:dyDescent="0.7">
      <c r="A5906" s="49">
        <v>44849.429390891208</v>
      </c>
      <c r="B5906" s="50" t="s">
        <v>16</v>
      </c>
      <c r="C5906" s="50" t="s">
        <v>553</v>
      </c>
      <c r="D5906" s="50" t="s">
        <v>261</v>
      </c>
      <c r="E5906" s="50">
        <v>-1</v>
      </c>
      <c r="F5906" s="51">
        <v>-0.21211488197154349</v>
      </c>
      <c r="G5906" s="51" t="str">
        <v>吉田 2022/11/20 (日)
休日午後</v>
      </c>
    </row>
    <row r="5907" spans="1:7" ht="16.149999999999999" x14ac:dyDescent="0.7">
      <c r="A5907" s="49">
        <v>44849.429390891208</v>
      </c>
      <c r="B5907" s="50" t="s">
        <v>16</v>
      </c>
      <c r="C5907" s="50" t="s">
        <v>554</v>
      </c>
      <c r="D5907" s="50" t="s">
        <v>259</v>
      </c>
      <c r="E5907" s="50">
        <v>-1</v>
      </c>
      <c r="F5907" s="51">
        <v>-0.96786355151107717</v>
      </c>
      <c r="G5907" s="51" t="str">
        <v>吉田 2022/11/21 (月)
平日夜間</v>
      </c>
    </row>
    <row r="5908" spans="1:7" ht="16.149999999999999" x14ac:dyDescent="0.7">
      <c r="A5908" s="49">
        <v>44849.429390891208</v>
      </c>
      <c r="B5908" s="50" t="s">
        <v>16</v>
      </c>
      <c r="C5908" s="50" t="s">
        <v>555</v>
      </c>
      <c r="D5908" s="50" t="s">
        <v>259</v>
      </c>
      <c r="E5908" s="50">
        <v>0</v>
      </c>
      <c r="F5908" s="51">
        <v>0.53993049808250304</v>
      </c>
      <c r="G5908" s="51" t="str">
        <v>吉田 2022/11/22 (火)
平日夜間</v>
      </c>
    </row>
    <row r="5909" spans="1:7" ht="16.149999999999999" x14ac:dyDescent="0.7">
      <c r="A5909" s="49">
        <v>44849.429390891208</v>
      </c>
      <c r="B5909" s="50" t="s">
        <v>16</v>
      </c>
      <c r="C5909" s="50" t="s">
        <v>568</v>
      </c>
      <c r="D5909" s="50" t="s">
        <v>263</v>
      </c>
      <c r="E5909" s="50">
        <v>0</v>
      </c>
      <c r="F5909" s="51">
        <v>0.44782554388446583</v>
      </c>
      <c r="G5909" s="51" t="str">
        <v>吉田 2022/11/23 (水)
休日午前</v>
      </c>
    </row>
    <row r="5910" spans="1:7" ht="16.149999999999999" x14ac:dyDescent="0.7">
      <c r="A5910" s="49">
        <v>44849.429390891208</v>
      </c>
      <c r="B5910" s="50" t="s">
        <v>16</v>
      </c>
      <c r="C5910" s="50" t="s">
        <v>569</v>
      </c>
      <c r="D5910" s="50" t="s">
        <v>261</v>
      </c>
      <c r="E5910" s="50">
        <v>0</v>
      </c>
      <c r="F5910" s="51">
        <v>0.51396888264453233</v>
      </c>
      <c r="G5910" s="51" t="str">
        <v>吉田 2022/11/23 (水)
休日午後</v>
      </c>
    </row>
    <row r="5911" spans="1:7" ht="16.149999999999999" x14ac:dyDescent="0.7">
      <c r="A5911" s="49">
        <v>44849.429390891208</v>
      </c>
      <c r="B5911" s="50" t="s">
        <v>16</v>
      </c>
      <c r="C5911" s="50" t="s">
        <v>557</v>
      </c>
      <c r="D5911" s="50" t="s">
        <v>259</v>
      </c>
      <c r="E5911" s="50">
        <v>0</v>
      </c>
      <c r="F5911" s="51">
        <v>9.1013538875063027E-2</v>
      </c>
      <c r="G5911" s="51" t="str">
        <v>吉田 2022/11/24 (木)
平日夜間</v>
      </c>
    </row>
    <row r="5912" spans="1:7" ht="16.149999999999999" x14ac:dyDescent="0.7">
      <c r="A5912" s="49">
        <v>44849.429390891208</v>
      </c>
      <c r="B5912" s="50" t="s">
        <v>16</v>
      </c>
      <c r="C5912" s="50" t="s">
        <v>558</v>
      </c>
      <c r="D5912" s="50" t="s">
        <v>259</v>
      </c>
      <c r="E5912" s="50">
        <v>0</v>
      </c>
      <c r="F5912" s="51">
        <v>0.40335630793889754</v>
      </c>
      <c r="G5912" s="51" t="str">
        <v>吉田 2022/11/25 (金)
平日夜間</v>
      </c>
    </row>
    <row r="5913" spans="1:7" ht="16.149999999999999" x14ac:dyDescent="0.7">
      <c r="A5913" s="49">
        <v>44849.429390891208</v>
      </c>
      <c r="B5913" s="50" t="s">
        <v>16</v>
      </c>
      <c r="C5913" s="50" t="s">
        <v>559</v>
      </c>
      <c r="D5913" s="50" t="s">
        <v>263</v>
      </c>
      <c r="E5913" s="50">
        <v>0</v>
      </c>
      <c r="F5913" s="51">
        <v>6.4153000891784995E-2</v>
      </c>
      <c r="G5913" s="51" t="str">
        <v>吉田 2022/11/26 (土)
休日午前</v>
      </c>
    </row>
    <row r="5914" spans="1:7" ht="16.149999999999999" x14ac:dyDescent="0.7">
      <c r="A5914" s="49">
        <v>44849.429390891208</v>
      </c>
      <c r="B5914" s="50" t="s">
        <v>16</v>
      </c>
      <c r="C5914" s="50" t="s">
        <v>560</v>
      </c>
      <c r="D5914" s="50" t="s">
        <v>261</v>
      </c>
      <c r="E5914" s="50">
        <v>2</v>
      </c>
      <c r="F5914" s="51">
        <v>2.8734666894701482</v>
      </c>
      <c r="G5914" s="51" t="str">
        <v>吉田 2022/11/26 (土)
休日午後</v>
      </c>
    </row>
    <row r="5915" spans="1:7" ht="16.149999999999999" x14ac:dyDescent="0.7">
      <c r="A5915" s="49">
        <v>44849.429390891208</v>
      </c>
      <c r="B5915" s="50" t="s">
        <v>16</v>
      </c>
      <c r="C5915" s="50" t="s">
        <v>561</v>
      </c>
      <c r="D5915" s="50" t="s">
        <v>263</v>
      </c>
      <c r="E5915" s="50">
        <v>-1</v>
      </c>
      <c r="F5915" s="51">
        <v>-6.9606884452596107E-2</v>
      </c>
      <c r="G5915" s="51" t="str">
        <v>吉田 2022/11/27 (日)
休日午前</v>
      </c>
    </row>
    <row r="5916" spans="1:7" ht="16.149999999999999" x14ac:dyDescent="0.7">
      <c r="A5916" s="49">
        <v>44849.429390891208</v>
      </c>
      <c r="B5916" s="50" t="s">
        <v>16</v>
      </c>
      <c r="C5916" s="50" t="s">
        <v>562</v>
      </c>
      <c r="D5916" s="50" t="s">
        <v>261</v>
      </c>
      <c r="E5916" s="50">
        <v>-1</v>
      </c>
      <c r="F5916" s="51">
        <v>-0.36832957714703118</v>
      </c>
      <c r="G5916" s="51" t="str">
        <v>吉田 2022/11/27 (日)
休日午後</v>
      </c>
    </row>
    <row r="5917" spans="1:7" ht="16.149999999999999" x14ac:dyDescent="0.7">
      <c r="A5917" s="49">
        <v>44849.429390891208</v>
      </c>
      <c r="B5917" s="50" t="s">
        <v>16</v>
      </c>
      <c r="C5917" s="50" t="s">
        <v>563</v>
      </c>
      <c r="D5917" s="50" t="s">
        <v>259</v>
      </c>
      <c r="E5917" s="50">
        <v>0</v>
      </c>
      <c r="F5917" s="51">
        <v>0.81409783659098678</v>
      </c>
      <c r="G5917" s="51" t="str">
        <v>吉田 2022/11/28 (月)
平日夜間</v>
      </c>
    </row>
    <row r="5918" spans="1:7" ht="16.149999999999999" x14ac:dyDescent="0.7">
      <c r="A5918" s="49">
        <v>44849.429390891208</v>
      </c>
      <c r="B5918" s="50" t="s">
        <v>16</v>
      </c>
      <c r="C5918" s="50" t="s">
        <v>564</v>
      </c>
      <c r="D5918" s="50" t="s">
        <v>259</v>
      </c>
      <c r="E5918" s="50">
        <v>0</v>
      </c>
      <c r="F5918" s="51">
        <v>0.44017434187649052</v>
      </c>
      <c r="G5918" s="51" t="str">
        <v>吉田 2022/11/29 (火)
平日夜間</v>
      </c>
    </row>
    <row r="5919" spans="1:7" ht="16.149999999999999" x14ac:dyDescent="0.7">
      <c r="A5919" s="49">
        <v>44849.429390891208</v>
      </c>
      <c r="B5919" s="50" t="s">
        <v>16</v>
      </c>
      <c r="C5919" s="50" t="s">
        <v>565</v>
      </c>
      <c r="D5919" s="50" t="s">
        <v>259</v>
      </c>
      <c r="E5919" s="50">
        <v>0</v>
      </c>
      <c r="F5919" s="51">
        <v>0.63170993395054076</v>
      </c>
      <c r="G5919" s="51" t="str">
        <v>吉田 2022/11/30 (水)
平日夜間</v>
      </c>
    </row>
    <row r="5920" spans="1:7" ht="16.149999999999999" x14ac:dyDescent="0.7">
      <c r="A5920" s="49">
        <v>44849.430826793978</v>
      </c>
      <c r="B5920" s="50" t="s">
        <v>17</v>
      </c>
      <c r="C5920" s="50" t="s">
        <v>528</v>
      </c>
      <c r="D5920" s="50" t="s">
        <v>259</v>
      </c>
      <c r="E5920" s="50">
        <v>0</v>
      </c>
      <c r="F5920" s="51">
        <v>0.50910305541610157</v>
      </c>
      <c r="G5920" s="51" t="str">
        <v>尾田 2022/11/01 (火)
平日夜間</v>
      </c>
    </row>
    <row r="5921" spans="1:7" ht="16.149999999999999" x14ac:dyDescent="0.7">
      <c r="A5921" s="49">
        <v>44849.430826793978</v>
      </c>
      <c r="B5921" s="50" t="s">
        <v>17</v>
      </c>
      <c r="C5921" s="50" t="s">
        <v>529</v>
      </c>
      <c r="D5921" s="50" t="s">
        <v>259</v>
      </c>
      <c r="E5921" s="50">
        <v>0</v>
      </c>
      <c r="F5921" s="51">
        <v>0.70089338430578718</v>
      </c>
      <c r="G5921" s="51" t="str">
        <v>尾田 2022/11/02 (水)
平日夜間</v>
      </c>
    </row>
    <row r="5922" spans="1:7" ht="16.149999999999999" x14ac:dyDescent="0.7">
      <c r="A5922" s="49">
        <v>44849.430826793978</v>
      </c>
      <c r="B5922" s="50" t="s">
        <v>17</v>
      </c>
      <c r="C5922" s="50" t="s">
        <v>566</v>
      </c>
      <c r="D5922" s="50" t="s">
        <v>263</v>
      </c>
      <c r="E5922" s="50">
        <v>-1</v>
      </c>
      <c r="F5922" s="51">
        <v>-0.27718144273313805</v>
      </c>
      <c r="G5922" s="51" t="str">
        <v>尾田 2022/11/03 (木)
休日午前</v>
      </c>
    </row>
    <row r="5923" spans="1:7" ht="16.149999999999999" x14ac:dyDescent="0.7">
      <c r="A5923" s="49">
        <v>44849.430826793978</v>
      </c>
      <c r="B5923" s="50" t="s">
        <v>17</v>
      </c>
      <c r="C5923" s="50" t="s">
        <v>567</v>
      </c>
      <c r="D5923" s="50" t="s">
        <v>261</v>
      </c>
      <c r="E5923" s="50">
        <v>-1</v>
      </c>
      <c r="F5923" s="51">
        <v>-0.21588447556710677</v>
      </c>
      <c r="G5923" s="51" t="str">
        <v>尾田 2022/11/03 (木)
休日午後</v>
      </c>
    </row>
    <row r="5924" spans="1:7" ht="16.149999999999999" x14ac:dyDescent="0.7">
      <c r="A5924" s="49">
        <v>44849.430826793978</v>
      </c>
      <c r="B5924" s="50" t="s">
        <v>17</v>
      </c>
      <c r="C5924" s="50" t="s">
        <v>531</v>
      </c>
      <c r="D5924" s="50" t="s">
        <v>259</v>
      </c>
      <c r="E5924" s="50">
        <v>-1</v>
      </c>
      <c r="F5924" s="51">
        <v>-2.0676187134416324E-4</v>
      </c>
      <c r="G5924" s="51" t="str">
        <v>尾田 2022/11/04 (金)
平日夜間</v>
      </c>
    </row>
    <row r="5925" spans="1:7" ht="16.149999999999999" x14ac:dyDescent="0.7">
      <c r="A5925" s="49">
        <v>44849.430826793978</v>
      </c>
      <c r="B5925" s="50" t="s">
        <v>17</v>
      </c>
      <c r="C5925" s="50" t="s">
        <v>532</v>
      </c>
      <c r="D5925" s="50" t="s">
        <v>263</v>
      </c>
      <c r="E5925" s="50">
        <v>-1</v>
      </c>
      <c r="F5925" s="51">
        <v>-0.58603496910609665</v>
      </c>
      <c r="G5925" s="51" t="str">
        <v>尾田 2022/11/05 (土)
休日午前</v>
      </c>
    </row>
    <row r="5926" spans="1:7" ht="16.149999999999999" x14ac:dyDescent="0.7">
      <c r="A5926" s="49">
        <v>44849.430826793978</v>
      </c>
      <c r="B5926" s="50" t="s">
        <v>17</v>
      </c>
      <c r="C5926" s="50" t="s">
        <v>533</v>
      </c>
      <c r="D5926" s="50" t="s">
        <v>261</v>
      </c>
      <c r="E5926" s="50">
        <v>-1</v>
      </c>
      <c r="F5926" s="51">
        <v>-0.35182354417838124</v>
      </c>
      <c r="G5926" s="51" t="str">
        <v>尾田 2022/11/05 (土)
休日午後</v>
      </c>
    </row>
    <row r="5927" spans="1:7" ht="16.149999999999999" x14ac:dyDescent="0.7">
      <c r="A5927" s="49">
        <v>44849.430826793978</v>
      </c>
      <c r="B5927" s="50" t="s">
        <v>17</v>
      </c>
      <c r="C5927" s="50" t="s">
        <v>534</v>
      </c>
      <c r="D5927" s="50" t="s">
        <v>263</v>
      </c>
      <c r="E5927" s="50">
        <v>-1</v>
      </c>
      <c r="F5927" s="51">
        <v>-0.69148617846464355</v>
      </c>
      <c r="G5927" s="51" t="str">
        <v>尾田 2022/11/06 (日)
休日午前</v>
      </c>
    </row>
    <row r="5928" spans="1:7" ht="16.149999999999999" x14ac:dyDescent="0.7">
      <c r="A5928" s="49">
        <v>44849.430826793978</v>
      </c>
      <c r="B5928" s="50" t="s">
        <v>17</v>
      </c>
      <c r="C5928" s="50" t="s">
        <v>535</v>
      </c>
      <c r="D5928" s="50" t="s">
        <v>261</v>
      </c>
      <c r="E5928" s="50">
        <v>-1</v>
      </c>
      <c r="F5928" s="51">
        <v>-0.73304883425092537</v>
      </c>
      <c r="G5928" s="51" t="str">
        <v>尾田 2022/11/06 (日)
休日午後</v>
      </c>
    </row>
    <row r="5929" spans="1:7" ht="16.149999999999999" x14ac:dyDescent="0.7">
      <c r="A5929" s="49">
        <v>44849.430826793978</v>
      </c>
      <c r="B5929" s="50" t="s">
        <v>17</v>
      </c>
      <c r="C5929" s="50" t="s">
        <v>536</v>
      </c>
      <c r="D5929" s="50" t="s">
        <v>259</v>
      </c>
      <c r="E5929" s="50">
        <v>0</v>
      </c>
      <c r="F5929" s="51">
        <v>0.71371576008502569</v>
      </c>
      <c r="G5929" s="51" t="str">
        <v>尾田 2022/11/07 (月)
平日夜間</v>
      </c>
    </row>
    <row r="5930" spans="1:7" ht="16.149999999999999" x14ac:dyDescent="0.7">
      <c r="A5930" s="49">
        <v>44849.431121956019</v>
      </c>
      <c r="B5930" s="50" t="s">
        <v>149</v>
      </c>
      <c r="C5930" s="50" t="s">
        <v>528</v>
      </c>
      <c r="D5930" s="50" t="s">
        <v>259</v>
      </c>
      <c r="E5930" s="50">
        <v>0</v>
      </c>
      <c r="F5930" s="51">
        <v>0.33492625760556005</v>
      </c>
      <c r="G5930" s="51" t="str">
        <v>中野 2022/11/01 (火)
平日夜間</v>
      </c>
    </row>
    <row r="5931" spans="1:7" ht="16.149999999999999" x14ac:dyDescent="0.7">
      <c r="A5931" s="49">
        <v>44849.430826793978</v>
      </c>
      <c r="B5931" s="50" t="s">
        <v>17</v>
      </c>
      <c r="C5931" s="50" t="s">
        <v>537</v>
      </c>
      <c r="D5931" s="50" t="s">
        <v>259</v>
      </c>
      <c r="E5931" s="50">
        <v>0</v>
      </c>
      <c r="F5931" s="51">
        <v>0.95260763226289291</v>
      </c>
      <c r="G5931" s="51" t="str">
        <v>尾田 2022/11/08 (火)
平日夜間</v>
      </c>
    </row>
    <row r="5932" spans="1:7" ht="16.149999999999999" x14ac:dyDescent="0.7">
      <c r="A5932" s="49">
        <v>44849.431121956019</v>
      </c>
      <c r="B5932" s="50" t="s">
        <v>149</v>
      </c>
      <c r="C5932" s="50" t="s">
        <v>529</v>
      </c>
      <c r="D5932" s="50" t="s">
        <v>259</v>
      </c>
      <c r="E5932" s="50">
        <v>0</v>
      </c>
      <c r="F5932" s="51">
        <v>0.94420577599627764</v>
      </c>
      <c r="G5932" s="51" t="str">
        <v>中野 2022/11/02 (水)
平日夜間</v>
      </c>
    </row>
    <row r="5933" spans="1:7" ht="16.149999999999999" x14ac:dyDescent="0.7">
      <c r="A5933" s="49">
        <v>44849.430826793978</v>
      </c>
      <c r="B5933" s="50" t="s">
        <v>17</v>
      </c>
      <c r="C5933" s="50" t="s">
        <v>538</v>
      </c>
      <c r="D5933" s="50" t="s">
        <v>259</v>
      </c>
      <c r="E5933" s="50">
        <v>0</v>
      </c>
      <c r="F5933" s="51">
        <v>0.9061384958051284</v>
      </c>
      <c r="G5933" s="51" t="str">
        <v>尾田 2022/11/09 (水)
平日夜間</v>
      </c>
    </row>
    <row r="5934" spans="1:7" ht="16.149999999999999" x14ac:dyDescent="0.7">
      <c r="A5934" s="49">
        <v>44849.431121956019</v>
      </c>
      <c r="B5934" s="50" t="s">
        <v>149</v>
      </c>
      <c r="C5934" s="50" t="s">
        <v>566</v>
      </c>
      <c r="D5934" s="50" t="s">
        <v>263</v>
      </c>
      <c r="E5934" s="50">
        <v>-1</v>
      </c>
      <c r="F5934" s="51">
        <v>-0.34538137744034492</v>
      </c>
      <c r="G5934" s="51" t="str">
        <v>中野 2022/11/03 (木)
休日午前</v>
      </c>
    </row>
    <row r="5935" spans="1:7" ht="16.149999999999999" x14ac:dyDescent="0.7">
      <c r="A5935" s="49">
        <v>44849.430826793978</v>
      </c>
      <c r="B5935" s="50" t="s">
        <v>17</v>
      </c>
      <c r="C5935" s="50" t="s">
        <v>539</v>
      </c>
      <c r="D5935" s="50" t="s">
        <v>259</v>
      </c>
      <c r="E5935" s="50">
        <v>-1</v>
      </c>
      <c r="F5935" s="51">
        <v>-6.3790442629748201E-2</v>
      </c>
      <c r="G5935" s="51" t="str">
        <v>尾田 2022/11/10 (木)
平日夜間</v>
      </c>
    </row>
    <row r="5936" spans="1:7" ht="16.149999999999999" x14ac:dyDescent="0.7">
      <c r="A5936" s="49">
        <v>44849.431121956019</v>
      </c>
      <c r="B5936" s="50" t="s">
        <v>149</v>
      </c>
      <c r="C5936" s="50" t="s">
        <v>567</v>
      </c>
      <c r="D5936" s="50" t="s">
        <v>261</v>
      </c>
      <c r="E5936" s="50">
        <v>-1</v>
      </c>
      <c r="F5936" s="51">
        <v>-0.47160079264825439</v>
      </c>
      <c r="G5936" s="51" t="str">
        <v>中野 2022/11/03 (木)
休日午後</v>
      </c>
    </row>
    <row r="5937" spans="1:7" ht="16.149999999999999" x14ac:dyDescent="0.7">
      <c r="A5937" s="49">
        <v>44849.430826793978</v>
      </c>
      <c r="B5937" s="50" t="s">
        <v>17</v>
      </c>
      <c r="C5937" s="50" t="s">
        <v>540</v>
      </c>
      <c r="D5937" s="50" t="s">
        <v>259</v>
      </c>
      <c r="E5937" s="50">
        <v>-1</v>
      </c>
      <c r="F5937" s="51">
        <v>-0.41392450111229384</v>
      </c>
      <c r="G5937" s="51" t="str">
        <v>尾田 2022/11/11 (金)
平日夜間</v>
      </c>
    </row>
    <row r="5938" spans="1:7" ht="16.149999999999999" x14ac:dyDescent="0.7">
      <c r="A5938" s="49">
        <v>44849.431121956019</v>
      </c>
      <c r="B5938" s="50" t="s">
        <v>149</v>
      </c>
      <c r="C5938" s="50" t="s">
        <v>531</v>
      </c>
      <c r="D5938" s="50" t="s">
        <v>259</v>
      </c>
      <c r="E5938" s="50">
        <v>0</v>
      </c>
      <c r="F5938" s="51">
        <v>0.68265313565364449</v>
      </c>
      <c r="G5938" s="51" t="str">
        <v>中野 2022/11/04 (金)
平日夜間</v>
      </c>
    </row>
    <row r="5939" spans="1:7" ht="16.149999999999999" x14ac:dyDescent="0.7">
      <c r="A5939" s="49">
        <v>44849.430826793978</v>
      </c>
      <c r="B5939" s="50" t="s">
        <v>17</v>
      </c>
      <c r="C5939" s="50" t="s">
        <v>541</v>
      </c>
      <c r="D5939" s="50" t="s">
        <v>263</v>
      </c>
      <c r="E5939" s="50">
        <v>-1</v>
      </c>
      <c r="F5939" s="51">
        <v>-0.28531398654749562</v>
      </c>
      <c r="G5939" s="51" t="str">
        <v>尾田 2022/11/12 (土)
休日午前</v>
      </c>
    </row>
    <row r="5940" spans="1:7" ht="16.149999999999999" x14ac:dyDescent="0.7">
      <c r="A5940" s="49">
        <v>44849.431121956019</v>
      </c>
      <c r="B5940" s="50" t="s">
        <v>149</v>
      </c>
      <c r="C5940" s="50" t="s">
        <v>532</v>
      </c>
      <c r="D5940" s="50" t="s">
        <v>263</v>
      </c>
      <c r="E5940" s="50">
        <v>0</v>
      </c>
      <c r="F5940" s="51">
        <v>0.47262779691896339</v>
      </c>
      <c r="G5940" s="51" t="str">
        <v>中野 2022/11/05 (土)
休日午前</v>
      </c>
    </row>
    <row r="5941" spans="1:7" ht="16.149999999999999" x14ac:dyDescent="0.7">
      <c r="A5941" s="49">
        <v>44849.430826793978</v>
      </c>
      <c r="B5941" s="50" t="s">
        <v>17</v>
      </c>
      <c r="C5941" s="50" t="s">
        <v>542</v>
      </c>
      <c r="D5941" s="50" t="s">
        <v>261</v>
      </c>
      <c r="E5941" s="50">
        <v>-1</v>
      </c>
      <c r="F5941" s="51">
        <v>-0.1223051844641998</v>
      </c>
      <c r="G5941" s="51" t="str">
        <v>尾田 2022/11/12 (土)
休日午後</v>
      </c>
    </row>
    <row r="5942" spans="1:7" ht="16.149999999999999" x14ac:dyDescent="0.7">
      <c r="A5942" s="49">
        <v>44849.431121956019</v>
      </c>
      <c r="B5942" s="50" t="s">
        <v>149</v>
      </c>
      <c r="C5942" s="50" t="s">
        <v>533</v>
      </c>
      <c r="D5942" s="50" t="s">
        <v>261</v>
      </c>
      <c r="E5942" s="50">
        <v>-1</v>
      </c>
      <c r="F5942" s="51">
        <v>-0.50998250613727758</v>
      </c>
      <c r="G5942" s="51" t="str">
        <v>中野 2022/11/05 (土)
休日午後</v>
      </c>
    </row>
    <row r="5943" spans="1:7" ht="16.149999999999999" x14ac:dyDescent="0.7">
      <c r="A5943" s="49">
        <v>44849.430826793978</v>
      </c>
      <c r="B5943" s="50" t="s">
        <v>17</v>
      </c>
      <c r="C5943" s="50" t="s">
        <v>543</v>
      </c>
      <c r="D5943" s="50" t="s">
        <v>263</v>
      </c>
      <c r="E5943" s="50">
        <v>-1</v>
      </c>
      <c r="F5943" s="51">
        <v>-0.41208925807535124</v>
      </c>
      <c r="G5943" s="51" t="str">
        <v>尾田 2022/11/13 (日)
休日午前</v>
      </c>
    </row>
    <row r="5944" spans="1:7" ht="16.149999999999999" x14ac:dyDescent="0.7">
      <c r="A5944" s="49">
        <v>44849.431121956019</v>
      </c>
      <c r="B5944" s="50" t="s">
        <v>149</v>
      </c>
      <c r="C5944" s="50" t="s">
        <v>534</v>
      </c>
      <c r="D5944" s="50" t="s">
        <v>263</v>
      </c>
      <c r="E5944" s="50">
        <v>-1</v>
      </c>
      <c r="F5944" s="51">
        <v>-0.93533669923966301</v>
      </c>
      <c r="G5944" s="51" t="str">
        <v>中野 2022/11/06 (日)
休日午前</v>
      </c>
    </row>
    <row r="5945" spans="1:7" ht="16.149999999999999" x14ac:dyDescent="0.7">
      <c r="A5945" s="49">
        <v>44849.430826793978</v>
      </c>
      <c r="B5945" s="50" t="s">
        <v>17</v>
      </c>
      <c r="C5945" s="50" t="s">
        <v>544</v>
      </c>
      <c r="D5945" s="50" t="s">
        <v>261</v>
      </c>
      <c r="E5945" s="50">
        <v>-1</v>
      </c>
      <c r="F5945" s="51">
        <v>-0.48753798519961711</v>
      </c>
      <c r="G5945" s="51" t="str">
        <v>尾田 2022/11/13 (日)
休日午後</v>
      </c>
    </row>
    <row r="5946" spans="1:7" ht="16.149999999999999" x14ac:dyDescent="0.7">
      <c r="A5946" s="49">
        <v>44849.431121956019</v>
      </c>
      <c r="B5946" s="50" t="s">
        <v>149</v>
      </c>
      <c r="C5946" s="50" t="s">
        <v>535</v>
      </c>
      <c r="D5946" s="50" t="s">
        <v>261</v>
      </c>
      <c r="E5946" s="50">
        <v>-1</v>
      </c>
      <c r="F5946" s="51">
        <v>-0.56505846854192399</v>
      </c>
      <c r="G5946" s="51" t="str">
        <v>中野 2022/11/06 (日)
休日午後</v>
      </c>
    </row>
    <row r="5947" spans="1:7" ht="16.149999999999999" x14ac:dyDescent="0.7">
      <c r="A5947" s="49">
        <v>44849.430826793978</v>
      </c>
      <c r="B5947" s="50" t="s">
        <v>17</v>
      </c>
      <c r="C5947" s="50" t="s">
        <v>545</v>
      </c>
      <c r="D5947" s="50" t="s">
        <v>259</v>
      </c>
      <c r="E5947" s="50">
        <v>0</v>
      </c>
      <c r="F5947" s="51">
        <v>0.36444572032949907</v>
      </c>
      <c r="G5947" s="51" t="str">
        <v>尾田 2022/11/14 (月)
平日夜間</v>
      </c>
    </row>
    <row r="5948" spans="1:7" ht="16.149999999999999" x14ac:dyDescent="0.7">
      <c r="A5948" s="49">
        <v>44849.431121956019</v>
      </c>
      <c r="B5948" s="50" t="s">
        <v>149</v>
      </c>
      <c r="C5948" s="50" t="s">
        <v>536</v>
      </c>
      <c r="D5948" s="50" t="s">
        <v>259</v>
      </c>
      <c r="E5948" s="50">
        <v>0</v>
      </c>
      <c r="F5948" s="51">
        <v>0.35837282446300067</v>
      </c>
      <c r="G5948" s="51" t="str">
        <v>中野 2022/11/07 (月)
平日夜間</v>
      </c>
    </row>
    <row r="5949" spans="1:7" ht="16.149999999999999" x14ac:dyDescent="0.7">
      <c r="A5949" s="49">
        <v>44849.430826793978</v>
      </c>
      <c r="B5949" s="50" t="s">
        <v>17</v>
      </c>
      <c r="C5949" s="50" t="s">
        <v>546</v>
      </c>
      <c r="D5949" s="50" t="s">
        <v>259</v>
      </c>
      <c r="E5949" s="50">
        <v>0</v>
      </c>
      <c r="F5949" s="51">
        <v>0.78878296519022562</v>
      </c>
      <c r="G5949" s="51" t="str">
        <v>尾田 2022/11/15 (火)
平日夜間</v>
      </c>
    </row>
    <row r="5950" spans="1:7" ht="16.149999999999999" x14ac:dyDescent="0.7">
      <c r="A5950" s="49">
        <v>44849.431121956019</v>
      </c>
      <c r="B5950" s="50" t="s">
        <v>149</v>
      </c>
      <c r="C5950" s="50" t="s">
        <v>537</v>
      </c>
      <c r="D5950" s="50" t="s">
        <v>259</v>
      </c>
      <c r="E5950" s="50">
        <v>0</v>
      </c>
      <c r="F5950" s="51">
        <v>4.7768605274018938E-3</v>
      </c>
      <c r="G5950" s="51" t="str">
        <v>中野 2022/11/08 (火)
平日夜間</v>
      </c>
    </row>
    <row r="5951" spans="1:7" ht="16.149999999999999" x14ac:dyDescent="0.7">
      <c r="A5951" s="49">
        <v>44849.430826793978</v>
      </c>
      <c r="B5951" s="50" t="s">
        <v>17</v>
      </c>
      <c r="C5951" s="50" t="s">
        <v>547</v>
      </c>
      <c r="D5951" s="50" t="s">
        <v>259</v>
      </c>
      <c r="E5951" s="50">
        <v>0</v>
      </c>
      <c r="F5951" s="51">
        <v>0.65885045940348608</v>
      </c>
      <c r="G5951" s="51" t="str">
        <v>尾田 2022/11/16 (水)
平日夜間</v>
      </c>
    </row>
    <row r="5952" spans="1:7" ht="16.149999999999999" x14ac:dyDescent="0.7">
      <c r="A5952" s="49">
        <v>44849.431121956019</v>
      </c>
      <c r="B5952" s="50" t="s">
        <v>149</v>
      </c>
      <c r="C5952" s="50" t="s">
        <v>538</v>
      </c>
      <c r="D5952" s="50" t="s">
        <v>259</v>
      </c>
      <c r="E5952" s="50">
        <v>0</v>
      </c>
      <c r="F5952" s="51">
        <v>0.95794137555063386</v>
      </c>
      <c r="G5952" s="51" t="str">
        <v>中野 2022/11/09 (水)
平日夜間</v>
      </c>
    </row>
    <row r="5953" spans="1:7" ht="16.149999999999999" x14ac:dyDescent="0.7">
      <c r="A5953" s="49">
        <v>44849.430826793978</v>
      </c>
      <c r="B5953" s="50" t="s">
        <v>17</v>
      </c>
      <c r="C5953" s="50" t="s">
        <v>548</v>
      </c>
      <c r="D5953" s="50" t="s">
        <v>259</v>
      </c>
      <c r="E5953" s="50">
        <v>-1</v>
      </c>
      <c r="F5953" s="51">
        <v>-0.52482293877478337</v>
      </c>
      <c r="G5953" s="51" t="str">
        <v>尾田 2022/11/17 (木)
平日夜間</v>
      </c>
    </row>
    <row r="5954" spans="1:7" ht="16.149999999999999" x14ac:dyDescent="0.7">
      <c r="A5954" s="49">
        <v>44849.431121956019</v>
      </c>
      <c r="B5954" s="50" t="s">
        <v>149</v>
      </c>
      <c r="C5954" s="50" t="s">
        <v>539</v>
      </c>
      <c r="D5954" s="50" t="s">
        <v>259</v>
      </c>
      <c r="E5954" s="50">
        <v>0</v>
      </c>
      <c r="F5954" s="51">
        <v>2.9947394345874345E-2</v>
      </c>
      <c r="G5954" s="51" t="str">
        <v>中野 2022/11/10 (木)
平日夜間</v>
      </c>
    </row>
    <row r="5955" spans="1:7" ht="16.149999999999999" x14ac:dyDescent="0.7">
      <c r="A5955" s="49">
        <v>44849.430826793978</v>
      </c>
      <c r="B5955" s="50" t="s">
        <v>17</v>
      </c>
      <c r="C5955" s="50" t="s">
        <v>549</v>
      </c>
      <c r="D5955" s="50" t="s">
        <v>259</v>
      </c>
      <c r="E5955" s="50">
        <v>-1</v>
      </c>
      <c r="F5955" s="51">
        <v>-0.14147972558421351</v>
      </c>
      <c r="G5955" s="51" t="str">
        <v>尾田 2022/11/18 (金)
平日夜間</v>
      </c>
    </row>
    <row r="5956" spans="1:7" ht="16.149999999999999" x14ac:dyDescent="0.7">
      <c r="A5956" s="49">
        <v>44849.431121956019</v>
      </c>
      <c r="B5956" s="50" t="s">
        <v>149</v>
      </c>
      <c r="C5956" s="50" t="s">
        <v>540</v>
      </c>
      <c r="D5956" s="50" t="s">
        <v>259</v>
      </c>
      <c r="E5956" s="50">
        <v>-1</v>
      </c>
      <c r="F5956" s="51">
        <v>-0.67257396818004134</v>
      </c>
      <c r="G5956" s="51" t="str">
        <v>中野 2022/11/11 (金)
平日夜間</v>
      </c>
    </row>
    <row r="5957" spans="1:7" ht="16.149999999999999" x14ac:dyDescent="0.7">
      <c r="A5957" s="49">
        <v>44849.430826793978</v>
      </c>
      <c r="B5957" s="50" t="s">
        <v>17</v>
      </c>
      <c r="C5957" s="50" t="s">
        <v>550</v>
      </c>
      <c r="D5957" s="50" t="s">
        <v>263</v>
      </c>
      <c r="E5957" s="50">
        <v>-1</v>
      </c>
      <c r="F5957" s="51">
        <v>-0.39586040713313286</v>
      </c>
      <c r="G5957" s="51" t="str">
        <v>尾田 2022/11/19 (土)
休日午前</v>
      </c>
    </row>
    <row r="5958" spans="1:7" ht="16.149999999999999" x14ac:dyDescent="0.7">
      <c r="A5958" s="49">
        <v>44849.431121956019</v>
      </c>
      <c r="B5958" s="50" t="s">
        <v>149</v>
      </c>
      <c r="C5958" s="50" t="s">
        <v>541</v>
      </c>
      <c r="D5958" s="50" t="s">
        <v>263</v>
      </c>
      <c r="E5958" s="50">
        <v>-1</v>
      </c>
      <c r="F5958" s="51">
        <v>-0.47173859771901649</v>
      </c>
      <c r="G5958" s="51" t="str">
        <v>中野 2022/11/12 (土)
休日午前</v>
      </c>
    </row>
    <row r="5959" spans="1:7" ht="16.149999999999999" x14ac:dyDescent="0.7">
      <c r="A5959" s="49">
        <v>44849.430826793978</v>
      </c>
      <c r="B5959" s="50" t="s">
        <v>17</v>
      </c>
      <c r="C5959" s="50" t="s">
        <v>551</v>
      </c>
      <c r="D5959" s="50" t="s">
        <v>261</v>
      </c>
      <c r="E5959" s="50">
        <v>-1</v>
      </c>
      <c r="F5959" s="51">
        <v>-0.93193956463926275</v>
      </c>
      <c r="G5959" s="51" t="str">
        <v>尾田 2022/11/19 (土)
休日午後</v>
      </c>
    </row>
    <row r="5960" spans="1:7" ht="16.149999999999999" x14ac:dyDescent="0.7">
      <c r="A5960" s="49">
        <v>44849.431121956019</v>
      </c>
      <c r="B5960" s="50" t="s">
        <v>149</v>
      </c>
      <c r="C5960" s="50" t="s">
        <v>542</v>
      </c>
      <c r="D5960" s="50" t="s">
        <v>261</v>
      </c>
      <c r="E5960" s="50">
        <v>-1</v>
      </c>
      <c r="F5960" s="51">
        <v>-0.85789073232583268</v>
      </c>
      <c r="G5960" s="51" t="str">
        <v>中野 2022/11/12 (土)
休日午後</v>
      </c>
    </row>
    <row r="5961" spans="1:7" ht="16.149999999999999" x14ac:dyDescent="0.7">
      <c r="A5961" s="49">
        <v>44849.430826793978</v>
      </c>
      <c r="B5961" s="50" t="s">
        <v>17</v>
      </c>
      <c r="C5961" s="50" t="s">
        <v>552</v>
      </c>
      <c r="D5961" s="50" t="s">
        <v>263</v>
      </c>
      <c r="E5961" s="50">
        <v>-1</v>
      </c>
      <c r="F5961" s="51">
        <v>-7.7924441644555253E-2</v>
      </c>
      <c r="G5961" s="51" t="str">
        <v>尾田 2022/11/20 (日)
休日午前</v>
      </c>
    </row>
    <row r="5962" spans="1:7" ht="16.149999999999999" x14ac:dyDescent="0.7">
      <c r="A5962" s="49">
        <v>44849.431121956019</v>
      </c>
      <c r="B5962" s="50" t="s">
        <v>149</v>
      </c>
      <c r="C5962" s="50" t="s">
        <v>543</v>
      </c>
      <c r="D5962" s="50" t="s">
        <v>263</v>
      </c>
      <c r="E5962" s="50">
        <v>-1</v>
      </c>
      <c r="F5962" s="51">
        <v>-0.7975843471709485</v>
      </c>
      <c r="G5962" s="51" t="str">
        <v>中野 2022/11/13 (日)
休日午前</v>
      </c>
    </row>
    <row r="5963" spans="1:7" ht="16.149999999999999" x14ac:dyDescent="0.7">
      <c r="A5963" s="49">
        <v>44849.430826793978</v>
      </c>
      <c r="B5963" s="50" t="s">
        <v>17</v>
      </c>
      <c r="C5963" s="50" t="s">
        <v>553</v>
      </c>
      <c r="D5963" s="50" t="s">
        <v>261</v>
      </c>
      <c r="E5963" s="50">
        <v>-1</v>
      </c>
      <c r="F5963" s="51">
        <v>-0.41817743630349336</v>
      </c>
      <c r="G5963" s="51" t="str">
        <v>尾田 2022/11/20 (日)
休日午後</v>
      </c>
    </row>
    <row r="5964" spans="1:7" ht="16.149999999999999" x14ac:dyDescent="0.7">
      <c r="A5964" s="49">
        <v>44849.431121956019</v>
      </c>
      <c r="B5964" s="50" t="s">
        <v>149</v>
      </c>
      <c r="C5964" s="50" t="s">
        <v>544</v>
      </c>
      <c r="D5964" s="50" t="s">
        <v>261</v>
      </c>
      <c r="E5964" s="50">
        <v>-1</v>
      </c>
      <c r="F5964" s="51">
        <v>-4.6337975385563279E-2</v>
      </c>
      <c r="G5964" s="51" t="str">
        <v>中野 2022/11/13 (日)
休日午後</v>
      </c>
    </row>
    <row r="5965" spans="1:7" ht="16.149999999999999" x14ac:dyDescent="0.7">
      <c r="A5965" s="49">
        <v>44849.430826793978</v>
      </c>
      <c r="B5965" s="50" t="s">
        <v>17</v>
      </c>
      <c r="C5965" s="50" t="s">
        <v>554</v>
      </c>
      <c r="D5965" s="50" t="s">
        <v>259</v>
      </c>
      <c r="E5965" s="50">
        <v>0</v>
      </c>
      <c r="F5965" s="51">
        <v>0.33113267097057597</v>
      </c>
      <c r="G5965" s="51" t="str">
        <v>尾田 2022/11/21 (月)
平日夜間</v>
      </c>
    </row>
    <row r="5966" spans="1:7" ht="16.149999999999999" x14ac:dyDescent="0.7">
      <c r="A5966" s="49">
        <v>44849.431121956019</v>
      </c>
      <c r="B5966" s="50" t="s">
        <v>149</v>
      </c>
      <c r="C5966" s="50" t="s">
        <v>545</v>
      </c>
      <c r="D5966" s="50" t="s">
        <v>259</v>
      </c>
      <c r="E5966" s="50">
        <v>0</v>
      </c>
      <c r="F5966" s="51">
        <v>3.1886555187886634E-2</v>
      </c>
      <c r="G5966" s="51" t="str">
        <v>中野 2022/11/14 (月)
平日夜間</v>
      </c>
    </row>
    <row r="5967" spans="1:7" ht="16.149999999999999" x14ac:dyDescent="0.7">
      <c r="A5967" s="49">
        <v>44849.430826793978</v>
      </c>
      <c r="B5967" s="50" t="s">
        <v>17</v>
      </c>
      <c r="C5967" s="50" t="s">
        <v>555</v>
      </c>
      <c r="D5967" s="50" t="s">
        <v>259</v>
      </c>
      <c r="E5967" s="50">
        <v>-1</v>
      </c>
      <c r="F5967" s="51">
        <v>-7.2271683586756952E-2</v>
      </c>
      <c r="G5967" s="51" t="str">
        <v>尾田 2022/11/22 (火)
平日夜間</v>
      </c>
    </row>
    <row r="5968" spans="1:7" ht="16.149999999999999" x14ac:dyDescent="0.7">
      <c r="A5968" s="49">
        <v>44849.431121956019</v>
      </c>
      <c r="B5968" s="50" t="s">
        <v>149</v>
      </c>
      <c r="C5968" s="50" t="s">
        <v>546</v>
      </c>
      <c r="D5968" s="50" t="s">
        <v>259</v>
      </c>
      <c r="E5968" s="50">
        <v>0</v>
      </c>
      <c r="F5968" s="51">
        <v>0.38186283306864777</v>
      </c>
      <c r="G5968" s="51" t="str">
        <v>中野 2022/11/15 (火)
平日夜間</v>
      </c>
    </row>
    <row r="5969" spans="1:7" ht="16.149999999999999" x14ac:dyDescent="0.7">
      <c r="A5969" s="49">
        <v>44849.430826793978</v>
      </c>
      <c r="B5969" s="50" t="s">
        <v>17</v>
      </c>
      <c r="C5969" s="50" t="s">
        <v>568</v>
      </c>
      <c r="D5969" s="50" t="s">
        <v>263</v>
      </c>
      <c r="E5969" s="50">
        <v>-1</v>
      </c>
      <c r="F5969" s="51">
        <v>-0.42167744892111103</v>
      </c>
      <c r="G5969" s="51" t="str">
        <v>尾田 2022/11/23 (水)
休日午前</v>
      </c>
    </row>
    <row r="5970" spans="1:7" ht="16.149999999999999" x14ac:dyDescent="0.7">
      <c r="A5970" s="49">
        <v>44849.431121956019</v>
      </c>
      <c r="B5970" s="50" t="s">
        <v>149</v>
      </c>
      <c r="C5970" s="50" t="s">
        <v>547</v>
      </c>
      <c r="D5970" s="50" t="s">
        <v>259</v>
      </c>
      <c r="E5970" s="50">
        <v>-1</v>
      </c>
      <c r="F5970" s="51">
        <v>-0.3878140499282976</v>
      </c>
      <c r="G5970" s="51" t="str">
        <v>中野 2022/11/16 (水)
平日夜間</v>
      </c>
    </row>
    <row r="5971" spans="1:7" ht="16.149999999999999" x14ac:dyDescent="0.7">
      <c r="A5971" s="49">
        <v>44849.430826793978</v>
      </c>
      <c r="B5971" s="50" t="s">
        <v>17</v>
      </c>
      <c r="C5971" s="50" t="s">
        <v>569</v>
      </c>
      <c r="D5971" s="50" t="s">
        <v>261</v>
      </c>
      <c r="E5971" s="50">
        <v>-1</v>
      </c>
      <c r="F5971" s="51">
        <v>-0.46664512810339809</v>
      </c>
      <c r="G5971" s="51" t="str">
        <v>尾田 2022/11/23 (水)
休日午後</v>
      </c>
    </row>
    <row r="5972" spans="1:7" ht="16.149999999999999" x14ac:dyDescent="0.7">
      <c r="A5972" s="49">
        <v>44849.431121956019</v>
      </c>
      <c r="B5972" s="50" t="s">
        <v>149</v>
      </c>
      <c r="C5972" s="50" t="s">
        <v>548</v>
      </c>
      <c r="D5972" s="50" t="s">
        <v>259</v>
      </c>
      <c r="E5972" s="50">
        <v>-1</v>
      </c>
      <c r="F5972" s="51">
        <v>-0.38141138705696753</v>
      </c>
      <c r="G5972" s="51" t="str">
        <v>中野 2022/11/17 (木)
平日夜間</v>
      </c>
    </row>
    <row r="5973" spans="1:7" ht="16.149999999999999" x14ac:dyDescent="0.7">
      <c r="A5973" s="49">
        <v>44849.430826793978</v>
      </c>
      <c r="B5973" s="50" t="s">
        <v>17</v>
      </c>
      <c r="C5973" s="50" t="s">
        <v>557</v>
      </c>
      <c r="D5973" s="50" t="s">
        <v>259</v>
      </c>
      <c r="E5973" s="50">
        <v>-1</v>
      </c>
      <c r="F5973" s="51">
        <v>-0.96251248330050077</v>
      </c>
      <c r="G5973" s="51" t="str">
        <v>尾田 2022/11/24 (木)
平日夜間</v>
      </c>
    </row>
    <row r="5974" spans="1:7" ht="16.149999999999999" x14ac:dyDescent="0.7">
      <c r="A5974" s="49">
        <v>44849.431121956019</v>
      </c>
      <c r="B5974" s="50" t="s">
        <v>149</v>
      </c>
      <c r="C5974" s="50" t="s">
        <v>549</v>
      </c>
      <c r="D5974" s="50" t="s">
        <v>259</v>
      </c>
      <c r="E5974" s="50">
        <v>0</v>
      </c>
      <c r="F5974" s="51">
        <v>0.83181283905704939</v>
      </c>
      <c r="G5974" s="51" t="str">
        <v>中野 2022/11/18 (金)
平日夜間</v>
      </c>
    </row>
    <row r="5975" spans="1:7" ht="16.149999999999999" x14ac:dyDescent="0.7">
      <c r="A5975" s="49">
        <v>44849.430826793978</v>
      </c>
      <c r="B5975" s="50" t="s">
        <v>17</v>
      </c>
      <c r="C5975" s="50" t="s">
        <v>558</v>
      </c>
      <c r="D5975" s="50" t="s">
        <v>259</v>
      </c>
      <c r="E5975" s="50">
        <v>-1</v>
      </c>
      <c r="F5975" s="51">
        <v>-0.47312831508968656</v>
      </c>
      <c r="G5975" s="51" t="str">
        <v>尾田 2022/11/25 (金)
平日夜間</v>
      </c>
    </row>
    <row r="5976" spans="1:7" ht="16.149999999999999" x14ac:dyDescent="0.7">
      <c r="A5976" s="49">
        <v>44849.431121956019</v>
      </c>
      <c r="B5976" s="50" t="s">
        <v>149</v>
      </c>
      <c r="C5976" s="50" t="s">
        <v>550</v>
      </c>
      <c r="D5976" s="50" t="s">
        <v>263</v>
      </c>
      <c r="E5976" s="50">
        <v>0</v>
      </c>
      <c r="F5976" s="51">
        <v>0.33703209316789318</v>
      </c>
      <c r="G5976" s="51" t="str">
        <v>中野 2022/11/19 (土)
休日午前</v>
      </c>
    </row>
    <row r="5977" spans="1:7" ht="16.149999999999999" x14ac:dyDescent="0.7">
      <c r="A5977" s="49">
        <v>44849.430826793978</v>
      </c>
      <c r="B5977" s="50" t="s">
        <v>17</v>
      </c>
      <c r="C5977" s="50" t="s">
        <v>559</v>
      </c>
      <c r="D5977" s="50" t="s">
        <v>263</v>
      </c>
      <c r="E5977" s="50">
        <v>-1</v>
      </c>
      <c r="F5977" s="51">
        <v>-0.90159993326028198</v>
      </c>
      <c r="G5977" s="51" t="str">
        <v>尾田 2022/11/26 (土)
休日午前</v>
      </c>
    </row>
    <row r="5978" spans="1:7" ht="16.149999999999999" x14ac:dyDescent="0.7">
      <c r="A5978" s="49">
        <v>44849.431121956019</v>
      </c>
      <c r="B5978" s="50" t="s">
        <v>149</v>
      </c>
      <c r="C5978" s="50" t="s">
        <v>551</v>
      </c>
      <c r="D5978" s="50" t="s">
        <v>261</v>
      </c>
      <c r="E5978" s="50">
        <v>-1</v>
      </c>
      <c r="F5978" s="51">
        <v>-0.28533194015802588</v>
      </c>
      <c r="G5978" s="51" t="str">
        <v>中野 2022/11/19 (土)
休日午後</v>
      </c>
    </row>
    <row r="5979" spans="1:7" ht="16.149999999999999" x14ac:dyDescent="0.7">
      <c r="A5979" s="49">
        <v>44849.430826793978</v>
      </c>
      <c r="B5979" s="50" t="s">
        <v>17</v>
      </c>
      <c r="C5979" s="50" t="s">
        <v>560</v>
      </c>
      <c r="D5979" s="50" t="s">
        <v>261</v>
      </c>
      <c r="E5979" s="50">
        <v>-1</v>
      </c>
      <c r="F5979" s="51">
        <v>-0.63180842922851865</v>
      </c>
      <c r="G5979" s="51" t="str">
        <v>尾田 2022/11/26 (土)
休日午後</v>
      </c>
    </row>
    <row r="5980" spans="1:7" ht="16.149999999999999" x14ac:dyDescent="0.7">
      <c r="A5980" s="49">
        <v>44849.431121956019</v>
      </c>
      <c r="B5980" s="50" t="s">
        <v>149</v>
      </c>
      <c r="C5980" s="50" t="s">
        <v>552</v>
      </c>
      <c r="D5980" s="50" t="s">
        <v>263</v>
      </c>
      <c r="E5980" s="50">
        <v>0</v>
      </c>
      <c r="F5980" s="51">
        <v>0.82717492591845776</v>
      </c>
      <c r="G5980" s="51" t="str">
        <v>中野 2022/11/20 (日)
休日午前</v>
      </c>
    </row>
    <row r="5981" spans="1:7" ht="16.149999999999999" x14ac:dyDescent="0.7">
      <c r="A5981" s="49">
        <v>44849.430826793978</v>
      </c>
      <c r="B5981" s="50" t="s">
        <v>17</v>
      </c>
      <c r="C5981" s="50" t="s">
        <v>561</v>
      </c>
      <c r="D5981" s="50" t="s">
        <v>263</v>
      </c>
      <c r="E5981" s="50">
        <v>-1</v>
      </c>
      <c r="F5981" s="51">
        <v>-0.11250082950126994</v>
      </c>
      <c r="G5981" s="51" t="str">
        <v>尾田 2022/11/27 (日)
休日午前</v>
      </c>
    </row>
    <row r="5982" spans="1:7" ht="16.149999999999999" x14ac:dyDescent="0.7">
      <c r="A5982" s="49">
        <v>44849.431121956019</v>
      </c>
      <c r="B5982" s="50" t="s">
        <v>149</v>
      </c>
      <c r="C5982" s="50" t="s">
        <v>553</v>
      </c>
      <c r="D5982" s="50" t="s">
        <v>261</v>
      </c>
      <c r="E5982" s="50">
        <v>-1</v>
      </c>
      <c r="F5982" s="51">
        <v>-0.47535992996701726</v>
      </c>
      <c r="G5982" s="51" t="str">
        <v>中野 2022/11/20 (日)
休日午後</v>
      </c>
    </row>
    <row r="5983" spans="1:7" ht="16.149999999999999" x14ac:dyDescent="0.7">
      <c r="A5983" s="49">
        <v>44849.430826793978</v>
      </c>
      <c r="B5983" s="50" t="s">
        <v>17</v>
      </c>
      <c r="C5983" s="50" t="s">
        <v>562</v>
      </c>
      <c r="D5983" s="50" t="s">
        <v>261</v>
      </c>
      <c r="E5983" s="50">
        <v>-1</v>
      </c>
      <c r="F5983" s="51">
        <v>-0.96104661163838667</v>
      </c>
      <c r="G5983" s="51" t="str">
        <v>尾田 2022/11/27 (日)
休日午後</v>
      </c>
    </row>
    <row r="5984" spans="1:7" ht="16.149999999999999" x14ac:dyDescent="0.7">
      <c r="A5984" s="49">
        <v>44849.431121956019</v>
      </c>
      <c r="B5984" s="50" t="s">
        <v>149</v>
      </c>
      <c r="C5984" s="50" t="s">
        <v>554</v>
      </c>
      <c r="D5984" s="50" t="s">
        <v>259</v>
      </c>
      <c r="E5984" s="50">
        <v>0</v>
      </c>
      <c r="F5984" s="51">
        <v>0.36706734097874483</v>
      </c>
      <c r="G5984" s="51" t="str">
        <v>中野 2022/11/21 (月)
平日夜間</v>
      </c>
    </row>
    <row r="5985" spans="1:7" ht="16.149999999999999" x14ac:dyDescent="0.7">
      <c r="A5985" s="49">
        <v>44849.430826793978</v>
      </c>
      <c r="B5985" s="50" t="s">
        <v>17</v>
      </c>
      <c r="C5985" s="50" t="s">
        <v>563</v>
      </c>
      <c r="D5985" s="50" t="s">
        <v>259</v>
      </c>
      <c r="E5985" s="50">
        <v>0</v>
      </c>
      <c r="F5985" s="51">
        <v>0.68577721960276805</v>
      </c>
      <c r="G5985" s="51" t="str">
        <v>尾田 2022/11/28 (月)
平日夜間</v>
      </c>
    </row>
    <row r="5986" spans="1:7" ht="16.149999999999999" x14ac:dyDescent="0.7">
      <c r="A5986" s="49">
        <v>44849.431121956019</v>
      </c>
      <c r="B5986" s="50" t="s">
        <v>149</v>
      </c>
      <c r="C5986" s="50" t="s">
        <v>555</v>
      </c>
      <c r="D5986" s="50" t="s">
        <v>259</v>
      </c>
      <c r="E5986" s="50">
        <v>0</v>
      </c>
      <c r="F5986" s="51">
        <v>0.54474286025429364</v>
      </c>
      <c r="G5986" s="51" t="str">
        <v>中野 2022/11/22 (火)
平日夜間</v>
      </c>
    </row>
    <row r="5987" spans="1:7" ht="16.149999999999999" x14ac:dyDescent="0.7">
      <c r="A5987" s="49">
        <v>44849.430826793978</v>
      </c>
      <c r="B5987" s="50" t="s">
        <v>17</v>
      </c>
      <c r="C5987" s="50" t="s">
        <v>564</v>
      </c>
      <c r="D5987" s="50" t="s">
        <v>259</v>
      </c>
      <c r="E5987" s="50">
        <v>0</v>
      </c>
      <c r="F5987" s="51">
        <v>0.33665394054219933</v>
      </c>
      <c r="G5987" s="51" t="str">
        <v>尾田 2022/11/29 (火)
平日夜間</v>
      </c>
    </row>
    <row r="5988" spans="1:7" ht="16.149999999999999" x14ac:dyDescent="0.7">
      <c r="A5988" s="49">
        <v>44849.431121956019</v>
      </c>
      <c r="B5988" s="50" t="s">
        <v>149</v>
      </c>
      <c r="C5988" s="50" t="s">
        <v>568</v>
      </c>
      <c r="D5988" s="50" t="s">
        <v>263</v>
      </c>
      <c r="E5988" s="50">
        <v>2</v>
      </c>
      <c r="F5988" s="51">
        <v>2.2140625567422068</v>
      </c>
      <c r="G5988" s="51" t="str">
        <v>中野 2022/11/23 (水)
休日午前</v>
      </c>
    </row>
    <row r="5989" spans="1:7" ht="16.149999999999999" x14ac:dyDescent="0.7">
      <c r="A5989" s="49">
        <v>44849.430826793978</v>
      </c>
      <c r="B5989" s="50" t="s">
        <v>17</v>
      </c>
      <c r="C5989" s="50" t="s">
        <v>565</v>
      </c>
      <c r="D5989" s="50" t="s">
        <v>259</v>
      </c>
      <c r="E5989" s="50">
        <v>0</v>
      </c>
      <c r="F5989" s="51">
        <v>0.56526296263568176</v>
      </c>
      <c r="G5989" s="51" t="str">
        <v>尾田 2022/11/30 (水)
平日夜間</v>
      </c>
    </row>
    <row r="5990" spans="1:7" ht="16.149999999999999" x14ac:dyDescent="0.7">
      <c r="A5990" s="49">
        <v>44849.431121956019</v>
      </c>
      <c r="B5990" s="50" t="s">
        <v>149</v>
      </c>
      <c r="C5990" s="50" t="s">
        <v>569</v>
      </c>
      <c r="D5990" s="50" t="s">
        <v>261</v>
      </c>
      <c r="E5990" s="50">
        <v>0</v>
      </c>
      <c r="F5990" s="51">
        <v>0.95721283960154668</v>
      </c>
      <c r="G5990" s="51" t="str">
        <v>中野 2022/11/23 (水)
休日午後</v>
      </c>
    </row>
    <row r="5991" spans="1:7" ht="16.149999999999999" x14ac:dyDescent="0.7">
      <c r="A5991" s="49">
        <v>44849.431121956019</v>
      </c>
      <c r="B5991" s="50" t="s">
        <v>149</v>
      </c>
      <c r="C5991" s="50" t="s">
        <v>557</v>
      </c>
      <c r="D5991" s="50" t="s">
        <v>259</v>
      </c>
      <c r="E5991" s="50">
        <v>-1</v>
      </c>
      <c r="F5991" s="51">
        <v>-0.40967710835653204</v>
      </c>
      <c r="G5991" s="51" t="str">
        <v>中野 2022/11/24 (木)
平日夜間</v>
      </c>
    </row>
    <row r="5992" spans="1:7" ht="16.149999999999999" x14ac:dyDescent="0.7">
      <c r="A5992" s="49">
        <v>44849.431121956019</v>
      </c>
      <c r="B5992" s="50" t="s">
        <v>149</v>
      </c>
      <c r="C5992" s="50" t="s">
        <v>558</v>
      </c>
      <c r="D5992" s="50" t="s">
        <v>259</v>
      </c>
      <c r="E5992" s="50">
        <v>-1</v>
      </c>
      <c r="F5992" s="51">
        <v>-8.7840730513647713E-2</v>
      </c>
      <c r="G5992" s="51" t="str">
        <v>中野 2022/11/25 (金)
平日夜間</v>
      </c>
    </row>
    <row r="5993" spans="1:7" ht="16.149999999999999" x14ac:dyDescent="0.7">
      <c r="A5993" s="49">
        <v>44849.431121956019</v>
      </c>
      <c r="B5993" s="50" t="s">
        <v>149</v>
      </c>
      <c r="C5993" s="50" t="s">
        <v>559</v>
      </c>
      <c r="D5993" s="50" t="s">
        <v>263</v>
      </c>
      <c r="E5993" s="50">
        <v>-1</v>
      </c>
      <c r="F5993" s="51">
        <v>-0.96927458361913765</v>
      </c>
      <c r="G5993" s="51" t="str">
        <v>中野 2022/11/26 (土)
休日午前</v>
      </c>
    </row>
    <row r="5994" spans="1:7" ht="16.149999999999999" x14ac:dyDescent="0.7">
      <c r="A5994" s="49">
        <v>44849.431121956019</v>
      </c>
      <c r="B5994" s="50" t="s">
        <v>149</v>
      </c>
      <c r="C5994" s="50" t="s">
        <v>560</v>
      </c>
      <c r="D5994" s="50" t="s">
        <v>261</v>
      </c>
      <c r="E5994" s="50">
        <v>-1</v>
      </c>
      <c r="F5994" s="51">
        <v>-0.90124726709934233</v>
      </c>
      <c r="G5994" s="51" t="str">
        <v>中野 2022/11/26 (土)
休日午後</v>
      </c>
    </row>
    <row r="5995" spans="1:7" ht="16.149999999999999" x14ac:dyDescent="0.7">
      <c r="A5995" s="49">
        <v>44849.431121956019</v>
      </c>
      <c r="B5995" s="50" t="s">
        <v>149</v>
      </c>
      <c r="C5995" s="50" t="s">
        <v>561</v>
      </c>
      <c r="D5995" s="50" t="s">
        <v>263</v>
      </c>
      <c r="E5995" s="50">
        <v>-1</v>
      </c>
      <c r="F5995" s="51">
        <v>-9.3449489179735501E-3</v>
      </c>
      <c r="G5995" s="51" t="str">
        <v>中野 2022/11/27 (日)
休日午前</v>
      </c>
    </row>
    <row r="5996" spans="1:7" ht="16.149999999999999" x14ac:dyDescent="0.7">
      <c r="A5996" s="49">
        <v>44849.431121956019</v>
      </c>
      <c r="B5996" s="50" t="s">
        <v>149</v>
      </c>
      <c r="C5996" s="50" t="s">
        <v>562</v>
      </c>
      <c r="D5996" s="50" t="s">
        <v>261</v>
      </c>
      <c r="E5996" s="50">
        <v>-1</v>
      </c>
      <c r="F5996" s="51">
        <v>-0.28483243855407037</v>
      </c>
      <c r="G5996" s="51" t="str">
        <v>中野 2022/11/27 (日)
休日午後</v>
      </c>
    </row>
    <row r="5997" spans="1:7" ht="16.149999999999999" x14ac:dyDescent="0.7">
      <c r="A5997" s="49">
        <v>44849.431121956019</v>
      </c>
      <c r="B5997" s="50" t="s">
        <v>149</v>
      </c>
      <c r="C5997" s="50" t="s">
        <v>563</v>
      </c>
      <c r="D5997" s="50" t="s">
        <v>259</v>
      </c>
      <c r="E5997" s="50">
        <v>0</v>
      </c>
      <c r="F5997" s="51">
        <v>2.6694881389530689E-3</v>
      </c>
      <c r="G5997" s="51" t="str">
        <v>中野 2022/11/28 (月)
平日夜間</v>
      </c>
    </row>
    <row r="5998" spans="1:7" ht="16.149999999999999" x14ac:dyDescent="0.7">
      <c r="A5998" s="49">
        <v>44849.431121956019</v>
      </c>
      <c r="B5998" s="50" t="s">
        <v>149</v>
      </c>
      <c r="C5998" s="50" t="s">
        <v>564</v>
      </c>
      <c r="D5998" s="50" t="s">
        <v>259</v>
      </c>
      <c r="E5998" s="50">
        <v>0</v>
      </c>
      <c r="F5998" s="51">
        <v>0.55890336292187892</v>
      </c>
      <c r="G5998" s="51" t="str">
        <v>中野 2022/11/29 (火)
平日夜間</v>
      </c>
    </row>
    <row r="5999" spans="1:7" ht="16.149999999999999" x14ac:dyDescent="0.7">
      <c r="A5999" s="49">
        <v>44849.431121956019</v>
      </c>
      <c r="B5999" s="50" t="s">
        <v>149</v>
      </c>
      <c r="C5999" s="50" t="s">
        <v>565</v>
      </c>
      <c r="D5999" s="50" t="s">
        <v>259</v>
      </c>
      <c r="E5999" s="50">
        <v>0</v>
      </c>
      <c r="F5999" s="51">
        <v>0.31972251757482173</v>
      </c>
      <c r="G5999" s="51" t="str">
        <v>中野 2022/11/30 (水)
平日夜間</v>
      </c>
    </row>
    <row r="6000" spans="1:7" ht="16.149999999999999" x14ac:dyDescent="0.7">
      <c r="A6000" s="49">
        <v>44849.517552847217</v>
      </c>
      <c r="B6000" s="50" t="s">
        <v>8</v>
      </c>
      <c r="C6000" s="50" t="s">
        <v>528</v>
      </c>
      <c r="D6000" s="50" t="s">
        <v>259</v>
      </c>
      <c r="E6000" s="50">
        <v>0</v>
      </c>
      <c r="F6000" s="51">
        <v>0.59426796708598828</v>
      </c>
      <c r="G6000" s="51" t="str">
        <v>宗 2022/11/01 (火)
平日夜間</v>
      </c>
    </row>
    <row r="6001" spans="1:7" ht="16.149999999999999" x14ac:dyDescent="0.7">
      <c r="A6001" s="49">
        <v>44849.517552847217</v>
      </c>
      <c r="B6001" s="50" t="s">
        <v>8</v>
      </c>
      <c r="C6001" s="50" t="s">
        <v>529</v>
      </c>
      <c r="D6001" s="50" t="s">
        <v>259</v>
      </c>
      <c r="E6001" s="50">
        <v>-1</v>
      </c>
      <c r="F6001" s="51">
        <v>-0.42331077105483117</v>
      </c>
      <c r="G6001" s="51" t="str">
        <v>宗 2022/11/02 (水)
平日夜間</v>
      </c>
    </row>
    <row r="6002" spans="1:7" ht="16.149999999999999" x14ac:dyDescent="0.7">
      <c r="A6002" s="49">
        <v>44849.517552847217</v>
      </c>
      <c r="B6002" s="50" t="s">
        <v>8</v>
      </c>
      <c r="C6002" s="50" t="s">
        <v>566</v>
      </c>
      <c r="D6002" s="50" t="s">
        <v>263</v>
      </c>
      <c r="E6002" s="50">
        <v>-1</v>
      </c>
      <c r="F6002" s="51">
        <v>-0.53064376690660153</v>
      </c>
      <c r="G6002" s="51" t="str">
        <v>宗 2022/11/03 (木)
休日午前</v>
      </c>
    </row>
    <row r="6003" spans="1:7" ht="16.149999999999999" x14ac:dyDescent="0.7">
      <c r="A6003" s="49">
        <v>44849.517552847217</v>
      </c>
      <c r="B6003" s="50" t="s">
        <v>8</v>
      </c>
      <c r="C6003" s="50" t="s">
        <v>567</v>
      </c>
      <c r="D6003" s="50" t="s">
        <v>261</v>
      </c>
      <c r="E6003" s="50">
        <v>-1</v>
      </c>
      <c r="F6003" s="51">
        <v>-0.2704852440959773</v>
      </c>
      <c r="G6003" s="51" t="str">
        <v>宗 2022/11/03 (木)
休日午後</v>
      </c>
    </row>
    <row r="6004" spans="1:7" ht="16.149999999999999" x14ac:dyDescent="0.7">
      <c r="A6004" s="49">
        <v>44849.517552847217</v>
      </c>
      <c r="B6004" s="50" t="s">
        <v>8</v>
      </c>
      <c r="C6004" s="50" t="s">
        <v>531</v>
      </c>
      <c r="D6004" s="50" t="s">
        <v>259</v>
      </c>
      <c r="E6004" s="50">
        <v>-1</v>
      </c>
      <c r="F6004" s="51">
        <v>-0.34137053299251519</v>
      </c>
      <c r="G6004" s="51" t="str">
        <v>宗 2022/11/04 (金)
平日夜間</v>
      </c>
    </row>
    <row r="6005" spans="1:7" ht="16.149999999999999" x14ac:dyDescent="0.7">
      <c r="A6005" s="49">
        <v>44849.517552847217</v>
      </c>
      <c r="B6005" s="50" t="s">
        <v>8</v>
      </c>
      <c r="C6005" s="50" t="s">
        <v>532</v>
      </c>
      <c r="D6005" s="50" t="s">
        <v>263</v>
      </c>
      <c r="E6005" s="50">
        <v>-1</v>
      </c>
      <c r="F6005" s="51">
        <v>-0.69207556706054318</v>
      </c>
      <c r="G6005" s="51" t="str">
        <v>宗 2022/11/05 (土)
休日午前</v>
      </c>
    </row>
    <row r="6006" spans="1:7" ht="16.149999999999999" x14ac:dyDescent="0.7">
      <c r="A6006" s="49">
        <v>44849.517552847217</v>
      </c>
      <c r="B6006" s="50" t="s">
        <v>8</v>
      </c>
      <c r="C6006" s="50" t="s">
        <v>533</v>
      </c>
      <c r="D6006" s="50" t="s">
        <v>261</v>
      </c>
      <c r="E6006" s="50">
        <v>-1</v>
      </c>
      <c r="F6006" s="51">
        <v>-0.67485026016468774</v>
      </c>
      <c r="G6006" s="51" t="str">
        <v>宗 2022/11/05 (土)
休日午後</v>
      </c>
    </row>
    <row r="6007" spans="1:7" ht="16.149999999999999" x14ac:dyDescent="0.7">
      <c r="A6007" s="49">
        <v>44849.517552847217</v>
      </c>
      <c r="B6007" s="50" t="s">
        <v>8</v>
      </c>
      <c r="C6007" s="50" t="s">
        <v>534</v>
      </c>
      <c r="D6007" s="50" t="s">
        <v>263</v>
      </c>
      <c r="E6007" s="50">
        <v>-1</v>
      </c>
      <c r="F6007" s="51">
        <v>-0.76867292503914464</v>
      </c>
      <c r="G6007" s="51" t="str">
        <v>宗 2022/11/06 (日)
休日午前</v>
      </c>
    </row>
    <row r="6008" spans="1:7" ht="16.149999999999999" x14ac:dyDescent="0.7">
      <c r="A6008" s="49">
        <v>44849.517552847217</v>
      </c>
      <c r="B6008" s="50" t="s">
        <v>8</v>
      </c>
      <c r="C6008" s="50" t="s">
        <v>535</v>
      </c>
      <c r="D6008" s="50" t="s">
        <v>261</v>
      </c>
      <c r="E6008" s="50">
        <v>-1</v>
      </c>
      <c r="F6008" s="51">
        <v>-0.77454801569854559</v>
      </c>
      <c r="G6008" s="51" t="str">
        <v>宗 2022/11/06 (日)
休日午後</v>
      </c>
    </row>
    <row r="6009" spans="1:7" ht="16.149999999999999" x14ac:dyDescent="0.7">
      <c r="A6009" s="49">
        <v>44849.517552847217</v>
      </c>
      <c r="B6009" s="50" t="s">
        <v>8</v>
      </c>
      <c r="C6009" s="50" t="s">
        <v>536</v>
      </c>
      <c r="D6009" s="50" t="s">
        <v>259</v>
      </c>
      <c r="E6009" s="50">
        <v>0</v>
      </c>
      <c r="F6009" s="51">
        <v>0.76152560137448777</v>
      </c>
      <c r="G6009" s="51" t="str">
        <v>宗 2022/11/07 (月)
平日夜間</v>
      </c>
    </row>
    <row r="6010" spans="1:7" ht="16.149999999999999" x14ac:dyDescent="0.7">
      <c r="A6010" s="49">
        <v>44849.517552847217</v>
      </c>
      <c r="B6010" s="50" t="s">
        <v>8</v>
      </c>
      <c r="C6010" s="50" t="s">
        <v>537</v>
      </c>
      <c r="D6010" s="50" t="s">
        <v>259</v>
      </c>
      <c r="E6010" s="50">
        <v>0</v>
      </c>
      <c r="F6010" s="51">
        <v>0.16080031657139005</v>
      </c>
      <c r="G6010" s="51" t="str">
        <v>宗 2022/11/08 (火)
平日夜間</v>
      </c>
    </row>
    <row r="6011" spans="1:7" ht="16.149999999999999" x14ac:dyDescent="0.7">
      <c r="A6011" s="49">
        <v>44849.517552847217</v>
      </c>
      <c r="B6011" s="50" t="s">
        <v>8</v>
      </c>
      <c r="C6011" s="50" t="s">
        <v>538</v>
      </c>
      <c r="D6011" s="50" t="s">
        <v>259</v>
      </c>
      <c r="E6011" s="50">
        <v>0</v>
      </c>
      <c r="F6011" s="51">
        <v>0.58307892019683449</v>
      </c>
      <c r="G6011" s="51" t="str">
        <v>宗 2022/11/09 (水)
平日夜間</v>
      </c>
    </row>
    <row r="6012" spans="1:7" ht="16.149999999999999" x14ac:dyDescent="0.7">
      <c r="A6012" s="49">
        <v>44849.517552847217</v>
      </c>
      <c r="B6012" s="50" t="s">
        <v>8</v>
      </c>
      <c r="C6012" s="50" t="s">
        <v>539</v>
      </c>
      <c r="D6012" s="50" t="s">
        <v>259</v>
      </c>
      <c r="E6012" s="50">
        <v>-1</v>
      </c>
      <c r="F6012" s="51">
        <v>-2.4584022419505303E-2</v>
      </c>
      <c r="G6012" s="51" t="str">
        <v>宗 2022/11/10 (木)
平日夜間</v>
      </c>
    </row>
    <row r="6013" spans="1:7" ht="16.149999999999999" x14ac:dyDescent="0.7">
      <c r="A6013" s="49">
        <v>44849.517552847217</v>
      </c>
      <c r="B6013" s="50" t="s">
        <v>8</v>
      </c>
      <c r="C6013" s="50" t="s">
        <v>540</v>
      </c>
      <c r="D6013" s="50" t="s">
        <v>259</v>
      </c>
      <c r="E6013" s="50">
        <v>-1</v>
      </c>
      <c r="F6013" s="51">
        <v>-0.14218584102861098</v>
      </c>
      <c r="G6013" s="51" t="str">
        <v>宗 2022/11/11 (金)
平日夜間</v>
      </c>
    </row>
    <row r="6014" spans="1:7" ht="16.149999999999999" x14ac:dyDescent="0.7">
      <c r="A6014" s="49">
        <v>44849.517552847217</v>
      </c>
      <c r="B6014" s="50" t="s">
        <v>8</v>
      </c>
      <c r="C6014" s="50" t="s">
        <v>541</v>
      </c>
      <c r="D6014" s="50" t="s">
        <v>263</v>
      </c>
      <c r="E6014" s="50">
        <v>2</v>
      </c>
      <c r="F6014" s="51">
        <v>2.9955572918728386</v>
      </c>
      <c r="G6014" s="51" t="str">
        <v>宗 2022/11/12 (土)
休日午前</v>
      </c>
    </row>
    <row r="6015" spans="1:7" ht="16.149999999999999" x14ac:dyDescent="0.7">
      <c r="A6015" s="49">
        <v>44849.517552847217</v>
      </c>
      <c r="B6015" s="50" t="s">
        <v>8</v>
      </c>
      <c r="C6015" s="50" t="s">
        <v>542</v>
      </c>
      <c r="D6015" s="50" t="s">
        <v>261</v>
      </c>
      <c r="E6015" s="50">
        <v>2</v>
      </c>
      <c r="F6015" s="51">
        <v>2.1771183051511143</v>
      </c>
      <c r="G6015" s="51" t="str">
        <v>宗 2022/11/12 (土)
休日午後</v>
      </c>
    </row>
    <row r="6016" spans="1:7" ht="16.149999999999999" x14ac:dyDescent="0.7">
      <c r="A6016" s="49">
        <v>44849.517552847217</v>
      </c>
      <c r="B6016" s="50" t="s">
        <v>8</v>
      </c>
      <c r="C6016" s="50" t="s">
        <v>543</v>
      </c>
      <c r="D6016" s="50" t="s">
        <v>263</v>
      </c>
      <c r="E6016" s="50">
        <v>-1</v>
      </c>
      <c r="F6016" s="51">
        <v>-0.4301521468831675</v>
      </c>
      <c r="G6016" s="51" t="str">
        <v>宗 2022/11/13 (日)
休日午前</v>
      </c>
    </row>
    <row r="6017" spans="1:7" ht="16.149999999999999" x14ac:dyDescent="0.7">
      <c r="A6017" s="49">
        <v>44849.517552847217</v>
      </c>
      <c r="B6017" s="50" t="s">
        <v>8</v>
      </c>
      <c r="C6017" s="50" t="s">
        <v>544</v>
      </c>
      <c r="D6017" s="50" t="s">
        <v>261</v>
      </c>
      <c r="E6017" s="50">
        <v>-1</v>
      </c>
      <c r="F6017" s="51">
        <v>-0.82824354278584345</v>
      </c>
      <c r="G6017" s="51" t="str">
        <v>宗 2022/11/13 (日)
休日午後</v>
      </c>
    </row>
    <row r="6018" spans="1:7" ht="16.149999999999999" x14ac:dyDescent="0.7">
      <c r="A6018" s="49">
        <v>44849.517552847217</v>
      </c>
      <c r="B6018" s="50" t="s">
        <v>8</v>
      </c>
      <c r="C6018" s="50" t="s">
        <v>545</v>
      </c>
      <c r="D6018" s="50" t="s">
        <v>259</v>
      </c>
      <c r="E6018" s="50">
        <v>0</v>
      </c>
      <c r="F6018" s="51">
        <v>0.27341639991112254</v>
      </c>
      <c r="G6018" s="51" t="str">
        <v>宗 2022/11/14 (月)
平日夜間</v>
      </c>
    </row>
    <row r="6019" spans="1:7" ht="16.149999999999999" x14ac:dyDescent="0.7">
      <c r="A6019" s="49">
        <v>44849.517552847217</v>
      </c>
      <c r="B6019" s="50" t="s">
        <v>8</v>
      </c>
      <c r="C6019" s="50" t="s">
        <v>546</v>
      </c>
      <c r="D6019" s="50" t="s">
        <v>259</v>
      </c>
      <c r="E6019" s="50">
        <v>0</v>
      </c>
      <c r="F6019" s="51">
        <v>0.46775890594584224</v>
      </c>
      <c r="G6019" s="51" t="str">
        <v>宗 2022/11/15 (火)
平日夜間</v>
      </c>
    </row>
    <row r="6020" spans="1:7" ht="16.149999999999999" x14ac:dyDescent="0.7">
      <c r="A6020" s="49">
        <v>44849.517552847217</v>
      </c>
      <c r="B6020" s="50" t="s">
        <v>8</v>
      </c>
      <c r="C6020" s="50" t="s">
        <v>547</v>
      </c>
      <c r="D6020" s="50" t="s">
        <v>259</v>
      </c>
      <c r="E6020" s="50">
        <v>0</v>
      </c>
      <c r="F6020" s="51">
        <v>0.9169540223610344</v>
      </c>
      <c r="G6020" s="51" t="str">
        <v>宗 2022/11/16 (水)
平日夜間</v>
      </c>
    </row>
    <row r="6021" spans="1:7" ht="16.149999999999999" x14ac:dyDescent="0.7">
      <c r="A6021" s="49">
        <v>44849.517552847217</v>
      </c>
      <c r="B6021" s="50" t="s">
        <v>8</v>
      </c>
      <c r="C6021" s="50" t="s">
        <v>548</v>
      </c>
      <c r="D6021" s="50" t="s">
        <v>259</v>
      </c>
      <c r="E6021" s="50">
        <v>-1</v>
      </c>
      <c r="F6021" s="51">
        <v>-0.47707806860118018</v>
      </c>
      <c r="G6021" s="51" t="str">
        <v>宗 2022/11/17 (木)
平日夜間</v>
      </c>
    </row>
    <row r="6022" spans="1:7" ht="16.149999999999999" x14ac:dyDescent="0.7">
      <c r="A6022" s="49">
        <v>44849.517552847217</v>
      </c>
      <c r="B6022" s="50" t="s">
        <v>8</v>
      </c>
      <c r="C6022" s="50" t="s">
        <v>549</v>
      </c>
      <c r="D6022" s="50" t="s">
        <v>259</v>
      </c>
      <c r="E6022" s="50">
        <v>-1</v>
      </c>
      <c r="F6022" s="51">
        <v>-0.80704493912527187</v>
      </c>
      <c r="G6022" s="51" t="str">
        <v>宗 2022/11/18 (金)
平日夜間</v>
      </c>
    </row>
    <row r="6023" spans="1:7" ht="16.149999999999999" x14ac:dyDescent="0.7">
      <c r="A6023" s="49">
        <v>44849.517552847217</v>
      </c>
      <c r="B6023" s="50" t="s">
        <v>8</v>
      </c>
      <c r="C6023" s="50" t="s">
        <v>550</v>
      </c>
      <c r="D6023" s="50" t="s">
        <v>263</v>
      </c>
      <c r="E6023" s="50">
        <v>-1</v>
      </c>
      <c r="F6023" s="51">
        <v>-0.49937257702741045</v>
      </c>
      <c r="G6023" s="51" t="str">
        <v>宗 2022/11/19 (土)
休日午前</v>
      </c>
    </row>
    <row r="6024" spans="1:7" ht="16.149999999999999" x14ac:dyDescent="0.7">
      <c r="A6024" s="49">
        <v>44849.517552847217</v>
      </c>
      <c r="B6024" s="50" t="s">
        <v>8</v>
      </c>
      <c r="C6024" s="50" t="s">
        <v>551</v>
      </c>
      <c r="D6024" s="50" t="s">
        <v>261</v>
      </c>
      <c r="E6024" s="50">
        <v>-1</v>
      </c>
      <c r="F6024" s="51">
        <v>-0.89628235448257243</v>
      </c>
      <c r="G6024" s="51" t="str">
        <v>宗 2022/11/19 (土)
休日午後</v>
      </c>
    </row>
    <row r="6025" spans="1:7" ht="16.149999999999999" x14ac:dyDescent="0.7">
      <c r="A6025" s="49">
        <v>44849.517552847217</v>
      </c>
      <c r="B6025" s="50" t="s">
        <v>8</v>
      </c>
      <c r="C6025" s="50" t="s">
        <v>552</v>
      </c>
      <c r="D6025" s="50" t="s">
        <v>263</v>
      </c>
      <c r="E6025" s="50">
        <v>-1</v>
      </c>
      <c r="F6025" s="51">
        <v>-0.10756522471828189</v>
      </c>
      <c r="G6025" s="51" t="str">
        <v>宗 2022/11/20 (日)
休日午前</v>
      </c>
    </row>
    <row r="6026" spans="1:7" ht="16.149999999999999" x14ac:dyDescent="0.7">
      <c r="A6026" s="49">
        <v>44849.517552847217</v>
      </c>
      <c r="B6026" s="50" t="s">
        <v>8</v>
      </c>
      <c r="C6026" s="50" t="s">
        <v>553</v>
      </c>
      <c r="D6026" s="50" t="s">
        <v>261</v>
      </c>
      <c r="E6026" s="50">
        <v>-1</v>
      </c>
      <c r="F6026" s="51">
        <v>-0.79258348984348381</v>
      </c>
      <c r="G6026" s="51" t="str">
        <v>宗 2022/11/20 (日)
休日午後</v>
      </c>
    </row>
    <row r="6027" spans="1:7" ht="16.149999999999999" x14ac:dyDescent="0.7">
      <c r="A6027" s="49">
        <v>44849.517552847217</v>
      </c>
      <c r="B6027" s="50" t="s">
        <v>8</v>
      </c>
      <c r="C6027" s="50" t="s">
        <v>554</v>
      </c>
      <c r="D6027" s="50" t="s">
        <v>259</v>
      </c>
      <c r="E6027" s="50">
        <v>0</v>
      </c>
      <c r="F6027" s="51">
        <v>0.18409812371601331</v>
      </c>
      <c r="G6027" s="51" t="str">
        <v>宗 2022/11/21 (月)
平日夜間</v>
      </c>
    </row>
    <row r="6028" spans="1:7" ht="16.149999999999999" x14ac:dyDescent="0.7">
      <c r="A6028" s="49">
        <v>44849.517552847217</v>
      </c>
      <c r="B6028" s="50" t="s">
        <v>8</v>
      </c>
      <c r="C6028" s="50" t="s">
        <v>555</v>
      </c>
      <c r="D6028" s="50" t="s">
        <v>259</v>
      </c>
      <c r="E6028" s="50">
        <v>-1</v>
      </c>
      <c r="F6028" s="51">
        <v>-0.74646146834156624</v>
      </c>
      <c r="G6028" s="51" t="str">
        <v>宗 2022/11/22 (火)
平日夜間</v>
      </c>
    </row>
    <row r="6029" spans="1:7" ht="16.149999999999999" x14ac:dyDescent="0.7">
      <c r="A6029" s="49">
        <v>44849.517552847217</v>
      </c>
      <c r="B6029" s="50" t="s">
        <v>8</v>
      </c>
      <c r="C6029" s="50" t="s">
        <v>568</v>
      </c>
      <c r="D6029" s="50" t="s">
        <v>263</v>
      </c>
      <c r="E6029" s="50">
        <v>-1</v>
      </c>
      <c r="F6029" s="51">
        <v>-0.10297256224058304</v>
      </c>
      <c r="G6029" s="51" t="str">
        <v>宗 2022/11/23 (水)
休日午前</v>
      </c>
    </row>
    <row r="6030" spans="1:7" ht="16.149999999999999" x14ac:dyDescent="0.7">
      <c r="A6030" s="49">
        <v>44849.517552847217</v>
      </c>
      <c r="B6030" s="50" t="s">
        <v>8</v>
      </c>
      <c r="C6030" s="50" t="s">
        <v>569</v>
      </c>
      <c r="D6030" s="50" t="s">
        <v>261</v>
      </c>
      <c r="E6030" s="50">
        <v>-1</v>
      </c>
      <c r="F6030" s="51">
        <v>-0.76851575168497277</v>
      </c>
      <c r="G6030" s="51" t="str">
        <v>宗 2022/11/23 (水)
休日午後</v>
      </c>
    </row>
    <row r="6031" spans="1:7" ht="16.149999999999999" x14ac:dyDescent="0.7">
      <c r="A6031" s="49">
        <v>44849.517552847217</v>
      </c>
      <c r="B6031" s="50" t="s">
        <v>8</v>
      </c>
      <c r="C6031" s="50" t="s">
        <v>557</v>
      </c>
      <c r="D6031" s="50" t="s">
        <v>259</v>
      </c>
      <c r="E6031" s="50">
        <v>-1</v>
      </c>
      <c r="F6031" s="51">
        <v>-0.34545773573084926</v>
      </c>
      <c r="G6031" s="51" t="str">
        <v>宗 2022/11/24 (木)
平日夜間</v>
      </c>
    </row>
    <row r="6032" spans="1:7" ht="16.149999999999999" x14ac:dyDescent="0.7">
      <c r="A6032" s="49">
        <v>44849.517552847217</v>
      </c>
      <c r="B6032" s="50" t="s">
        <v>8</v>
      </c>
      <c r="C6032" s="50" t="s">
        <v>558</v>
      </c>
      <c r="D6032" s="50" t="s">
        <v>259</v>
      </c>
      <c r="E6032" s="50">
        <v>-1</v>
      </c>
      <c r="F6032" s="51">
        <v>-0.96141855921690489</v>
      </c>
      <c r="G6032" s="51" t="str">
        <v>宗 2022/11/25 (金)
平日夜間</v>
      </c>
    </row>
    <row r="6033" spans="1:7" ht="16.149999999999999" x14ac:dyDescent="0.7">
      <c r="A6033" s="49">
        <v>44849.517552847217</v>
      </c>
      <c r="B6033" s="50" t="s">
        <v>8</v>
      </c>
      <c r="C6033" s="50" t="s">
        <v>559</v>
      </c>
      <c r="D6033" s="50" t="s">
        <v>263</v>
      </c>
      <c r="E6033" s="50">
        <v>-1</v>
      </c>
      <c r="F6033" s="51">
        <v>-0.43023666754703105</v>
      </c>
      <c r="G6033" s="51" t="str">
        <v>宗 2022/11/26 (土)
休日午前</v>
      </c>
    </row>
    <row r="6034" spans="1:7" ht="16.149999999999999" x14ac:dyDescent="0.7">
      <c r="A6034" s="49">
        <v>44849.517552847217</v>
      </c>
      <c r="B6034" s="50" t="s">
        <v>8</v>
      </c>
      <c r="C6034" s="50" t="s">
        <v>560</v>
      </c>
      <c r="D6034" s="50" t="s">
        <v>261</v>
      </c>
      <c r="E6034" s="50">
        <v>-1</v>
      </c>
      <c r="F6034" s="51">
        <v>-5.646061760120169E-3</v>
      </c>
      <c r="G6034" s="51" t="str">
        <v>宗 2022/11/26 (土)
休日午後</v>
      </c>
    </row>
    <row r="6035" spans="1:7" ht="16.149999999999999" x14ac:dyDescent="0.7">
      <c r="A6035" s="49">
        <v>44849.517552847217</v>
      </c>
      <c r="B6035" s="50" t="s">
        <v>8</v>
      </c>
      <c r="C6035" s="50" t="s">
        <v>561</v>
      </c>
      <c r="D6035" s="50" t="s">
        <v>263</v>
      </c>
      <c r="E6035" s="50">
        <v>-1</v>
      </c>
      <c r="F6035" s="51">
        <v>-0.62065433789937274</v>
      </c>
      <c r="G6035" s="51" t="str">
        <v>宗 2022/11/27 (日)
休日午前</v>
      </c>
    </row>
    <row r="6036" spans="1:7" ht="16.149999999999999" x14ac:dyDescent="0.7">
      <c r="A6036" s="49">
        <v>44849.517552847217</v>
      </c>
      <c r="B6036" s="50" t="s">
        <v>8</v>
      </c>
      <c r="C6036" s="50" t="s">
        <v>562</v>
      </c>
      <c r="D6036" s="50" t="s">
        <v>261</v>
      </c>
      <c r="E6036" s="50">
        <v>-1</v>
      </c>
      <c r="F6036" s="51">
        <v>-0.29895506198437727</v>
      </c>
      <c r="G6036" s="51" t="str">
        <v>宗 2022/11/27 (日)
休日午後</v>
      </c>
    </row>
    <row r="6037" spans="1:7" ht="16.149999999999999" x14ac:dyDescent="0.7">
      <c r="A6037" s="49">
        <v>44849.517552847217</v>
      </c>
      <c r="B6037" s="50" t="s">
        <v>8</v>
      </c>
      <c r="C6037" s="50" t="s">
        <v>563</v>
      </c>
      <c r="D6037" s="50" t="s">
        <v>259</v>
      </c>
      <c r="E6037" s="50">
        <v>0</v>
      </c>
      <c r="F6037" s="51">
        <v>0.15858447316707225</v>
      </c>
      <c r="G6037" s="51" t="str">
        <v>宗 2022/11/28 (月)
平日夜間</v>
      </c>
    </row>
    <row r="6038" spans="1:7" ht="16.149999999999999" x14ac:dyDescent="0.7">
      <c r="A6038" s="49">
        <v>44849.517552847217</v>
      </c>
      <c r="B6038" s="50" t="s">
        <v>8</v>
      </c>
      <c r="C6038" s="50" t="s">
        <v>564</v>
      </c>
      <c r="D6038" s="50" t="s">
        <v>259</v>
      </c>
      <c r="E6038" s="50">
        <v>0</v>
      </c>
      <c r="F6038" s="51">
        <v>0.64272621246102912</v>
      </c>
      <c r="G6038" s="51" t="str">
        <v>宗 2022/11/29 (火)
平日夜間</v>
      </c>
    </row>
    <row r="6039" spans="1:7" ht="16.149999999999999" x14ac:dyDescent="0.7">
      <c r="A6039" s="49">
        <v>44849.517552847217</v>
      </c>
      <c r="B6039" s="50" t="s">
        <v>8</v>
      </c>
      <c r="C6039" s="50" t="s">
        <v>565</v>
      </c>
      <c r="D6039" s="50" t="s">
        <v>259</v>
      </c>
      <c r="E6039" s="50">
        <v>0</v>
      </c>
      <c r="F6039" s="51">
        <v>4.7017037912614912E-2</v>
      </c>
      <c r="G6039" s="51" t="str">
        <v>宗 2022/11/30 (水)
平日夜間</v>
      </c>
    </row>
    <row r="6040" spans="1:7" ht="16.149999999999999" x14ac:dyDescent="0.7">
      <c r="A6040" s="49">
        <v>44849.923439131948</v>
      </c>
      <c r="B6040" s="50" t="s">
        <v>11</v>
      </c>
      <c r="C6040" s="50" t="s">
        <v>528</v>
      </c>
      <c r="D6040" s="50" t="s">
        <v>259</v>
      </c>
      <c r="E6040" s="50">
        <v>0</v>
      </c>
      <c r="F6040" s="51">
        <v>0.30624567282530912</v>
      </c>
      <c r="G6040" s="51" t="str">
        <v>宮坂 2022/11/01 (火)
平日夜間</v>
      </c>
    </row>
    <row r="6041" spans="1:7" ht="16.149999999999999" x14ac:dyDescent="0.7">
      <c r="A6041" s="49">
        <v>44849.923439131948</v>
      </c>
      <c r="B6041" s="50" t="s">
        <v>11</v>
      </c>
      <c r="C6041" s="50" t="s">
        <v>529</v>
      </c>
      <c r="D6041" s="50" t="s">
        <v>259</v>
      </c>
      <c r="E6041" s="50">
        <v>2</v>
      </c>
      <c r="F6041" s="51">
        <v>2.3465445503057216</v>
      </c>
      <c r="G6041" s="51" t="str">
        <v>宮坂 2022/11/02 (水)
平日夜間</v>
      </c>
    </row>
    <row r="6042" spans="1:7" ht="16.149999999999999" x14ac:dyDescent="0.7">
      <c r="A6042" s="49">
        <v>44849.923439131948</v>
      </c>
      <c r="B6042" s="50" t="s">
        <v>11</v>
      </c>
      <c r="C6042" s="50" t="s">
        <v>566</v>
      </c>
      <c r="D6042" s="50" t="s">
        <v>263</v>
      </c>
      <c r="E6042" s="50">
        <v>-1</v>
      </c>
      <c r="F6042" s="51">
        <v>-7.2501184590255008E-2</v>
      </c>
      <c r="G6042" s="51" t="str">
        <v>宮坂 2022/11/03 (木)
休日午前</v>
      </c>
    </row>
    <row r="6043" spans="1:7" ht="16.149999999999999" x14ac:dyDescent="0.7">
      <c r="A6043" s="49">
        <v>44849.923439131948</v>
      </c>
      <c r="B6043" s="50" t="s">
        <v>11</v>
      </c>
      <c r="C6043" s="50" t="s">
        <v>567</v>
      </c>
      <c r="D6043" s="50" t="s">
        <v>261</v>
      </c>
      <c r="E6043" s="50">
        <v>-1</v>
      </c>
      <c r="F6043" s="51">
        <v>-0.28617274599204801</v>
      </c>
      <c r="G6043" s="51" t="str">
        <v>宮坂 2022/11/03 (木)
休日午後</v>
      </c>
    </row>
    <row r="6044" spans="1:7" ht="16.149999999999999" x14ac:dyDescent="0.7">
      <c r="A6044" s="49">
        <v>44849.923439131948</v>
      </c>
      <c r="B6044" s="50" t="s">
        <v>11</v>
      </c>
      <c r="C6044" s="50" t="s">
        <v>531</v>
      </c>
      <c r="D6044" s="50" t="s">
        <v>259</v>
      </c>
      <c r="E6044" s="50">
        <v>0</v>
      </c>
      <c r="F6044" s="51">
        <v>5.917815348138733E-2</v>
      </c>
      <c r="G6044" s="51" t="str">
        <v>宮坂 2022/11/04 (金)
平日夜間</v>
      </c>
    </row>
    <row r="6045" spans="1:7" ht="16.149999999999999" x14ac:dyDescent="0.7">
      <c r="A6045" s="49">
        <v>44849.923439131948</v>
      </c>
      <c r="B6045" s="50" t="s">
        <v>11</v>
      </c>
      <c r="C6045" s="50" t="s">
        <v>532</v>
      </c>
      <c r="D6045" s="50" t="s">
        <v>263</v>
      </c>
      <c r="E6045" s="50">
        <v>1</v>
      </c>
      <c r="F6045" s="51">
        <v>1.8436201132936867</v>
      </c>
      <c r="G6045" s="51" t="str">
        <v>宮坂 2022/11/05 (土)
休日午前</v>
      </c>
    </row>
    <row r="6046" spans="1:7" ht="16.149999999999999" x14ac:dyDescent="0.7">
      <c r="A6046" s="49">
        <v>44849.923439131948</v>
      </c>
      <c r="B6046" s="50" t="s">
        <v>11</v>
      </c>
      <c r="C6046" s="50" t="s">
        <v>533</v>
      </c>
      <c r="D6046" s="50" t="s">
        <v>261</v>
      </c>
      <c r="E6046" s="50">
        <v>0</v>
      </c>
      <c r="F6046" s="51">
        <v>0.11708423735472895</v>
      </c>
      <c r="G6046" s="51" t="str">
        <v>宮坂 2022/11/05 (土)
休日午後</v>
      </c>
    </row>
    <row r="6047" spans="1:7" ht="16.149999999999999" x14ac:dyDescent="0.7">
      <c r="A6047" s="49">
        <v>44849.923439131948</v>
      </c>
      <c r="B6047" s="50" t="s">
        <v>11</v>
      </c>
      <c r="C6047" s="50" t="s">
        <v>534</v>
      </c>
      <c r="D6047" s="50" t="s">
        <v>263</v>
      </c>
      <c r="E6047" s="50">
        <v>1</v>
      </c>
      <c r="F6047" s="51">
        <v>1.0426860753857157</v>
      </c>
      <c r="G6047" s="51" t="str">
        <v>宮坂 2022/11/06 (日)
休日午前</v>
      </c>
    </row>
    <row r="6048" spans="1:7" ht="16.149999999999999" x14ac:dyDescent="0.7">
      <c r="A6048" s="49">
        <v>44849.923439131948</v>
      </c>
      <c r="B6048" s="50" t="s">
        <v>11</v>
      </c>
      <c r="C6048" s="50" t="s">
        <v>535</v>
      </c>
      <c r="D6048" s="50" t="s">
        <v>261</v>
      </c>
      <c r="E6048" s="50">
        <v>0</v>
      </c>
      <c r="F6048" s="51">
        <v>8.2622171472305439E-2</v>
      </c>
      <c r="G6048" s="51" t="str">
        <v>宮坂 2022/11/06 (日)
休日午後</v>
      </c>
    </row>
    <row r="6049" spans="1:7" ht="16.149999999999999" x14ac:dyDescent="0.7">
      <c r="A6049" s="49">
        <v>44849.923439131948</v>
      </c>
      <c r="B6049" s="50" t="s">
        <v>11</v>
      </c>
      <c r="C6049" s="50" t="s">
        <v>536</v>
      </c>
      <c r="D6049" s="50" t="s">
        <v>259</v>
      </c>
      <c r="E6049" s="50">
        <v>0</v>
      </c>
      <c r="F6049" s="51">
        <v>1.838554232226608E-2</v>
      </c>
      <c r="G6049" s="51" t="str">
        <v>宮坂 2022/11/07 (月)
平日夜間</v>
      </c>
    </row>
    <row r="6050" spans="1:7" ht="16.149999999999999" x14ac:dyDescent="0.7">
      <c r="A6050" s="49">
        <v>44849.923439131948</v>
      </c>
      <c r="B6050" s="50" t="s">
        <v>11</v>
      </c>
      <c r="C6050" s="50" t="s">
        <v>537</v>
      </c>
      <c r="D6050" s="50" t="s">
        <v>259</v>
      </c>
      <c r="E6050" s="50">
        <v>0</v>
      </c>
      <c r="F6050" s="51">
        <v>0.46341221369304852</v>
      </c>
      <c r="G6050" s="51" t="str">
        <v>宮坂 2022/11/08 (火)
平日夜間</v>
      </c>
    </row>
    <row r="6051" spans="1:7" ht="16.149999999999999" x14ac:dyDescent="0.7">
      <c r="A6051" s="49">
        <v>44849.923439131948</v>
      </c>
      <c r="B6051" s="50" t="s">
        <v>11</v>
      </c>
      <c r="C6051" s="50" t="s">
        <v>538</v>
      </c>
      <c r="D6051" s="50" t="s">
        <v>259</v>
      </c>
      <c r="E6051" s="50">
        <v>0</v>
      </c>
      <c r="F6051" s="51">
        <v>0.5753681517047522</v>
      </c>
      <c r="G6051" s="51" t="str">
        <v>宮坂 2022/11/09 (水)
平日夜間</v>
      </c>
    </row>
    <row r="6052" spans="1:7" ht="16.149999999999999" x14ac:dyDescent="0.7">
      <c r="A6052" s="49">
        <v>44849.923439131948</v>
      </c>
      <c r="B6052" s="50" t="s">
        <v>11</v>
      </c>
      <c r="C6052" s="50" t="s">
        <v>539</v>
      </c>
      <c r="D6052" s="50" t="s">
        <v>259</v>
      </c>
      <c r="E6052" s="50">
        <v>0</v>
      </c>
      <c r="F6052" s="51">
        <v>0.66528765099296017</v>
      </c>
      <c r="G6052" s="51" t="str">
        <v>宮坂 2022/11/10 (木)
平日夜間</v>
      </c>
    </row>
    <row r="6053" spans="1:7" ht="16.149999999999999" x14ac:dyDescent="0.7">
      <c r="A6053" s="49">
        <v>44849.923439131948</v>
      </c>
      <c r="B6053" s="50" t="s">
        <v>11</v>
      </c>
      <c r="C6053" s="50" t="s">
        <v>540</v>
      </c>
      <c r="D6053" s="50" t="s">
        <v>259</v>
      </c>
      <c r="E6053" s="50">
        <v>-1</v>
      </c>
      <c r="F6053" s="51">
        <v>-0.49262467354062855</v>
      </c>
      <c r="G6053" s="51" t="str">
        <v>宮坂 2022/11/11 (金)
平日夜間</v>
      </c>
    </row>
    <row r="6054" spans="1:7" ht="16.149999999999999" x14ac:dyDescent="0.7">
      <c r="A6054" s="49">
        <v>44849.923439131948</v>
      </c>
      <c r="B6054" s="50" t="s">
        <v>11</v>
      </c>
      <c r="C6054" s="50" t="s">
        <v>541</v>
      </c>
      <c r="D6054" s="50" t="s">
        <v>263</v>
      </c>
      <c r="E6054" s="50">
        <v>-1</v>
      </c>
      <c r="F6054" s="51">
        <v>-0.26457302646310255</v>
      </c>
      <c r="G6054" s="51" t="str">
        <v>宮坂 2022/11/12 (土)
休日午前</v>
      </c>
    </row>
    <row r="6055" spans="1:7" ht="16.149999999999999" x14ac:dyDescent="0.7">
      <c r="A6055" s="49">
        <v>44849.923439131948</v>
      </c>
      <c r="B6055" s="50" t="s">
        <v>11</v>
      </c>
      <c r="C6055" s="50" t="s">
        <v>542</v>
      </c>
      <c r="D6055" s="50" t="s">
        <v>261</v>
      </c>
      <c r="E6055" s="50">
        <v>-1</v>
      </c>
      <c r="F6055" s="51">
        <v>-1.061370925187699E-2</v>
      </c>
      <c r="G6055" s="51" t="str">
        <v>宮坂 2022/11/12 (土)
休日午後</v>
      </c>
    </row>
    <row r="6056" spans="1:7" ht="16.149999999999999" x14ac:dyDescent="0.7">
      <c r="A6056" s="49">
        <v>44849.923439131948</v>
      </c>
      <c r="B6056" s="50" t="s">
        <v>11</v>
      </c>
      <c r="C6056" s="50" t="s">
        <v>543</v>
      </c>
      <c r="D6056" s="50" t="s">
        <v>263</v>
      </c>
      <c r="E6056" s="50">
        <v>-1</v>
      </c>
      <c r="F6056" s="51">
        <v>-0.90368505118270104</v>
      </c>
      <c r="G6056" s="51" t="str">
        <v>宮坂 2022/11/13 (日)
休日午前</v>
      </c>
    </row>
    <row r="6057" spans="1:7" ht="16.149999999999999" x14ac:dyDescent="0.7">
      <c r="A6057" s="49">
        <v>44849.923439131948</v>
      </c>
      <c r="B6057" s="50" t="s">
        <v>11</v>
      </c>
      <c r="C6057" s="50" t="s">
        <v>544</v>
      </c>
      <c r="D6057" s="50" t="s">
        <v>261</v>
      </c>
      <c r="E6057" s="50">
        <v>-1</v>
      </c>
      <c r="F6057" s="51">
        <v>-0.15344926838669637</v>
      </c>
      <c r="G6057" s="51" t="str">
        <v>宮坂 2022/11/13 (日)
休日午後</v>
      </c>
    </row>
    <row r="6058" spans="1:7" ht="16.149999999999999" x14ac:dyDescent="0.7">
      <c r="A6058" s="49">
        <v>44849.923439131948</v>
      </c>
      <c r="B6058" s="50" t="s">
        <v>11</v>
      </c>
      <c r="C6058" s="50" t="s">
        <v>545</v>
      </c>
      <c r="D6058" s="50" t="s">
        <v>259</v>
      </c>
      <c r="E6058" s="50">
        <v>-1</v>
      </c>
      <c r="F6058" s="51">
        <v>-4.4314002283253773E-2</v>
      </c>
      <c r="G6058" s="51" t="str">
        <v>宮坂 2022/11/14 (月)
平日夜間</v>
      </c>
    </row>
    <row r="6059" spans="1:7" ht="16.149999999999999" x14ac:dyDescent="0.7">
      <c r="A6059" s="49">
        <v>44849.923439131948</v>
      </c>
      <c r="B6059" s="50" t="s">
        <v>11</v>
      </c>
      <c r="C6059" s="50" t="s">
        <v>546</v>
      </c>
      <c r="D6059" s="50" t="s">
        <v>259</v>
      </c>
      <c r="E6059" s="50">
        <v>-1</v>
      </c>
      <c r="F6059" s="51">
        <v>-0.93625924165624252</v>
      </c>
      <c r="G6059" s="51" t="str">
        <v>宮坂 2022/11/15 (火)
平日夜間</v>
      </c>
    </row>
    <row r="6060" spans="1:7" ht="16.149999999999999" x14ac:dyDescent="0.7">
      <c r="A6060" s="49">
        <v>44849.923439131948</v>
      </c>
      <c r="B6060" s="50" t="s">
        <v>11</v>
      </c>
      <c r="C6060" s="50" t="s">
        <v>547</v>
      </c>
      <c r="D6060" s="50" t="s">
        <v>259</v>
      </c>
      <c r="E6060" s="50">
        <v>-1</v>
      </c>
      <c r="F6060" s="51">
        <v>-0.60847884379416395</v>
      </c>
      <c r="G6060" s="51" t="str">
        <v>宮坂 2022/11/16 (水)
平日夜間</v>
      </c>
    </row>
    <row r="6061" spans="1:7" ht="16.149999999999999" x14ac:dyDescent="0.7">
      <c r="A6061" s="49">
        <v>44849.923439131948</v>
      </c>
      <c r="B6061" s="50" t="s">
        <v>11</v>
      </c>
      <c r="C6061" s="50" t="s">
        <v>548</v>
      </c>
      <c r="D6061" s="50" t="s">
        <v>259</v>
      </c>
      <c r="E6061" s="50">
        <v>-1</v>
      </c>
      <c r="F6061" s="51">
        <v>-0.71210858326127524</v>
      </c>
      <c r="G6061" s="51" t="str">
        <v>宮坂 2022/11/17 (木)
平日夜間</v>
      </c>
    </row>
    <row r="6062" spans="1:7" ht="16.149999999999999" x14ac:dyDescent="0.7">
      <c r="A6062" s="49">
        <v>44849.923439131948</v>
      </c>
      <c r="B6062" s="50" t="s">
        <v>11</v>
      </c>
      <c r="C6062" s="50" t="s">
        <v>549</v>
      </c>
      <c r="D6062" s="50" t="s">
        <v>259</v>
      </c>
      <c r="E6062" s="50">
        <v>-1</v>
      </c>
      <c r="F6062" s="51">
        <v>-0.70811552964530211</v>
      </c>
      <c r="G6062" s="51" t="str">
        <v>宮坂 2022/11/18 (金)
平日夜間</v>
      </c>
    </row>
    <row r="6063" spans="1:7" ht="16.149999999999999" x14ac:dyDescent="0.7">
      <c r="A6063" s="49">
        <v>44849.923439131948</v>
      </c>
      <c r="B6063" s="50" t="s">
        <v>11</v>
      </c>
      <c r="C6063" s="50" t="s">
        <v>550</v>
      </c>
      <c r="D6063" s="50" t="s">
        <v>263</v>
      </c>
      <c r="E6063" s="50">
        <v>-1</v>
      </c>
      <c r="F6063" s="51">
        <v>-7.7027567057747826E-2</v>
      </c>
      <c r="G6063" s="51" t="str">
        <v>宮坂 2022/11/19 (土)
休日午前</v>
      </c>
    </row>
    <row r="6064" spans="1:7" ht="16.149999999999999" x14ac:dyDescent="0.7">
      <c r="A6064" s="49">
        <v>44849.923439131948</v>
      </c>
      <c r="B6064" s="50" t="s">
        <v>11</v>
      </c>
      <c r="C6064" s="50" t="s">
        <v>551</v>
      </c>
      <c r="D6064" s="50" t="s">
        <v>261</v>
      </c>
      <c r="E6064" s="50">
        <v>-1</v>
      </c>
      <c r="F6064" s="51">
        <v>-0.53251793173751638</v>
      </c>
      <c r="G6064" s="51" t="str">
        <v>宮坂 2022/11/19 (土)
休日午後</v>
      </c>
    </row>
    <row r="6065" spans="1:7" ht="16.149999999999999" x14ac:dyDescent="0.7">
      <c r="A6065" s="49">
        <v>44849.923439131948</v>
      </c>
      <c r="B6065" s="50" t="s">
        <v>11</v>
      </c>
      <c r="C6065" s="50" t="s">
        <v>552</v>
      </c>
      <c r="D6065" s="50" t="s">
        <v>263</v>
      </c>
      <c r="E6065" s="50">
        <v>-1</v>
      </c>
      <c r="F6065" s="51">
        <v>-0.87471690961356163</v>
      </c>
      <c r="G6065" s="51" t="str">
        <v>宮坂 2022/11/20 (日)
休日午前</v>
      </c>
    </row>
    <row r="6066" spans="1:7" ht="16.149999999999999" x14ac:dyDescent="0.7">
      <c r="A6066" s="49">
        <v>44849.923439131948</v>
      </c>
      <c r="B6066" s="50" t="s">
        <v>11</v>
      </c>
      <c r="C6066" s="50" t="s">
        <v>553</v>
      </c>
      <c r="D6066" s="50" t="s">
        <v>261</v>
      </c>
      <c r="E6066" s="50">
        <v>-1</v>
      </c>
      <c r="F6066" s="51">
        <v>-0.229210665951185</v>
      </c>
      <c r="G6066" s="51" t="str">
        <v>宮坂 2022/11/20 (日)
休日午後</v>
      </c>
    </row>
    <row r="6067" spans="1:7" ht="16.149999999999999" x14ac:dyDescent="0.7">
      <c r="A6067" s="49">
        <v>44849.923439131948</v>
      </c>
      <c r="B6067" s="50" t="s">
        <v>11</v>
      </c>
      <c r="C6067" s="50" t="s">
        <v>554</v>
      </c>
      <c r="D6067" s="50" t="s">
        <v>259</v>
      </c>
      <c r="E6067" s="50">
        <v>0</v>
      </c>
      <c r="F6067" s="51">
        <v>0.70199660536036679</v>
      </c>
      <c r="G6067" s="51" t="str">
        <v>宮坂 2022/11/21 (月)
平日夜間</v>
      </c>
    </row>
    <row r="6068" spans="1:7" ht="16.149999999999999" x14ac:dyDescent="0.7">
      <c r="A6068" s="49">
        <v>44849.923439131948</v>
      </c>
      <c r="B6068" s="50" t="s">
        <v>11</v>
      </c>
      <c r="C6068" s="50" t="s">
        <v>555</v>
      </c>
      <c r="D6068" s="50" t="s">
        <v>259</v>
      </c>
      <c r="E6068" s="50">
        <v>2</v>
      </c>
      <c r="F6068" s="51">
        <v>2.1744386378200486</v>
      </c>
      <c r="G6068" s="51" t="str">
        <v>宮坂 2022/11/22 (火)
平日夜間</v>
      </c>
    </row>
    <row r="6069" spans="1:7" ht="16.149999999999999" x14ac:dyDescent="0.7">
      <c r="A6069" s="49">
        <v>44849.923439131948</v>
      </c>
      <c r="B6069" s="50" t="s">
        <v>11</v>
      </c>
      <c r="C6069" s="50" t="s">
        <v>568</v>
      </c>
      <c r="D6069" s="50" t="s">
        <v>263</v>
      </c>
      <c r="E6069" s="50">
        <v>-1</v>
      </c>
      <c r="F6069" s="51">
        <v>-0.17439075733022236</v>
      </c>
      <c r="G6069" s="51" t="str">
        <v>宮坂 2022/11/23 (水)
休日午前</v>
      </c>
    </row>
    <row r="6070" spans="1:7" ht="16.149999999999999" x14ac:dyDescent="0.7">
      <c r="A6070" s="49">
        <v>44849.923439131948</v>
      </c>
      <c r="B6070" s="50" t="s">
        <v>11</v>
      </c>
      <c r="C6070" s="50" t="s">
        <v>569</v>
      </c>
      <c r="D6070" s="50" t="s">
        <v>261</v>
      </c>
      <c r="E6070" s="50">
        <v>-1</v>
      </c>
      <c r="F6070" s="51">
        <v>-0.40509183345287769</v>
      </c>
      <c r="G6070" s="51" t="str">
        <v>宮坂 2022/11/23 (水)
休日午後</v>
      </c>
    </row>
    <row r="6071" spans="1:7" ht="16.149999999999999" x14ac:dyDescent="0.7">
      <c r="A6071" s="49">
        <v>44849.923439131948</v>
      </c>
      <c r="B6071" s="50" t="s">
        <v>11</v>
      </c>
      <c r="C6071" s="50" t="s">
        <v>557</v>
      </c>
      <c r="D6071" s="50" t="s">
        <v>259</v>
      </c>
      <c r="E6071" s="50">
        <v>0</v>
      </c>
      <c r="F6071" s="51">
        <v>0.99137851169888735</v>
      </c>
      <c r="G6071" s="51" t="str">
        <v>宮坂 2022/11/24 (木)
平日夜間</v>
      </c>
    </row>
    <row r="6072" spans="1:7" ht="16.149999999999999" x14ac:dyDescent="0.7">
      <c r="A6072" s="49">
        <v>44849.923439131948</v>
      </c>
      <c r="B6072" s="50" t="s">
        <v>11</v>
      </c>
      <c r="C6072" s="50" t="s">
        <v>558</v>
      </c>
      <c r="D6072" s="50" t="s">
        <v>259</v>
      </c>
      <c r="E6072" s="50">
        <v>0</v>
      </c>
      <c r="F6072" s="51">
        <v>1.8970773254150641E-2</v>
      </c>
      <c r="G6072" s="51" t="str">
        <v>宮坂 2022/11/25 (金)
平日夜間</v>
      </c>
    </row>
    <row r="6073" spans="1:7" ht="16.149999999999999" x14ac:dyDescent="0.7">
      <c r="A6073" s="49">
        <v>44849.923439131948</v>
      </c>
      <c r="B6073" s="50" t="s">
        <v>11</v>
      </c>
      <c r="C6073" s="50" t="s">
        <v>559</v>
      </c>
      <c r="D6073" s="50" t="s">
        <v>263</v>
      </c>
      <c r="E6073" s="50">
        <v>0</v>
      </c>
      <c r="F6073" s="51">
        <v>0.47451502103662424</v>
      </c>
      <c r="G6073" s="51" t="str">
        <v>宮坂 2022/11/26 (土)
休日午前</v>
      </c>
    </row>
    <row r="6074" spans="1:7" ht="16.149999999999999" x14ac:dyDescent="0.7">
      <c r="A6074" s="49">
        <v>44849.923439131948</v>
      </c>
      <c r="B6074" s="50" t="s">
        <v>11</v>
      </c>
      <c r="C6074" s="50" t="s">
        <v>560</v>
      </c>
      <c r="D6074" s="50" t="s">
        <v>261</v>
      </c>
      <c r="E6074" s="50">
        <v>0</v>
      </c>
      <c r="F6074" s="51">
        <v>0.60232042128882846</v>
      </c>
      <c r="G6074" s="51" t="str">
        <v>宮坂 2022/11/26 (土)
休日午後</v>
      </c>
    </row>
    <row r="6075" spans="1:7" ht="16.149999999999999" x14ac:dyDescent="0.7">
      <c r="A6075" s="49">
        <v>44849.923439131948</v>
      </c>
      <c r="B6075" s="50" t="s">
        <v>11</v>
      </c>
      <c r="C6075" s="50" t="s">
        <v>561</v>
      </c>
      <c r="D6075" s="50" t="s">
        <v>263</v>
      </c>
      <c r="E6075" s="50">
        <v>0</v>
      </c>
      <c r="F6075" s="51">
        <v>0.14404294248371308</v>
      </c>
      <c r="G6075" s="51" t="str">
        <v>宮坂 2022/11/27 (日)
休日午前</v>
      </c>
    </row>
    <row r="6076" spans="1:7" ht="16.149999999999999" x14ac:dyDescent="0.7">
      <c r="A6076" s="49">
        <v>44849.923439131948</v>
      </c>
      <c r="B6076" s="50" t="s">
        <v>11</v>
      </c>
      <c r="C6076" s="50" t="s">
        <v>562</v>
      </c>
      <c r="D6076" s="50" t="s">
        <v>261</v>
      </c>
      <c r="E6076" s="50">
        <v>0</v>
      </c>
      <c r="F6076" s="51">
        <v>0.11908812847562777</v>
      </c>
      <c r="G6076" s="51" t="str">
        <v>宮坂 2022/11/27 (日)
休日午後</v>
      </c>
    </row>
    <row r="6077" spans="1:7" ht="16.149999999999999" x14ac:dyDescent="0.7">
      <c r="A6077" s="49">
        <v>44849.923439131948</v>
      </c>
      <c r="B6077" s="50" t="s">
        <v>11</v>
      </c>
      <c r="C6077" s="50" t="s">
        <v>563</v>
      </c>
      <c r="D6077" s="50" t="s">
        <v>259</v>
      </c>
      <c r="E6077" s="50">
        <v>0</v>
      </c>
      <c r="F6077" s="51">
        <v>0.34530894587310956</v>
      </c>
      <c r="G6077" s="51" t="str">
        <v>宮坂 2022/11/28 (月)
平日夜間</v>
      </c>
    </row>
    <row r="6078" spans="1:7" ht="16.149999999999999" x14ac:dyDescent="0.7">
      <c r="A6078" s="49">
        <v>44849.923439131948</v>
      </c>
      <c r="B6078" s="50" t="s">
        <v>11</v>
      </c>
      <c r="C6078" s="50" t="s">
        <v>564</v>
      </c>
      <c r="D6078" s="50" t="s">
        <v>259</v>
      </c>
      <c r="E6078" s="50">
        <v>0</v>
      </c>
      <c r="F6078" s="51">
        <v>0.79021305419497523</v>
      </c>
      <c r="G6078" s="51" t="str">
        <v>宮坂 2022/11/29 (火)
平日夜間</v>
      </c>
    </row>
    <row r="6079" spans="1:7" ht="16.149999999999999" x14ac:dyDescent="0.7">
      <c r="A6079" s="49">
        <v>44849.923439131948</v>
      </c>
      <c r="B6079" s="50" t="s">
        <v>11</v>
      </c>
      <c r="C6079" s="50" t="s">
        <v>565</v>
      </c>
      <c r="D6079" s="50" t="s">
        <v>259</v>
      </c>
      <c r="E6079" s="50">
        <v>0</v>
      </c>
      <c r="F6079" s="51">
        <v>0.83388427241235119</v>
      </c>
      <c r="G6079" s="51" t="str">
        <v>宮坂 2022/11/30 (水)
平日夜間</v>
      </c>
    </row>
    <row r="6080" spans="1:7" ht="16.149999999999999" x14ac:dyDescent="0.7">
      <c r="A6080" s="49">
        <v>44852.476288969905</v>
      </c>
      <c r="B6080" s="50" t="s">
        <v>127</v>
      </c>
      <c r="C6080" s="50" t="s">
        <v>528</v>
      </c>
      <c r="D6080" s="50" t="s">
        <v>259</v>
      </c>
      <c r="E6080" s="50">
        <v>0</v>
      </c>
      <c r="F6080" s="51">
        <v>0.34686314022402676</v>
      </c>
      <c r="G6080" s="51" t="str">
        <v>稲葉 2022/11/01 (火)
平日夜間</v>
      </c>
    </row>
    <row r="6081" spans="1:7" ht="16.149999999999999" x14ac:dyDescent="0.7">
      <c r="A6081" s="49">
        <v>44852.476288969905</v>
      </c>
      <c r="B6081" s="50" t="s">
        <v>127</v>
      </c>
      <c r="C6081" s="50" t="s">
        <v>529</v>
      </c>
      <c r="D6081" s="50" t="s">
        <v>259</v>
      </c>
      <c r="E6081" s="50">
        <v>0</v>
      </c>
      <c r="F6081" s="51">
        <v>0.73084205243221145</v>
      </c>
      <c r="G6081" s="51" t="str">
        <v>稲葉 2022/11/02 (水)
平日夜間</v>
      </c>
    </row>
    <row r="6082" spans="1:7" ht="16.149999999999999" x14ac:dyDescent="0.7">
      <c r="A6082" s="49">
        <v>44852.476288969905</v>
      </c>
      <c r="B6082" s="50" t="s">
        <v>127</v>
      </c>
      <c r="C6082" s="50" t="s">
        <v>566</v>
      </c>
      <c r="D6082" s="50" t="s">
        <v>263</v>
      </c>
      <c r="E6082" s="50">
        <v>0</v>
      </c>
      <c r="F6082" s="51">
        <v>0.71054641445945954</v>
      </c>
      <c r="G6082" s="51" t="str">
        <v>稲葉 2022/11/03 (木)
休日午前</v>
      </c>
    </row>
    <row r="6083" spans="1:7" ht="16.149999999999999" x14ac:dyDescent="0.7">
      <c r="A6083" s="49">
        <v>44852.476288969905</v>
      </c>
      <c r="B6083" s="50" t="s">
        <v>127</v>
      </c>
      <c r="C6083" s="50" t="s">
        <v>567</v>
      </c>
      <c r="D6083" s="50" t="s">
        <v>261</v>
      </c>
      <c r="E6083" s="50">
        <v>0</v>
      </c>
      <c r="F6083" s="51">
        <v>0.50163335287132393</v>
      </c>
      <c r="G6083" s="51" t="str">
        <v>稲葉 2022/11/03 (木)
休日午後</v>
      </c>
    </row>
    <row r="6084" spans="1:7" ht="16.149999999999999" x14ac:dyDescent="0.7">
      <c r="A6084" s="49">
        <v>44852.476288969905</v>
      </c>
      <c r="B6084" s="50" t="s">
        <v>127</v>
      </c>
      <c r="C6084" s="50" t="s">
        <v>531</v>
      </c>
      <c r="D6084" s="50" t="s">
        <v>259</v>
      </c>
      <c r="E6084" s="50">
        <v>0</v>
      </c>
      <c r="F6084" s="51">
        <v>0.99092123290811251</v>
      </c>
      <c r="G6084" s="51" t="str">
        <v>稲葉 2022/11/04 (金)
平日夜間</v>
      </c>
    </row>
    <row r="6085" spans="1:7" ht="16.149999999999999" x14ac:dyDescent="0.7">
      <c r="A6085" s="49">
        <v>44852.476288969905</v>
      </c>
      <c r="B6085" s="50" t="s">
        <v>127</v>
      </c>
      <c r="C6085" s="50" t="s">
        <v>532</v>
      </c>
      <c r="D6085" s="50" t="s">
        <v>263</v>
      </c>
      <c r="E6085" s="50">
        <v>0</v>
      </c>
      <c r="F6085" s="51">
        <v>0.13110224729800923</v>
      </c>
      <c r="G6085" s="51" t="str">
        <v>稲葉 2022/11/05 (土)
休日午前</v>
      </c>
    </row>
    <row r="6086" spans="1:7" ht="16.149999999999999" x14ac:dyDescent="0.7">
      <c r="A6086" s="49">
        <v>44852.476288969905</v>
      </c>
      <c r="B6086" s="50" t="s">
        <v>127</v>
      </c>
      <c r="C6086" s="50" t="s">
        <v>533</v>
      </c>
      <c r="D6086" s="50" t="s">
        <v>261</v>
      </c>
      <c r="E6086" s="50">
        <v>0</v>
      </c>
      <c r="F6086" s="51">
        <v>0.77403868456509173</v>
      </c>
      <c r="G6086" s="51" t="str">
        <v>稲葉 2022/11/05 (土)
休日午後</v>
      </c>
    </row>
    <row r="6087" spans="1:7" ht="16.149999999999999" x14ac:dyDescent="0.7">
      <c r="A6087" s="49">
        <v>44852.476288969905</v>
      </c>
      <c r="B6087" s="50" t="s">
        <v>127</v>
      </c>
      <c r="C6087" s="50" t="s">
        <v>534</v>
      </c>
      <c r="D6087" s="50" t="s">
        <v>263</v>
      </c>
      <c r="E6087" s="50">
        <v>0</v>
      </c>
      <c r="F6087" s="51">
        <v>0.92049336994667952</v>
      </c>
      <c r="G6087" s="51" t="str">
        <v>稲葉 2022/11/06 (日)
休日午前</v>
      </c>
    </row>
    <row r="6088" spans="1:7" ht="16.149999999999999" x14ac:dyDescent="0.7">
      <c r="A6088" s="49">
        <v>44852.476288969905</v>
      </c>
      <c r="B6088" s="50" t="s">
        <v>127</v>
      </c>
      <c r="C6088" s="50" t="s">
        <v>535</v>
      </c>
      <c r="D6088" s="50" t="s">
        <v>261</v>
      </c>
      <c r="E6088" s="50">
        <v>0</v>
      </c>
      <c r="F6088" s="51">
        <v>0.76081787761166475</v>
      </c>
      <c r="G6088" s="51" t="str">
        <v>稲葉 2022/11/06 (日)
休日午後</v>
      </c>
    </row>
    <row r="6089" spans="1:7" ht="16.149999999999999" x14ac:dyDescent="0.7">
      <c r="A6089" s="49">
        <v>44852.476288969905</v>
      </c>
      <c r="B6089" s="50" t="s">
        <v>127</v>
      </c>
      <c r="C6089" s="50" t="s">
        <v>536</v>
      </c>
      <c r="D6089" s="50" t="s">
        <v>259</v>
      </c>
      <c r="E6089" s="50">
        <v>0</v>
      </c>
      <c r="F6089" s="51">
        <v>0.2122059013685591</v>
      </c>
      <c r="G6089" s="51" t="str">
        <v>稲葉 2022/11/07 (月)
平日夜間</v>
      </c>
    </row>
    <row r="6090" spans="1:7" ht="16.149999999999999" x14ac:dyDescent="0.7">
      <c r="A6090" s="49">
        <v>44852.476288969905</v>
      </c>
      <c r="B6090" s="50" t="s">
        <v>127</v>
      </c>
      <c r="C6090" s="50" t="s">
        <v>537</v>
      </c>
      <c r="D6090" s="50" t="s">
        <v>259</v>
      </c>
      <c r="E6090" s="50">
        <v>0</v>
      </c>
      <c r="F6090" s="51">
        <v>0.78774109354487964</v>
      </c>
      <c r="G6090" s="51" t="str">
        <v>稲葉 2022/11/08 (火)
平日夜間</v>
      </c>
    </row>
    <row r="6091" spans="1:7" ht="16.149999999999999" x14ac:dyDescent="0.7">
      <c r="A6091" s="49">
        <v>44852.476288969905</v>
      </c>
      <c r="B6091" s="50" t="s">
        <v>127</v>
      </c>
      <c r="C6091" s="50" t="s">
        <v>538</v>
      </c>
      <c r="D6091" s="50" t="s">
        <v>259</v>
      </c>
      <c r="E6091" s="50">
        <v>0</v>
      </c>
      <c r="F6091" s="51">
        <v>0.38295431339692731</v>
      </c>
      <c r="G6091" s="51" t="str">
        <v>稲葉 2022/11/09 (水)
平日夜間</v>
      </c>
    </row>
    <row r="6092" spans="1:7" ht="16.149999999999999" x14ac:dyDescent="0.7">
      <c r="A6092" s="49">
        <v>44852.476288969905</v>
      </c>
      <c r="B6092" s="50" t="s">
        <v>127</v>
      </c>
      <c r="C6092" s="50" t="s">
        <v>539</v>
      </c>
      <c r="D6092" s="50" t="s">
        <v>259</v>
      </c>
      <c r="E6092" s="50">
        <v>0</v>
      </c>
      <c r="F6092" s="51">
        <v>0.80492835011625807</v>
      </c>
      <c r="G6092" s="51" t="str">
        <v>稲葉 2022/11/10 (木)
平日夜間</v>
      </c>
    </row>
    <row r="6093" spans="1:7" ht="16.149999999999999" x14ac:dyDescent="0.7">
      <c r="A6093" s="49">
        <v>44852.476288969905</v>
      </c>
      <c r="B6093" s="50" t="s">
        <v>127</v>
      </c>
      <c r="C6093" s="50" t="s">
        <v>540</v>
      </c>
      <c r="D6093" s="50" t="s">
        <v>259</v>
      </c>
      <c r="E6093" s="50">
        <v>-1</v>
      </c>
      <c r="F6093" s="51">
        <v>-0.29710589351080352</v>
      </c>
      <c r="G6093" s="51" t="str">
        <v>稲葉 2022/11/11 (金)
平日夜間</v>
      </c>
    </row>
    <row r="6094" spans="1:7" ht="16.149999999999999" x14ac:dyDescent="0.7">
      <c r="A6094" s="49">
        <v>44852.476288969905</v>
      </c>
      <c r="B6094" s="50" t="s">
        <v>127</v>
      </c>
      <c r="C6094" s="50" t="s">
        <v>541</v>
      </c>
      <c r="D6094" s="50" t="s">
        <v>263</v>
      </c>
      <c r="E6094" s="50">
        <v>-1</v>
      </c>
      <c r="F6094" s="51">
        <v>-0.34220494814069347</v>
      </c>
      <c r="G6094" s="51" t="str">
        <v>稲葉 2022/11/12 (土)
休日午前</v>
      </c>
    </row>
    <row r="6095" spans="1:7" ht="16.149999999999999" x14ac:dyDescent="0.7">
      <c r="A6095" s="49">
        <v>44852.476288969905</v>
      </c>
      <c r="B6095" s="50" t="s">
        <v>127</v>
      </c>
      <c r="C6095" s="50" t="s">
        <v>542</v>
      </c>
      <c r="D6095" s="50" t="s">
        <v>261</v>
      </c>
      <c r="E6095" s="50">
        <v>-1</v>
      </c>
      <c r="F6095" s="51">
        <v>-0.48585860801660452</v>
      </c>
      <c r="G6095" s="51" t="str">
        <v>稲葉 2022/11/12 (土)
休日午後</v>
      </c>
    </row>
    <row r="6096" spans="1:7" ht="16.149999999999999" x14ac:dyDescent="0.7">
      <c r="A6096" s="49">
        <v>44852.476288969905</v>
      </c>
      <c r="B6096" s="50" t="s">
        <v>127</v>
      </c>
      <c r="C6096" s="50" t="s">
        <v>543</v>
      </c>
      <c r="D6096" s="50" t="s">
        <v>263</v>
      </c>
      <c r="E6096" s="50">
        <v>-1</v>
      </c>
      <c r="F6096" s="51">
        <v>-0.50718077000971173</v>
      </c>
      <c r="G6096" s="51" t="str">
        <v>稲葉 2022/11/13 (日)
休日午前</v>
      </c>
    </row>
    <row r="6097" spans="1:7" ht="16.149999999999999" x14ac:dyDescent="0.7">
      <c r="A6097" s="49">
        <v>44852.476288969905</v>
      </c>
      <c r="B6097" s="50" t="s">
        <v>127</v>
      </c>
      <c r="C6097" s="50" t="s">
        <v>544</v>
      </c>
      <c r="D6097" s="50" t="s">
        <v>261</v>
      </c>
      <c r="E6097" s="50">
        <v>-1</v>
      </c>
      <c r="F6097" s="51">
        <v>-0.41095311404913892</v>
      </c>
      <c r="G6097" s="51" t="str">
        <v>稲葉 2022/11/13 (日)
休日午後</v>
      </c>
    </row>
    <row r="6098" spans="1:7" ht="16.149999999999999" x14ac:dyDescent="0.7">
      <c r="A6098" s="49">
        <v>44852.476288969905</v>
      </c>
      <c r="B6098" s="50" t="s">
        <v>127</v>
      </c>
      <c r="C6098" s="50" t="s">
        <v>545</v>
      </c>
      <c r="D6098" s="50" t="s">
        <v>259</v>
      </c>
      <c r="E6098" s="50">
        <v>0</v>
      </c>
      <c r="F6098" s="51">
        <v>0.57684010047727585</v>
      </c>
      <c r="G6098" s="51" t="str">
        <v>稲葉 2022/11/14 (月)
平日夜間</v>
      </c>
    </row>
    <row r="6099" spans="1:7" ht="16.149999999999999" x14ac:dyDescent="0.7">
      <c r="A6099" s="49">
        <v>44852.476288969905</v>
      </c>
      <c r="B6099" s="50" t="s">
        <v>127</v>
      </c>
      <c r="C6099" s="50" t="s">
        <v>546</v>
      </c>
      <c r="D6099" s="50" t="s">
        <v>259</v>
      </c>
      <c r="E6099" s="50">
        <v>-1</v>
      </c>
      <c r="F6099" s="51">
        <v>-0.20454599766013959</v>
      </c>
      <c r="G6099" s="51" t="str">
        <v>稲葉 2022/11/15 (火)
平日夜間</v>
      </c>
    </row>
    <row r="6100" spans="1:7" ht="16.149999999999999" x14ac:dyDescent="0.7">
      <c r="A6100" s="49">
        <v>44852.476288969905</v>
      </c>
      <c r="B6100" s="50" t="s">
        <v>127</v>
      </c>
      <c r="C6100" s="50" t="s">
        <v>547</v>
      </c>
      <c r="D6100" s="50" t="s">
        <v>259</v>
      </c>
      <c r="E6100" s="50">
        <v>0</v>
      </c>
      <c r="F6100" s="51">
        <v>0.34416162971276765</v>
      </c>
      <c r="G6100" s="51" t="str">
        <v>稲葉 2022/11/16 (水)
平日夜間</v>
      </c>
    </row>
    <row r="6101" spans="1:7" ht="16.149999999999999" x14ac:dyDescent="0.7">
      <c r="A6101" s="49">
        <v>44852.476288969905</v>
      </c>
      <c r="B6101" s="50" t="s">
        <v>127</v>
      </c>
      <c r="C6101" s="50" t="s">
        <v>548</v>
      </c>
      <c r="D6101" s="50" t="s">
        <v>259</v>
      </c>
      <c r="E6101" s="50">
        <v>0</v>
      </c>
      <c r="F6101" s="51">
        <v>0.81259849841825949</v>
      </c>
      <c r="G6101" s="51" t="str">
        <v>稲葉 2022/11/17 (木)
平日夜間</v>
      </c>
    </row>
    <row r="6102" spans="1:7" ht="16.149999999999999" x14ac:dyDescent="0.7">
      <c r="A6102" s="49">
        <v>44852.476288969905</v>
      </c>
      <c r="B6102" s="50" t="s">
        <v>127</v>
      </c>
      <c r="C6102" s="50" t="s">
        <v>549</v>
      </c>
      <c r="D6102" s="50" t="s">
        <v>259</v>
      </c>
      <c r="E6102" s="50">
        <v>0</v>
      </c>
      <c r="F6102" s="51">
        <v>0.99925905085497613</v>
      </c>
      <c r="G6102" s="51" t="str">
        <v>稲葉 2022/11/18 (金)
平日夜間</v>
      </c>
    </row>
    <row r="6103" spans="1:7" ht="16.149999999999999" x14ac:dyDescent="0.7">
      <c r="A6103" s="49">
        <v>44852.476288969905</v>
      </c>
      <c r="B6103" s="50" t="s">
        <v>127</v>
      </c>
      <c r="C6103" s="50" t="s">
        <v>550</v>
      </c>
      <c r="D6103" s="50" t="s">
        <v>263</v>
      </c>
      <c r="E6103" s="50">
        <v>0</v>
      </c>
      <c r="F6103" s="51">
        <v>0.80445407434604332</v>
      </c>
      <c r="G6103" s="51" t="str">
        <v>稲葉 2022/11/19 (土)
休日午前</v>
      </c>
    </row>
    <row r="6104" spans="1:7" ht="16.149999999999999" x14ac:dyDescent="0.7">
      <c r="A6104" s="49">
        <v>44852.476288969905</v>
      </c>
      <c r="B6104" s="50" t="s">
        <v>127</v>
      </c>
      <c r="C6104" s="50" t="s">
        <v>551</v>
      </c>
      <c r="D6104" s="50" t="s">
        <v>261</v>
      </c>
      <c r="E6104" s="50">
        <v>0</v>
      </c>
      <c r="F6104" s="51">
        <v>0.96820208704557964</v>
      </c>
      <c r="G6104" s="51" t="str">
        <v>稲葉 2022/11/19 (土)
休日午後</v>
      </c>
    </row>
    <row r="6105" spans="1:7" ht="16.149999999999999" x14ac:dyDescent="0.7">
      <c r="A6105" s="49">
        <v>44852.476288969905</v>
      </c>
      <c r="B6105" s="50" t="s">
        <v>127</v>
      </c>
      <c r="C6105" s="50" t="s">
        <v>552</v>
      </c>
      <c r="D6105" s="50" t="s">
        <v>263</v>
      </c>
      <c r="E6105" s="50">
        <v>0</v>
      </c>
      <c r="F6105" s="51">
        <v>0.55802246414207013</v>
      </c>
      <c r="G6105" s="51" t="str">
        <v>稲葉 2022/11/20 (日)
休日午前</v>
      </c>
    </row>
    <row r="6106" spans="1:7" ht="16.149999999999999" x14ac:dyDescent="0.7">
      <c r="A6106" s="49">
        <v>44852.476288969905</v>
      </c>
      <c r="B6106" s="50" t="s">
        <v>127</v>
      </c>
      <c r="C6106" s="50" t="s">
        <v>553</v>
      </c>
      <c r="D6106" s="50" t="s">
        <v>261</v>
      </c>
      <c r="E6106" s="50">
        <v>0</v>
      </c>
      <c r="F6106" s="51">
        <v>0.21743193952575868</v>
      </c>
      <c r="G6106" s="51" t="str">
        <v>稲葉 2022/11/20 (日)
休日午後</v>
      </c>
    </row>
    <row r="6107" spans="1:7" ht="16.149999999999999" x14ac:dyDescent="0.7">
      <c r="A6107" s="49">
        <v>44852.476288969905</v>
      </c>
      <c r="B6107" s="50" t="s">
        <v>127</v>
      </c>
      <c r="C6107" s="50" t="s">
        <v>554</v>
      </c>
      <c r="D6107" s="50" t="s">
        <v>259</v>
      </c>
      <c r="E6107" s="50">
        <v>0</v>
      </c>
      <c r="F6107" s="51">
        <v>0.52421775425397654</v>
      </c>
      <c r="G6107" s="51" t="str">
        <v>稲葉 2022/11/21 (月)
平日夜間</v>
      </c>
    </row>
    <row r="6108" spans="1:7" ht="16.149999999999999" x14ac:dyDescent="0.7">
      <c r="A6108" s="49">
        <v>44852.476288969905</v>
      </c>
      <c r="B6108" s="50" t="s">
        <v>127</v>
      </c>
      <c r="C6108" s="50" t="s">
        <v>555</v>
      </c>
      <c r="D6108" s="50" t="s">
        <v>259</v>
      </c>
      <c r="E6108" s="50">
        <v>0</v>
      </c>
      <c r="F6108" s="51">
        <v>0.51992549957357692</v>
      </c>
      <c r="G6108" s="51" t="str">
        <v>稲葉 2022/11/22 (火)
平日夜間</v>
      </c>
    </row>
    <row r="6109" spans="1:7" ht="16.149999999999999" x14ac:dyDescent="0.7">
      <c r="A6109" s="49">
        <v>44852.476288969905</v>
      </c>
      <c r="B6109" s="50" t="s">
        <v>127</v>
      </c>
      <c r="C6109" s="50" t="s">
        <v>568</v>
      </c>
      <c r="D6109" s="50" t="s">
        <v>263</v>
      </c>
      <c r="E6109" s="50">
        <v>0</v>
      </c>
      <c r="F6109" s="51">
        <v>0.43372314243344667</v>
      </c>
      <c r="G6109" s="51" t="str">
        <v>稲葉 2022/11/23 (水)
休日午前</v>
      </c>
    </row>
    <row r="6110" spans="1:7" ht="16.149999999999999" x14ac:dyDescent="0.7">
      <c r="A6110" s="49">
        <v>44852.476288969905</v>
      </c>
      <c r="B6110" s="50" t="s">
        <v>127</v>
      </c>
      <c r="C6110" s="50" t="s">
        <v>569</v>
      </c>
      <c r="D6110" s="50" t="s">
        <v>261</v>
      </c>
      <c r="E6110" s="50">
        <v>0</v>
      </c>
      <c r="F6110" s="51">
        <v>0.33583471174752932</v>
      </c>
      <c r="G6110" s="51" t="str">
        <v>稲葉 2022/11/23 (水)
休日午後</v>
      </c>
    </row>
    <row r="6111" spans="1:7" ht="16.149999999999999" x14ac:dyDescent="0.7">
      <c r="A6111" s="49">
        <v>44852.476288969905</v>
      </c>
      <c r="B6111" s="50" t="s">
        <v>127</v>
      </c>
      <c r="C6111" s="50" t="s">
        <v>557</v>
      </c>
      <c r="D6111" s="50" t="s">
        <v>259</v>
      </c>
      <c r="E6111" s="50">
        <v>0</v>
      </c>
      <c r="F6111" s="51">
        <v>0.95340225793745015</v>
      </c>
      <c r="G6111" s="51" t="str">
        <v>稲葉 2022/11/24 (木)
平日夜間</v>
      </c>
    </row>
    <row r="6112" spans="1:7" ht="16.149999999999999" x14ac:dyDescent="0.7">
      <c r="A6112" s="49">
        <v>44852.476288969905</v>
      </c>
      <c r="B6112" s="50" t="s">
        <v>127</v>
      </c>
      <c r="C6112" s="50" t="s">
        <v>558</v>
      </c>
      <c r="D6112" s="50" t="s">
        <v>259</v>
      </c>
      <c r="E6112" s="50">
        <v>0</v>
      </c>
      <c r="F6112" s="51">
        <v>0.59972205405275036</v>
      </c>
      <c r="G6112" s="51" t="str">
        <v>稲葉 2022/11/25 (金)
平日夜間</v>
      </c>
    </row>
    <row r="6113" spans="1:7" ht="16.149999999999999" x14ac:dyDescent="0.7">
      <c r="A6113" s="49">
        <v>44852.476288969905</v>
      </c>
      <c r="B6113" s="50" t="s">
        <v>127</v>
      </c>
      <c r="C6113" s="50" t="s">
        <v>559</v>
      </c>
      <c r="D6113" s="50" t="s">
        <v>263</v>
      </c>
      <c r="E6113" s="50">
        <v>2</v>
      </c>
      <c r="F6113" s="51">
        <v>2.4553569671829307</v>
      </c>
      <c r="G6113" s="51" t="str">
        <v>稲葉 2022/11/26 (土)
休日午前</v>
      </c>
    </row>
    <row r="6114" spans="1:7" ht="16.149999999999999" x14ac:dyDescent="0.7">
      <c r="A6114" s="49">
        <v>44852.476288969905</v>
      </c>
      <c r="B6114" s="50" t="s">
        <v>127</v>
      </c>
      <c r="C6114" s="50" t="s">
        <v>560</v>
      </c>
      <c r="D6114" s="50" t="s">
        <v>261</v>
      </c>
      <c r="E6114" s="50">
        <v>2</v>
      </c>
      <c r="F6114" s="51">
        <v>2.9812514885090806</v>
      </c>
      <c r="G6114" s="51" t="str">
        <v>稲葉 2022/11/26 (土)
休日午後</v>
      </c>
    </row>
    <row r="6115" spans="1:7" ht="16.149999999999999" x14ac:dyDescent="0.7">
      <c r="A6115" s="49">
        <v>44852.476288969905</v>
      </c>
      <c r="B6115" s="50" t="s">
        <v>127</v>
      </c>
      <c r="C6115" s="50" t="s">
        <v>561</v>
      </c>
      <c r="D6115" s="50" t="s">
        <v>263</v>
      </c>
      <c r="E6115" s="50">
        <v>0</v>
      </c>
      <c r="F6115" s="51">
        <v>0.33230589082940476</v>
      </c>
      <c r="G6115" s="51" t="str">
        <v>稲葉 2022/11/27 (日)
休日午前</v>
      </c>
    </row>
    <row r="6116" spans="1:7" ht="16.149999999999999" x14ac:dyDescent="0.7">
      <c r="A6116" s="49">
        <v>44852.476288969905</v>
      </c>
      <c r="B6116" s="50" t="s">
        <v>127</v>
      </c>
      <c r="C6116" s="50" t="s">
        <v>562</v>
      </c>
      <c r="D6116" s="50" t="s">
        <v>261</v>
      </c>
      <c r="E6116" s="50">
        <v>-1</v>
      </c>
      <c r="F6116" s="51">
        <v>-9.8704304266533205E-2</v>
      </c>
      <c r="G6116" s="51" t="str">
        <v>稲葉 2022/11/27 (日)
休日午後</v>
      </c>
    </row>
    <row r="6117" spans="1:7" ht="16.149999999999999" x14ac:dyDescent="0.7">
      <c r="A6117" s="49">
        <v>44852.476288969905</v>
      </c>
      <c r="B6117" s="50" t="s">
        <v>127</v>
      </c>
      <c r="C6117" s="50" t="s">
        <v>563</v>
      </c>
      <c r="D6117" s="50" t="s">
        <v>259</v>
      </c>
      <c r="E6117" s="50">
        <v>0</v>
      </c>
      <c r="F6117" s="51">
        <v>0.91694883680587558</v>
      </c>
      <c r="G6117" s="51" t="str">
        <v>稲葉 2022/11/28 (月)
平日夜間</v>
      </c>
    </row>
    <row r="6118" spans="1:7" ht="16.149999999999999" x14ac:dyDescent="0.7">
      <c r="A6118" s="49">
        <v>44852.476288969905</v>
      </c>
      <c r="B6118" s="50" t="s">
        <v>127</v>
      </c>
      <c r="C6118" s="50" t="s">
        <v>564</v>
      </c>
      <c r="D6118" s="50" t="s">
        <v>259</v>
      </c>
      <c r="E6118" s="50">
        <v>0</v>
      </c>
      <c r="F6118" s="51">
        <v>0.87769650514890252</v>
      </c>
      <c r="G6118" s="51" t="str">
        <v>稲葉 2022/11/29 (火)
平日夜間</v>
      </c>
    </row>
    <row r="6119" spans="1:7" ht="16.149999999999999" x14ac:dyDescent="0.7">
      <c r="A6119" s="49">
        <v>44852.476288969905</v>
      </c>
      <c r="B6119" s="50" t="s">
        <v>127</v>
      </c>
      <c r="C6119" s="50" t="s">
        <v>565</v>
      </c>
      <c r="D6119" s="50" t="s">
        <v>259</v>
      </c>
      <c r="E6119" s="50">
        <v>0</v>
      </c>
      <c r="F6119" s="51">
        <v>0.20915690042389312</v>
      </c>
      <c r="G6119" s="51" t="str">
        <v>稲葉 2022/11/30 (水)
平日夜間</v>
      </c>
    </row>
    <row r="6120" spans="1:7" ht="16.149999999999999" x14ac:dyDescent="0.7">
      <c r="A6120" s="49">
        <v>44853.470067372684</v>
      </c>
      <c r="B6120" s="50" t="s">
        <v>38</v>
      </c>
      <c r="C6120" s="50" t="s">
        <v>528</v>
      </c>
      <c r="D6120" s="50" t="s">
        <v>259</v>
      </c>
      <c r="E6120" s="50">
        <v>0</v>
      </c>
      <c r="F6120" s="51">
        <v>0.4427266331442361</v>
      </c>
      <c r="G6120" s="51" t="str">
        <v>森岳 2022/11/01 (火)
平日夜間</v>
      </c>
    </row>
    <row r="6121" spans="1:7" ht="16.149999999999999" x14ac:dyDescent="0.7">
      <c r="A6121" s="49">
        <v>44853.470067372684</v>
      </c>
      <c r="B6121" s="50" t="s">
        <v>38</v>
      </c>
      <c r="C6121" s="50" t="s">
        <v>529</v>
      </c>
      <c r="D6121" s="50" t="s">
        <v>259</v>
      </c>
      <c r="E6121" s="50">
        <v>-1</v>
      </c>
      <c r="F6121" s="51">
        <v>-0.54808988313868334</v>
      </c>
      <c r="G6121" s="51" t="str">
        <v>森岳 2022/11/02 (水)
平日夜間</v>
      </c>
    </row>
    <row r="6122" spans="1:7" ht="16.149999999999999" x14ac:dyDescent="0.7">
      <c r="A6122" s="49">
        <v>44853.470067372684</v>
      </c>
      <c r="B6122" s="50" t="s">
        <v>38</v>
      </c>
      <c r="C6122" s="50" t="s">
        <v>566</v>
      </c>
      <c r="D6122" s="50" t="s">
        <v>263</v>
      </c>
      <c r="E6122" s="50">
        <v>0</v>
      </c>
      <c r="F6122" s="51">
        <v>1.8475177865430181E-2</v>
      </c>
      <c r="G6122" s="51" t="str">
        <v>森岳 2022/11/03 (木)
休日午前</v>
      </c>
    </row>
    <row r="6123" spans="1:7" ht="16.149999999999999" x14ac:dyDescent="0.7">
      <c r="A6123" s="49">
        <v>44853.470067372684</v>
      </c>
      <c r="B6123" s="50" t="s">
        <v>38</v>
      </c>
      <c r="C6123" s="50" t="s">
        <v>567</v>
      </c>
      <c r="D6123" s="50" t="s">
        <v>261</v>
      </c>
      <c r="E6123" s="50">
        <v>0</v>
      </c>
      <c r="F6123" s="51">
        <v>0.24099258088086173</v>
      </c>
      <c r="G6123" s="51" t="str">
        <v>森岳 2022/11/03 (木)
休日午後</v>
      </c>
    </row>
    <row r="6124" spans="1:7" ht="16.149999999999999" x14ac:dyDescent="0.7">
      <c r="A6124" s="49">
        <v>44853.470067372684</v>
      </c>
      <c r="B6124" s="50" t="s">
        <v>38</v>
      </c>
      <c r="C6124" s="50" t="s">
        <v>531</v>
      </c>
      <c r="D6124" s="50" t="s">
        <v>259</v>
      </c>
      <c r="E6124" s="50">
        <v>2</v>
      </c>
      <c r="F6124" s="51">
        <v>2.287274770674578</v>
      </c>
      <c r="G6124" s="51" t="str">
        <v>森岳 2022/11/04 (金)
平日夜間</v>
      </c>
    </row>
    <row r="6125" spans="1:7" ht="16.149999999999999" x14ac:dyDescent="0.7">
      <c r="A6125" s="49">
        <v>44853.470067372684</v>
      </c>
      <c r="B6125" s="50" t="s">
        <v>38</v>
      </c>
      <c r="C6125" s="50" t="s">
        <v>532</v>
      </c>
      <c r="D6125" s="50" t="s">
        <v>263</v>
      </c>
      <c r="E6125" s="50">
        <v>-1</v>
      </c>
      <c r="F6125" s="51">
        <v>-0.54180097511592984</v>
      </c>
      <c r="G6125" s="51" t="str">
        <v>森岳 2022/11/05 (土)
休日午前</v>
      </c>
    </row>
    <row r="6126" spans="1:7" ht="16.149999999999999" x14ac:dyDescent="0.7">
      <c r="A6126" s="49">
        <v>44853.470067372684</v>
      </c>
      <c r="B6126" s="50" t="s">
        <v>38</v>
      </c>
      <c r="C6126" s="50" t="s">
        <v>533</v>
      </c>
      <c r="D6126" s="50" t="s">
        <v>261</v>
      </c>
      <c r="E6126" s="50">
        <v>-1</v>
      </c>
      <c r="F6126" s="51">
        <v>-0.98263821344958369</v>
      </c>
      <c r="G6126" s="51" t="str">
        <v>森岳 2022/11/05 (土)
休日午後</v>
      </c>
    </row>
    <row r="6127" spans="1:7" ht="16.149999999999999" x14ac:dyDescent="0.7">
      <c r="A6127" s="49">
        <v>44853.470067372684</v>
      </c>
      <c r="B6127" s="50" t="s">
        <v>38</v>
      </c>
      <c r="C6127" s="50" t="s">
        <v>534</v>
      </c>
      <c r="D6127" s="50" t="s">
        <v>263</v>
      </c>
      <c r="E6127" s="50">
        <v>-1</v>
      </c>
      <c r="F6127" s="51">
        <v>-6.4943001426344349E-2</v>
      </c>
      <c r="G6127" s="51" t="str">
        <v>森岳 2022/11/06 (日)
休日午前</v>
      </c>
    </row>
    <row r="6128" spans="1:7" ht="16.149999999999999" x14ac:dyDescent="0.7">
      <c r="A6128" s="49">
        <v>44853.470067372684</v>
      </c>
      <c r="B6128" s="50" t="s">
        <v>38</v>
      </c>
      <c r="C6128" s="50" t="s">
        <v>535</v>
      </c>
      <c r="D6128" s="50" t="s">
        <v>261</v>
      </c>
      <c r="E6128" s="50">
        <v>-1</v>
      </c>
      <c r="F6128" s="51">
        <v>-0.50848274353062251</v>
      </c>
      <c r="G6128" s="51" t="str">
        <v>森岳 2022/11/06 (日)
休日午後</v>
      </c>
    </row>
    <row r="6129" spans="1:7" ht="16.149999999999999" x14ac:dyDescent="0.7">
      <c r="A6129" s="49">
        <v>44853.470067372684</v>
      </c>
      <c r="B6129" s="50" t="s">
        <v>38</v>
      </c>
      <c r="C6129" s="50" t="s">
        <v>536</v>
      </c>
      <c r="D6129" s="50" t="s">
        <v>259</v>
      </c>
      <c r="E6129" s="50">
        <v>0</v>
      </c>
      <c r="F6129" s="51">
        <v>0.47205697480790287</v>
      </c>
      <c r="G6129" s="51" t="str">
        <v>森岳 2022/11/07 (月)
平日夜間</v>
      </c>
    </row>
    <row r="6130" spans="1:7" ht="16.149999999999999" x14ac:dyDescent="0.7">
      <c r="A6130" s="49">
        <v>44853.470067372684</v>
      </c>
      <c r="B6130" s="50" t="s">
        <v>38</v>
      </c>
      <c r="C6130" s="50" t="s">
        <v>537</v>
      </c>
      <c r="D6130" s="50" t="s">
        <v>259</v>
      </c>
      <c r="E6130" s="50">
        <v>0</v>
      </c>
      <c r="F6130" s="51">
        <v>0.15237714446010475</v>
      </c>
      <c r="G6130" s="51" t="str">
        <v>森岳 2022/11/08 (火)
平日夜間</v>
      </c>
    </row>
    <row r="6131" spans="1:7" ht="16.149999999999999" x14ac:dyDescent="0.7">
      <c r="A6131" s="49">
        <v>44853.470067372684</v>
      </c>
      <c r="B6131" s="50" t="s">
        <v>38</v>
      </c>
      <c r="C6131" s="50" t="s">
        <v>538</v>
      </c>
      <c r="D6131" s="50" t="s">
        <v>259</v>
      </c>
      <c r="E6131" s="50">
        <v>-1</v>
      </c>
      <c r="F6131" s="51">
        <v>-0.27505279784141323</v>
      </c>
      <c r="G6131" s="51" t="str">
        <v>森岳 2022/11/09 (水)
平日夜間</v>
      </c>
    </row>
    <row r="6132" spans="1:7" ht="16.149999999999999" x14ac:dyDescent="0.7">
      <c r="A6132" s="49">
        <v>44853.470067372684</v>
      </c>
      <c r="B6132" s="50" t="s">
        <v>38</v>
      </c>
      <c r="C6132" s="50" t="s">
        <v>539</v>
      </c>
      <c r="D6132" s="50" t="s">
        <v>259</v>
      </c>
      <c r="E6132" s="50">
        <v>0</v>
      </c>
      <c r="F6132" s="51">
        <v>0.51191319413353265</v>
      </c>
      <c r="G6132" s="51" t="str">
        <v>森岳 2022/11/10 (木)
平日夜間</v>
      </c>
    </row>
    <row r="6133" spans="1:7" ht="16.149999999999999" x14ac:dyDescent="0.7">
      <c r="A6133" s="49">
        <v>44853.470067372684</v>
      </c>
      <c r="B6133" s="50" t="s">
        <v>38</v>
      </c>
      <c r="C6133" s="50" t="s">
        <v>540</v>
      </c>
      <c r="D6133" s="50" t="s">
        <v>259</v>
      </c>
      <c r="E6133" s="50">
        <v>0</v>
      </c>
      <c r="F6133" s="51">
        <v>0.40207044615196796</v>
      </c>
      <c r="G6133" s="51" t="str">
        <v>森岳 2022/11/11 (金)
平日夜間</v>
      </c>
    </row>
    <row r="6134" spans="1:7" ht="16.149999999999999" x14ac:dyDescent="0.7">
      <c r="A6134" s="49">
        <v>44853.470067372684</v>
      </c>
      <c r="B6134" s="50" t="s">
        <v>38</v>
      </c>
      <c r="C6134" s="50" t="s">
        <v>541</v>
      </c>
      <c r="D6134" s="50" t="s">
        <v>263</v>
      </c>
      <c r="E6134" s="50">
        <v>-1</v>
      </c>
      <c r="F6134" s="51">
        <v>-0.37209757912764818</v>
      </c>
      <c r="G6134" s="51" t="str">
        <v>森岳 2022/11/12 (土)
休日午前</v>
      </c>
    </row>
    <row r="6135" spans="1:7" ht="16.149999999999999" x14ac:dyDescent="0.7">
      <c r="A6135" s="49">
        <v>44853.470067372684</v>
      </c>
      <c r="B6135" s="50" t="s">
        <v>38</v>
      </c>
      <c r="C6135" s="50" t="s">
        <v>542</v>
      </c>
      <c r="D6135" s="50" t="s">
        <v>261</v>
      </c>
      <c r="E6135" s="50">
        <v>-1</v>
      </c>
      <c r="F6135" s="51">
        <v>-0.88399960292292334</v>
      </c>
      <c r="G6135" s="51" t="str">
        <v>森岳 2022/11/12 (土)
休日午後</v>
      </c>
    </row>
    <row r="6136" spans="1:7" ht="16.149999999999999" x14ac:dyDescent="0.7">
      <c r="A6136" s="49">
        <v>44853.470067372684</v>
      </c>
      <c r="B6136" s="50" t="s">
        <v>38</v>
      </c>
      <c r="C6136" s="50" t="s">
        <v>543</v>
      </c>
      <c r="D6136" s="50" t="s">
        <v>263</v>
      </c>
      <c r="E6136" s="50">
        <v>-1</v>
      </c>
      <c r="F6136" s="51">
        <v>-7.046993776392374E-2</v>
      </c>
      <c r="G6136" s="51" t="str">
        <v>森岳 2022/11/13 (日)
休日午前</v>
      </c>
    </row>
    <row r="6137" spans="1:7" ht="16.149999999999999" x14ac:dyDescent="0.7">
      <c r="A6137" s="49">
        <v>44853.470067372684</v>
      </c>
      <c r="B6137" s="50" t="s">
        <v>38</v>
      </c>
      <c r="C6137" s="50" t="s">
        <v>544</v>
      </c>
      <c r="D6137" s="50" t="s">
        <v>261</v>
      </c>
      <c r="E6137" s="50">
        <v>-1</v>
      </c>
      <c r="F6137" s="51">
        <v>-0.47579056468848169</v>
      </c>
      <c r="G6137" s="51" t="str">
        <v>森岳 2022/11/13 (日)
休日午後</v>
      </c>
    </row>
    <row r="6138" spans="1:7" ht="16.149999999999999" x14ac:dyDescent="0.7">
      <c r="A6138" s="49">
        <v>44853.470067372684</v>
      </c>
      <c r="B6138" s="50" t="s">
        <v>38</v>
      </c>
      <c r="C6138" s="50" t="s">
        <v>545</v>
      </c>
      <c r="D6138" s="50" t="s">
        <v>259</v>
      </c>
      <c r="E6138" s="50">
        <v>0</v>
      </c>
      <c r="F6138" s="51">
        <v>0.37163128931609801</v>
      </c>
      <c r="G6138" s="51" t="str">
        <v>森岳 2022/11/14 (月)
平日夜間</v>
      </c>
    </row>
    <row r="6139" spans="1:7" ht="16.149999999999999" x14ac:dyDescent="0.7">
      <c r="A6139" s="49">
        <v>44853.470067372684</v>
      </c>
      <c r="B6139" s="50" t="s">
        <v>38</v>
      </c>
      <c r="C6139" s="50" t="s">
        <v>546</v>
      </c>
      <c r="D6139" s="50" t="s">
        <v>259</v>
      </c>
      <c r="E6139" s="50">
        <v>0</v>
      </c>
      <c r="F6139" s="51">
        <v>0.19344555241040795</v>
      </c>
      <c r="G6139" s="51" t="str">
        <v>森岳 2022/11/15 (火)
平日夜間</v>
      </c>
    </row>
    <row r="6140" spans="1:7" ht="16.149999999999999" x14ac:dyDescent="0.7">
      <c r="A6140" s="49">
        <v>44853.470067372684</v>
      </c>
      <c r="B6140" s="50" t="s">
        <v>38</v>
      </c>
      <c r="C6140" s="50" t="s">
        <v>547</v>
      </c>
      <c r="D6140" s="50" t="s">
        <v>259</v>
      </c>
      <c r="E6140" s="50">
        <v>-1</v>
      </c>
      <c r="F6140" s="51">
        <v>-0.32778981202250623</v>
      </c>
      <c r="G6140" s="51" t="str">
        <v>森岳 2022/11/16 (水)
平日夜間</v>
      </c>
    </row>
    <row r="6141" spans="1:7" ht="16.149999999999999" x14ac:dyDescent="0.7">
      <c r="A6141" s="49">
        <v>44853.470067372684</v>
      </c>
      <c r="B6141" s="50" t="s">
        <v>38</v>
      </c>
      <c r="C6141" s="50" t="s">
        <v>548</v>
      </c>
      <c r="D6141" s="50" t="s">
        <v>259</v>
      </c>
      <c r="E6141" s="50">
        <v>0</v>
      </c>
      <c r="F6141" s="51">
        <v>7.9110411869118824E-3</v>
      </c>
      <c r="G6141" s="51" t="str">
        <v>森岳 2022/11/17 (木)
平日夜間</v>
      </c>
    </row>
    <row r="6142" spans="1:7" ht="16.149999999999999" x14ac:dyDescent="0.7">
      <c r="A6142" s="49">
        <v>44853.470067372684</v>
      </c>
      <c r="B6142" s="50" t="s">
        <v>38</v>
      </c>
      <c r="C6142" s="50" t="s">
        <v>549</v>
      </c>
      <c r="D6142" s="50" t="s">
        <v>259</v>
      </c>
      <c r="E6142" s="50">
        <v>0</v>
      </c>
      <c r="F6142" s="51">
        <v>0.20791251732240212</v>
      </c>
      <c r="G6142" s="51" t="str">
        <v>森岳 2022/11/18 (金)
平日夜間</v>
      </c>
    </row>
    <row r="6143" spans="1:7" ht="16.149999999999999" x14ac:dyDescent="0.7">
      <c r="A6143" s="49">
        <v>44853.470067372684</v>
      </c>
      <c r="B6143" s="50" t="s">
        <v>38</v>
      </c>
      <c r="C6143" s="50" t="s">
        <v>550</v>
      </c>
      <c r="D6143" s="50" t="s">
        <v>263</v>
      </c>
      <c r="E6143" s="50">
        <v>-1</v>
      </c>
      <c r="F6143" s="51">
        <v>-0.92558596832643181</v>
      </c>
      <c r="G6143" s="51" t="str">
        <v>森岳 2022/11/19 (土)
休日午前</v>
      </c>
    </row>
    <row r="6144" spans="1:7" ht="16.149999999999999" x14ac:dyDescent="0.7">
      <c r="A6144" s="49">
        <v>44853.470067372684</v>
      </c>
      <c r="B6144" s="50" t="s">
        <v>38</v>
      </c>
      <c r="C6144" s="50" t="s">
        <v>551</v>
      </c>
      <c r="D6144" s="50" t="s">
        <v>261</v>
      </c>
      <c r="E6144" s="50">
        <v>0</v>
      </c>
      <c r="F6144" s="51">
        <v>0.46156171714749483</v>
      </c>
      <c r="G6144" s="51" t="str">
        <v>森岳 2022/11/19 (土)
休日午後</v>
      </c>
    </row>
    <row r="6145" spans="1:7" ht="16.149999999999999" x14ac:dyDescent="0.7">
      <c r="A6145" s="49">
        <v>44853.470067372684</v>
      </c>
      <c r="B6145" s="50" t="s">
        <v>38</v>
      </c>
      <c r="C6145" s="50" t="s">
        <v>552</v>
      </c>
      <c r="D6145" s="50" t="s">
        <v>263</v>
      </c>
      <c r="E6145" s="50">
        <v>-1</v>
      </c>
      <c r="F6145" s="51">
        <v>-0.31767990648118927</v>
      </c>
      <c r="G6145" s="51" t="str">
        <v>森岳 2022/11/20 (日)
休日午前</v>
      </c>
    </row>
    <row r="6146" spans="1:7" ht="16.149999999999999" x14ac:dyDescent="0.7">
      <c r="A6146" s="49">
        <v>44853.470067372684</v>
      </c>
      <c r="B6146" s="50" t="s">
        <v>38</v>
      </c>
      <c r="C6146" s="50" t="s">
        <v>553</v>
      </c>
      <c r="D6146" s="50" t="s">
        <v>261</v>
      </c>
      <c r="E6146" s="50">
        <v>-1</v>
      </c>
      <c r="F6146" s="51">
        <v>-0.72276096116342803</v>
      </c>
      <c r="G6146" s="51" t="str">
        <v>森岳 2022/11/20 (日)
休日午後</v>
      </c>
    </row>
    <row r="6147" spans="1:7" ht="16.149999999999999" x14ac:dyDescent="0.7">
      <c r="A6147" s="49">
        <v>44853.470067372684</v>
      </c>
      <c r="B6147" s="50" t="s">
        <v>38</v>
      </c>
      <c r="C6147" s="50" t="s">
        <v>554</v>
      </c>
      <c r="D6147" s="50" t="s">
        <v>259</v>
      </c>
      <c r="E6147" s="50">
        <v>0</v>
      </c>
      <c r="F6147" s="51">
        <v>0.30156143261218804</v>
      </c>
      <c r="G6147" s="51" t="str">
        <v>森岳 2022/11/21 (月)
平日夜間</v>
      </c>
    </row>
    <row r="6148" spans="1:7" ht="16.149999999999999" x14ac:dyDescent="0.7">
      <c r="A6148" s="49">
        <v>44853.470067372684</v>
      </c>
      <c r="B6148" s="50" t="s">
        <v>38</v>
      </c>
      <c r="C6148" s="50" t="s">
        <v>555</v>
      </c>
      <c r="D6148" s="50" t="s">
        <v>259</v>
      </c>
      <c r="E6148" s="50">
        <v>0</v>
      </c>
      <c r="F6148" s="51">
        <v>4.8012856162284345E-2</v>
      </c>
      <c r="G6148" s="51" t="str">
        <v>森岳 2022/11/22 (火)
平日夜間</v>
      </c>
    </row>
    <row r="6149" spans="1:7" ht="16.149999999999999" x14ac:dyDescent="0.7">
      <c r="A6149" s="49">
        <v>44853.470067372684</v>
      </c>
      <c r="B6149" s="50" t="s">
        <v>38</v>
      </c>
      <c r="C6149" s="50" t="s">
        <v>568</v>
      </c>
      <c r="D6149" s="50" t="s">
        <v>263</v>
      </c>
      <c r="E6149" s="50">
        <v>0</v>
      </c>
      <c r="F6149" s="51">
        <v>0.95686122288549713</v>
      </c>
      <c r="G6149" s="51" t="str">
        <v>森岳 2022/11/23 (水)
休日午前</v>
      </c>
    </row>
    <row r="6150" spans="1:7" ht="16.149999999999999" x14ac:dyDescent="0.7">
      <c r="A6150" s="49">
        <v>44853.470067372684</v>
      </c>
      <c r="B6150" s="50" t="s">
        <v>38</v>
      </c>
      <c r="C6150" s="50" t="s">
        <v>569</v>
      </c>
      <c r="D6150" s="50" t="s">
        <v>261</v>
      </c>
      <c r="E6150" s="50">
        <v>0</v>
      </c>
      <c r="F6150" s="51">
        <v>0.52212828261696109</v>
      </c>
      <c r="G6150" s="51" t="str">
        <v>森岳 2022/11/23 (水)
休日午後</v>
      </c>
    </row>
    <row r="6151" spans="1:7" ht="16.149999999999999" x14ac:dyDescent="0.7">
      <c r="A6151" s="49">
        <v>44853.470067372684</v>
      </c>
      <c r="B6151" s="50" t="s">
        <v>38</v>
      </c>
      <c r="C6151" s="50" t="s">
        <v>557</v>
      </c>
      <c r="D6151" s="50" t="s">
        <v>259</v>
      </c>
      <c r="E6151" s="50">
        <v>-1</v>
      </c>
      <c r="F6151" s="51">
        <v>-0.49226189374565643</v>
      </c>
      <c r="G6151" s="51" t="str">
        <v>森岳 2022/11/24 (木)
平日夜間</v>
      </c>
    </row>
    <row r="6152" spans="1:7" ht="16.149999999999999" x14ac:dyDescent="0.7">
      <c r="A6152" s="49">
        <v>44853.470067372684</v>
      </c>
      <c r="B6152" s="50" t="s">
        <v>38</v>
      </c>
      <c r="C6152" s="50" t="s">
        <v>558</v>
      </c>
      <c r="D6152" s="50" t="s">
        <v>259</v>
      </c>
      <c r="E6152" s="50">
        <v>0</v>
      </c>
      <c r="F6152" s="51">
        <v>0.51533133152030142</v>
      </c>
      <c r="G6152" s="51" t="str">
        <v>森岳 2022/11/25 (金)
平日夜間</v>
      </c>
    </row>
    <row r="6153" spans="1:7" ht="16.149999999999999" x14ac:dyDescent="0.7">
      <c r="A6153" s="49">
        <v>44853.470067372684</v>
      </c>
      <c r="B6153" s="50" t="s">
        <v>38</v>
      </c>
      <c r="C6153" s="50" t="s">
        <v>559</v>
      </c>
      <c r="D6153" s="50" t="s">
        <v>263</v>
      </c>
      <c r="E6153" s="50">
        <v>-1</v>
      </c>
      <c r="F6153" s="51">
        <v>-0.85294590531968928</v>
      </c>
      <c r="G6153" s="51" t="str">
        <v>森岳 2022/11/26 (土)
休日午前</v>
      </c>
    </row>
    <row r="6154" spans="1:7" ht="16.149999999999999" x14ac:dyDescent="0.7">
      <c r="A6154" s="49">
        <v>44853.470067372684</v>
      </c>
      <c r="B6154" s="50" t="s">
        <v>38</v>
      </c>
      <c r="C6154" s="50" t="s">
        <v>560</v>
      </c>
      <c r="D6154" s="50" t="s">
        <v>261</v>
      </c>
      <c r="E6154" s="50">
        <v>-1</v>
      </c>
      <c r="F6154" s="51">
        <v>-0.44689069138014603</v>
      </c>
      <c r="G6154" s="51" t="str">
        <v>森岳 2022/11/26 (土)
休日午後</v>
      </c>
    </row>
    <row r="6155" spans="1:7" ht="16.149999999999999" x14ac:dyDescent="0.7">
      <c r="A6155" s="49">
        <v>44853.470067372684</v>
      </c>
      <c r="B6155" s="50" t="s">
        <v>38</v>
      </c>
      <c r="C6155" s="50" t="s">
        <v>561</v>
      </c>
      <c r="D6155" s="50" t="s">
        <v>263</v>
      </c>
      <c r="E6155" s="50">
        <v>0</v>
      </c>
      <c r="F6155" s="51">
        <v>0.91786316166056725</v>
      </c>
      <c r="G6155" s="51" t="str">
        <v>森岳 2022/11/27 (日)
休日午前</v>
      </c>
    </row>
    <row r="6156" spans="1:7" ht="16.149999999999999" x14ac:dyDescent="0.7">
      <c r="A6156" s="49">
        <v>44853.470067372684</v>
      </c>
      <c r="B6156" s="50" t="s">
        <v>38</v>
      </c>
      <c r="C6156" s="50" t="s">
        <v>562</v>
      </c>
      <c r="D6156" s="50" t="s">
        <v>261</v>
      </c>
      <c r="E6156" s="50">
        <v>-1</v>
      </c>
      <c r="F6156" s="51">
        <v>-0.22026328696411146</v>
      </c>
      <c r="G6156" s="51" t="str">
        <v>森岳 2022/11/27 (日)
休日午後</v>
      </c>
    </row>
    <row r="6157" spans="1:7" ht="16.149999999999999" x14ac:dyDescent="0.7">
      <c r="A6157" s="49">
        <v>44853.470067372684</v>
      </c>
      <c r="B6157" s="50" t="s">
        <v>38</v>
      </c>
      <c r="C6157" s="50" t="s">
        <v>563</v>
      </c>
      <c r="D6157" s="50" t="s">
        <v>259</v>
      </c>
      <c r="E6157" s="50">
        <v>0</v>
      </c>
      <c r="F6157" s="51">
        <v>3.864623816009094E-2</v>
      </c>
      <c r="G6157" s="51" t="str">
        <v>森岳 2022/11/28 (月)
平日夜間</v>
      </c>
    </row>
    <row r="6158" spans="1:7" ht="16.149999999999999" x14ac:dyDescent="0.7">
      <c r="A6158" s="49">
        <v>44853.470067372684</v>
      </c>
      <c r="B6158" s="50" t="s">
        <v>38</v>
      </c>
      <c r="C6158" s="50" t="s">
        <v>564</v>
      </c>
      <c r="D6158" s="50" t="s">
        <v>259</v>
      </c>
      <c r="E6158" s="50">
        <v>0</v>
      </c>
      <c r="F6158" s="51">
        <v>4.1677089792455879E-2</v>
      </c>
      <c r="G6158" s="51" t="str">
        <v>森岳 2022/11/29 (火)
平日夜間</v>
      </c>
    </row>
    <row r="6159" spans="1:7" ht="16.149999999999999" x14ac:dyDescent="0.7">
      <c r="A6159" s="49">
        <v>44853.470067372684</v>
      </c>
      <c r="B6159" s="50" t="s">
        <v>38</v>
      </c>
      <c r="C6159" s="50" t="s">
        <v>565</v>
      </c>
      <c r="D6159" s="50" t="s">
        <v>259</v>
      </c>
      <c r="E6159" s="50">
        <v>-1</v>
      </c>
      <c r="F6159" s="51">
        <v>-0.69398602233366824</v>
      </c>
      <c r="G6159" s="51" t="str">
        <v>森岳 2022/11/30 (水)
平日夜間</v>
      </c>
    </row>
    <row r="6160" spans="1:7" ht="16.149999999999999" x14ac:dyDescent="0.7">
      <c r="A6160" s="49">
        <v>44853.849454085648</v>
      </c>
      <c r="B6160" s="50" t="s">
        <v>45</v>
      </c>
      <c r="C6160" s="50" t="s">
        <v>528</v>
      </c>
      <c r="D6160" s="50" t="s">
        <v>259</v>
      </c>
      <c r="E6160" s="50">
        <v>-1</v>
      </c>
      <c r="F6160" s="51">
        <v>-0.52433223884962676</v>
      </c>
      <c r="G6160" s="51" t="str">
        <v>松井 2022/11/01 (火)
平日夜間</v>
      </c>
    </row>
    <row r="6161" spans="1:7" ht="16.149999999999999" x14ac:dyDescent="0.7">
      <c r="A6161" s="49">
        <v>44853.849454085648</v>
      </c>
      <c r="B6161" s="50" t="s">
        <v>45</v>
      </c>
      <c r="C6161" s="50" t="s">
        <v>529</v>
      </c>
      <c r="D6161" s="50" t="s">
        <v>259</v>
      </c>
      <c r="E6161" s="50">
        <v>-1</v>
      </c>
      <c r="F6161" s="51">
        <v>-0.21554290858891245</v>
      </c>
      <c r="G6161" s="51" t="str">
        <v>松井 2022/11/02 (水)
平日夜間</v>
      </c>
    </row>
    <row r="6162" spans="1:7" ht="16.149999999999999" x14ac:dyDescent="0.7">
      <c r="A6162" s="49">
        <v>44853.849454085648</v>
      </c>
      <c r="B6162" s="50" t="s">
        <v>45</v>
      </c>
      <c r="C6162" s="50" t="s">
        <v>566</v>
      </c>
      <c r="D6162" s="50" t="s">
        <v>263</v>
      </c>
      <c r="E6162" s="50">
        <v>-1</v>
      </c>
      <c r="F6162" s="51">
        <v>-0.99840740044700005</v>
      </c>
      <c r="G6162" s="51" t="str">
        <v>松井 2022/11/03 (木)
休日午前</v>
      </c>
    </row>
    <row r="6163" spans="1:7" ht="16.149999999999999" x14ac:dyDescent="0.7">
      <c r="A6163" s="49">
        <v>44853.849454085648</v>
      </c>
      <c r="B6163" s="50" t="s">
        <v>45</v>
      </c>
      <c r="C6163" s="50" t="s">
        <v>567</v>
      </c>
      <c r="D6163" s="50" t="s">
        <v>261</v>
      </c>
      <c r="E6163" s="50">
        <v>-1</v>
      </c>
      <c r="F6163" s="51">
        <v>-4.9830766619611611E-2</v>
      </c>
      <c r="G6163" s="51" t="str">
        <v>松井 2022/11/03 (木)
休日午後</v>
      </c>
    </row>
    <row r="6164" spans="1:7" ht="16.149999999999999" x14ac:dyDescent="0.7">
      <c r="A6164" s="49">
        <v>44853.849454085648</v>
      </c>
      <c r="B6164" s="50" t="s">
        <v>45</v>
      </c>
      <c r="C6164" s="50" t="s">
        <v>531</v>
      </c>
      <c r="D6164" s="50" t="s">
        <v>259</v>
      </c>
      <c r="E6164" s="50">
        <v>-1</v>
      </c>
      <c r="F6164" s="51">
        <v>-0.50002008087037386</v>
      </c>
      <c r="G6164" s="51" t="str">
        <v>松井 2022/11/04 (金)
平日夜間</v>
      </c>
    </row>
    <row r="6165" spans="1:7" ht="16.149999999999999" x14ac:dyDescent="0.7">
      <c r="A6165" s="49">
        <v>44853.849454085648</v>
      </c>
      <c r="B6165" s="50" t="s">
        <v>45</v>
      </c>
      <c r="C6165" s="50" t="s">
        <v>532</v>
      </c>
      <c r="D6165" s="50" t="s">
        <v>263</v>
      </c>
      <c r="E6165" s="50">
        <v>-1</v>
      </c>
      <c r="F6165" s="51">
        <v>-0.33279524461740562</v>
      </c>
      <c r="G6165" s="51" t="str">
        <v>松井 2022/11/05 (土)
休日午前</v>
      </c>
    </row>
    <row r="6166" spans="1:7" ht="16.149999999999999" x14ac:dyDescent="0.7">
      <c r="A6166" s="49">
        <v>44853.849454085648</v>
      </c>
      <c r="B6166" s="50" t="s">
        <v>45</v>
      </c>
      <c r="C6166" s="50" t="s">
        <v>533</v>
      </c>
      <c r="D6166" s="50" t="s">
        <v>261</v>
      </c>
      <c r="E6166" s="50">
        <v>-1</v>
      </c>
      <c r="F6166" s="51">
        <v>-0.57740584336708478</v>
      </c>
      <c r="G6166" s="51" t="str">
        <v>松井 2022/11/05 (土)
休日午後</v>
      </c>
    </row>
    <row r="6167" spans="1:7" ht="16.149999999999999" x14ac:dyDescent="0.7">
      <c r="A6167" s="49">
        <v>44853.849454085648</v>
      </c>
      <c r="B6167" s="50" t="s">
        <v>45</v>
      </c>
      <c r="C6167" s="50" t="s">
        <v>534</v>
      </c>
      <c r="D6167" s="50" t="s">
        <v>263</v>
      </c>
      <c r="E6167" s="50">
        <v>-1</v>
      </c>
      <c r="F6167" s="51">
        <v>-0.43433984081327304</v>
      </c>
      <c r="G6167" s="51" t="str">
        <v>松井 2022/11/06 (日)
休日午前</v>
      </c>
    </row>
    <row r="6168" spans="1:7" ht="16.149999999999999" x14ac:dyDescent="0.7">
      <c r="A6168" s="49">
        <v>44853.849454085648</v>
      </c>
      <c r="B6168" s="50" t="s">
        <v>45</v>
      </c>
      <c r="C6168" s="50" t="s">
        <v>535</v>
      </c>
      <c r="D6168" s="50" t="s">
        <v>261</v>
      </c>
      <c r="E6168" s="50">
        <v>-1</v>
      </c>
      <c r="F6168" s="51">
        <v>-8.0391396049452446E-2</v>
      </c>
      <c r="G6168" s="51" t="str">
        <v>松井 2022/11/06 (日)
休日午後</v>
      </c>
    </row>
    <row r="6169" spans="1:7" ht="16.149999999999999" x14ac:dyDescent="0.7">
      <c r="A6169" s="49">
        <v>44853.849454085648</v>
      </c>
      <c r="B6169" s="50" t="s">
        <v>45</v>
      </c>
      <c r="C6169" s="50" t="s">
        <v>536</v>
      </c>
      <c r="D6169" s="50" t="s">
        <v>259</v>
      </c>
      <c r="E6169" s="50">
        <v>0</v>
      </c>
      <c r="F6169" s="51">
        <v>0.58262073179320373</v>
      </c>
      <c r="G6169" s="51" t="str">
        <v>松井 2022/11/07 (月)
平日夜間</v>
      </c>
    </row>
    <row r="6170" spans="1:7" ht="16.149999999999999" x14ac:dyDescent="0.7">
      <c r="A6170" s="49">
        <v>44853.849454085648</v>
      </c>
      <c r="B6170" s="50" t="s">
        <v>45</v>
      </c>
      <c r="C6170" s="50" t="s">
        <v>537</v>
      </c>
      <c r="D6170" s="50" t="s">
        <v>259</v>
      </c>
      <c r="E6170" s="50">
        <v>0</v>
      </c>
      <c r="F6170" s="51">
        <v>0.65452657349472965</v>
      </c>
      <c r="G6170" s="51" t="str">
        <v>松井 2022/11/08 (火)
平日夜間</v>
      </c>
    </row>
    <row r="6171" spans="1:7" ht="16.149999999999999" x14ac:dyDescent="0.7">
      <c r="A6171" s="49">
        <v>44853.849454085648</v>
      </c>
      <c r="B6171" s="50" t="s">
        <v>45</v>
      </c>
      <c r="C6171" s="50" t="s">
        <v>538</v>
      </c>
      <c r="D6171" s="50" t="s">
        <v>259</v>
      </c>
      <c r="E6171" s="50">
        <v>0</v>
      </c>
      <c r="F6171" s="51">
        <v>0.92641864693803666</v>
      </c>
      <c r="G6171" s="51" t="str">
        <v>松井 2022/11/09 (水)
平日夜間</v>
      </c>
    </row>
    <row r="6172" spans="1:7" ht="16.149999999999999" x14ac:dyDescent="0.7">
      <c r="A6172" s="49">
        <v>44853.849454085648</v>
      </c>
      <c r="B6172" s="50" t="s">
        <v>45</v>
      </c>
      <c r="C6172" s="50" t="s">
        <v>539</v>
      </c>
      <c r="D6172" s="50" t="s">
        <v>259</v>
      </c>
      <c r="E6172" s="50">
        <v>0</v>
      </c>
      <c r="F6172" s="51">
        <v>0.7636427329143376</v>
      </c>
      <c r="G6172" s="51" t="str">
        <v>松井 2022/11/10 (木)
平日夜間</v>
      </c>
    </row>
    <row r="6173" spans="1:7" ht="16.149999999999999" x14ac:dyDescent="0.7">
      <c r="A6173" s="49">
        <v>44853.849454085648</v>
      </c>
      <c r="B6173" s="50" t="s">
        <v>45</v>
      </c>
      <c r="C6173" s="50" t="s">
        <v>540</v>
      </c>
      <c r="D6173" s="50" t="s">
        <v>259</v>
      </c>
      <c r="E6173" s="50">
        <v>0</v>
      </c>
      <c r="F6173" s="51">
        <v>9.758570356034002E-2</v>
      </c>
      <c r="G6173" s="51" t="str">
        <v>松井 2022/11/11 (金)
平日夜間</v>
      </c>
    </row>
    <row r="6174" spans="1:7" ht="16.149999999999999" x14ac:dyDescent="0.7">
      <c r="A6174" s="49">
        <v>44853.849454085648</v>
      </c>
      <c r="B6174" s="50" t="s">
        <v>45</v>
      </c>
      <c r="C6174" s="50" t="s">
        <v>541</v>
      </c>
      <c r="D6174" s="50" t="s">
        <v>263</v>
      </c>
      <c r="E6174" s="50">
        <v>0</v>
      </c>
      <c r="F6174" s="51">
        <v>0.11701628865896785</v>
      </c>
      <c r="G6174" s="51" t="str">
        <v>松井 2022/11/12 (土)
休日午前</v>
      </c>
    </row>
    <row r="6175" spans="1:7" ht="16.149999999999999" x14ac:dyDescent="0.7">
      <c r="A6175" s="49">
        <v>44853.849454085648</v>
      </c>
      <c r="B6175" s="50" t="s">
        <v>45</v>
      </c>
      <c r="C6175" s="50" t="s">
        <v>542</v>
      </c>
      <c r="D6175" s="50" t="s">
        <v>261</v>
      </c>
      <c r="E6175" s="50">
        <v>0</v>
      </c>
      <c r="F6175" s="51">
        <v>0.60088904055823167</v>
      </c>
      <c r="G6175" s="51" t="str">
        <v>松井 2022/11/12 (土)
休日午後</v>
      </c>
    </row>
    <row r="6176" spans="1:7" ht="16.149999999999999" x14ac:dyDescent="0.7">
      <c r="A6176" s="49">
        <v>44853.849454085648</v>
      </c>
      <c r="B6176" s="50" t="s">
        <v>45</v>
      </c>
      <c r="C6176" s="50" t="s">
        <v>543</v>
      </c>
      <c r="D6176" s="50" t="s">
        <v>263</v>
      </c>
      <c r="E6176" s="50">
        <v>0</v>
      </c>
      <c r="F6176" s="51">
        <v>0.68957748482261327</v>
      </c>
      <c r="G6176" s="51" t="str">
        <v>松井 2022/11/13 (日)
休日午前</v>
      </c>
    </row>
    <row r="6177" spans="1:7" ht="16.149999999999999" x14ac:dyDescent="0.7">
      <c r="A6177" s="49">
        <v>44853.849454085648</v>
      </c>
      <c r="B6177" s="50" t="s">
        <v>45</v>
      </c>
      <c r="C6177" s="50" t="s">
        <v>544</v>
      </c>
      <c r="D6177" s="50" t="s">
        <v>261</v>
      </c>
      <c r="E6177" s="50">
        <v>0</v>
      </c>
      <c r="F6177" s="51">
        <v>0.8498855758406747</v>
      </c>
      <c r="G6177" s="51" t="str">
        <v>松井 2022/11/13 (日)
休日午後</v>
      </c>
    </row>
    <row r="6178" spans="1:7" ht="16.149999999999999" x14ac:dyDescent="0.7">
      <c r="A6178" s="49">
        <v>44853.849454085648</v>
      </c>
      <c r="B6178" s="50" t="s">
        <v>45</v>
      </c>
      <c r="C6178" s="50" t="s">
        <v>545</v>
      </c>
      <c r="D6178" s="50" t="s">
        <v>259</v>
      </c>
      <c r="E6178" s="50">
        <v>0</v>
      </c>
      <c r="F6178" s="51">
        <v>0.46841885100052871</v>
      </c>
      <c r="G6178" s="51" t="str">
        <v>松井 2022/11/14 (月)
平日夜間</v>
      </c>
    </row>
    <row r="6179" spans="1:7" ht="16.149999999999999" x14ac:dyDescent="0.7">
      <c r="A6179" s="49">
        <v>44853.849454085648</v>
      </c>
      <c r="B6179" s="50" t="s">
        <v>45</v>
      </c>
      <c r="C6179" s="50" t="s">
        <v>546</v>
      </c>
      <c r="D6179" s="50" t="s">
        <v>259</v>
      </c>
      <c r="E6179" s="50">
        <v>0</v>
      </c>
      <c r="F6179" s="51">
        <v>0.23836929513669136</v>
      </c>
      <c r="G6179" s="51" t="str">
        <v>松井 2022/11/15 (火)
平日夜間</v>
      </c>
    </row>
    <row r="6180" spans="1:7" ht="16.149999999999999" x14ac:dyDescent="0.7">
      <c r="A6180" s="49">
        <v>44853.849454085648</v>
      </c>
      <c r="B6180" s="50" t="s">
        <v>45</v>
      </c>
      <c r="C6180" s="50" t="s">
        <v>547</v>
      </c>
      <c r="D6180" s="50" t="s">
        <v>259</v>
      </c>
      <c r="E6180" s="50">
        <v>0</v>
      </c>
      <c r="F6180" s="51">
        <v>0.19656067748724526</v>
      </c>
      <c r="G6180" s="51" t="str">
        <v>松井 2022/11/16 (水)
平日夜間</v>
      </c>
    </row>
    <row r="6181" spans="1:7" ht="16.149999999999999" x14ac:dyDescent="0.7">
      <c r="A6181" s="49">
        <v>44853.849454085648</v>
      </c>
      <c r="B6181" s="50" t="s">
        <v>45</v>
      </c>
      <c r="C6181" s="50" t="s">
        <v>548</v>
      </c>
      <c r="D6181" s="50" t="s">
        <v>259</v>
      </c>
      <c r="E6181" s="50">
        <v>0</v>
      </c>
      <c r="F6181" s="51">
        <v>0.49427109298359939</v>
      </c>
      <c r="G6181" s="51" t="str">
        <v>松井 2022/11/17 (木)
平日夜間</v>
      </c>
    </row>
    <row r="6182" spans="1:7" ht="16.149999999999999" x14ac:dyDescent="0.7">
      <c r="A6182" s="49">
        <v>44853.849454085648</v>
      </c>
      <c r="B6182" s="50" t="s">
        <v>45</v>
      </c>
      <c r="C6182" s="50" t="s">
        <v>549</v>
      </c>
      <c r="D6182" s="50" t="s">
        <v>259</v>
      </c>
      <c r="E6182" s="50">
        <v>0</v>
      </c>
      <c r="F6182" s="51">
        <v>0.53412708844902501</v>
      </c>
      <c r="G6182" s="51" t="str">
        <v>松井 2022/11/18 (金)
平日夜間</v>
      </c>
    </row>
    <row r="6183" spans="1:7" ht="16.149999999999999" x14ac:dyDescent="0.7">
      <c r="A6183" s="49">
        <v>44853.849454085648</v>
      </c>
      <c r="B6183" s="50" t="s">
        <v>45</v>
      </c>
      <c r="C6183" s="50" t="s">
        <v>550</v>
      </c>
      <c r="D6183" s="50" t="s">
        <v>263</v>
      </c>
      <c r="E6183" s="50">
        <v>0</v>
      </c>
      <c r="F6183" s="51">
        <v>0.83902873145220314</v>
      </c>
      <c r="G6183" s="51" t="str">
        <v>松井 2022/11/19 (土)
休日午前</v>
      </c>
    </row>
    <row r="6184" spans="1:7" ht="16.149999999999999" x14ac:dyDescent="0.7">
      <c r="A6184" s="49">
        <v>44853.849454085648</v>
      </c>
      <c r="B6184" s="50" t="s">
        <v>45</v>
      </c>
      <c r="C6184" s="50" t="s">
        <v>551</v>
      </c>
      <c r="D6184" s="50" t="s">
        <v>261</v>
      </c>
      <c r="E6184" s="50">
        <v>0</v>
      </c>
      <c r="F6184" s="51">
        <v>0.34275150754664319</v>
      </c>
      <c r="G6184" s="51" t="str">
        <v>松井 2022/11/19 (土)
休日午後</v>
      </c>
    </row>
    <row r="6185" spans="1:7" ht="16.149999999999999" x14ac:dyDescent="0.7">
      <c r="A6185" s="49">
        <v>44853.849454085648</v>
      </c>
      <c r="B6185" s="50" t="s">
        <v>45</v>
      </c>
      <c r="C6185" s="50" t="s">
        <v>552</v>
      </c>
      <c r="D6185" s="50" t="s">
        <v>263</v>
      </c>
      <c r="E6185" s="50">
        <v>-1</v>
      </c>
      <c r="F6185" s="51">
        <v>-0.83646563782322647</v>
      </c>
      <c r="G6185" s="51" t="str">
        <v>松井 2022/11/20 (日)
休日午前</v>
      </c>
    </row>
    <row r="6186" spans="1:7" ht="16.149999999999999" x14ac:dyDescent="0.7">
      <c r="A6186" s="49">
        <v>44853.849454085648</v>
      </c>
      <c r="B6186" s="50" t="s">
        <v>45</v>
      </c>
      <c r="C6186" s="50" t="s">
        <v>553</v>
      </c>
      <c r="D6186" s="50" t="s">
        <v>261</v>
      </c>
      <c r="E6186" s="50">
        <v>-1</v>
      </c>
      <c r="F6186" s="51">
        <v>-0.11746220311360922</v>
      </c>
      <c r="G6186" s="51" t="str">
        <v>松井 2022/11/20 (日)
休日午後</v>
      </c>
    </row>
    <row r="6187" spans="1:7" ht="16.149999999999999" x14ac:dyDescent="0.7">
      <c r="A6187" s="49">
        <v>44853.849454085648</v>
      </c>
      <c r="B6187" s="50" t="s">
        <v>45</v>
      </c>
      <c r="C6187" s="50" t="s">
        <v>554</v>
      </c>
      <c r="D6187" s="50" t="s">
        <v>259</v>
      </c>
      <c r="E6187" s="50">
        <v>0</v>
      </c>
      <c r="F6187" s="51">
        <v>0.62727372751028976</v>
      </c>
      <c r="G6187" s="51" t="str">
        <v>松井 2022/11/21 (月)
平日夜間</v>
      </c>
    </row>
    <row r="6188" spans="1:7" ht="16.149999999999999" x14ac:dyDescent="0.7">
      <c r="A6188" s="49">
        <v>44853.849454085648</v>
      </c>
      <c r="B6188" s="50" t="s">
        <v>45</v>
      </c>
      <c r="C6188" s="50" t="s">
        <v>555</v>
      </c>
      <c r="D6188" s="50" t="s">
        <v>259</v>
      </c>
      <c r="E6188" s="50">
        <v>0</v>
      </c>
      <c r="F6188" s="51">
        <v>0.49331536851462232</v>
      </c>
      <c r="G6188" s="51" t="str">
        <v>松井 2022/11/22 (火)
平日夜間</v>
      </c>
    </row>
    <row r="6189" spans="1:7" ht="16.149999999999999" x14ac:dyDescent="0.7">
      <c r="A6189" s="49">
        <v>44853.849454085648</v>
      </c>
      <c r="B6189" s="50" t="s">
        <v>45</v>
      </c>
      <c r="C6189" s="50" t="s">
        <v>568</v>
      </c>
      <c r="D6189" s="50" t="s">
        <v>263</v>
      </c>
      <c r="E6189" s="50">
        <v>-1</v>
      </c>
      <c r="F6189" s="51">
        <v>-0.48057551954565692</v>
      </c>
      <c r="G6189" s="51" t="str">
        <v>松井 2022/11/23 (水)
休日午前</v>
      </c>
    </row>
    <row r="6190" spans="1:7" ht="16.149999999999999" x14ac:dyDescent="0.7">
      <c r="A6190" s="49">
        <v>44853.849454085648</v>
      </c>
      <c r="B6190" s="50" t="s">
        <v>45</v>
      </c>
      <c r="C6190" s="50" t="s">
        <v>569</v>
      </c>
      <c r="D6190" s="50" t="s">
        <v>261</v>
      </c>
      <c r="E6190" s="50">
        <v>-1</v>
      </c>
      <c r="F6190" s="51">
        <v>-0.54437380373658573</v>
      </c>
      <c r="G6190" s="51" t="str">
        <v>松井 2022/11/23 (水)
休日午後</v>
      </c>
    </row>
    <row r="6191" spans="1:7" ht="16.149999999999999" x14ac:dyDescent="0.7">
      <c r="A6191" s="49">
        <v>44853.849454085648</v>
      </c>
      <c r="B6191" s="50" t="s">
        <v>45</v>
      </c>
      <c r="C6191" s="50" t="s">
        <v>557</v>
      </c>
      <c r="D6191" s="50" t="s">
        <v>259</v>
      </c>
      <c r="E6191" s="50">
        <v>0</v>
      </c>
      <c r="F6191" s="51">
        <v>0.43313904047068252</v>
      </c>
      <c r="G6191" s="51" t="str">
        <v>松井 2022/11/24 (木)
平日夜間</v>
      </c>
    </row>
    <row r="6192" spans="1:7" ht="16.149999999999999" x14ac:dyDescent="0.7">
      <c r="A6192" s="49">
        <v>44853.849454085648</v>
      </c>
      <c r="B6192" s="50" t="s">
        <v>45</v>
      </c>
      <c r="C6192" s="50" t="s">
        <v>558</v>
      </c>
      <c r="D6192" s="50" t="s">
        <v>259</v>
      </c>
      <c r="E6192" s="50">
        <v>0</v>
      </c>
      <c r="F6192" s="51">
        <v>0.87940656923658556</v>
      </c>
      <c r="G6192" s="51" t="str">
        <v>松井 2022/11/25 (金)
平日夜間</v>
      </c>
    </row>
    <row r="6193" spans="1:7" ht="16.149999999999999" x14ac:dyDescent="0.7">
      <c r="A6193" s="49">
        <v>44853.849454085648</v>
      </c>
      <c r="B6193" s="50" t="s">
        <v>45</v>
      </c>
      <c r="C6193" s="50" t="s">
        <v>559</v>
      </c>
      <c r="D6193" s="50" t="s">
        <v>263</v>
      </c>
      <c r="E6193" s="50">
        <v>-1</v>
      </c>
      <c r="F6193" s="51">
        <v>-8.7507438679254479E-2</v>
      </c>
      <c r="G6193" s="51" t="str">
        <v>松井 2022/11/26 (土)
休日午前</v>
      </c>
    </row>
    <row r="6194" spans="1:7" ht="16.149999999999999" x14ac:dyDescent="0.7">
      <c r="A6194" s="49">
        <v>44853.849454085648</v>
      </c>
      <c r="B6194" s="50" t="s">
        <v>45</v>
      </c>
      <c r="C6194" s="50" t="s">
        <v>560</v>
      </c>
      <c r="D6194" s="50" t="s">
        <v>261</v>
      </c>
      <c r="E6194" s="50">
        <v>-1</v>
      </c>
      <c r="F6194" s="51">
        <v>-0.57776494106240106</v>
      </c>
      <c r="G6194" s="51" t="str">
        <v>松井 2022/11/26 (土)
休日午後</v>
      </c>
    </row>
    <row r="6195" spans="1:7" ht="16.149999999999999" x14ac:dyDescent="0.7">
      <c r="A6195" s="49">
        <v>44853.849454085648</v>
      </c>
      <c r="B6195" s="50" t="s">
        <v>45</v>
      </c>
      <c r="C6195" s="50" t="s">
        <v>561</v>
      </c>
      <c r="D6195" s="50" t="s">
        <v>263</v>
      </c>
      <c r="E6195" s="50">
        <v>0</v>
      </c>
      <c r="F6195" s="51">
        <v>0.44403337879871563</v>
      </c>
      <c r="G6195" s="51" t="str">
        <v>松井 2022/11/27 (日)
休日午前</v>
      </c>
    </row>
    <row r="6196" spans="1:7" ht="16.149999999999999" x14ac:dyDescent="0.7">
      <c r="A6196" s="49">
        <v>44853.849454085648</v>
      </c>
      <c r="B6196" s="50" t="s">
        <v>45</v>
      </c>
      <c r="C6196" s="50" t="s">
        <v>562</v>
      </c>
      <c r="D6196" s="50" t="s">
        <v>261</v>
      </c>
      <c r="E6196" s="50">
        <v>0</v>
      </c>
      <c r="F6196" s="51">
        <v>8.1178907980941073E-2</v>
      </c>
      <c r="G6196" s="51" t="str">
        <v>松井 2022/11/27 (日)
休日午後</v>
      </c>
    </row>
    <row r="6197" spans="1:7" ht="16.149999999999999" x14ac:dyDescent="0.7">
      <c r="A6197" s="49">
        <v>44853.849454085648</v>
      </c>
      <c r="B6197" s="50" t="s">
        <v>45</v>
      </c>
      <c r="C6197" s="50" t="s">
        <v>563</v>
      </c>
      <c r="D6197" s="50" t="s">
        <v>259</v>
      </c>
      <c r="E6197" s="50">
        <v>0</v>
      </c>
      <c r="F6197" s="51">
        <v>0.32232847431466727</v>
      </c>
      <c r="G6197" s="51" t="str">
        <v>松井 2022/11/28 (月)
平日夜間</v>
      </c>
    </row>
    <row r="6198" spans="1:7" ht="16.149999999999999" x14ac:dyDescent="0.7">
      <c r="A6198" s="49">
        <v>44853.849454085648</v>
      </c>
      <c r="B6198" s="50" t="s">
        <v>45</v>
      </c>
      <c r="C6198" s="50" t="s">
        <v>564</v>
      </c>
      <c r="D6198" s="50" t="s">
        <v>259</v>
      </c>
      <c r="E6198" s="50">
        <v>0</v>
      </c>
      <c r="F6198" s="51">
        <v>0.61787722649963661</v>
      </c>
      <c r="G6198" s="51" t="str">
        <v>松井 2022/11/29 (火)
平日夜間</v>
      </c>
    </row>
    <row r="6199" spans="1:7" ht="16.149999999999999" x14ac:dyDescent="0.7">
      <c r="A6199" s="49">
        <v>44853.849454085648</v>
      </c>
      <c r="B6199" s="50" t="s">
        <v>45</v>
      </c>
      <c r="C6199" s="50" t="s">
        <v>565</v>
      </c>
      <c r="D6199" s="50" t="s">
        <v>259</v>
      </c>
      <c r="E6199" s="50">
        <v>0</v>
      </c>
      <c r="F6199" s="51">
        <v>0.29152387661455226</v>
      </c>
      <c r="G6199" s="51" t="str">
        <v>松井 2022/11/30 (水)
平日夜間</v>
      </c>
    </row>
    <row r="6200" spans="1:7" ht="16.149999999999999" x14ac:dyDescent="0.7">
      <c r="A6200" s="49">
        <v>44875.453892696758</v>
      </c>
      <c r="B6200" s="50" t="s">
        <v>2</v>
      </c>
      <c r="C6200" s="50" t="s">
        <v>570</v>
      </c>
      <c r="D6200" s="50" t="s">
        <v>259</v>
      </c>
      <c r="E6200" s="50">
        <v>0</v>
      </c>
      <c r="F6200" s="51">
        <v>0.28409590989266587</v>
      </c>
      <c r="G6200" s="51" t="str">
        <v>伊藤 2022/12/01 (木)
平日夜間</v>
      </c>
    </row>
    <row r="6201" spans="1:7" ht="16.149999999999999" x14ac:dyDescent="0.7">
      <c r="A6201" s="49">
        <v>44875.453892696758</v>
      </c>
      <c r="B6201" s="50" t="s">
        <v>2</v>
      </c>
      <c r="C6201" s="50" t="s">
        <v>571</v>
      </c>
      <c r="D6201" s="50" t="s">
        <v>259</v>
      </c>
      <c r="E6201" s="50">
        <v>-1</v>
      </c>
      <c r="F6201" s="51">
        <v>-0.38491229239309344</v>
      </c>
      <c r="G6201" s="51" t="str">
        <v>伊藤 2022/12/02 (金)
平日夜間</v>
      </c>
    </row>
    <row r="6202" spans="1:7" ht="16.149999999999999" x14ac:dyDescent="0.7">
      <c r="A6202" s="49">
        <v>44875.453892696758</v>
      </c>
      <c r="B6202" s="50" t="s">
        <v>2</v>
      </c>
      <c r="C6202" s="50" t="s">
        <v>572</v>
      </c>
      <c r="D6202" s="50" t="s">
        <v>263</v>
      </c>
      <c r="E6202" s="50">
        <v>-1</v>
      </c>
      <c r="F6202" s="51">
        <v>-0.98951687319721571</v>
      </c>
      <c r="G6202" s="51" t="str">
        <v>伊藤 2022/12/03 (土)
休日午前</v>
      </c>
    </row>
    <row r="6203" spans="1:7" ht="16.149999999999999" x14ac:dyDescent="0.7">
      <c r="A6203" s="49">
        <v>44875.453892696758</v>
      </c>
      <c r="B6203" s="50" t="s">
        <v>2</v>
      </c>
      <c r="C6203" s="50" t="s">
        <v>573</v>
      </c>
      <c r="D6203" s="50" t="s">
        <v>261</v>
      </c>
      <c r="E6203" s="50">
        <v>-1</v>
      </c>
      <c r="F6203" s="51">
        <v>-0.46725546209044055</v>
      </c>
      <c r="G6203" s="51" t="str">
        <v>伊藤 2022/12/03 (土)
休日午後</v>
      </c>
    </row>
    <row r="6204" spans="1:7" ht="16.149999999999999" x14ac:dyDescent="0.7">
      <c r="A6204" s="49">
        <v>44875.453892696758</v>
      </c>
      <c r="B6204" s="50" t="s">
        <v>2</v>
      </c>
      <c r="C6204" s="50" t="s">
        <v>574</v>
      </c>
      <c r="D6204" s="50" t="s">
        <v>263</v>
      </c>
      <c r="E6204" s="50">
        <v>0</v>
      </c>
      <c r="F6204" s="51">
        <v>0.92741255818027946</v>
      </c>
      <c r="G6204" s="51" t="str">
        <v>伊藤 2022/12/04 (日)
休日午前</v>
      </c>
    </row>
    <row r="6205" spans="1:7" ht="16.149999999999999" x14ac:dyDescent="0.7">
      <c r="A6205" s="49">
        <v>44875.453892696758</v>
      </c>
      <c r="B6205" s="50" t="s">
        <v>2</v>
      </c>
      <c r="C6205" s="50" t="s">
        <v>575</v>
      </c>
      <c r="D6205" s="50" t="s">
        <v>261</v>
      </c>
      <c r="E6205" s="50">
        <v>0</v>
      </c>
      <c r="F6205" s="51">
        <v>0.50497649810321521</v>
      </c>
      <c r="G6205" s="51" t="str">
        <v>伊藤 2022/12/04 (日)
休日午後</v>
      </c>
    </row>
    <row r="6206" spans="1:7" ht="16.149999999999999" x14ac:dyDescent="0.7">
      <c r="A6206" s="49">
        <v>44875.453892696758</v>
      </c>
      <c r="B6206" s="50" t="s">
        <v>2</v>
      </c>
      <c r="C6206" s="50" t="s">
        <v>576</v>
      </c>
      <c r="D6206" s="50" t="s">
        <v>259</v>
      </c>
      <c r="E6206" s="50">
        <v>0</v>
      </c>
      <c r="F6206" s="51">
        <v>0.22272709997259876</v>
      </c>
      <c r="G6206" s="51" t="str">
        <v>伊藤 2022/12/05 (月)
平日夜間</v>
      </c>
    </row>
    <row r="6207" spans="1:7" ht="16.149999999999999" x14ac:dyDescent="0.7">
      <c r="A6207" s="49">
        <v>44875.453892696758</v>
      </c>
      <c r="B6207" s="50" t="s">
        <v>2</v>
      </c>
      <c r="C6207" s="50" t="s">
        <v>577</v>
      </c>
      <c r="D6207" s="50" t="s">
        <v>259</v>
      </c>
      <c r="E6207" s="50">
        <v>0</v>
      </c>
      <c r="F6207" s="51">
        <v>0.93044749947709615</v>
      </c>
      <c r="G6207" s="51" t="str">
        <v>伊藤 2022/12/06 (火)
平日夜間</v>
      </c>
    </row>
    <row r="6208" spans="1:7" ht="16.149999999999999" x14ac:dyDescent="0.7">
      <c r="A6208" s="49">
        <v>44875.453892696758</v>
      </c>
      <c r="B6208" s="50" t="s">
        <v>2</v>
      </c>
      <c r="C6208" s="50" t="s">
        <v>578</v>
      </c>
      <c r="D6208" s="50" t="s">
        <v>259</v>
      </c>
      <c r="E6208" s="50">
        <v>0</v>
      </c>
      <c r="F6208" s="51">
        <v>0.14147745958118385</v>
      </c>
      <c r="G6208" s="51" t="str">
        <v>伊藤 2022/12/07 (水)
平日夜間</v>
      </c>
    </row>
    <row r="6209" spans="1:7" ht="16.149999999999999" x14ac:dyDescent="0.7">
      <c r="A6209" s="49">
        <v>44875.453892696758</v>
      </c>
      <c r="B6209" s="50" t="s">
        <v>2</v>
      </c>
      <c r="C6209" s="50" t="s">
        <v>579</v>
      </c>
      <c r="D6209" s="50" t="s">
        <v>259</v>
      </c>
      <c r="E6209" s="50">
        <v>0</v>
      </c>
      <c r="F6209" s="51">
        <v>0.99603011691512333</v>
      </c>
      <c r="G6209" s="51" t="str">
        <v>伊藤 2022/12/08 (木)
平日夜間</v>
      </c>
    </row>
    <row r="6210" spans="1:7" ht="16.149999999999999" x14ac:dyDescent="0.7">
      <c r="A6210" s="49">
        <v>44875.453892696758</v>
      </c>
      <c r="B6210" s="50" t="s">
        <v>2</v>
      </c>
      <c r="C6210" s="50" t="s">
        <v>580</v>
      </c>
      <c r="D6210" s="50" t="s">
        <v>259</v>
      </c>
      <c r="E6210" s="50">
        <v>-1</v>
      </c>
      <c r="F6210" s="51">
        <v>-0.94753517600075932</v>
      </c>
      <c r="G6210" s="51" t="str">
        <v>伊藤 2022/12/09 (金)
平日夜間</v>
      </c>
    </row>
    <row r="6211" spans="1:7" ht="16.149999999999999" x14ac:dyDescent="0.7">
      <c r="A6211" s="49">
        <v>44875.453892696758</v>
      </c>
      <c r="B6211" s="50" t="s">
        <v>2</v>
      </c>
      <c r="C6211" s="50" t="s">
        <v>581</v>
      </c>
      <c r="D6211" s="50" t="s">
        <v>263</v>
      </c>
      <c r="E6211" s="50">
        <v>-1</v>
      </c>
      <c r="F6211" s="51">
        <v>-0.10169397742247011</v>
      </c>
      <c r="G6211" s="51" t="str">
        <v>伊藤 2022/12/10 (土)
休日午前</v>
      </c>
    </row>
    <row r="6212" spans="1:7" ht="16.149999999999999" x14ac:dyDescent="0.7">
      <c r="A6212" s="49">
        <v>44875.453892696758</v>
      </c>
      <c r="B6212" s="50" t="s">
        <v>2</v>
      </c>
      <c r="C6212" s="50" t="s">
        <v>582</v>
      </c>
      <c r="D6212" s="50" t="s">
        <v>261</v>
      </c>
      <c r="E6212" s="50">
        <v>-1</v>
      </c>
      <c r="F6212" s="51">
        <v>-0.65769997275178205</v>
      </c>
      <c r="G6212" s="51" t="str">
        <v>伊藤 2022/12/10 (土)
休日午後</v>
      </c>
    </row>
    <row r="6213" spans="1:7" ht="16.149999999999999" x14ac:dyDescent="0.7">
      <c r="A6213" s="49">
        <v>44875.453892696758</v>
      </c>
      <c r="B6213" s="50" t="s">
        <v>2</v>
      </c>
      <c r="C6213" s="50" t="s">
        <v>583</v>
      </c>
      <c r="D6213" s="50" t="s">
        <v>263</v>
      </c>
      <c r="E6213" s="50">
        <v>0</v>
      </c>
      <c r="F6213" s="51">
        <v>0.82030718198874308</v>
      </c>
      <c r="G6213" s="51" t="str">
        <v>伊藤 2022/12/11 (日)
休日午前</v>
      </c>
    </row>
    <row r="6214" spans="1:7" ht="16.149999999999999" x14ac:dyDescent="0.7">
      <c r="A6214" s="49">
        <v>44875.453892696758</v>
      </c>
      <c r="B6214" s="50" t="s">
        <v>2</v>
      </c>
      <c r="C6214" s="50" t="s">
        <v>584</v>
      </c>
      <c r="D6214" s="50" t="s">
        <v>261</v>
      </c>
      <c r="E6214" s="50">
        <v>0</v>
      </c>
      <c r="F6214" s="51">
        <v>0.94096940324426925</v>
      </c>
      <c r="G6214" s="51" t="str">
        <v>伊藤 2022/12/11 (日)
休日午後</v>
      </c>
    </row>
    <row r="6215" spans="1:7" ht="16.149999999999999" x14ac:dyDescent="0.7">
      <c r="A6215" s="49">
        <v>44875.453892696758</v>
      </c>
      <c r="B6215" s="50" t="s">
        <v>2</v>
      </c>
      <c r="C6215" s="50" t="s">
        <v>585</v>
      </c>
      <c r="D6215" s="50" t="s">
        <v>259</v>
      </c>
      <c r="E6215" s="50">
        <v>0</v>
      </c>
      <c r="F6215" s="51">
        <v>0.98927710781148281</v>
      </c>
      <c r="G6215" s="51" t="str">
        <v>伊藤 2022/12/12 (月)
平日夜間</v>
      </c>
    </row>
    <row r="6216" spans="1:7" ht="16.149999999999999" x14ac:dyDescent="0.7">
      <c r="A6216" s="49">
        <v>44875.453892696758</v>
      </c>
      <c r="B6216" s="50" t="s">
        <v>2</v>
      </c>
      <c r="C6216" s="50" t="s">
        <v>586</v>
      </c>
      <c r="D6216" s="50" t="s">
        <v>259</v>
      </c>
      <c r="E6216" s="50">
        <v>0</v>
      </c>
      <c r="F6216" s="51">
        <v>0.18591238661235798</v>
      </c>
      <c r="G6216" s="51" t="str">
        <v>伊藤 2022/12/13 (火)
平日夜間</v>
      </c>
    </row>
    <row r="6217" spans="1:7" ht="16.149999999999999" x14ac:dyDescent="0.7">
      <c r="A6217" s="49">
        <v>44875.453892696758</v>
      </c>
      <c r="B6217" s="50" t="s">
        <v>2</v>
      </c>
      <c r="C6217" s="50" t="s">
        <v>587</v>
      </c>
      <c r="D6217" s="50" t="s">
        <v>259</v>
      </c>
      <c r="E6217" s="50">
        <v>0</v>
      </c>
      <c r="F6217" s="51">
        <v>0.23606895596069855</v>
      </c>
      <c r="G6217" s="51" t="str">
        <v>伊藤 2022/12/14 (水)
平日夜間</v>
      </c>
    </row>
    <row r="6218" spans="1:7" ht="16.149999999999999" x14ac:dyDescent="0.7">
      <c r="A6218" s="49">
        <v>44875.453892696758</v>
      </c>
      <c r="B6218" s="50" t="s">
        <v>2</v>
      </c>
      <c r="C6218" s="50" t="s">
        <v>588</v>
      </c>
      <c r="D6218" s="50" t="s">
        <v>259</v>
      </c>
      <c r="E6218" s="50">
        <v>0</v>
      </c>
      <c r="F6218" s="51">
        <v>4.6595942267745327E-2</v>
      </c>
      <c r="G6218" s="51" t="str">
        <v>伊藤 2022/12/15 (木)
平日夜間</v>
      </c>
    </row>
    <row r="6219" spans="1:7" ht="16.149999999999999" x14ac:dyDescent="0.7">
      <c r="A6219" s="49">
        <v>44875.453892696758</v>
      </c>
      <c r="B6219" s="50" t="s">
        <v>2</v>
      </c>
      <c r="C6219" s="50" t="s">
        <v>589</v>
      </c>
      <c r="D6219" s="50" t="s">
        <v>259</v>
      </c>
      <c r="E6219" s="50">
        <v>-1</v>
      </c>
      <c r="F6219" s="51">
        <v>-0.93384895872821705</v>
      </c>
      <c r="G6219" s="51" t="str">
        <v>伊藤 2022/12/16 (金)
平日夜間</v>
      </c>
    </row>
    <row r="6220" spans="1:7" ht="16.149999999999999" x14ac:dyDescent="0.7">
      <c r="A6220" s="49">
        <v>44875.453892696758</v>
      </c>
      <c r="B6220" s="50" t="s">
        <v>2</v>
      </c>
      <c r="C6220" s="50" t="s">
        <v>590</v>
      </c>
      <c r="D6220" s="50" t="s">
        <v>263</v>
      </c>
      <c r="E6220" s="50">
        <v>-1</v>
      </c>
      <c r="F6220" s="51">
        <v>-8.7821251468155781E-2</v>
      </c>
      <c r="G6220" s="51" t="str">
        <v>伊藤 2022/12/17 (土)
休日午前</v>
      </c>
    </row>
    <row r="6221" spans="1:7" ht="16.149999999999999" x14ac:dyDescent="0.7">
      <c r="A6221" s="49">
        <v>44875.453892696758</v>
      </c>
      <c r="B6221" s="50" t="s">
        <v>2</v>
      </c>
      <c r="C6221" s="50" t="s">
        <v>591</v>
      </c>
      <c r="D6221" s="50" t="s">
        <v>261</v>
      </c>
      <c r="E6221" s="50">
        <v>-1</v>
      </c>
      <c r="F6221" s="51">
        <v>-0.59535650956054487</v>
      </c>
      <c r="G6221" s="51" t="str">
        <v>伊藤 2022/12/17 (土)
休日午後</v>
      </c>
    </row>
    <row r="6222" spans="1:7" ht="16.149999999999999" x14ac:dyDescent="0.7">
      <c r="A6222" s="49">
        <v>44875.453892696758</v>
      </c>
      <c r="B6222" s="50" t="s">
        <v>2</v>
      </c>
      <c r="C6222" s="50" t="s">
        <v>592</v>
      </c>
      <c r="D6222" s="50" t="s">
        <v>263</v>
      </c>
      <c r="E6222" s="50">
        <v>0</v>
      </c>
      <c r="F6222" s="51">
        <v>0.12343878370999239</v>
      </c>
      <c r="G6222" s="51" t="str">
        <v>伊藤 2022/12/18 (日)
休日午前</v>
      </c>
    </row>
    <row r="6223" spans="1:7" ht="16.149999999999999" x14ac:dyDescent="0.7">
      <c r="A6223" s="49">
        <v>44875.453892696758</v>
      </c>
      <c r="B6223" s="50" t="s">
        <v>2</v>
      </c>
      <c r="C6223" s="50" t="s">
        <v>593</v>
      </c>
      <c r="D6223" s="50" t="s">
        <v>261</v>
      </c>
      <c r="E6223" s="50">
        <v>0</v>
      </c>
      <c r="F6223" s="51">
        <v>0.18402508975737453</v>
      </c>
      <c r="G6223" s="51" t="str">
        <v>伊藤 2022/12/18 (日)
休日午後</v>
      </c>
    </row>
    <row r="6224" spans="1:7" ht="16.149999999999999" x14ac:dyDescent="0.7">
      <c r="A6224" s="49">
        <v>44875.453892696758</v>
      </c>
      <c r="B6224" s="50" t="s">
        <v>2</v>
      </c>
      <c r="C6224" s="50" t="s">
        <v>594</v>
      </c>
      <c r="D6224" s="50" t="s">
        <v>259</v>
      </c>
      <c r="E6224" s="50">
        <v>0</v>
      </c>
      <c r="F6224" s="51">
        <v>0.20434940086452813</v>
      </c>
      <c r="G6224" s="51" t="str">
        <v>伊藤 2022/12/19 (月)
平日夜間</v>
      </c>
    </row>
    <row r="6225" spans="1:7" ht="16.149999999999999" x14ac:dyDescent="0.7">
      <c r="A6225" s="49">
        <v>44875.453892696758</v>
      </c>
      <c r="B6225" s="50" t="s">
        <v>2</v>
      </c>
      <c r="C6225" s="50" t="s">
        <v>595</v>
      </c>
      <c r="D6225" s="50" t="s">
        <v>259</v>
      </c>
      <c r="E6225" s="50">
        <v>0</v>
      </c>
      <c r="F6225" s="51">
        <v>0.34107009140309374</v>
      </c>
      <c r="G6225" s="51" t="str">
        <v>伊藤 2022/12/20 (火)
平日夜間</v>
      </c>
    </row>
    <row r="6226" spans="1:7" ht="16.149999999999999" x14ac:dyDescent="0.7">
      <c r="A6226" s="49">
        <v>44875.453892696758</v>
      </c>
      <c r="B6226" s="50" t="s">
        <v>2</v>
      </c>
      <c r="C6226" s="50" t="s">
        <v>596</v>
      </c>
      <c r="D6226" s="50" t="s">
        <v>259</v>
      </c>
      <c r="E6226" s="50">
        <v>0</v>
      </c>
      <c r="F6226" s="51">
        <v>0.66309735679702841</v>
      </c>
      <c r="G6226" s="51" t="str">
        <v>伊藤 2022/12/21 (水)
平日夜間</v>
      </c>
    </row>
    <row r="6227" spans="1:7" ht="16.149999999999999" x14ac:dyDescent="0.7">
      <c r="A6227" s="49">
        <v>44875.453892696758</v>
      </c>
      <c r="B6227" s="50" t="s">
        <v>2</v>
      </c>
      <c r="C6227" s="50" t="s">
        <v>597</v>
      </c>
      <c r="D6227" s="50" t="s">
        <v>259</v>
      </c>
      <c r="E6227" s="50">
        <v>0</v>
      </c>
      <c r="F6227" s="51">
        <v>0.25932440019740755</v>
      </c>
      <c r="G6227" s="51" t="str">
        <v>伊藤 2022/12/22 (木)
平日夜間</v>
      </c>
    </row>
    <row r="6228" spans="1:7" ht="16.149999999999999" x14ac:dyDescent="0.7">
      <c r="A6228" s="49">
        <v>44875.453892696758</v>
      </c>
      <c r="B6228" s="50" t="s">
        <v>2</v>
      </c>
      <c r="C6228" s="50" t="s">
        <v>598</v>
      </c>
      <c r="D6228" s="50" t="s">
        <v>259</v>
      </c>
      <c r="E6228" s="50">
        <v>-1</v>
      </c>
      <c r="F6228" s="51">
        <v>-0.70602683681854894</v>
      </c>
      <c r="G6228" s="51" t="str">
        <v>伊藤 2022/12/23 (金)
平日夜間</v>
      </c>
    </row>
    <row r="6229" spans="1:7" ht="16.149999999999999" x14ac:dyDescent="0.7">
      <c r="A6229" s="49">
        <v>44875.453892696758</v>
      </c>
      <c r="B6229" s="50" t="s">
        <v>2</v>
      </c>
      <c r="C6229" s="50" t="s">
        <v>599</v>
      </c>
      <c r="D6229" s="50" t="s">
        <v>263</v>
      </c>
      <c r="E6229" s="50">
        <v>-1</v>
      </c>
      <c r="F6229" s="51">
        <v>-0.31284610610677577</v>
      </c>
      <c r="G6229" s="51" t="str">
        <v>伊藤 2022/12/24 (土)
休日午前</v>
      </c>
    </row>
    <row r="6230" spans="1:7" ht="16.149999999999999" x14ac:dyDescent="0.7">
      <c r="A6230" s="49">
        <v>44875.453892696758</v>
      </c>
      <c r="B6230" s="50" t="s">
        <v>2</v>
      </c>
      <c r="C6230" s="50" t="s">
        <v>600</v>
      </c>
      <c r="D6230" s="50" t="s">
        <v>261</v>
      </c>
      <c r="E6230" s="50">
        <v>-1</v>
      </c>
      <c r="F6230" s="51">
        <v>-0.50446932276115852</v>
      </c>
      <c r="G6230" s="51" t="str">
        <v>伊藤 2022/12/24 (土)
休日午後</v>
      </c>
    </row>
    <row r="6231" spans="1:7" ht="16.149999999999999" x14ac:dyDescent="0.7">
      <c r="A6231" s="49">
        <v>44875.453892696758</v>
      </c>
      <c r="B6231" s="50" t="s">
        <v>2</v>
      </c>
      <c r="C6231" s="50" t="s">
        <v>601</v>
      </c>
      <c r="D6231" s="50" t="s">
        <v>263</v>
      </c>
      <c r="E6231" s="50">
        <v>0</v>
      </c>
      <c r="F6231" s="51">
        <v>0.62413064341881164</v>
      </c>
      <c r="G6231" s="51" t="str">
        <v>伊藤 2022/12/25 (日)
休日午前</v>
      </c>
    </row>
    <row r="6232" spans="1:7" ht="16.149999999999999" x14ac:dyDescent="0.7">
      <c r="A6232" s="49">
        <v>44875.453892696758</v>
      </c>
      <c r="B6232" s="50" t="s">
        <v>2</v>
      </c>
      <c r="C6232" s="50" t="s">
        <v>602</v>
      </c>
      <c r="D6232" s="50" t="s">
        <v>261</v>
      </c>
      <c r="E6232" s="50">
        <v>0</v>
      </c>
      <c r="F6232" s="51">
        <v>0.5130844573831137</v>
      </c>
      <c r="G6232" s="51" t="str">
        <v>伊藤 2022/12/25 (日)
休日午後</v>
      </c>
    </row>
    <row r="6233" spans="1:7" ht="16.149999999999999" x14ac:dyDescent="0.7">
      <c r="A6233" s="49">
        <v>44875.453892696758</v>
      </c>
      <c r="B6233" s="50" t="s">
        <v>2</v>
      </c>
      <c r="C6233" s="50" t="s">
        <v>603</v>
      </c>
      <c r="D6233" s="50" t="s">
        <v>259</v>
      </c>
      <c r="E6233" s="50">
        <v>0</v>
      </c>
      <c r="F6233" s="51">
        <v>2.705360690461589E-2</v>
      </c>
      <c r="G6233" s="51" t="str">
        <v>伊藤 2022/12/26 (月)
平日夜間</v>
      </c>
    </row>
    <row r="6234" spans="1:7" ht="16.149999999999999" x14ac:dyDescent="0.7">
      <c r="A6234" s="49">
        <v>44875.453892696758</v>
      </c>
      <c r="B6234" s="50" t="s">
        <v>2</v>
      </c>
      <c r="C6234" s="50" t="s">
        <v>604</v>
      </c>
      <c r="D6234" s="50" t="s">
        <v>259</v>
      </c>
      <c r="E6234" s="50">
        <v>0</v>
      </c>
      <c r="F6234" s="51">
        <v>0.84800629161292251</v>
      </c>
      <c r="G6234" s="51" t="str">
        <v>伊藤 2022/12/27 (火)
平日夜間</v>
      </c>
    </row>
    <row r="6235" spans="1:7" ht="16.149999999999999" x14ac:dyDescent="0.7">
      <c r="A6235" s="49">
        <v>44875.453892696758</v>
      </c>
      <c r="B6235" s="50" t="s">
        <v>2</v>
      </c>
      <c r="C6235" s="50" t="s">
        <v>605</v>
      </c>
      <c r="D6235" s="50" t="s">
        <v>259</v>
      </c>
      <c r="E6235" s="50">
        <v>0</v>
      </c>
      <c r="F6235" s="51">
        <v>0.89802685106307356</v>
      </c>
      <c r="G6235" s="51" t="str">
        <v>伊藤 2022/12/28 (水)
平日夜間</v>
      </c>
    </row>
    <row r="6236" spans="1:7" ht="16.149999999999999" x14ac:dyDescent="0.7">
      <c r="A6236" s="49">
        <v>44875.761676724534</v>
      </c>
      <c r="B6236" s="50" t="s">
        <v>18</v>
      </c>
      <c r="C6236" s="50" t="s">
        <v>570</v>
      </c>
      <c r="D6236" s="50" t="s">
        <v>259</v>
      </c>
      <c r="E6236" s="50">
        <v>-1</v>
      </c>
      <c r="F6236" s="51">
        <v>-0.2472999380974723</v>
      </c>
      <c r="G6236" s="51" t="str">
        <v>中瀬 2022/12/01 (木)
平日夜間</v>
      </c>
    </row>
    <row r="6237" spans="1:7" ht="16.149999999999999" x14ac:dyDescent="0.7">
      <c r="A6237" s="49">
        <v>44875.761676724534</v>
      </c>
      <c r="B6237" s="50" t="s">
        <v>18</v>
      </c>
      <c r="C6237" s="50" t="s">
        <v>571</v>
      </c>
      <c r="D6237" s="50" t="s">
        <v>259</v>
      </c>
      <c r="E6237" s="50">
        <v>-1</v>
      </c>
      <c r="F6237" s="51">
        <v>-0.71579187291343782</v>
      </c>
      <c r="G6237" s="51" t="str">
        <v>中瀬 2022/12/02 (金)
平日夜間</v>
      </c>
    </row>
    <row r="6238" spans="1:7" ht="16.149999999999999" x14ac:dyDescent="0.7">
      <c r="A6238" s="49">
        <v>44875.761676724534</v>
      </c>
      <c r="B6238" s="50" t="s">
        <v>18</v>
      </c>
      <c r="C6238" s="50" t="s">
        <v>572</v>
      </c>
      <c r="D6238" s="50" t="s">
        <v>263</v>
      </c>
      <c r="E6238" s="50">
        <v>-1</v>
      </c>
      <c r="F6238" s="51">
        <v>-0.90235941830983069</v>
      </c>
      <c r="G6238" s="51" t="str">
        <v>中瀬 2022/12/03 (土)
休日午前</v>
      </c>
    </row>
    <row r="6239" spans="1:7" ht="16.149999999999999" x14ac:dyDescent="0.7">
      <c r="A6239" s="49">
        <v>44875.761676724534</v>
      </c>
      <c r="B6239" s="50" t="s">
        <v>18</v>
      </c>
      <c r="C6239" s="50" t="s">
        <v>573</v>
      </c>
      <c r="D6239" s="50" t="s">
        <v>261</v>
      </c>
      <c r="E6239" s="50">
        <v>-1</v>
      </c>
      <c r="F6239" s="51">
        <v>-0.76306481072830401</v>
      </c>
      <c r="G6239" s="51" t="str">
        <v>中瀬 2022/12/03 (土)
休日午後</v>
      </c>
    </row>
    <row r="6240" spans="1:7" ht="16.149999999999999" x14ac:dyDescent="0.7">
      <c r="A6240" s="49">
        <v>44875.761676724534</v>
      </c>
      <c r="B6240" s="50" t="s">
        <v>18</v>
      </c>
      <c r="C6240" s="50" t="s">
        <v>574</v>
      </c>
      <c r="D6240" s="50" t="s">
        <v>263</v>
      </c>
      <c r="E6240" s="50">
        <v>-1</v>
      </c>
      <c r="F6240" s="51">
        <v>-0.49570874625333827</v>
      </c>
      <c r="G6240" s="51" t="str">
        <v>中瀬 2022/12/04 (日)
休日午前</v>
      </c>
    </row>
    <row r="6241" spans="1:7" ht="16.149999999999999" x14ac:dyDescent="0.7">
      <c r="A6241" s="49">
        <v>44875.761676724534</v>
      </c>
      <c r="B6241" s="50" t="s">
        <v>18</v>
      </c>
      <c r="C6241" s="50" t="s">
        <v>575</v>
      </c>
      <c r="D6241" s="50" t="s">
        <v>261</v>
      </c>
      <c r="E6241" s="50">
        <v>-1</v>
      </c>
      <c r="F6241" s="51">
        <v>-0.98970332783142068</v>
      </c>
      <c r="G6241" s="51" t="str">
        <v>中瀬 2022/12/04 (日)
休日午後</v>
      </c>
    </row>
    <row r="6242" spans="1:7" ht="16.149999999999999" x14ac:dyDescent="0.7">
      <c r="A6242" s="49">
        <v>44875.761676724534</v>
      </c>
      <c r="B6242" s="50" t="s">
        <v>18</v>
      </c>
      <c r="C6242" s="50" t="s">
        <v>576</v>
      </c>
      <c r="D6242" s="50" t="s">
        <v>259</v>
      </c>
      <c r="E6242" s="50">
        <v>0</v>
      </c>
      <c r="F6242" s="51">
        <v>0.84394340017589786</v>
      </c>
      <c r="G6242" s="51" t="str">
        <v>中瀬 2022/12/05 (月)
平日夜間</v>
      </c>
    </row>
    <row r="6243" spans="1:7" ht="16.149999999999999" x14ac:dyDescent="0.7">
      <c r="A6243" s="49">
        <v>44875.761676724534</v>
      </c>
      <c r="B6243" s="50" t="s">
        <v>18</v>
      </c>
      <c r="C6243" s="50" t="s">
        <v>577</v>
      </c>
      <c r="D6243" s="50" t="s">
        <v>259</v>
      </c>
      <c r="E6243" s="50">
        <v>0</v>
      </c>
      <c r="F6243" s="51">
        <v>0.91256763934510432</v>
      </c>
      <c r="G6243" s="51" t="str">
        <v>中瀬 2022/12/06 (火)
平日夜間</v>
      </c>
    </row>
    <row r="6244" spans="1:7" ht="16.149999999999999" x14ac:dyDescent="0.7">
      <c r="A6244" s="49">
        <v>44875.761676724534</v>
      </c>
      <c r="B6244" s="50" t="s">
        <v>18</v>
      </c>
      <c r="C6244" s="50" t="s">
        <v>578</v>
      </c>
      <c r="D6244" s="50" t="s">
        <v>259</v>
      </c>
      <c r="E6244" s="50">
        <v>0</v>
      </c>
      <c r="F6244" s="51">
        <v>0.15749992139778657</v>
      </c>
      <c r="G6244" s="51" t="str">
        <v>中瀬 2022/12/07 (水)
平日夜間</v>
      </c>
    </row>
    <row r="6245" spans="1:7" ht="16.149999999999999" x14ac:dyDescent="0.7">
      <c r="A6245" s="49">
        <v>44875.761676724534</v>
      </c>
      <c r="B6245" s="50" t="s">
        <v>18</v>
      </c>
      <c r="C6245" s="50" t="s">
        <v>579</v>
      </c>
      <c r="D6245" s="50" t="s">
        <v>259</v>
      </c>
      <c r="E6245" s="50">
        <v>-1</v>
      </c>
      <c r="F6245" s="51">
        <v>-0.65870647571772478</v>
      </c>
      <c r="G6245" s="51" t="str">
        <v>中瀬 2022/12/08 (木)
平日夜間</v>
      </c>
    </row>
    <row r="6246" spans="1:7" ht="16.149999999999999" x14ac:dyDescent="0.7">
      <c r="A6246" s="49">
        <v>44875.761676724534</v>
      </c>
      <c r="B6246" s="50" t="s">
        <v>18</v>
      </c>
      <c r="C6246" s="50" t="s">
        <v>580</v>
      </c>
      <c r="D6246" s="50" t="s">
        <v>259</v>
      </c>
      <c r="E6246" s="50">
        <v>-1</v>
      </c>
      <c r="F6246" s="51">
        <v>-0.70743546359275289</v>
      </c>
      <c r="G6246" s="51" t="str">
        <v>中瀬 2022/12/09 (金)
平日夜間</v>
      </c>
    </row>
    <row r="6247" spans="1:7" ht="16.149999999999999" x14ac:dyDescent="0.7">
      <c r="A6247" s="49">
        <v>44875.761676724534</v>
      </c>
      <c r="B6247" s="50" t="s">
        <v>18</v>
      </c>
      <c r="C6247" s="50" t="s">
        <v>581</v>
      </c>
      <c r="D6247" s="50" t="s">
        <v>263</v>
      </c>
      <c r="E6247" s="50">
        <v>-1</v>
      </c>
      <c r="F6247" s="51">
        <v>-0.59452766437692994</v>
      </c>
      <c r="G6247" s="51" t="str">
        <v>中瀬 2022/12/10 (土)
休日午前</v>
      </c>
    </row>
    <row r="6248" spans="1:7" ht="16.149999999999999" x14ac:dyDescent="0.7">
      <c r="A6248" s="49">
        <v>44875.761676724534</v>
      </c>
      <c r="B6248" s="50" t="s">
        <v>18</v>
      </c>
      <c r="C6248" s="50" t="s">
        <v>582</v>
      </c>
      <c r="D6248" s="50" t="s">
        <v>261</v>
      </c>
      <c r="E6248" s="50">
        <v>-1</v>
      </c>
      <c r="F6248" s="51">
        <v>-0.78643165737419363</v>
      </c>
      <c r="G6248" s="51" t="str">
        <v>中瀬 2022/12/10 (土)
休日午後</v>
      </c>
    </row>
    <row r="6249" spans="1:7" ht="16.149999999999999" x14ac:dyDescent="0.7">
      <c r="A6249" s="49">
        <v>44875.761676724534</v>
      </c>
      <c r="B6249" s="50" t="s">
        <v>18</v>
      </c>
      <c r="C6249" s="50" t="s">
        <v>583</v>
      </c>
      <c r="D6249" s="50" t="s">
        <v>263</v>
      </c>
      <c r="E6249" s="50">
        <v>-1</v>
      </c>
      <c r="F6249" s="51">
        <v>-0.26451242847244583</v>
      </c>
      <c r="G6249" s="51" t="str">
        <v>中瀬 2022/12/11 (日)
休日午前</v>
      </c>
    </row>
    <row r="6250" spans="1:7" ht="16.149999999999999" x14ac:dyDescent="0.7">
      <c r="A6250" s="49">
        <v>44875.761676724534</v>
      </c>
      <c r="B6250" s="50" t="s">
        <v>18</v>
      </c>
      <c r="C6250" s="50" t="s">
        <v>584</v>
      </c>
      <c r="D6250" s="50" t="s">
        <v>261</v>
      </c>
      <c r="E6250" s="50">
        <v>-1</v>
      </c>
      <c r="F6250" s="51">
        <v>-0.45815455898510971</v>
      </c>
      <c r="G6250" s="51" t="str">
        <v>中瀬 2022/12/11 (日)
休日午後</v>
      </c>
    </row>
    <row r="6251" spans="1:7" ht="16.149999999999999" x14ac:dyDescent="0.7">
      <c r="A6251" s="49">
        <v>44875.761676724534</v>
      </c>
      <c r="B6251" s="50" t="s">
        <v>18</v>
      </c>
      <c r="C6251" s="50" t="s">
        <v>585</v>
      </c>
      <c r="D6251" s="50" t="s">
        <v>259</v>
      </c>
      <c r="E6251" s="50">
        <v>0</v>
      </c>
      <c r="F6251" s="51">
        <v>0.23872721748860615</v>
      </c>
      <c r="G6251" s="51" t="str">
        <v>中瀬 2022/12/12 (月)
平日夜間</v>
      </c>
    </row>
    <row r="6252" spans="1:7" ht="16.149999999999999" x14ac:dyDescent="0.7">
      <c r="A6252" s="49">
        <v>44875.761676724534</v>
      </c>
      <c r="B6252" s="50" t="s">
        <v>18</v>
      </c>
      <c r="C6252" s="50" t="s">
        <v>586</v>
      </c>
      <c r="D6252" s="50" t="s">
        <v>259</v>
      </c>
      <c r="E6252" s="50">
        <v>0</v>
      </c>
      <c r="F6252" s="51">
        <v>0.33103333557228631</v>
      </c>
      <c r="G6252" s="51" t="str">
        <v>中瀬 2022/12/13 (火)
平日夜間</v>
      </c>
    </row>
    <row r="6253" spans="1:7" ht="16.149999999999999" x14ac:dyDescent="0.7">
      <c r="A6253" s="49">
        <v>44875.761676724534</v>
      </c>
      <c r="B6253" s="50" t="s">
        <v>18</v>
      </c>
      <c r="C6253" s="50" t="s">
        <v>587</v>
      </c>
      <c r="D6253" s="50" t="s">
        <v>259</v>
      </c>
      <c r="E6253" s="50">
        <v>0</v>
      </c>
      <c r="F6253" s="51">
        <v>0.57765495509857256</v>
      </c>
      <c r="G6253" s="51" t="str">
        <v>中瀬 2022/12/14 (水)
平日夜間</v>
      </c>
    </row>
    <row r="6254" spans="1:7" ht="16.149999999999999" x14ac:dyDescent="0.7">
      <c r="A6254" s="49">
        <v>44875.761676724534</v>
      </c>
      <c r="B6254" s="50" t="s">
        <v>18</v>
      </c>
      <c r="C6254" s="50" t="s">
        <v>588</v>
      </c>
      <c r="D6254" s="50" t="s">
        <v>259</v>
      </c>
      <c r="E6254" s="50">
        <v>0</v>
      </c>
      <c r="F6254" s="51">
        <v>0.28006356997858517</v>
      </c>
      <c r="G6254" s="51" t="str">
        <v>中瀬 2022/12/15 (木)
平日夜間</v>
      </c>
    </row>
    <row r="6255" spans="1:7" ht="16.149999999999999" x14ac:dyDescent="0.7">
      <c r="A6255" s="49">
        <v>44875.761676724534</v>
      </c>
      <c r="B6255" s="50" t="s">
        <v>18</v>
      </c>
      <c r="C6255" s="50" t="s">
        <v>589</v>
      </c>
      <c r="D6255" s="50" t="s">
        <v>259</v>
      </c>
      <c r="E6255" s="50">
        <v>2</v>
      </c>
      <c r="F6255" s="51">
        <v>2.8055077914153159</v>
      </c>
      <c r="G6255" s="51" t="str">
        <v>中瀬 2022/12/16 (金)
平日夜間</v>
      </c>
    </row>
    <row r="6256" spans="1:7" ht="16.149999999999999" x14ac:dyDescent="0.7">
      <c r="A6256" s="49">
        <v>44875.761676724534</v>
      </c>
      <c r="B6256" s="50" t="s">
        <v>18</v>
      </c>
      <c r="C6256" s="50" t="s">
        <v>590</v>
      </c>
      <c r="D6256" s="50" t="s">
        <v>263</v>
      </c>
      <c r="E6256" s="50">
        <v>2</v>
      </c>
      <c r="F6256" s="51">
        <v>2.7514134989380303</v>
      </c>
      <c r="G6256" s="51" t="str">
        <v>中瀬 2022/12/17 (土)
休日午前</v>
      </c>
    </row>
    <row r="6257" spans="1:7" ht="16.149999999999999" x14ac:dyDescent="0.7">
      <c r="A6257" s="49">
        <v>44875.761676724534</v>
      </c>
      <c r="B6257" s="50" t="s">
        <v>18</v>
      </c>
      <c r="C6257" s="50" t="s">
        <v>591</v>
      </c>
      <c r="D6257" s="50" t="s">
        <v>261</v>
      </c>
      <c r="E6257" s="50">
        <v>-1</v>
      </c>
      <c r="F6257" s="51">
        <v>-0.64520796168152805</v>
      </c>
      <c r="G6257" s="51" t="str">
        <v>中瀬 2022/12/17 (土)
休日午後</v>
      </c>
    </row>
    <row r="6258" spans="1:7" ht="16.149999999999999" x14ac:dyDescent="0.7">
      <c r="A6258" s="49">
        <v>44875.761676724534</v>
      </c>
      <c r="B6258" s="50" t="s">
        <v>18</v>
      </c>
      <c r="C6258" s="50" t="s">
        <v>592</v>
      </c>
      <c r="D6258" s="50" t="s">
        <v>263</v>
      </c>
      <c r="E6258" s="50">
        <v>-1</v>
      </c>
      <c r="F6258" s="51">
        <v>-0.93112962917402009</v>
      </c>
      <c r="G6258" s="51" t="str">
        <v>中瀬 2022/12/18 (日)
休日午前</v>
      </c>
    </row>
    <row r="6259" spans="1:7" ht="16.149999999999999" x14ac:dyDescent="0.7">
      <c r="A6259" s="49">
        <v>44875.761676724534</v>
      </c>
      <c r="B6259" s="50" t="s">
        <v>18</v>
      </c>
      <c r="C6259" s="50" t="s">
        <v>593</v>
      </c>
      <c r="D6259" s="50" t="s">
        <v>261</v>
      </c>
      <c r="E6259" s="50">
        <v>-1</v>
      </c>
      <c r="F6259" s="51">
        <v>-0.59649441566061268</v>
      </c>
      <c r="G6259" s="51" t="str">
        <v>中瀬 2022/12/18 (日)
休日午後</v>
      </c>
    </row>
    <row r="6260" spans="1:7" ht="16.149999999999999" x14ac:dyDescent="0.7">
      <c r="A6260" s="49">
        <v>44875.761676724534</v>
      </c>
      <c r="B6260" s="50" t="s">
        <v>18</v>
      </c>
      <c r="C6260" s="50" t="s">
        <v>594</v>
      </c>
      <c r="D6260" s="50" t="s">
        <v>259</v>
      </c>
      <c r="E6260" s="50">
        <v>0</v>
      </c>
      <c r="F6260" s="51">
        <v>9.5054678023892114E-2</v>
      </c>
      <c r="G6260" s="51" t="str">
        <v>中瀬 2022/12/19 (月)
平日夜間</v>
      </c>
    </row>
    <row r="6261" spans="1:7" ht="16.149999999999999" x14ac:dyDescent="0.7">
      <c r="A6261" s="49">
        <v>44875.761676724534</v>
      </c>
      <c r="B6261" s="50" t="s">
        <v>18</v>
      </c>
      <c r="C6261" s="50" t="s">
        <v>595</v>
      </c>
      <c r="D6261" s="50" t="s">
        <v>259</v>
      </c>
      <c r="E6261" s="50">
        <v>0</v>
      </c>
      <c r="F6261" s="51">
        <v>0.36155034768861527</v>
      </c>
      <c r="G6261" s="51" t="str">
        <v>中瀬 2022/12/20 (火)
平日夜間</v>
      </c>
    </row>
    <row r="6262" spans="1:7" ht="16.149999999999999" x14ac:dyDescent="0.7">
      <c r="A6262" s="49">
        <v>44875.761676724534</v>
      </c>
      <c r="B6262" s="50" t="s">
        <v>18</v>
      </c>
      <c r="C6262" s="50" t="s">
        <v>596</v>
      </c>
      <c r="D6262" s="50" t="s">
        <v>259</v>
      </c>
      <c r="E6262" s="50">
        <v>0</v>
      </c>
      <c r="F6262" s="51">
        <v>0.96142491082130377</v>
      </c>
      <c r="G6262" s="51" t="str">
        <v>中瀬 2022/12/21 (水)
平日夜間</v>
      </c>
    </row>
    <row r="6263" spans="1:7" ht="16.149999999999999" x14ac:dyDescent="0.7">
      <c r="A6263" s="49">
        <v>44875.761676724534</v>
      </c>
      <c r="B6263" s="50" t="s">
        <v>18</v>
      </c>
      <c r="C6263" s="50" t="s">
        <v>597</v>
      </c>
      <c r="D6263" s="50" t="s">
        <v>259</v>
      </c>
      <c r="E6263" s="50">
        <v>0</v>
      </c>
      <c r="F6263" s="51">
        <v>2.5746783253247196E-2</v>
      </c>
      <c r="G6263" s="51" t="str">
        <v>中瀬 2022/12/22 (木)
平日夜間</v>
      </c>
    </row>
    <row r="6264" spans="1:7" ht="16.149999999999999" x14ac:dyDescent="0.7">
      <c r="A6264" s="49">
        <v>44875.761676724534</v>
      </c>
      <c r="B6264" s="50" t="s">
        <v>18</v>
      </c>
      <c r="C6264" s="50" t="s">
        <v>598</v>
      </c>
      <c r="D6264" s="50" t="s">
        <v>259</v>
      </c>
      <c r="E6264" s="50">
        <v>0</v>
      </c>
      <c r="F6264" s="51">
        <v>0.95983565097973012</v>
      </c>
      <c r="G6264" s="51" t="str">
        <v>中瀬 2022/12/23 (金)
平日夜間</v>
      </c>
    </row>
    <row r="6265" spans="1:7" ht="16.149999999999999" x14ac:dyDescent="0.7">
      <c r="A6265" s="49">
        <v>44875.761676724534</v>
      </c>
      <c r="B6265" s="50" t="s">
        <v>18</v>
      </c>
      <c r="C6265" s="50" t="s">
        <v>599</v>
      </c>
      <c r="D6265" s="50" t="s">
        <v>263</v>
      </c>
      <c r="E6265" s="50">
        <v>0</v>
      </c>
      <c r="F6265" s="51">
        <v>0.4975331483850729</v>
      </c>
      <c r="G6265" s="51" t="str">
        <v>中瀬 2022/12/24 (土)
休日午前</v>
      </c>
    </row>
    <row r="6266" spans="1:7" ht="16.149999999999999" x14ac:dyDescent="0.7">
      <c r="A6266" s="49">
        <v>44875.761676724534</v>
      </c>
      <c r="B6266" s="50" t="s">
        <v>18</v>
      </c>
      <c r="C6266" s="50" t="s">
        <v>600</v>
      </c>
      <c r="D6266" s="50" t="s">
        <v>261</v>
      </c>
      <c r="E6266" s="50">
        <v>-1</v>
      </c>
      <c r="F6266" s="51">
        <v>-0.89711885864436636</v>
      </c>
      <c r="G6266" s="51" t="str">
        <v>中瀬 2022/12/24 (土)
休日午後</v>
      </c>
    </row>
    <row r="6267" spans="1:7" ht="16.149999999999999" x14ac:dyDescent="0.7">
      <c r="A6267" s="49">
        <v>44875.761676724534</v>
      </c>
      <c r="B6267" s="50" t="s">
        <v>18</v>
      </c>
      <c r="C6267" s="50" t="s">
        <v>601</v>
      </c>
      <c r="D6267" s="50" t="s">
        <v>263</v>
      </c>
      <c r="E6267" s="50">
        <v>-1</v>
      </c>
      <c r="F6267" s="51">
        <v>-0.28508474582370202</v>
      </c>
      <c r="G6267" s="51" t="str">
        <v>中瀬 2022/12/25 (日)
休日午前</v>
      </c>
    </row>
    <row r="6268" spans="1:7" ht="16.149999999999999" x14ac:dyDescent="0.7">
      <c r="A6268" s="49">
        <v>44875.761676724534</v>
      </c>
      <c r="B6268" s="50" t="s">
        <v>18</v>
      </c>
      <c r="C6268" s="50" t="s">
        <v>602</v>
      </c>
      <c r="D6268" s="50" t="s">
        <v>261</v>
      </c>
      <c r="E6268" s="50">
        <v>-1</v>
      </c>
      <c r="F6268" s="51">
        <v>-0.7118708023039646</v>
      </c>
      <c r="G6268" s="51" t="str">
        <v>中瀬 2022/12/25 (日)
休日午後</v>
      </c>
    </row>
    <row r="6269" spans="1:7" ht="16.149999999999999" x14ac:dyDescent="0.7">
      <c r="A6269" s="49">
        <v>44875.761676724534</v>
      </c>
      <c r="B6269" s="50" t="s">
        <v>18</v>
      </c>
      <c r="C6269" s="50" t="s">
        <v>603</v>
      </c>
      <c r="D6269" s="50" t="s">
        <v>259</v>
      </c>
      <c r="E6269" s="50">
        <v>0</v>
      </c>
      <c r="F6269" s="51">
        <v>0.80829980232142495</v>
      </c>
      <c r="G6269" s="51" t="str">
        <v>中瀬 2022/12/26 (月)
平日夜間</v>
      </c>
    </row>
    <row r="6270" spans="1:7" ht="16.149999999999999" x14ac:dyDescent="0.7">
      <c r="A6270" s="49">
        <v>44875.761676724534</v>
      </c>
      <c r="B6270" s="50" t="s">
        <v>18</v>
      </c>
      <c r="C6270" s="50" t="s">
        <v>604</v>
      </c>
      <c r="D6270" s="50" t="s">
        <v>259</v>
      </c>
      <c r="E6270" s="50">
        <v>0</v>
      </c>
      <c r="F6270" s="51">
        <v>0.65167237910312026</v>
      </c>
      <c r="G6270" s="51" t="str">
        <v>中瀬 2022/12/27 (火)
平日夜間</v>
      </c>
    </row>
    <row r="6271" spans="1:7" ht="16.149999999999999" x14ac:dyDescent="0.7">
      <c r="A6271" s="49">
        <v>44875.761676724534</v>
      </c>
      <c r="B6271" s="50" t="s">
        <v>18</v>
      </c>
      <c r="C6271" s="50" t="s">
        <v>605</v>
      </c>
      <c r="D6271" s="50" t="s">
        <v>259</v>
      </c>
      <c r="E6271" s="50">
        <v>-1</v>
      </c>
      <c r="F6271" s="51">
        <v>-0.79609878545609081</v>
      </c>
      <c r="G6271" s="51" t="str">
        <v>中瀬 2022/12/28 (水)
平日夜間</v>
      </c>
    </row>
    <row r="6272" spans="1:7" ht="16.149999999999999" x14ac:dyDescent="0.7">
      <c r="A6272" s="49">
        <v>44881.868480520832</v>
      </c>
      <c r="B6272" s="50" t="s">
        <v>13</v>
      </c>
      <c r="C6272" s="50" t="s">
        <v>570</v>
      </c>
      <c r="D6272" s="50" t="s">
        <v>259</v>
      </c>
      <c r="E6272" s="50">
        <v>0</v>
      </c>
      <c r="F6272" s="51">
        <v>0.3769716374105947</v>
      </c>
      <c r="G6272" s="51" t="str">
        <v>新美 2022/12/01 (木)
平日夜間</v>
      </c>
    </row>
    <row r="6273" spans="1:7" ht="16.149999999999999" x14ac:dyDescent="0.7">
      <c r="A6273" s="49">
        <v>44881.868480520832</v>
      </c>
      <c r="B6273" s="50" t="s">
        <v>13</v>
      </c>
      <c r="C6273" s="50" t="s">
        <v>571</v>
      </c>
      <c r="D6273" s="50" t="s">
        <v>259</v>
      </c>
      <c r="E6273" s="50">
        <v>0</v>
      </c>
      <c r="F6273" s="51">
        <v>0.74046973754159251</v>
      </c>
      <c r="G6273" s="51" t="str">
        <v>新美 2022/12/02 (金)
平日夜間</v>
      </c>
    </row>
    <row r="6274" spans="1:7" ht="16.149999999999999" x14ac:dyDescent="0.7">
      <c r="A6274" s="49">
        <v>44881.868480520832</v>
      </c>
      <c r="B6274" s="50" t="s">
        <v>13</v>
      </c>
      <c r="C6274" s="50" t="s">
        <v>572</v>
      </c>
      <c r="D6274" s="50" t="s">
        <v>263</v>
      </c>
      <c r="E6274" s="50">
        <v>-1</v>
      </c>
      <c r="F6274" s="51">
        <v>-0.22320567265379987</v>
      </c>
      <c r="G6274" s="51" t="str">
        <v>新美 2022/12/03 (土)
休日午前</v>
      </c>
    </row>
    <row r="6275" spans="1:7" ht="16.149999999999999" x14ac:dyDescent="0.7">
      <c r="A6275" s="49">
        <v>44881.868480520832</v>
      </c>
      <c r="B6275" s="50" t="s">
        <v>13</v>
      </c>
      <c r="C6275" s="50" t="s">
        <v>573</v>
      </c>
      <c r="D6275" s="50" t="s">
        <v>261</v>
      </c>
      <c r="E6275" s="50">
        <v>-1</v>
      </c>
      <c r="F6275" s="51">
        <v>-0.14312343297765784</v>
      </c>
      <c r="G6275" s="51" t="str">
        <v>新美 2022/12/03 (土)
休日午後</v>
      </c>
    </row>
    <row r="6276" spans="1:7" ht="16.149999999999999" x14ac:dyDescent="0.7">
      <c r="A6276" s="49">
        <v>44881.868480520832</v>
      </c>
      <c r="B6276" s="50" t="s">
        <v>13</v>
      </c>
      <c r="C6276" s="50" t="s">
        <v>574</v>
      </c>
      <c r="D6276" s="50" t="s">
        <v>263</v>
      </c>
      <c r="E6276" s="50">
        <v>0</v>
      </c>
      <c r="F6276" s="51">
        <v>0.79911408623785096</v>
      </c>
      <c r="G6276" s="51" t="str">
        <v>新美 2022/12/04 (日)
休日午前</v>
      </c>
    </row>
    <row r="6277" spans="1:7" ht="16.149999999999999" x14ac:dyDescent="0.7">
      <c r="A6277" s="49">
        <v>44881.868480520832</v>
      </c>
      <c r="B6277" s="50" t="s">
        <v>13</v>
      </c>
      <c r="C6277" s="50" t="s">
        <v>575</v>
      </c>
      <c r="D6277" s="50" t="s">
        <v>261</v>
      </c>
      <c r="E6277" s="50">
        <v>0</v>
      </c>
      <c r="F6277" s="51">
        <v>0.62975772794965468</v>
      </c>
      <c r="G6277" s="51" t="str">
        <v>新美 2022/12/04 (日)
休日午後</v>
      </c>
    </row>
    <row r="6278" spans="1:7" ht="16.149999999999999" x14ac:dyDescent="0.7">
      <c r="A6278" s="49">
        <v>44881.868480520832</v>
      </c>
      <c r="B6278" s="50" t="s">
        <v>13</v>
      </c>
      <c r="C6278" s="50" t="s">
        <v>576</v>
      </c>
      <c r="D6278" s="50" t="s">
        <v>259</v>
      </c>
      <c r="E6278" s="50">
        <v>0</v>
      </c>
      <c r="F6278" s="51">
        <v>0.2293246197810006</v>
      </c>
      <c r="G6278" s="51" t="str">
        <v>新美 2022/12/05 (月)
平日夜間</v>
      </c>
    </row>
    <row r="6279" spans="1:7" ht="16.149999999999999" x14ac:dyDescent="0.7">
      <c r="A6279" s="49">
        <v>44881.868480520832</v>
      </c>
      <c r="B6279" s="50" t="s">
        <v>13</v>
      </c>
      <c r="C6279" s="50" t="s">
        <v>577</v>
      </c>
      <c r="D6279" s="50" t="s">
        <v>259</v>
      </c>
      <c r="E6279" s="50">
        <v>-1</v>
      </c>
      <c r="F6279" s="51">
        <v>-0.81041161201874456</v>
      </c>
      <c r="G6279" s="51" t="str">
        <v>新美 2022/12/06 (火)
平日夜間</v>
      </c>
    </row>
    <row r="6280" spans="1:7" ht="16.149999999999999" x14ac:dyDescent="0.7">
      <c r="A6280" s="49">
        <v>44881.868480520832</v>
      </c>
      <c r="B6280" s="50" t="s">
        <v>13</v>
      </c>
      <c r="C6280" s="50" t="s">
        <v>578</v>
      </c>
      <c r="D6280" s="50" t="s">
        <v>259</v>
      </c>
      <c r="E6280" s="50">
        <v>-1</v>
      </c>
      <c r="F6280" s="51">
        <v>-0.91525803527387373</v>
      </c>
      <c r="G6280" s="51" t="str">
        <v>新美 2022/12/07 (水)
平日夜間</v>
      </c>
    </row>
    <row r="6281" spans="1:7" ht="16.149999999999999" x14ac:dyDescent="0.7">
      <c r="A6281" s="49">
        <v>44881.868480520832</v>
      </c>
      <c r="B6281" s="50" t="s">
        <v>13</v>
      </c>
      <c r="C6281" s="50" t="s">
        <v>579</v>
      </c>
      <c r="D6281" s="50" t="s">
        <v>259</v>
      </c>
      <c r="E6281" s="50">
        <v>0</v>
      </c>
      <c r="F6281" s="51">
        <v>0.39008346521208259</v>
      </c>
      <c r="G6281" s="51" t="str">
        <v>新美 2022/12/08 (木)
平日夜間</v>
      </c>
    </row>
    <row r="6282" spans="1:7" ht="16.149999999999999" x14ac:dyDescent="0.7">
      <c r="A6282" s="49">
        <v>44881.868480520832</v>
      </c>
      <c r="B6282" s="50" t="s">
        <v>13</v>
      </c>
      <c r="C6282" s="50" t="s">
        <v>580</v>
      </c>
      <c r="D6282" s="50" t="s">
        <v>259</v>
      </c>
      <c r="E6282" s="50">
        <v>0</v>
      </c>
      <c r="F6282" s="51">
        <v>0.81985815221405867</v>
      </c>
      <c r="G6282" s="51" t="str">
        <v>新美 2022/12/09 (金)
平日夜間</v>
      </c>
    </row>
    <row r="6283" spans="1:7" ht="16.149999999999999" x14ac:dyDescent="0.7">
      <c r="A6283" s="49">
        <v>44881.868480520832</v>
      </c>
      <c r="B6283" s="50" t="s">
        <v>13</v>
      </c>
      <c r="C6283" s="50" t="s">
        <v>581</v>
      </c>
      <c r="D6283" s="50" t="s">
        <v>263</v>
      </c>
      <c r="E6283" s="50">
        <v>-1</v>
      </c>
      <c r="F6283" s="51">
        <v>-0.25402342678227585</v>
      </c>
      <c r="G6283" s="51" t="str">
        <v>新美 2022/12/10 (土)
休日午前</v>
      </c>
    </row>
    <row r="6284" spans="1:7" ht="16.149999999999999" x14ac:dyDescent="0.7">
      <c r="A6284" s="49">
        <v>44881.868480520832</v>
      </c>
      <c r="B6284" s="50" t="s">
        <v>13</v>
      </c>
      <c r="C6284" s="50" t="s">
        <v>582</v>
      </c>
      <c r="D6284" s="50" t="s">
        <v>261</v>
      </c>
      <c r="E6284" s="50">
        <v>-1</v>
      </c>
      <c r="F6284" s="51">
        <v>-0.35508360992502208</v>
      </c>
      <c r="G6284" s="51" t="str">
        <v>新美 2022/12/10 (土)
休日午後</v>
      </c>
    </row>
    <row r="6285" spans="1:7" ht="16.149999999999999" x14ac:dyDescent="0.7">
      <c r="A6285" s="49">
        <v>44881.868480520832</v>
      </c>
      <c r="B6285" s="50" t="s">
        <v>13</v>
      </c>
      <c r="C6285" s="50" t="s">
        <v>583</v>
      </c>
      <c r="D6285" s="50" t="s">
        <v>263</v>
      </c>
      <c r="E6285" s="50">
        <v>0</v>
      </c>
      <c r="F6285" s="51">
        <v>0.68429192379087467</v>
      </c>
      <c r="G6285" s="51" t="str">
        <v>新美 2022/12/11 (日)
休日午前</v>
      </c>
    </row>
    <row r="6286" spans="1:7" ht="16.149999999999999" x14ac:dyDescent="0.7">
      <c r="A6286" s="49">
        <v>44881.868480520832</v>
      </c>
      <c r="B6286" s="50" t="s">
        <v>13</v>
      </c>
      <c r="C6286" s="50" t="s">
        <v>584</v>
      </c>
      <c r="D6286" s="50" t="s">
        <v>261</v>
      </c>
      <c r="E6286" s="50">
        <v>0</v>
      </c>
      <c r="F6286" s="51">
        <v>0.31755356281025704</v>
      </c>
      <c r="G6286" s="51" t="str">
        <v>新美 2022/12/11 (日)
休日午後</v>
      </c>
    </row>
    <row r="6287" spans="1:7" ht="16.149999999999999" x14ac:dyDescent="0.7">
      <c r="A6287" s="49">
        <v>44881.868480520832</v>
      </c>
      <c r="B6287" s="50" t="s">
        <v>13</v>
      </c>
      <c r="C6287" s="50" t="s">
        <v>585</v>
      </c>
      <c r="D6287" s="50" t="s">
        <v>259</v>
      </c>
      <c r="E6287" s="50">
        <v>0</v>
      </c>
      <c r="F6287" s="51">
        <v>0.64363841462899729</v>
      </c>
      <c r="G6287" s="51" t="str">
        <v>新美 2022/12/12 (月)
平日夜間</v>
      </c>
    </row>
    <row r="6288" spans="1:7" ht="16.149999999999999" x14ac:dyDescent="0.7">
      <c r="A6288" s="49">
        <v>44881.868480520832</v>
      </c>
      <c r="B6288" s="50" t="s">
        <v>13</v>
      </c>
      <c r="C6288" s="50" t="s">
        <v>586</v>
      </c>
      <c r="D6288" s="50" t="s">
        <v>259</v>
      </c>
      <c r="E6288" s="50">
        <v>-1</v>
      </c>
      <c r="F6288" s="51">
        <v>-0.6185135151478125</v>
      </c>
      <c r="G6288" s="51" t="str">
        <v>新美 2022/12/13 (火)
平日夜間</v>
      </c>
    </row>
    <row r="6289" spans="1:7" ht="16.149999999999999" x14ac:dyDescent="0.7">
      <c r="A6289" s="49">
        <v>44881.868480520832</v>
      </c>
      <c r="B6289" s="50" t="s">
        <v>13</v>
      </c>
      <c r="C6289" s="50" t="s">
        <v>587</v>
      </c>
      <c r="D6289" s="50" t="s">
        <v>259</v>
      </c>
      <c r="E6289" s="50">
        <v>-1</v>
      </c>
      <c r="F6289" s="51">
        <v>-0.60107104326708027</v>
      </c>
      <c r="G6289" s="51" t="str">
        <v>新美 2022/12/14 (水)
平日夜間</v>
      </c>
    </row>
    <row r="6290" spans="1:7" ht="16.149999999999999" x14ac:dyDescent="0.7">
      <c r="A6290" s="49">
        <v>44881.868480520832</v>
      </c>
      <c r="B6290" s="50" t="s">
        <v>13</v>
      </c>
      <c r="C6290" s="50" t="s">
        <v>588</v>
      </c>
      <c r="D6290" s="50" t="s">
        <v>259</v>
      </c>
      <c r="E6290" s="50">
        <v>0</v>
      </c>
      <c r="F6290" s="51">
        <v>0.16863395862077302</v>
      </c>
      <c r="G6290" s="51" t="str">
        <v>新美 2022/12/15 (木)
平日夜間</v>
      </c>
    </row>
    <row r="6291" spans="1:7" ht="16.149999999999999" x14ac:dyDescent="0.7">
      <c r="A6291" s="49">
        <v>44881.868480520832</v>
      </c>
      <c r="B6291" s="50" t="s">
        <v>13</v>
      </c>
      <c r="C6291" s="50" t="s">
        <v>589</v>
      </c>
      <c r="D6291" s="50" t="s">
        <v>259</v>
      </c>
      <c r="E6291" s="50">
        <v>0</v>
      </c>
      <c r="F6291" s="51">
        <v>0.83215482161098908</v>
      </c>
      <c r="G6291" s="51" t="str">
        <v>新美 2022/12/16 (金)
平日夜間</v>
      </c>
    </row>
    <row r="6292" spans="1:7" ht="16.149999999999999" x14ac:dyDescent="0.7">
      <c r="A6292" s="49">
        <v>44881.868480520832</v>
      </c>
      <c r="B6292" s="50" t="s">
        <v>13</v>
      </c>
      <c r="C6292" s="50" t="s">
        <v>590</v>
      </c>
      <c r="D6292" s="50" t="s">
        <v>263</v>
      </c>
      <c r="E6292" s="50">
        <v>0</v>
      </c>
      <c r="F6292" s="51">
        <v>0.3168570619281259</v>
      </c>
      <c r="G6292" s="51" t="str">
        <v>新美 2022/12/17 (土)
休日午前</v>
      </c>
    </row>
    <row r="6293" spans="1:7" ht="16.149999999999999" x14ac:dyDescent="0.7">
      <c r="A6293" s="49">
        <v>44881.868480520832</v>
      </c>
      <c r="B6293" s="50" t="s">
        <v>13</v>
      </c>
      <c r="C6293" s="50" t="s">
        <v>591</v>
      </c>
      <c r="D6293" s="50" t="s">
        <v>261</v>
      </c>
      <c r="E6293" s="50">
        <v>0</v>
      </c>
      <c r="F6293" s="51">
        <v>0.79152838080388865</v>
      </c>
      <c r="G6293" s="51" t="str">
        <v>新美 2022/12/17 (土)
休日午後</v>
      </c>
    </row>
    <row r="6294" spans="1:7" ht="16.149999999999999" x14ac:dyDescent="0.7">
      <c r="A6294" s="49">
        <v>44881.868480520832</v>
      </c>
      <c r="B6294" s="50" t="s">
        <v>13</v>
      </c>
      <c r="C6294" s="50" t="s">
        <v>592</v>
      </c>
      <c r="D6294" s="50" t="s">
        <v>263</v>
      </c>
      <c r="E6294" s="50">
        <v>0</v>
      </c>
      <c r="F6294" s="51">
        <v>0.16012355091793951</v>
      </c>
      <c r="G6294" s="51" t="str">
        <v>新美 2022/12/18 (日)
休日午前</v>
      </c>
    </row>
    <row r="6295" spans="1:7" ht="16.149999999999999" x14ac:dyDescent="0.7">
      <c r="A6295" s="49">
        <v>44881.868480520832</v>
      </c>
      <c r="B6295" s="50" t="s">
        <v>13</v>
      </c>
      <c r="C6295" s="50" t="s">
        <v>593</v>
      </c>
      <c r="D6295" s="50" t="s">
        <v>261</v>
      </c>
      <c r="E6295" s="50">
        <v>0</v>
      </c>
      <c r="F6295" s="51">
        <v>6.2815779020647389E-2</v>
      </c>
      <c r="G6295" s="51" t="str">
        <v>新美 2022/12/18 (日)
休日午後</v>
      </c>
    </row>
    <row r="6296" spans="1:7" ht="16.149999999999999" x14ac:dyDescent="0.7">
      <c r="A6296" s="49">
        <v>44881.868480520832</v>
      </c>
      <c r="B6296" s="50" t="s">
        <v>13</v>
      </c>
      <c r="C6296" s="50" t="s">
        <v>594</v>
      </c>
      <c r="D6296" s="50" t="s">
        <v>259</v>
      </c>
      <c r="E6296" s="50">
        <v>0</v>
      </c>
      <c r="F6296" s="51">
        <v>0.20060885497227954</v>
      </c>
      <c r="G6296" s="51" t="str">
        <v>新美 2022/12/19 (月)
平日夜間</v>
      </c>
    </row>
    <row r="6297" spans="1:7" ht="16.149999999999999" x14ac:dyDescent="0.7">
      <c r="A6297" s="49">
        <v>44881.868480520832</v>
      </c>
      <c r="B6297" s="50" t="s">
        <v>13</v>
      </c>
      <c r="C6297" s="50" t="s">
        <v>595</v>
      </c>
      <c r="D6297" s="50" t="s">
        <v>259</v>
      </c>
      <c r="E6297" s="50">
        <v>-1</v>
      </c>
      <c r="F6297" s="51">
        <v>-0.62972432490306129</v>
      </c>
      <c r="G6297" s="51" t="str">
        <v>新美 2022/12/20 (火)
平日夜間</v>
      </c>
    </row>
    <row r="6298" spans="1:7" ht="16.149999999999999" x14ac:dyDescent="0.7">
      <c r="A6298" s="49">
        <v>44881.868480520832</v>
      </c>
      <c r="B6298" s="50" t="s">
        <v>13</v>
      </c>
      <c r="C6298" s="50" t="s">
        <v>596</v>
      </c>
      <c r="D6298" s="50" t="s">
        <v>259</v>
      </c>
      <c r="E6298" s="50">
        <v>-1</v>
      </c>
      <c r="F6298" s="51">
        <v>-0.90675002601627774</v>
      </c>
      <c r="G6298" s="51" t="str">
        <v>新美 2022/12/21 (水)
平日夜間</v>
      </c>
    </row>
    <row r="6299" spans="1:7" ht="16.149999999999999" x14ac:dyDescent="0.7">
      <c r="A6299" s="49">
        <v>44881.868480520832</v>
      </c>
      <c r="B6299" s="50" t="s">
        <v>13</v>
      </c>
      <c r="C6299" s="50" t="s">
        <v>597</v>
      </c>
      <c r="D6299" s="50" t="s">
        <v>259</v>
      </c>
      <c r="E6299" s="50">
        <v>0</v>
      </c>
      <c r="F6299" s="51">
        <v>0.56202456679178447</v>
      </c>
      <c r="G6299" s="51" t="str">
        <v>新美 2022/12/22 (木)
平日夜間</v>
      </c>
    </row>
    <row r="6300" spans="1:7" ht="16.149999999999999" x14ac:dyDescent="0.7">
      <c r="A6300" s="49">
        <v>44881.868480520832</v>
      </c>
      <c r="B6300" s="50" t="s">
        <v>13</v>
      </c>
      <c r="C6300" s="50" t="s">
        <v>598</v>
      </c>
      <c r="D6300" s="50" t="s">
        <v>259</v>
      </c>
      <c r="E6300" s="50">
        <v>0</v>
      </c>
      <c r="F6300" s="51">
        <v>4.9842188596503023E-2</v>
      </c>
      <c r="G6300" s="51" t="str">
        <v>新美 2022/12/23 (金)
平日夜間</v>
      </c>
    </row>
    <row r="6301" spans="1:7" ht="16.149999999999999" x14ac:dyDescent="0.7">
      <c r="A6301" s="49">
        <v>44881.868480520832</v>
      </c>
      <c r="B6301" s="50" t="s">
        <v>13</v>
      </c>
      <c r="C6301" s="50" t="s">
        <v>599</v>
      </c>
      <c r="D6301" s="50" t="s">
        <v>263</v>
      </c>
      <c r="E6301" s="50">
        <v>0</v>
      </c>
      <c r="F6301" s="51">
        <v>0.1889972329390468</v>
      </c>
      <c r="G6301" s="51" t="str">
        <v>新美 2022/12/24 (土)
休日午前</v>
      </c>
    </row>
    <row r="6302" spans="1:7" ht="16.149999999999999" x14ac:dyDescent="0.7">
      <c r="A6302" s="49">
        <v>44881.868480520832</v>
      </c>
      <c r="B6302" s="50" t="s">
        <v>13</v>
      </c>
      <c r="C6302" s="50" t="s">
        <v>600</v>
      </c>
      <c r="D6302" s="50" t="s">
        <v>261</v>
      </c>
      <c r="E6302" s="50">
        <v>0</v>
      </c>
      <c r="F6302" s="51">
        <v>0.71199960024011233</v>
      </c>
      <c r="G6302" s="51" t="str">
        <v>新美 2022/12/24 (土)
休日午後</v>
      </c>
    </row>
    <row r="6303" spans="1:7" ht="16.149999999999999" x14ac:dyDescent="0.7">
      <c r="A6303" s="49">
        <v>44881.868480520832</v>
      </c>
      <c r="B6303" s="50" t="s">
        <v>13</v>
      </c>
      <c r="C6303" s="50" t="s">
        <v>601</v>
      </c>
      <c r="D6303" s="50" t="s">
        <v>263</v>
      </c>
      <c r="E6303" s="50">
        <v>0</v>
      </c>
      <c r="F6303" s="51">
        <v>0.61661459318875322</v>
      </c>
      <c r="G6303" s="51" t="str">
        <v>新美 2022/12/25 (日)
休日午前</v>
      </c>
    </row>
    <row r="6304" spans="1:7" ht="16.149999999999999" x14ac:dyDescent="0.7">
      <c r="A6304" s="49">
        <v>44881.868480520832</v>
      </c>
      <c r="B6304" s="50" t="s">
        <v>13</v>
      </c>
      <c r="C6304" s="50" t="s">
        <v>602</v>
      </c>
      <c r="D6304" s="50" t="s">
        <v>261</v>
      </c>
      <c r="E6304" s="50">
        <v>0</v>
      </c>
      <c r="F6304" s="51">
        <v>0.39449468971429491</v>
      </c>
      <c r="G6304" s="51" t="str">
        <v>新美 2022/12/25 (日)
休日午後</v>
      </c>
    </row>
    <row r="6305" spans="1:7" ht="16.149999999999999" x14ac:dyDescent="0.7">
      <c r="A6305" s="49">
        <v>44881.868480520832</v>
      </c>
      <c r="B6305" s="50" t="s">
        <v>13</v>
      </c>
      <c r="C6305" s="50" t="s">
        <v>603</v>
      </c>
      <c r="D6305" s="50" t="s">
        <v>259</v>
      </c>
      <c r="E6305" s="50">
        <v>0</v>
      </c>
      <c r="F6305" s="51">
        <v>0.68474165649360352</v>
      </c>
      <c r="G6305" s="51" t="str">
        <v>新美 2022/12/26 (月)
平日夜間</v>
      </c>
    </row>
    <row r="6306" spans="1:7" ht="16.149999999999999" x14ac:dyDescent="0.7">
      <c r="A6306" s="49">
        <v>44881.868480520832</v>
      </c>
      <c r="B6306" s="50" t="s">
        <v>13</v>
      </c>
      <c r="C6306" s="50" t="s">
        <v>604</v>
      </c>
      <c r="D6306" s="50" t="s">
        <v>259</v>
      </c>
      <c r="E6306" s="50">
        <v>0</v>
      </c>
      <c r="F6306" s="51">
        <v>0.71944969315358609</v>
      </c>
      <c r="G6306" s="51" t="str">
        <v>新美 2022/12/27 (火)
平日夜間</v>
      </c>
    </row>
    <row r="6307" spans="1:7" ht="16.149999999999999" x14ac:dyDescent="0.7">
      <c r="A6307" s="49">
        <v>44881.868480520832</v>
      </c>
      <c r="B6307" s="50" t="s">
        <v>13</v>
      </c>
      <c r="C6307" s="50" t="s">
        <v>605</v>
      </c>
      <c r="D6307" s="50" t="s">
        <v>259</v>
      </c>
      <c r="E6307" s="50">
        <v>-1</v>
      </c>
      <c r="F6307" s="51">
        <v>-0.66738018288656553</v>
      </c>
      <c r="G6307" s="51" t="str">
        <v>新美 2022/12/28 (水)
平日夜間</v>
      </c>
    </row>
    <row r="6308" spans="1:7" ht="16.149999999999999" x14ac:dyDescent="0.7">
      <c r="A6308" s="49">
        <v>44881.879580752313</v>
      </c>
      <c r="B6308" s="50" t="s">
        <v>19</v>
      </c>
      <c r="C6308" s="50" t="s">
        <v>570</v>
      </c>
      <c r="D6308" s="50" t="s">
        <v>259</v>
      </c>
      <c r="E6308" s="50">
        <v>-1</v>
      </c>
      <c r="F6308" s="51">
        <v>-0.8209381789159822</v>
      </c>
      <c r="G6308" s="51" t="str">
        <v>佐藤 2022/12/01 (木)
平日夜間</v>
      </c>
    </row>
    <row r="6309" spans="1:7" ht="16.149999999999999" x14ac:dyDescent="0.7">
      <c r="A6309" s="49">
        <v>44881.879580752313</v>
      </c>
      <c r="B6309" s="50" t="s">
        <v>19</v>
      </c>
      <c r="C6309" s="50" t="s">
        <v>571</v>
      </c>
      <c r="D6309" s="50" t="s">
        <v>259</v>
      </c>
      <c r="E6309" s="50">
        <v>-1</v>
      </c>
      <c r="F6309" s="51">
        <v>-0.46411415407062662</v>
      </c>
      <c r="G6309" s="51" t="str">
        <v>佐藤 2022/12/02 (金)
平日夜間</v>
      </c>
    </row>
    <row r="6310" spans="1:7" ht="16.149999999999999" x14ac:dyDescent="0.7">
      <c r="A6310" s="49">
        <v>44881.879580752313</v>
      </c>
      <c r="B6310" s="50" t="s">
        <v>19</v>
      </c>
      <c r="C6310" s="50" t="s">
        <v>572</v>
      </c>
      <c r="D6310" s="50" t="s">
        <v>263</v>
      </c>
      <c r="E6310" s="50">
        <v>0</v>
      </c>
      <c r="F6310" s="51">
        <v>0.36647772470320117</v>
      </c>
      <c r="G6310" s="51" t="str">
        <v>佐藤 2022/12/03 (土)
休日午前</v>
      </c>
    </row>
    <row r="6311" spans="1:7" ht="16.149999999999999" x14ac:dyDescent="0.7">
      <c r="A6311" s="49">
        <v>44881.879580752313</v>
      </c>
      <c r="B6311" s="50" t="s">
        <v>19</v>
      </c>
      <c r="C6311" s="50" t="s">
        <v>573</v>
      </c>
      <c r="D6311" s="50" t="s">
        <v>261</v>
      </c>
      <c r="E6311" s="50">
        <v>-1</v>
      </c>
      <c r="F6311" s="51">
        <v>-0.35255641431992113</v>
      </c>
      <c r="G6311" s="51" t="str">
        <v>佐藤 2022/12/03 (土)
休日午後</v>
      </c>
    </row>
    <row r="6312" spans="1:7" ht="16.149999999999999" x14ac:dyDescent="0.7">
      <c r="A6312" s="49">
        <v>44881.879580752313</v>
      </c>
      <c r="B6312" s="50" t="s">
        <v>19</v>
      </c>
      <c r="C6312" s="50" t="s">
        <v>574</v>
      </c>
      <c r="D6312" s="50" t="s">
        <v>263</v>
      </c>
      <c r="E6312" s="50">
        <v>-1</v>
      </c>
      <c r="F6312" s="51">
        <v>-0.50835269424122487</v>
      </c>
      <c r="G6312" s="51" t="str">
        <v>佐藤 2022/12/04 (日)
休日午前</v>
      </c>
    </row>
    <row r="6313" spans="1:7" ht="16.149999999999999" x14ac:dyDescent="0.7">
      <c r="A6313" s="49">
        <v>44881.879580752313</v>
      </c>
      <c r="B6313" s="50" t="s">
        <v>19</v>
      </c>
      <c r="C6313" s="50" t="s">
        <v>575</v>
      </c>
      <c r="D6313" s="50" t="s">
        <v>261</v>
      </c>
      <c r="E6313" s="50">
        <v>-1</v>
      </c>
      <c r="F6313" s="51">
        <v>-0.32003277985406586</v>
      </c>
      <c r="G6313" s="51" t="str">
        <v>佐藤 2022/12/04 (日)
休日午後</v>
      </c>
    </row>
    <row r="6314" spans="1:7" ht="16.149999999999999" x14ac:dyDescent="0.7">
      <c r="A6314" s="49">
        <v>44881.879580752313</v>
      </c>
      <c r="B6314" s="50" t="s">
        <v>19</v>
      </c>
      <c r="C6314" s="50" t="s">
        <v>576</v>
      </c>
      <c r="D6314" s="50" t="s">
        <v>259</v>
      </c>
      <c r="E6314" s="50">
        <v>-1</v>
      </c>
      <c r="F6314" s="51">
        <v>-0.54053334597620495</v>
      </c>
      <c r="G6314" s="51" t="str">
        <v>佐藤 2022/12/05 (月)
平日夜間</v>
      </c>
    </row>
    <row r="6315" spans="1:7" ht="16.149999999999999" x14ac:dyDescent="0.7">
      <c r="A6315" s="49">
        <v>44881.879580752313</v>
      </c>
      <c r="B6315" s="50" t="s">
        <v>19</v>
      </c>
      <c r="C6315" s="50" t="s">
        <v>577</v>
      </c>
      <c r="D6315" s="50" t="s">
        <v>259</v>
      </c>
      <c r="E6315" s="50">
        <v>-1</v>
      </c>
      <c r="F6315" s="51">
        <v>-0.95901789425909212</v>
      </c>
      <c r="G6315" s="51" t="str">
        <v>佐藤 2022/12/06 (火)
平日夜間</v>
      </c>
    </row>
    <row r="6316" spans="1:7" ht="16.149999999999999" x14ac:dyDescent="0.7">
      <c r="A6316" s="49">
        <v>44881.879580752313</v>
      </c>
      <c r="B6316" s="50" t="s">
        <v>19</v>
      </c>
      <c r="C6316" s="50" t="s">
        <v>578</v>
      </c>
      <c r="D6316" s="50" t="s">
        <v>259</v>
      </c>
      <c r="E6316" s="50">
        <v>-1</v>
      </c>
      <c r="F6316" s="51">
        <v>-8.8130523184771992E-2</v>
      </c>
      <c r="G6316" s="51" t="str">
        <v>佐藤 2022/12/07 (水)
平日夜間</v>
      </c>
    </row>
    <row r="6317" spans="1:7" ht="16.149999999999999" x14ac:dyDescent="0.7">
      <c r="A6317" s="49">
        <v>44881.879580752313</v>
      </c>
      <c r="B6317" s="50" t="s">
        <v>19</v>
      </c>
      <c r="C6317" s="50" t="s">
        <v>579</v>
      </c>
      <c r="D6317" s="50" t="s">
        <v>259</v>
      </c>
      <c r="E6317" s="50">
        <v>-1</v>
      </c>
      <c r="F6317" s="51">
        <v>-0.31004722990242639</v>
      </c>
      <c r="G6317" s="51" t="str">
        <v>佐藤 2022/12/08 (木)
平日夜間</v>
      </c>
    </row>
    <row r="6318" spans="1:7" ht="16.149999999999999" x14ac:dyDescent="0.7">
      <c r="A6318" s="49">
        <v>44881.879580752313</v>
      </c>
      <c r="B6318" s="50" t="s">
        <v>19</v>
      </c>
      <c r="C6318" s="50" t="s">
        <v>580</v>
      </c>
      <c r="D6318" s="50" t="s">
        <v>259</v>
      </c>
      <c r="E6318" s="50">
        <v>-1</v>
      </c>
      <c r="F6318" s="51">
        <v>-0.99496491598040415</v>
      </c>
      <c r="G6318" s="51" t="str">
        <v>佐藤 2022/12/09 (金)
平日夜間</v>
      </c>
    </row>
    <row r="6319" spans="1:7" ht="16.149999999999999" x14ac:dyDescent="0.7">
      <c r="A6319" s="49">
        <v>44881.879580752313</v>
      </c>
      <c r="B6319" s="50" t="s">
        <v>19</v>
      </c>
      <c r="C6319" s="50" t="s">
        <v>581</v>
      </c>
      <c r="D6319" s="50" t="s">
        <v>263</v>
      </c>
      <c r="E6319" s="50">
        <v>-1</v>
      </c>
      <c r="F6319" s="51">
        <v>-0.96820155075160441</v>
      </c>
      <c r="G6319" s="51" t="str">
        <v>佐藤 2022/12/10 (土)
休日午前</v>
      </c>
    </row>
    <row r="6320" spans="1:7" ht="16.149999999999999" x14ac:dyDescent="0.7">
      <c r="A6320" s="49">
        <v>44881.879580752313</v>
      </c>
      <c r="B6320" s="50" t="s">
        <v>19</v>
      </c>
      <c r="C6320" s="50" t="s">
        <v>582</v>
      </c>
      <c r="D6320" s="50" t="s">
        <v>261</v>
      </c>
      <c r="E6320" s="50">
        <v>-1</v>
      </c>
      <c r="F6320" s="51">
        <v>-0.84947309648327152</v>
      </c>
      <c r="G6320" s="51" t="str">
        <v>佐藤 2022/12/10 (土)
休日午後</v>
      </c>
    </row>
    <row r="6321" spans="1:7" ht="16.149999999999999" x14ac:dyDescent="0.7">
      <c r="A6321" s="49">
        <v>44881.879580752313</v>
      </c>
      <c r="B6321" s="50" t="s">
        <v>19</v>
      </c>
      <c r="C6321" s="50" t="s">
        <v>583</v>
      </c>
      <c r="D6321" s="50" t="s">
        <v>263</v>
      </c>
      <c r="E6321" s="50">
        <v>-1</v>
      </c>
      <c r="F6321" s="51">
        <v>-0.37486236606118406</v>
      </c>
      <c r="G6321" s="51" t="str">
        <v>佐藤 2022/12/11 (日)
休日午前</v>
      </c>
    </row>
    <row r="6322" spans="1:7" ht="16.149999999999999" x14ac:dyDescent="0.7">
      <c r="A6322" s="49">
        <v>44881.879580752313</v>
      </c>
      <c r="B6322" s="50" t="s">
        <v>19</v>
      </c>
      <c r="C6322" s="50" t="s">
        <v>584</v>
      </c>
      <c r="D6322" s="50" t="s">
        <v>261</v>
      </c>
      <c r="E6322" s="50">
        <v>-1</v>
      </c>
      <c r="F6322" s="51">
        <v>-0.33154020568776987</v>
      </c>
      <c r="G6322" s="51" t="str">
        <v>佐藤 2022/12/11 (日)
休日午後</v>
      </c>
    </row>
    <row r="6323" spans="1:7" ht="16.149999999999999" x14ac:dyDescent="0.7">
      <c r="A6323" s="49">
        <v>44881.879580752313</v>
      </c>
      <c r="B6323" s="50" t="s">
        <v>19</v>
      </c>
      <c r="C6323" s="50" t="s">
        <v>585</v>
      </c>
      <c r="D6323" s="50" t="s">
        <v>259</v>
      </c>
      <c r="E6323" s="50">
        <v>-1</v>
      </c>
      <c r="F6323" s="51">
        <v>-0.90749560458163536</v>
      </c>
      <c r="G6323" s="51" t="str">
        <v>佐藤 2022/12/12 (月)
平日夜間</v>
      </c>
    </row>
    <row r="6324" spans="1:7" ht="16.149999999999999" x14ac:dyDescent="0.7">
      <c r="A6324" s="49">
        <v>44881.879580752313</v>
      </c>
      <c r="B6324" s="50" t="s">
        <v>19</v>
      </c>
      <c r="C6324" s="50" t="s">
        <v>586</v>
      </c>
      <c r="D6324" s="50" t="s">
        <v>259</v>
      </c>
      <c r="E6324" s="50">
        <v>0</v>
      </c>
      <c r="F6324" s="51">
        <v>5.0370384782734146E-3</v>
      </c>
      <c r="G6324" s="51" t="str">
        <v>佐藤 2022/12/13 (火)
平日夜間</v>
      </c>
    </row>
    <row r="6325" spans="1:7" ht="16.149999999999999" x14ac:dyDescent="0.7">
      <c r="A6325" s="49">
        <v>44881.879580752313</v>
      </c>
      <c r="B6325" s="50" t="s">
        <v>19</v>
      </c>
      <c r="C6325" s="50" t="s">
        <v>587</v>
      </c>
      <c r="D6325" s="50" t="s">
        <v>259</v>
      </c>
      <c r="E6325" s="50">
        <v>0</v>
      </c>
      <c r="F6325" s="51">
        <v>0.41577178080532051</v>
      </c>
      <c r="G6325" s="51" t="str">
        <v>佐藤 2022/12/14 (水)
平日夜間</v>
      </c>
    </row>
    <row r="6326" spans="1:7" ht="16.149999999999999" x14ac:dyDescent="0.7">
      <c r="A6326" s="49">
        <v>44881.879580752313</v>
      </c>
      <c r="B6326" s="50" t="s">
        <v>19</v>
      </c>
      <c r="C6326" s="50" t="s">
        <v>588</v>
      </c>
      <c r="D6326" s="50" t="s">
        <v>259</v>
      </c>
      <c r="E6326" s="50">
        <v>0</v>
      </c>
      <c r="F6326" s="51">
        <v>0.29081083893969328</v>
      </c>
      <c r="G6326" s="51" t="str">
        <v>佐藤 2022/12/15 (木)
平日夜間</v>
      </c>
    </row>
    <row r="6327" spans="1:7" ht="16.149999999999999" x14ac:dyDescent="0.7">
      <c r="A6327" s="49">
        <v>44881.879580752313</v>
      </c>
      <c r="B6327" s="50" t="s">
        <v>19</v>
      </c>
      <c r="C6327" s="50" t="s">
        <v>589</v>
      </c>
      <c r="D6327" s="50" t="s">
        <v>259</v>
      </c>
      <c r="E6327" s="50">
        <v>-1</v>
      </c>
      <c r="F6327" s="51">
        <v>-0.51740189104557932</v>
      </c>
      <c r="G6327" s="51" t="str">
        <v>佐藤 2022/12/16 (金)
平日夜間</v>
      </c>
    </row>
    <row r="6328" spans="1:7" ht="16.149999999999999" x14ac:dyDescent="0.7">
      <c r="A6328" s="49">
        <v>44881.879580752313</v>
      </c>
      <c r="B6328" s="50" t="s">
        <v>19</v>
      </c>
      <c r="C6328" s="50" t="s">
        <v>590</v>
      </c>
      <c r="D6328" s="50" t="s">
        <v>263</v>
      </c>
      <c r="E6328" s="50">
        <v>2</v>
      </c>
      <c r="F6328" s="51">
        <v>2.1296161491618917</v>
      </c>
      <c r="G6328" s="51" t="str">
        <v>佐藤 2022/12/17 (土)
休日午前</v>
      </c>
    </row>
    <row r="6329" spans="1:7" ht="16.149999999999999" x14ac:dyDescent="0.7">
      <c r="A6329" s="49">
        <v>44881.879580752313</v>
      </c>
      <c r="B6329" s="50" t="s">
        <v>19</v>
      </c>
      <c r="C6329" s="50" t="s">
        <v>591</v>
      </c>
      <c r="D6329" s="50" t="s">
        <v>261</v>
      </c>
      <c r="E6329" s="50">
        <v>-1</v>
      </c>
      <c r="F6329" s="51">
        <v>-0.72369681479374082</v>
      </c>
      <c r="G6329" s="51" t="str">
        <v>佐藤 2022/12/17 (土)
休日午後</v>
      </c>
    </row>
    <row r="6330" spans="1:7" ht="16.149999999999999" x14ac:dyDescent="0.7">
      <c r="A6330" s="49">
        <v>44881.879580752313</v>
      </c>
      <c r="B6330" s="50" t="s">
        <v>19</v>
      </c>
      <c r="C6330" s="50" t="s">
        <v>592</v>
      </c>
      <c r="D6330" s="50" t="s">
        <v>263</v>
      </c>
      <c r="E6330" s="50">
        <v>0</v>
      </c>
      <c r="F6330" s="51">
        <v>0.8296640757210314</v>
      </c>
      <c r="G6330" s="51" t="str">
        <v>佐藤 2022/12/18 (日)
休日午前</v>
      </c>
    </row>
    <row r="6331" spans="1:7" ht="16.149999999999999" x14ac:dyDescent="0.7">
      <c r="A6331" s="49">
        <v>44881.879580752313</v>
      </c>
      <c r="B6331" s="50" t="s">
        <v>19</v>
      </c>
      <c r="C6331" s="50" t="s">
        <v>593</v>
      </c>
      <c r="D6331" s="50" t="s">
        <v>261</v>
      </c>
      <c r="E6331" s="50">
        <v>-1</v>
      </c>
      <c r="F6331" s="51">
        <v>-0.73491956991513785</v>
      </c>
      <c r="G6331" s="51" t="str">
        <v>佐藤 2022/12/18 (日)
休日午後</v>
      </c>
    </row>
    <row r="6332" spans="1:7" ht="16.149999999999999" x14ac:dyDescent="0.7">
      <c r="A6332" s="49">
        <v>44881.879580752313</v>
      </c>
      <c r="B6332" s="50" t="s">
        <v>19</v>
      </c>
      <c r="C6332" s="50" t="s">
        <v>594</v>
      </c>
      <c r="D6332" s="50" t="s">
        <v>259</v>
      </c>
      <c r="E6332" s="50">
        <v>-1</v>
      </c>
      <c r="F6332" s="51">
        <v>-0.71876706915241573</v>
      </c>
      <c r="G6332" s="51" t="str">
        <v>佐藤 2022/12/19 (月)
平日夜間</v>
      </c>
    </row>
    <row r="6333" spans="1:7" ht="16.149999999999999" x14ac:dyDescent="0.7">
      <c r="A6333" s="49">
        <v>44881.879580752313</v>
      </c>
      <c r="B6333" s="50" t="s">
        <v>19</v>
      </c>
      <c r="C6333" s="50" t="s">
        <v>595</v>
      </c>
      <c r="D6333" s="50" t="s">
        <v>259</v>
      </c>
      <c r="E6333" s="50">
        <v>0</v>
      </c>
      <c r="F6333" s="51">
        <v>0.859510283994394</v>
      </c>
      <c r="G6333" s="51" t="str">
        <v>佐藤 2022/12/20 (火)
平日夜間</v>
      </c>
    </row>
    <row r="6334" spans="1:7" ht="16.149999999999999" x14ac:dyDescent="0.7">
      <c r="A6334" s="49">
        <v>44881.879580752313</v>
      </c>
      <c r="B6334" s="50" t="s">
        <v>19</v>
      </c>
      <c r="C6334" s="50" t="s">
        <v>596</v>
      </c>
      <c r="D6334" s="50" t="s">
        <v>259</v>
      </c>
      <c r="E6334" s="50">
        <v>0</v>
      </c>
      <c r="F6334" s="51">
        <v>0.74623991781826904</v>
      </c>
      <c r="G6334" s="51" t="str">
        <v>佐藤 2022/12/21 (水)
平日夜間</v>
      </c>
    </row>
    <row r="6335" spans="1:7" ht="16.149999999999999" x14ac:dyDescent="0.7">
      <c r="A6335" s="49">
        <v>44881.879580752313</v>
      </c>
      <c r="B6335" s="50" t="s">
        <v>19</v>
      </c>
      <c r="C6335" s="50" t="s">
        <v>597</v>
      </c>
      <c r="D6335" s="50" t="s">
        <v>259</v>
      </c>
      <c r="E6335" s="50">
        <v>0</v>
      </c>
      <c r="F6335" s="51">
        <v>0.77315588617957398</v>
      </c>
      <c r="G6335" s="51" t="str">
        <v>佐藤 2022/12/22 (木)
平日夜間</v>
      </c>
    </row>
    <row r="6336" spans="1:7" ht="16.149999999999999" x14ac:dyDescent="0.7">
      <c r="A6336" s="49">
        <v>44881.879580752313</v>
      </c>
      <c r="B6336" s="50" t="s">
        <v>19</v>
      </c>
      <c r="C6336" s="50" t="s">
        <v>598</v>
      </c>
      <c r="D6336" s="50" t="s">
        <v>259</v>
      </c>
      <c r="E6336" s="50">
        <v>-1</v>
      </c>
      <c r="F6336" s="51">
        <v>-0.73787567299093704</v>
      </c>
      <c r="G6336" s="51" t="str">
        <v>佐藤 2022/12/23 (金)
平日夜間</v>
      </c>
    </row>
    <row r="6337" spans="1:7" ht="16.149999999999999" x14ac:dyDescent="0.7">
      <c r="A6337" s="49">
        <v>44881.879580752313</v>
      </c>
      <c r="B6337" s="50" t="s">
        <v>19</v>
      </c>
      <c r="C6337" s="50" t="s">
        <v>599</v>
      </c>
      <c r="D6337" s="50" t="s">
        <v>263</v>
      </c>
      <c r="E6337" s="50">
        <v>2</v>
      </c>
      <c r="F6337" s="51">
        <v>2.8327769431189362</v>
      </c>
      <c r="G6337" s="51" t="str">
        <v>佐藤 2022/12/24 (土)
休日午前</v>
      </c>
    </row>
    <row r="6338" spans="1:7" ht="16.149999999999999" x14ac:dyDescent="0.7">
      <c r="A6338" s="49">
        <v>44881.879580752313</v>
      </c>
      <c r="B6338" s="50" t="s">
        <v>19</v>
      </c>
      <c r="C6338" s="50" t="s">
        <v>600</v>
      </c>
      <c r="D6338" s="50" t="s">
        <v>261</v>
      </c>
      <c r="E6338" s="50">
        <v>-1</v>
      </c>
      <c r="F6338" s="51">
        <v>-0.61474490699389084</v>
      </c>
      <c r="G6338" s="51" t="str">
        <v>佐藤 2022/12/24 (土)
休日午後</v>
      </c>
    </row>
    <row r="6339" spans="1:7" ht="16.149999999999999" x14ac:dyDescent="0.7">
      <c r="A6339" s="49">
        <v>44881.879580752313</v>
      </c>
      <c r="B6339" s="50" t="s">
        <v>19</v>
      </c>
      <c r="C6339" s="50" t="s">
        <v>601</v>
      </c>
      <c r="D6339" s="50" t="s">
        <v>263</v>
      </c>
      <c r="E6339" s="50">
        <v>-1</v>
      </c>
      <c r="F6339" s="51">
        <v>-0.5048158423361071</v>
      </c>
      <c r="G6339" s="51" t="str">
        <v>佐藤 2022/12/25 (日)
休日午前</v>
      </c>
    </row>
    <row r="6340" spans="1:7" ht="16.149999999999999" x14ac:dyDescent="0.7">
      <c r="A6340" s="49">
        <v>44881.879580752313</v>
      </c>
      <c r="B6340" s="50" t="s">
        <v>19</v>
      </c>
      <c r="C6340" s="50" t="s">
        <v>602</v>
      </c>
      <c r="D6340" s="50" t="s">
        <v>261</v>
      </c>
      <c r="E6340" s="50">
        <v>-1</v>
      </c>
      <c r="F6340" s="51">
        <v>-0.74674983476598622</v>
      </c>
      <c r="G6340" s="51" t="str">
        <v>佐藤 2022/12/25 (日)
休日午後</v>
      </c>
    </row>
    <row r="6341" spans="1:7" ht="16.149999999999999" x14ac:dyDescent="0.7">
      <c r="A6341" s="49">
        <v>44881.879580752313</v>
      </c>
      <c r="B6341" s="50" t="s">
        <v>19</v>
      </c>
      <c r="C6341" s="50" t="s">
        <v>603</v>
      </c>
      <c r="D6341" s="50" t="s">
        <v>259</v>
      </c>
      <c r="E6341" s="50">
        <v>-1</v>
      </c>
      <c r="F6341" s="51">
        <v>-0.28932409919861524</v>
      </c>
      <c r="G6341" s="51" t="str">
        <v>佐藤 2022/12/26 (月)
平日夜間</v>
      </c>
    </row>
    <row r="6342" spans="1:7" ht="16.149999999999999" x14ac:dyDescent="0.7">
      <c r="A6342" s="49">
        <v>44881.879580752313</v>
      </c>
      <c r="B6342" s="50" t="s">
        <v>19</v>
      </c>
      <c r="C6342" s="50" t="s">
        <v>604</v>
      </c>
      <c r="D6342" s="50" t="s">
        <v>259</v>
      </c>
      <c r="E6342" s="50">
        <v>0</v>
      </c>
      <c r="F6342" s="51">
        <v>0.90810228756667133</v>
      </c>
      <c r="G6342" s="51" t="str">
        <v>佐藤 2022/12/27 (火)
平日夜間</v>
      </c>
    </row>
    <row r="6343" spans="1:7" ht="16.149999999999999" x14ac:dyDescent="0.7">
      <c r="A6343" s="49">
        <v>44881.879580752313</v>
      </c>
      <c r="B6343" s="50" t="s">
        <v>19</v>
      </c>
      <c r="C6343" s="50" t="s">
        <v>605</v>
      </c>
      <c r="D6343" s="50" t="s">
        <v>259</v>
      </c>
      <c r="E6343" s="50">
        <v>0</v>
      </c>
      <c r="F6343" s="51">
        <v>0.39797451741146728</v>
      </c>
      <c r="G6343" s="51" t="str">
        <v>佐藤 2022/12/28 (水)
平日夜間</v>
      </c>
    </row>
    <row r="6344" spans="1:7" ht="16.149999999999999" x14ac:dyDescent="0.7">
      <c r="A6344" s="49">
        <v>44881.900769490741</v>
      </c>
      <c r="B6344" s="50" t="s">
        <v>9</v>
      </c>
      <c r="C6344" s="50" t="s">
        <v>570</v>
      </c>
      <c r="D6344" s="50" t="s">
        <v>259</v>
      </c>
      <c r="E6344" s="50">
        <v>0</v>
      </c>
      <c r="F6344" s="51">
        <v>0.97169965260020108</v>
      </c>
      <c r="G6344" s="51" t="str">
        <v>山口 2022/12/01 (木)
平日夜間</v>
      </c>
    </row>
    <row r="6345" spans="1:7" ht="16.149999999999999" x14ac:dyDescent="0.7">
      <c r="A6345" s="49">
        <v>44881.900769490741</v>
      </c>
      <c r="B6345" s="50" t="s">
        <v>9</v>
      </c>
      <c r="C6345" s="50" t="s">
        <v>571</v>
      </c>
      <c r="D6345" s="50" t="s">
        <v>259</v>
      </c>
      <c r="E6345" s="50">
        <v>0</v>
      </c>
      <c r="F6345" s="51">
        <v>0.93404453454173786</v>
      </c>
      <c r="G6345" s="51" t="str">
        <v>山口 2022/12/02 (金)
平日夜間</v>
      </c>
    </row>
    <row r="6346" spans="1:7" ht="16.149999999999999" x14ac:dyDescent="0.7">
      <c r="A6346" s="49">
        <v>44881.900769490741</v>
      </c>
      <c r="B6346" s="50" t="s">
        <v>9</v>
      </c>
      <c r="C6346" s="50" t="s">
        <v>572</v>
      </c>
      <c r="D6346" s="50" t="s">
        <v>263</v>
      </c>
      <c r="E6346" s="50">
        <v>0</v>
      </c>
      <c r="F6346" s="51">
        <v>0.106300598436603</v>
      </c>
      <c r="G6346" s="51" t="str">
        <v>山口 2022/12/03 (土)
休日午前</v>
      </c>
    </row>
    <row r="6347" spans="1:7" ht="16.149999999999999" x14ac:dyDescent="0.7">
      <c r="A6347" s="49">
        <v>44881.900769490741</v>
      </c>
      <c r="B6347" s="50" t="s">
        <v>9</v>
      </c>
      <c r="C6347" s="50" t="s">
        <v>573</v>
      </c>
      <c r="D6347" s="50" t="s">
        <v>261</v>
      </c>
      <c r="E6347" s="50">
        <v>0</v>
      </c>
      <c r="F6347" s="51">
        <v>0.68417684503448806</v>
      </c>
      <c r="G6347" s="51" t="str">
        <v>山口 2022/12/03 (土)
休日午後</v>
      </c>
    </row>
    <row r="6348" spans="1:7" ht="16.149999999999999" x14ac:dyDescent="0.7">
      <c r="A6348" s="49">
        <v>44881.900769490741</v>
      </c>
      <c r="B6348" s="50" t="s">
        <v>9</v>
      </c>
      <c r="C6348" s="50" t="s">
        <v>574</v>
      </c>
      <c r="D6348" s="50" t="s">
        <v>263</v>
      </c>
      <c r="E6348" s="50">
        <v>0</v>
      </c>
      <c r="F6348" s="51">
        <v>0.83564023766015993</v>
      </c>
      <c r="G6348" s="51" t="str">
        <v>山口 2022/12/04 (日)
休日午前</v>
      </c>
    </row>
    <row r="6349" spans="1:7" ht="16.149999999999999" x14ac:dyDescent="0.7">
      <c r="A6349" s="49">
        <v>44881.900769490741</v>
      </c>
      <c r="B6349" s="50" t="s">
        <v>9</v>
      </c>
      <c r="C6349" s="50" t="s">
        <v>575</v>
      </c>
      <c r="D6349" s="50" t="s">
        <v>261</v>
      </c>
      <c r="E6349" s="50">
        <v>0</v>
      </c>
      <c r="F6349" s="51">
        <v>7.105212331765598E-2</v>
      </c>
      <c r="G6349" s="51" t="str">
        <v>山口 2022/12/04 (日)
休日午後</v>
      </c>
    </row>
    <row r="6350" spans="1:7" ht="16.149999999999999" x14ac:dyDescent="0.7">
      <c r="A6350" s="49">
        <v>44881.900769490741</v>
      </c>
      <c r="B6350" s="50" t="s">
        <v>9</v>
      </c>
      <c r="C6350" s="50" t="s">
        <v>576</v>
      </c>
      <c r="D6350" s="50" t="s">
        <v>259</v>
      </c>
      <c r="E6350" s="50">
        <v>0</v>
      </c>
      <c r="F6350" s="51">
        <v>0.44797071323167303</v>
      </c>
      <c r="G6350" s="51" t="str">
        <v>山口 2022/12/05 (月)
平日夜間</v>
      </c>
    </row>
    <row r="6351" spans="1:7" ht="16.149999999999999" x14ac:dyDescent="0.7">
      <c r="A6351" s="49">
        <v>44881.900769490741</v>
      </c>
      <c r="B6351" s="50" t="s">
        <v>9</v>
      </c>
      <c r="C6351" s="50" t="s">
        <v>577</v>
      </c>
      <c r="D6351" s="50" t="s">
        <v>259</v>
      </c>
      <c r="E6351" s="50">
        <v>0</v>
      </c>
      <c r="F6351" s="51">
        <v>0.3820016390320824</v>
      </c>
      <c r="G6351" s="51" t="str">
        <v>山口 2022/12/06 (火)
平日夜間</v>
      </c>
    </row>
    <row r="6352" spans="1:7" ht="16.149999999999999" x14ac:dyDescent="0.7">
      <c r="A6352" s="49">
        <v>44881.900769490741</v>
      </c>
      <c r="B6352" s="50" t="s">
        <v>9</v>
      </c>
      <c r="C6352" s="50" t="s">
        <v>578</v>
      </c>
      <c r="D6352" s="50" t="s">
        <v>259</v>
      </c>
      <c r="E6352" s="50">
        <v>2</v>
      </c>
      <c r="F6352" s="51">
        <v>2.2800674833531529</v>
      </c>
      <c r="G6352" s="51" t="str">
        <v>山口 2022/12/07 (水)
平日夜間</v>
      </c>
    </row>
    <row r="6353" spans="1:7" ht="16.149999999999999" x14ac:dyDescent="0.7">
      <c r="A6353" s="49">
        <v>44881.900769490741</v>
      </c>
      <c r="B6353" s="50" t="s">
        <v>9</v>
      </c>
      <c r="C6353" s="50" t="s">
        <v>579</v>
      </c>
      <c r="D6353" s="50" t="s">
        <v>259</v>
      </c>
      <c r="E6353" s="50">
        <v>0</v>
      </c>
      <c r="F6353" s="51">
        <v>0.96384809202379618</v>
      </c>
      <c r="G6353" s="51" t="str">
        <v>山口 2022/12/08 (木)
平日夜間</v>
      </c>
    </row>
    <row r="6354" spans="1:7" ht="16.149999999999999" x14ac:dyDescent="0.7">
      <c r="A6354" s="49">
        <v>44881.900769490741</v>
      </c>
      <c r="B6354" s="50" t="s">
        <v>9</v>
      </c>
      <c r="C6354" s="50" t="s">
        <v>580</v>
      </c>
      <c r="D6354" s="50" t="s">
        <v>259</v>
      </c>
      <c r="E6354" s="50">
        <v>0</v>
      </c>
      <c r="F6354" s="51">
        <v>0.7624557550228368</v>
      </c>
      <c r="G6354" s="51" t="str">
        <v>山口 2022/12/09 (金)
平日夜間</v>
      </c>
    </row>
    <row r="6355" spans="1:7" ht="16.149999999999999" x14ac:dyDescent="0.7">
      <c r="A6355" s="49">
        <v>44881.900769490741</v>
      </c>
      <c r="B6355" s="50" t="s">
        <v>9</v>
      </c>
      <c r="C6355" s="50" t="s">
        <v>581</v>
      </c>
      <c r="D6355" s="50" t="s">
        <v>263</v>
      </c>
      <c r="E6355" s="50">
        <v>0</v>
      </c>
      <c r="F6355" s="51">
        <v>0.82426975972656513</v>
      </c>
      <c r="G6355" s="51" t="str">
        <v>山口 2022/12/10 (土)
休日午前</v>
      </c>
    </row>
    <row r="6356" spans="1:7" ht="16.149999999999999" x14ac:dyDescent="0.7">
      <c r="A6356" s="49">
        <v>44881.900769490741</v>
      </c>
      <c r="B6356" s="50" t="s">
        <v>9</v>
      </c>
      <c r="C6356" s="50" t="s">
        <v>582</v>
      </c>
      <c r="D6356" s="50" t="s">
        <v>261</v>
      </c>
      <c r="E6356" s="50">
        <v>0</v>
      </c>
      <c r="F6356" s="51">
        <v>0.9997814818102515</v>
      </c>
      <c r="G6356" s="51" t="str">
        <v>山口 2022/12/10 (土)
休日午後</v>
      </c>
    </row>
    <row r="6357" spans="1:7" ht="16.149999999999999" x14ac:dyDescent="0.7">
      <c r="A6357" s="49">
        <v>44881.900769490741</v>
      </c>
      <c r="B6357" s="50" t="s">
        <v>9</v>
      </c>
      <c r="C6357" s="50" t="s">
        <v>583</v>
      </c>
      <c r="D6357" s="50" t="s">
        <v>263</v>
      </c>
      <c r="E6357" s="50">
        <v>0</v>
      </c>
      <c r="F6357" s="51">
        <v>4.6692627960283728E-2</v>
      </c>
      <c r="G6357" s="51" t="str">
        <v>山口 2022/12/11 (日)
休日午前</v>
      </c>
    </row>
    <row r="6358" spans="1:7" ht="16.149999999999999" x14ac:dyDescent="0.7">
      <c r="A6358" s="49">
        <v>44881.900769490741</v>
      </c>
      <c r="B6358" s="50" t="s">
        <v>9</v>
      </c>
      <c r="C6358" s="50" t="s">
        <v>584</v>
      </c>
      <c r="D6358" s="50" t="s">
        <v>261</v>
      </c>
      <c r="E6358" s="50">
        <v>0</v>
      </c>
      <c r="F6358" s="51">
        <v>0.6718235462785398</v>
      </c>
      <c r="G6358" s="51" t="str">
        <v>山口 2022/12/11 (日)
休日午後</v>
      </c>
    </row>
    <row r="6359" spans="1:7" ht="16.149999999999999" x14ac:dyDescent="0.7">
      <c r="A6359" s="49">
        <v>44881.900769490741</v>
      </c>
      <c r="B6359" s="50" t="s">
        <v>9</v>
      </c>
      <c r="C6359" s="50" t="s">
        <v>585</v>
      </c>
      <c r="D6359" s="50" t="s">
        <v>259</v>
      </c>
      <c r="E6359" s="50">
        <v>0</v>
      </c>
      <c r="F6359" s="51">
        <v>0.69432474007721345</v>
      </c>
      <c r="G6359" s="51" t="str">
        <v>山口 2022/12/12 (月)
平日夜間</v>
      </c>
    </row>
    <row r="6360" spans="1:7" ht="16.149999999999999" x14ac:dyDescent="0.7">
      <c r="A6360" s="49">
        <v>44881.900769490741</v>
      </c>
      <c r="B6360" s="50" t="s">
        <v>9</v>
      </c>
      <c r="C6360" s="50" t="s">
        <v>586</v>
      </c>
      <c r="D6360" s="50" t="s">
        <v>259</v>
      </c>
      <c r="E6360" s="50">
        <v>0</v>
      </c>
      <c r="F6360" s="51">
        <v>0.3480285719771179</v>
      </c>
      <c r="G6360" s="51" t="str">
        <v>山口 2022/12/13 (火)
平日夜間</v>
      </c>
    </row>
    <row r="6361" spans="1:7" ht="16.149999999999999" x14ac:dyDescent="0.7">
      <c r="A6361" s="49">
        <v>44881.900769490741</v>
      </c>
      <c r="B6361" s="50" t="s">
        <v>9</v>
      </c>
      <c r="C6361" s="50" t="s">
        <v>587</v>
      </c>
      <c r="D6361" s="50" t="s">
        <v>259</v>
      </c>
      <c r="E6361" s="50">
        <v>-1</v>
      </c>
      <c r="F6361" s="51">
        <v>-0.98574698949003059</v>
      </c>
      <c r="G6361" s="51" t="str">
        <v>山口 2022/12/14 (水)
平日夜間</v>
      </c>
    </row>
    <row r="6362" spans="1:7" ht="16.149999999999999" x14ac:dyDescent="0.7">
      <c r="A6362" s="49">
        <v>44881.900769490741</v>
      </c>
      <c r="B6362" s="50" t="s">
        <v>9</v>
      </c>
      <c r="C6362" s="50" t="s">
        <v>588</v>
      </c>
      <c r="D6362" s="50" t="s">
        <v>259</v>
      </c>
      <c r="E6362" s="50">
        <v>-1</v>
      </c>
      <c r="F6362" s="51">
        <v>-4.7672221084180677E-3</v>
      </c>
      <c r="G6362" s="51" t="str">
        <v>山口 2022/12/15 (木)
平日夜間</v>
      </c>
    </row>
    <row r="6363" spans="1:7" ht="16.149999999999999" x14ac:dyDescent="0.7">
      <c r="A6363" s="49">
        <v>44881.900769490741</v>
      </c>
      <c r="B6363" s="50" t="s">
        <v>9</v>
      </c>
      <c r="C6363" s="50" t="s">
        <v>589</v>
      </c>
      <c r="D6363" s="50" t="s">
        <v>259</v>
      </c>
      <c r="E6363" s="50">
        <v>0</v>
      </c>
      <c r="F6363" s="51">
        <v>0.8064728021071832</v>
      </c>
      <c r="G6363" s="51" t="str">
        <v>山口 2022/12/16 (金)
平日夜間</v>
      </c>
    </row>
    <row r="6364" spans="1:7" ht="16.149999999999999" x14ac:dyDescent="0.7">
      <c r="A6364" s="49">
        <v>44881.900769490741</v>
      </c>
      <c r="B6364" s="50" t="s">
        <v>9</v>
      </c>
      <c r="C6364" s="50" t="s">
        <v>590</v>
      </c>
      <c r="D6364" s="50" t="s">
        <v>263</v>
      </c>
      <c r="E6364" s="50">
        <v>0</v>
      </c>
      <c r="F6364" s="51">
        <v>0.5489892643963985</v>
      </c>
      <c r="G6364" s="51" t="str">
        <v>山口 2022/12/17 (土)
休日午前</v>
      </c>
    </row>
    <row r="6365" spans="1:7" ht="16.149999999999999" x14ac:dyDescent="0.7">
      <c r="A6365" s="49">
        <v>44881.900769490741</v>
      </c>
      <c r="B6365" s="50" t="s">
        <v>9</v>
      </c>
      <c r="C6365" s="50" t="s">
        <v>591</v>
      </c>
      <c r="D6365" s="50" t="s">
        <v>261</v>
      </c>
      <c r="E6365" s="50">
        <v>0</v>
      </c>
      <c r="F6365" s="51">
        <v>0.89187737120253296</v>
      </c>
      <c r="G6365" s="51" t="str">
        <v>山口 2022/12/17 (土)
休日午後</v>
      </c>
    </row>
    <row r="6366" spans="1:7" ht="16.149999999999999" x14ac:dyDescent="0.7">
      <c r="A6366" s="49">
        <v>44881.900769490741</v>
      </c>
      <c r="B6366" s="50" t="s">
        <v>9</v>
      </c>
      <c r="C6366" s="50" t="s">
        <v>592</v>
      </c>
      <c r="D6366" s="50" t="s">
        <v>263</v>
      </c>
      <c r="E6366" s="50">
        <v>0</v>
      </c>
      <c r="F6366" s="51">
        <v>0.97074574993600926</v>
      </c>
      <c r="G6366" s="51" t="str">
        <v>山口 2022/12/18 (日)
休日午前</v>
      </c>
    </row>
    <row r="6367" spans="1:7" ht="16.149999999999999" x14ac:dyDescent="0.7">
      <c r="A6367" s="49">
        <v>44881.900769490741</v>
      </c>
      <c r="B6367" s="50" t="s">
        <v>9</v>
      </c>
      <c r="C6367" s="50" t="s">
        <v>593</v>
      </c>
      <c r="D6367" s="50" t="s">
        <v>261</v>
      </c>
      <c r="E6367" s="50">
        <v>0</v>
      </c>
      <c r="F6367" s="51">
        <v>0.87548637241532212</v>
      </c>
      <c r="G6367" s="51" t="str">
        <v>山口 2022/12/18 (日)
休日午後</v>
      </c>
    </row>
    <row r="6368" spans="1:7" ht="16.149999999999999" x14ac:dyDescent="0.7">
      <c r="A6368" s="49">
        <v>44881.900769490741</v>
      </c>
      <c r="B6368" s="50" t="s">
        <v>9</v>
      </c>
      <c r="C6368" s="50" t="s">
        <v>594</v>
      </c>
      <c r="D6368" s="50" t="s">
        <v>259</v>
      </c>
      <c r="E6368" s="50">
        <v>0</v>
      </c>
      <c r="F6368" s="51">
        <v>2.1612300110934957E-2</v>
      </c>
      <c r="G6368" s="51" t="str">
        <v>山口 2022/12/19 (月)
平日夜間</v>
      </c>
    </row>
    <row r="6369" spans="1:7" ht="16.149999999999999" x14ac:dyDescent="0.7">
      <c r="A6369" s="49">
        <v>44881.900769490741</v>
      </c>
      <c r="B6369" s="50" t="s">
        <v>9</v>
      </c>
      <c r="C6369" s="50" t="s">
        <v>595</v>
      </c>
      <c r="D6369" s="50" t="s">
        <v>259</v>
      </c>
      <c r="E6369" s="50">
        <v>0</v>
      </c>
      <c r="F6369" s="51">
        <v>0.80997385587714166</v>
      </c>
      <c r="G6369" s="51" t="str">
        <v>山口 2022/12/20 (火)
平日夜間</v>
      </c>
    </row>
    <row r="6370" spans="1:7" ht="16.149999999999999" x14ac:dyDescent="0.7">
      <c r="A6370" s="49">
        <v>44881.900769490741</v>
      </c>
      <c r="B6370" s="50" t="s">
        <v>9</v>
      </c>
      <c r="C6370" s="50" t="s">
        <v>596</v>
      </c>
      <c r="D6370" s="50" t="s">
        <v>259</v>
      </c>
      <c r="E6370" s="50">
        <v>0</v>
      </c>
      <c r="F6370" s="51">
        <v>0.22663795241991247</v>
      </c>
      <c r="G6370" s="51" t="str">
        <v>山口 2022/12/21 (水)
平日夜間</v>
      </c>
    </row>
    <row r="6371" spans="1:7" ht="16.149999999999999" x14ac:dyDescent="0.7">
      <c r="A6371" s="49">
        <v>44881.900769490741</v>
      </c>
      <c r="B6371" s="50" t="s">
        <v>9</v>
      </c>
      <c r="C6371" s="50" t="s">
        <v>597</v>
      </c>
      <c r="D6371" s="50" t="s">
        <v>259</v>
      </c>
      <c r="E6371" s="50">
        <v>0</v>
      </c>
      <c r="F6371" s="51">
        <v>0.11309980306193346</v>
      </c>
      <c r="G6371" s="51" t="str">
        <v>山口 2022/12/22 (木)
平日夜間</v>
      </c>
    </row>
    <row r="6372" spans="1:7" ht="16.149999999999999" x14ac:dyDescent="0.7">
      <c r="A6372" s="49">
        <v>44881.900769490741</v>
      </c>
      <c r="B6372" s="50" t="s">
        <v>9</v>
      </c>
      <c r="C6372" s="50" t="s">
        <v>598</v>
      </c>
      <c r="D6372" s="50" t="s">
        <v>259</v>
      </c>
      <c r="E6372" s="50">
        <v>2</v>
      </c>
      <c r="F6372" s="51">
        <v>2.5117768822005218</v>
      </c>
      <c r="G6372" s="51" t="str">
        <v>山口 2022/12/23 (金)
平日夜間</v>
      </c>
    </row>
    <row r="6373" spans="1:7" ht="16.149999999999999" x14ac:dyDescent="0.7">
      <c r="A6373" s="49">
        <v>44881.900769490741</v>
      </c>
      <c r="B6373" s="50" t="s">
        <v>9</v>
      </c>
      <c r="C6373" s="50" t="s">
        <v>599</v>
      </c>
      <c r="D6373" s="50" t="s">
        <v>263</v>
      </c>
      <c r="E6373" s="50">
        <v>0</v>
      </c>
      <c r="F6373" s="51">
        <v>0.8639129711645932</v>
      </c>
      <c r="G6373" s="51" t="str">
        <v>山口 2022/12/24 (土)
休日午前</v>
      </c>
    </row>
    <row r="6374" spans="1:7" ht="16.149999999999999" x14ac:dyDescent="0.7">
      <c r="A6374" s="49">
        <v>44881.900769490741</v>
      </c>
      <c r="B6374" s="50" t="s">
        <v>9</v>
      </c>
      <c r="C6374" s="50" t="s">
        <v>600</v>
      </c>
      <c r="D6374" s="50" t="s">
        <v>261</v>
      </c>
      <c r="E6374" s="50">
        <v>0</v>
      </c>
      <c r="F6374" s="51">
        <v>0.16456764379765332</v>
      </c>
      <c r="G6374" s="51" t="str">
        <v>山口 2022/12/24 (土)
休日午後</v>
      </c>
    </row>
    <row r="6375" spans="1:7" ht="16.149999999999999" x14ac:dyDescent="0.7">
      <c r="A6375" s="49">
        <v>44881.900769490741</v>
      </c>
      <c r="B6375" s="50" t="s">
        <v>9</v>
      </c>
      <c r="C6375" s="50" t="s">
        <v>601</v>
      </c>
      <c r="D6375" s="50" t="s">
        <v>263</v>
      </c>
      <c r="E6375" s="50">
        <v>0</v>
      </c>
      <c r="F6375" s="51">
        <v>0.1760901036254432</v>
      </c>
      <c r="G6375" s="51" t="str">
        <v>山口 2022/12/25 (日)
休日午前</v>
      </c>
    </row>
    <row r="6376" spans="1:7" ht="16.149999999999999" x14ac:dyDescent="0.7">
      <c r="A6376" s="49">
        <v>44881.900769490741</v>
      </c>
      <c r="B6376" s="50" t="s">
        <v>9</v>
      </c>
      <c r="C6376" s="50" t="s">
        <v>602</v>
      </c>
      <c r="D6376" s="50" t="s">
        <v>261</v>
      </c>
      <c r="E6376" s="50">
        <v>0</v>
      </c>
      <c r="F6376" s="51">
        <v>0.17237033466030449</v>
      </c>
      <c r="G6376" s="51" t="str">
        <v>山口 2022/12/25 (日)
休日午後</v>
      </c>
    </row>
    <row r="6377" spans="1:7" ht="16.149999999999999" x14ac:dyDescent="0.7">
      <c r="A6377" s="49">
        <v>44881.900769490741</v>
      </c>
      <c r="B6377" s="50" t="s">
        <v>9</v>
      </c>
      <c r="C6377" s="50" t="s">
        <v>603</v>
      </c>
      <c r="D6377" s="50" t="s">
        <v>259</v>
      </c>
      <c r="E6377" s="50">
        <v>0</v>
      </c>
      <c r="F6377" s="51">
        <v>0.86038504422773188</v>
      </c>
      <c r="G6377" s="51" t="str">
        <v>山口 2022/12/26 (月)
平日夜間</v>
      </c>
    </row>
    <row r="6378" spans="1:7" ht="16.149999999999999" x14ac:dyDescent="0.7">
      <c r="A6378" s="49">
        <v>44881.900769490741</v>
      </c>
      <c r="B6378" s="50" t="s">
        <v>9</v>
      </c>
      <c r="C6378" s="50" t="s">
        <v>604</v>
      </c>
      <c r="D6378" s="50" t="s">
        <v>259</v>
      </c>
      <c r="E6378" s="50">
        <v>0</v>
      </c>
      <c r="F6378" s="51">
        <v>0.43185301075542393</v>
      </c>
      <c r="G6378" s="51" t="str">
        <v>山口 2022/12/27 (火)
平日夜間</v>
      </c>
    </row>
    <row r="6379" spans="1:7" ht="16.149999999999999" x14ac:dyDescent="0.7">
      <c r="A6379" s="49">
        <v>44881.900769490741</v>
      </c>
      <c r="B6379" s="50" t="s">
        <v>9</v>
      </c>
      <c r="C6379" s="50" t="s">
        <v>605</v>
      </c>
      <c r="D6379" s="50" t="s">
        <v>259</v>
      </c>
      <c r="E6379" s="50">
        <v>-1</v>
      </c>
      <c r="F6379" s="51">
        <v>-0.39887342826672767</v>
      </c>
      <c r="G6379" s="51" t="str">
        <v>山口 2022/12/28 (水)
平日夜間</v>
      </c>
    </row>
    <row r="6380" spans="1:7" ht="16.149999999999999" x14ac:dyDescent="0.7">
      <c r="A6380" s="49">
        <v>44881.916751701385</v>
      </c>
      <c r="B6380" s="50" t="s">
        <v>4</v>
      </c>
      <c r="C6380" s="50" t="s">
        <v>570</v>
      </c>
      <c r="D6380" s="50" t="s">
        <v>259</v>
      </c>
      <c r="E6380" s="50">
        <v>0</v>
      </c>
      <c r="F6380" s="51">
        <v>0.51076968628393082</v>
      </c>
      <c r="G6380" s="51" t="str">
        <v>井上 2022/12/01 (木)
平日夜間</v>
      </c>
    </row>
    <row r="6381" spans="1:7" ht="16.149999999999999" x14ac:dyDescent="0.7">
      <c r="A6381" s="49">
        <v>44881.916751701385</v>
      </c>
      <c r="B6381" s="50" t="s">
        <v>4</v>
      </c>
      <c r="C6381" s="50" t="s">
        <v>571</v>
      </c>
      <c r="D6381" s="50" t="s">
        <v>259</v>
      </c>
      <c r="E6381" s="50">
        <v>0</v>
      </c>
      <c r="F6381" s="51">
        <v>0.90783398918668068</v>
      </c>
      <c r="G6381" s="51" t="str">
        <v>井上 2022/12/02 (金)
平日夜間</v>
      </c>
    </row>
    <row r="6382" spans="1:7" ht="16.149999999999999" x14ac:dyDescent="0.7">
      <c r="A6382" s="49">
        <v>44881.916751701385</v>
      </c>
      <c r="B6382" s="50" t="s">
        <v>4</v>
      </c>
      <c r="C6382" s="50" t="s">
        <v>572</v>
      </c>
      <c r="D6382" s="50" t="s">
        <v>263</v>
      </c>
      <c r="E6382" s="50">
        <v>0</v>
      </c>
      <c r="F6382" s="51">
        <v>0.15526083721688799</v>
      </c>
      <c r="G6382" s="51" t="str">
        <v>井上 2022/12/03 (土)
休日午前</v>
      </c>
    </row>
    <row r="6383" spans="1:7" ht="16.149999999999999" x14ac:dyDescent="0.7">
      <c r="A6383" s="49">
        <v>44881.916751701385</v>
      </c>
      <c r="B6383" s="50" t="s">
        <v>4</v>
      </c>
      <c r="C6383" s="50" t="s">
        <v>573</v>
      </c>
      <c r="D6383" s="50" t="s">
        <v>261</v>
      </c>
      <c r="E6383" s="50">
        <v>0</v>
      </c>
      <c r="F6383" s="51">
        <v>0.1103457007104125</v>
      </c>
      <c r="G6383" s="51" t="str">
        <v>井上 2022/12/03 (土)
休日午後</v>
      </c>
    </row>
    <row r="6384" spans="1:7" ht="16.149999999999999" x14ac:dyDescent="0.7">
      <c r="A6384" s="49">
        <v>44881.916751701385</v>
      </c>
      <c r="B6384" s="50" t="s">
        <v>4</v>
      </c>
      <c r="C6384" s="50" t="s">
        <v>574</v>
      </c>
      <c r="D6384" s="50" t="s">
        <v>263</v>
      </c>
      <c r="E6384" s="50">
        <v>0</v>
      </c>
      <c r="F6384" s="51">
        <v>0.93990919511508797</v>
      </c>
      <c r="G6384" s="51" t="str">
        <v>井上 2022/12/04 (日)
休日午前</v>
      </c>
    </row>
    <row r="6385" spans="1:7" ht="16.149999999999999" x14ac:dyDescent="0.7">
      <c r="A6385" s="49">
        <v>44881.916751701385</v>
      </c>
      <c r="B6385" s="50" t="s">
        <v>4</v>
      </c>
      <c r="C6385" s="50" t="s">
        <v>575</v>
      </c>
      <c r="D6385" s="50" t="s">
        <v>261</v>
      </c>
      <c r="E6385" s="50">
        <v>-1</v>
      </c>
      <c r="F6385" s="51">
        <v>-0.19599984519120928</v>
      </c>
      <c r="G6385" s="51" t="str">
        <v>井上 2022/12/04 (日)
休日午後</v>
      </c>
    </row>
    <row r="6386" spans="1:7" ht="16.149999999999999" x14ac:dyDescent="0.7">
      <c r="A6386" s="49">
        <v>44881.916751701385</v>
      </c>
      <c r="B6386" s="50" t="s">
        <v>4</v>
      </c>
      <c r="C6386" s="50" t="s">
        <v>576</v>
      </c>
      <c r="D6386" s="50" t="s">
        <v>259</v>
      </c>
      <c r="E6386" s="50">
        <v>-1</v>
      </c>
      <c r="F6386" s="51">
        <v>-0.60425635054618043</v>
      </c>
      <c r="G6386" s="51" t="str">
        <v>井上 2022/12/05 (月)
平日夜間</v>
      </c>
    </row>
    <row r="6387" spans="1:7" ht="16.149999999999999" x14ac:dyDescent="0.7">
      <c r="A6387" s="49">
        <v>44881.916751701385</v>
      </c>
      <c r="B6387" s="50" t="s">
        <v>4</v>
      </c>
      <c r="C6387" s="50" t="s">
        <v>577</v>
      </c>
      <c r="D6387" s="50" t="s">
        <v>259</v>
      </c>
      <c r="E6387" s="50">
        <v>-1</v>
      </c>
      <c r="F6387" s="51">
        <v>-7.3504296271450498E-2</v>
      </c>
      <c r="G6387" s="51" t="str">
        <v>井上 2022/12/06 (火)
平日夜間</v>
      </c>
    </row>
    <row r="6388" spans="1:7" ht="16.149999999999999" x14ac:dyDescent="0.7">
      <c r="A6388" s="49">
        <v>44881.916751701385</v>
      </c>
      <c r="B6388" s="50" t="s">
        <v>4</v>
      </c>
      <c r="C6388" s="50" t="s">
        <v>578</v>
      </c>
      <c r="D6388" s="50" t="s">
        <v>259</v>
      </c>
      <c r="E6388" s="50">
        <v>-1</v>
      </c>
      <c r="F6388" s="51">
        <v>-0.7022657672174708</v>
      </c>
      <c r="G6388" s="51" t="str">
        <v>井上 2022/12/07 (水)
平日夜間</v>
      </c>
    </row>
    <row r="6389" spans="1:7" ht="16.149999999999999" x14ac:dyDescent="0.7">
      <c r="A6389" s="49">
        <v>44881.916751701385</v>
      </c>
      <c r="B6389" s="50" t="s">
        <v>4</v>
      </c>
      <c r="C6389" s="50" t="s">
        <v>579</v>
      </c>
      <c r="D6389" s="50" t="s">
        <v>259</v>
      </c>
      <c r="E6389" s="50">
        <v>0</v>
      </c>
      <c r="F6389" s="51">
        <v>0.15958840111128247</v>
      </c>
      <c r="G6389" s="51" t="str">
        <v>井上 2022/12/08 (木)
平日夜間</v>
      </c>
    </row>
    <row r="6390" spans="1:7" ht="16.149999999999999" x14ac:dyDescent="0.7">
      <c r="A6390" s="49">
        <v>44881.916751701385</v>
      </c>
      <c r="B6390" s="50" t="s">
        <v>4</v>
      </c>
      <c r="C6390" s="50" t="s">
        <v>580</v>
      </c>
      <c r="D6390" s="50" t="s">
        <v>259</v>
      </c>
      <c r="E6390" s="50">
        <v>-1</v>
      </c>
      <c r="F6390" s="51">
        <v>-0.91724032824816959</v>
      </c>
      <c r="G6390" s="51" t="str">
        <v>井上 2022/12/09 (金)
平日夜間</v>
      </c>
    </row>
    <row r="6391" spans="1:7" ht="16.149999999999999" x14ac:dyDescent="0.7">
      <c r="A6391" s="49">
        <v>44881.916751701385</v>
      </c>
      <c r="B6391" s="50" t="s">
        <v>4</v>
      </c>
      <c r="C6391" s="50" t="s">
        <v>581</v>
      </c>
      <c r="D6391" s="50" t="s">
        <v>263</v>
      </c>
      <c r="E6391" s="50">
        <v>0</v>
      </c>
      <c r="F6391" s="51">
        <v>0.80567669296164657</v>
      </c>
      <c r="G6391" s="51" t="str">
        <v>井上 2022/12/10 (土)
休日午前</v>
      </c>
    </row>
    <row r="6392" spans="1:7" ht="16.149999999999999" x14ac:dyDescent="0.7">
      <c r="A6392" s="49">
        <v>44881.916751701385</v>
      </c>
      <c r="B6392" s="50" t="s">
        <v>4</v>
      </c>
      <c r="C6392" s="50" t="s">
        <v>582</v>
      </c>
      <c r="D6392" s="50" t="s">
        <v>261</v>
      </c>
      <c r="E6392" s="50">
        <v>-1</v>
      </c>
      <c r="F6392" s="51">
        <v>-0.19997738691510381</v>
      </c>
      <c r="G6392" s="51" t="str">
        <v>井上 2022/12/10 (土)
休日午後</v>
      </c>
    </row>
    <row r="6393" spans="1:7" ht="16.149999999999999" x14ac:dyDescent="0.7">
      <c r="A6393" s="49">
        <v>44881.916751701385</v>
      </c>
      <c r="B6393" s="50" t="s">
        <v>4</v>
      </c>
      <c r="C6393" s="50" t="s">
        <v>583</v>
      </c>
      <c r="D6393" s="50" t="s">
        <v>263</v>
      </c>
      <c r="E6393" s="50">
        <v>-1</v>
      </c>
      <c r="F6393" s="51">
        <v>-0.53444201237229327</v>
      </c>
      <c r="G6393" s="51" t="str">
        <v>井上 2022/12/11 (日)
休日午前</v>
      </c>
    </row>
    <row r="6394" spans="1:7" ht="16.149999999999999" x14ac:dyDescent="0.7">
      <c r="A6394" s="49">
        <v>44881.916751701385</v>
      </c>
      <c r="B6394" s="50" t="s">
        <v>4</v>
      </c>
      <c r="C6394" s="50" t="s">
        <v>584</v>
      </c>
      <c r="D6394" s="50" t="s">
        <v>261</v>
      </c>
      <c r="E6394" s="50">
        <v>-1</v>
      </c>
      <c r="F6394" s="51">
        <v>-0.46339283010492749</v>
      </c>
      <c r="G6394" s="51" t="str">
        <v>井上 2022/12/11 (日)
休日午後</v>
      </c>
    </row>
    <row r="6395" spans="1:7" ht="16.149999999999999" x14ac:dyDescent="0.7">
      <c r="A6395" s="49">
        <v>44881.916751701385</v>
      </c>
      <c r="B6395" s="50" t="s">
        <v>4</v>
      </c>
      <c r="C6395" s="50" t="s">
        <v>585</v>
      </c>
      <c r="D6395" s="50" t="s">
        <v>259</v>
      </c>
      <c r="E6395" s="50">
        <v>-1</v>
      </c>
      <c r="F6395" s="51">
        <v>-0.71492806517222385</v>
      </c>
      <c r="G6395" s="51" t="str">
        <v>井上 2022/12/12 (月)
平日夜間</v>
      </c>
    </row>
    <row r="6396" spans="1:7" ht="16.149999999999999" x14ac:dyDescent="0.7">
      <c r="A6396" s="49">
        <v>44881.916751701385</v>
      </c>
      <c r="B6396" s="50" t="s">
        <v>4</v>
      </c>
      <c r="C6396" s="50" t="s">
        <v>586</v>
      </c>
      <c r="D6396" s="50" t="s">
        <v>259</v>
      </c>
      <c r="E6396" s="50">
        <v>-1</v>
      </c>
      <c r="F6396" s="51">
        <v>-0.54863158512683685</v>
      </c>
      <c r="G6396" s="51" t="str">
        <v>井上 2022/12/13 (火)
平日夜間</v>
      </c>
    </row>
    <row r="6397" spans="1:7" ht="16.149999999999999" x14ac:dyDescent="0.7">
      <c r="A6397" s="49">
        <v>44881.916751701385</v>
      </c>
      <c r="B6397" s="50" t="s">
        <v>4</v>
      </c>
      <c r="C6397" s="50" t="s">
        <v>587</v>
      </c>
      <c r="D6397" s="50" t="s">
        <v>259</v>
      </c>
      <c r="E6397" s="50">
        <v>0</v>
      </c>
      <c r="F6397" s="51">
        <v>4.845442951960699E-2</v>
      </c>
      <c r="G6397" s="51" t="str">
        <v>井上 2022/12/14 (水)
平日夜間</v>
      </c>
    </row>
    <row r="6398" spans="1:7" ht="16.149999999999999" x14ac:dyDescent="0.7">
      <c r="A6398" s="49">
        <v>44881.916751701385</v>
      </c>
      <c r="B6398" s="50" t="s">
        <v>4</v>
      </c>
      <c r="C6398" s="50" t="s">
        <v>588</v>
      </c>
      <c r="D6398" s="50" t="s">
        <v>259</v>
      </c>
      <c r="E6398" s="50">
        <v>0</v>
      </c>
      <c r="F6398" s="51">
        <v>3.7131960696840327E-2</v>
      </c>
      <c r="G6398" s="51" t="str">
        <v>井上 2022/12/15 (木)
平日夜間</v>
      </c>
    </row>
    <row r="6399" spans="1:7" ht="16.149999999999999" x14ac:dyDescent="0.7">
      <c r="A6399" s="49">
        <v>44881.916751701385</v>
      </c>
      <c r="B6399" s="50" t="s">
        <v>4</v>
      </c>
      <c r="C6399" s="50" t="s">
        <v>589</v>
      </c>
      <c r="D6399" s="50" t="s">
        <v>259</v>
      </c>
      <c r="E6399" s="50">
        <v>0</v>
      </c>
      <c r="F6399" s="51">
        <v>3.0523778038645144E-2</v>
      </c>
      <c r="G6399" s="51" t="str">
        <v>井上 2022/12/16 (金)
平日夜間</v>
      </c>
    </row>
    <row r="6400" spans="1:7" ht="16.149999999999999" x14ac:dyDescent="0.7">
      <c r="A6400" s="49">
        <v>44881.916751701385</v>
      </c>
      <c r="B6400" s="50" t="s">
        <v>4</v>
      </c>
      <c r="C6400" s="50" t="s">
        <v>590</v>
      </c>
      <c r="D6400" s="50" t="s">
        <v>263</v>
      </c>
      <c r="E6400" s="50">
        <v>0</v>
      </c>
      <c r="F6400" s="51">
        <v>0.39764957670792755</v>
      </c>
      <c r="G6400" s="51" t="str">
        <v>井上 2022/12/17 (土)
休日午前</v>
      </c>
    </row>
    <row r="6401" spans="1:7" ht="16.149999999999999" x14ac:dyDescent="0.7">
      <c r="A6401" s="49">
        <v>44881.916751701385</v>
      </c>
      <c r="B6401" s="50" t="s">
        <v>4</v>
      </c>
      <c r="C6401" s="50" t="s">
        <v>591</v>
      </c>
      <c r="D6401" s="50" t="s">
        <v>261</v>
      </c>
      <c r="E6401" s="50">
        <v>-1</v>
      </c>
      <c r="F6401" s="51">
        <v>-0.52720044782221054</v>
      </c>
      <c r="G6401" s="51" t="str">
        <v>井上 2022/12/17 (土)
休日午後</v>
      </c>
    </row>
    <row r="6402" spans="1:7" ht="16.149999999999999" x14ac:dyDescent="0.7">
      <c r="A6402" s="49">
        <v>44881.916751701385</v>
      </c>
      <c r="B6402" s="50" t="s">
        <v>4</v>
      </c>
      <c r="C6402" s="50" t="s">
        <v>592</v>
      </c>
      <c r="D6402" s="50" t="s">
        <v>263</v>
      </c>
      <c r="E6402" s="50">
        <v>-1</v>
      </c>
      <c r="F6402" s="51">
        <v>-0.14814629832446924</v>
      </c>
      <c r="G6402" s="51" t="str">
        <v>井上 2022/12/18 (日)
休日午前</v>
      </c>
    </row>
    <row r="6403" spans="1:7" ht="16.149999999999999" x14ac:dyDescent="0.7">
      <c r="A6403" s="49">
        <v>44881.916751701385</v>
      </c>
      <c r="B6403" s="50" t="s">
        <v>4</v>
      </c>
      <c r="C6403" s="50" t="s">
        <v>593</v>
      </c>
      <c r="D6403" s="50" t="s">
        <v>261</v>
      </c>
      <c r="E6403" s="50">
        <v>-1</v>
      </c>
      <c r="F6403" s="51">
        <v>-0.46598813883769941</v>
      </c>
      <c r="G6403" s="51" t="str">
        <v>井上 2022/12/18 (日)
休日午後</v>
      </c>
    </row>
    <row r="6404" spans="1:7" ht="16.149999999999999" x14ac:dyDescent="0.7">
      <c r="A6404" s="49">
        <v>44881.916751701385</v>
      </c>
      <c r="B6404" s="50" t="s">
        <v>4</v>
      </c>
      <c r="C6404" s="50" t="s">
        <v>594</v>
      </c>
      <c r="D6404" s="50" t="s">
        <v>259</v>
      </c>
      <c r="E6404" s="50">
        <v>0</v>
      </c>
      <c r="F6404" s="51">
        <v>0.84969646257293419</v>
      </c>
      <c r="G6404" s="51" t="str">
        <v>井上 2022/12/19 (月)
平日夜間</v>
      </c>
    </row>
    <row r="6405" spans="1:7" ht="16.149999999999999" x14ac:dyDescent="0.7">
      <c r="A6405" s="49">
        <v>44881.916751701385</v>
      </c>
      <c r="B6405" s="50" t="s">
        <v>4</v>
      </c>
      <c r="C6405" s="50" t="s">
        <v>595</v>
      </c>
      <c r="D6405" s="50" t="s">
        <v>259</v>
      </c>
      <c r="E6405" s="50">
        <v>0</v>
      </c>
      <c r="F6405" s="51">
        <v>0.89239081240365081</v>
      </c>
      <c r="G6405" s="51" t="str">
        <v>井上 2022/12/20 (火)
平日夜間</v>
      </c>
    </row>
    <row r="6406" spans="1:7" ht="16.149999999999999" x14ac:dyDescent="0.7">
      <c r="A6406" s="49">
        <v>44881.916751701385</v>
      </c>
      <c r="B6406" s="50" t="s">
        <v>4</v>
      </c>
      <c r="C6406" s="50" t="s">
        <v>596</v>
      </c>
      <c r="D6406" s="50" t="s">
        <v>259</v>
      </c>
      <c r="E6406" s="50">
        <v>-1</v>
      </c>
      <c r="F6406" s="51">
        <v>-0.30196910385673714</v>
      </c>
      <c r="G6406" s="51" t="str">
        <v>井上 2022/12/21 (水)
平日夜間</v>
      </c>
    </row>
    <row r="6407" spans="1:7" ht="16.149999999999999" x14ac:dyDescent="0.7">
      <c r="A6407" s="49">
        <v>44881.916751701385</v>
      </c>
      <c r="B6407" s="50" t="s">
        <v>4</v>
      </c>
      <c r="C6407" s="50" t="s">
        <v>597</v>
      </c>
      <c r="D6407" s="50" t="s">
        <v>259</v>
      </c>
      <c r="E6407" s="50">
        <v>2</v>
      </c>
      <c r="F6407" s="51">
        <v>2.1519460008209697</v>
      </c>
      <c r="G6407" s="51" t="str">
        <v>井上 2022/12/22 (木)
平日夜間</v>
      </c>
    </row>
    <row r="6408" spans="1:7" ht="16.149999999999999" x14ac:dyDescent="0.7">
      <c r="A6408" s="49">
        <v>44881.916751701385</v>
      </c>
      <c r="B6408" s="50" t="s">
        <v>4</v>
      </c>
      <c r="C6408" s="50" t="s">
        <v>598</v>
      </c>
      <c r="D6408" s="50" t="s">
        <v>259</v>
      </c>
      <c r="E6408" s="50">
        <v>-1</v>
      </c>
      <c r="F6408" s="51">
        <v>-0.75317148333189343</v>
      </c>
      <c r="G6408" s="51" t="str">
        <v>井上 2022/12/23 (金)
平日夜間</v>
      </c>
    </row>
    <row r="6409" spans="1:7" ht="16.149999999999999" x14ac:dyDescent="0.7">
      <c r="A6409" s="49">
        <v>44881.916751701385</v>
      </c>
      <c r="B6409" s="50" t="s">
        <v>4</v>
      </c>
      <c r="C6409" s="50" t="s">
        <v>599</v>
      </c>
      <c r="D6409" s="50" t="s">
        <v>263</v>
      </c>
      <c r="E6409" s="50">
        <v>0</v>
      </c>
      <c r="F6409" s="51">
        <v>9.9207520805857374E-2</v>
      </c>
      <c r="G6409" s="51" t="str">
        <v>井上 2022/12/24 (土)
休日午前</v>
      </c>
    </row>
    <row r="6410" spans="1:7" ht="16.149999999999999" x14ac:dyDescent="0.7">
      <c r="A6410" s="49">
        <v>44881.916751701385</v>
      </c>
      <c r="B6410" s="50" t="s">
        <v>4</v>
      </c>
      <c r="C6410" s="50" t="s">
        <v>600</v>
      </c>
      <c r="D6410" s="50" t="s">
        <v>261</v>
      </c>
      <c r="E6410" s="50">
        <v>0</v>
      </c>
      <c r="F6410" s="51">
        <v>0.19031132335226397</v>
      </c>
      <c r="G6410" s="51" t="str">
        <v>井上 2022/12/24 (土)
休日午後</v>
      </c>
    </row>
    <row r="6411" spans="1:7" ht="16.149999999999999" x14ac:dyDescent="0.7">
      <c r="A6411" s="49">
        <v>44881.916751701385</v>
      </c>
      <c r="B6411" s="50" t="s">
        <v>4</v>
      </c>
      <c r="C6411" s="50" t="s">
        <v>601</v>
      </c>
      <c r="D6411" s="50" t="s">
        <v>263</v>
      </c>
      <c r="E6411" s="50">
        <v>0</v>
      </c>
      <c r="F6411" s="51">
        <v>0.89260456588132309</v>
      </c>
      <c r="G6411" s="51" t="str">
        <v>井上 2022/12/25 (日)
休日午前</v>
      </c>
    </row>
    <row r="6412" spans="1:7" ht="16.149999999999999" x14ac:dyDescent="0.7">
      <c r="A6412" s="49">
        <v>44881.916751701385</v>
      </c>
      <c r="B6412" s="50" t="s">
        <v>4</v>
      </c>
      <c r="C6412" s="50" t="s">
        <v>602</v>
      </c>
      <c r="D6412" s="50" t="s">
        <v>261</v>
      </c>
      <c r="E6412" s="50">
        <v>-1</v>
      </c>
      <c r="F6412" s="51">
        <v>-0.54935221029830328</v>
      </c>
      <c r="G6412" s="51" t="str">
        <v>井上 2022/12/25 (日)
休日午後</v>
      </c>
    </row>
    <row r="6413" spans="1:7" ht="16.149999999999999" x14ac:dyDescent="0.7">
      <c r="A6413" s="49">
        <v>44881.916751701385</v>
      </c>
      <c r="B6413" s="50" t="s">
        <v>4</v>
      </c>
      <c r="C6413" s="50" t="s">
        <v>603</v>
      </c>
      <c r="D6413" s="50" t="s">
        <v>259</v>
      </c>
      <c r="E6413" s="50">
        <v>-1</v>
      </c>
      <c r="F6413" s="51">
        <v>-0.60257566609323909</v>
      </c>
      <c r="G6413" s="51" t="str">
        <v>井上 2022/12/26 (月)
平日夜間</v>
      </c>
    </row>
    <row r="6414" spans="1:7" ht="16.149999999999999" x14ac:dyDescent="0.7">
      <c r="A6414" s="49">
        <v>44881.916751701385</v>
      </c>
      <c r="B6414" s="50" t="s">
        <v>4</v>
      </c>
      <c r="C6414" s="50" t="s">
        <v>604</v>
      </c>
      <c r="D6414" s="50" t="s">
        <v>259</v>
      </c>
      <c r="E6414" s="50">
        <v>-1</v>
      </c>
      <c r="F6414" s="51">
        <v>-0.96148775553633947</v>
      </c>
      <c r="G6414" s="51" t="str">
        <v>井上 2022/12/27 (火)
平日夜間</v>
      </c>
    </row>
    <row r="6415" spans="1:7" ht="16.149999999999999" x14ac:dyDescent="0.7">
      <c r="A6415" s="49">
        <v>44881.916751701385</v>
      </c>
      <c r="B6415" s="50" t="s">
        <v>4</v>
      </c>
      <c r="C6415" s="50" t="s">
        <v>605</v>
      </c>
      <c r="D6415" s="50" t="s">
        <v>259</v>
      </c>
      <c r="E6415" s="50">
        <v>-1</v>
      </c>
      <c r="F6415" s="51">
        <v>-0.52943324108253087</v>
      </c>
      <c r="G6415" s="51" t="str">
        <v>井上 2022/12/28 (水)
平日夜間</v>
      </c>
    </row>
    <row r="6416" spans="1:7" ht="16.149999999999999" x14ac:dyDescent="0.7">
      <c r="A6416" s="49">
        <v>44882.390201539354</v>
      </c>
      <c r="B6416" s="50" t="s">
        <v>2</v>
      </c>
      <c r="C6416" s="50" t="s">
        <v>570</v>
      </c>
      <c r="D6416" s="50" t="s">
        <v>259</v>
      </c>
      <c r="E6416" s="50">
        <v>0</v>
      </c>
      <c r="F6416" s="51">
        <v>0.23117912655734307</v>
      </c>
      <c r="G6416" s="51" t="str">
        <v>伊藤 2022/12/01 (木)
平日夜間</v>
      </c>
    </row>
    <row r="6417" spans="1:7" ht="16.149999999999999" x14ac:dyDescent="0.7">
      <c r="A6417" s="49">
        <v>44882.390201539354</v>
      </c>
      <c r="B6417" s="50" t="s">
        <v>2</v>
      </c>
      <c r="C6417" s="50" t="s">
        <v>571</v>
      </c>
      <c r="D6417" s="50" t="s">
        <v>259</v>
      </c>
      <c r="E6417" s="50">
        <v>-1</v>
      </c>
      <c r="F6417" s="51">
        <v>-0.74318391871968759</v>
      </c>
      <c r="G6417" s="51" t="str">
        <v>伊藤 2022/12/02 (金)
平日夜間</v>
      </c>
    </row>
    <row r="6418" spans="1:7" ht="16.149999999999999" x14ac:dyDescent="0.7">
      <c r="A6418" s="49">
        <v>44882.390201539354</v>
      </c>
      <c r="B6418" s="50" t="s">
        <v>2</v>
      </c>
      <c r="C6418" s="50" t="s">
        <v>572</v>
      </c>
      <c r="D6418" s="50" t="s">
        <v>263</v>
      </c>
      <c r="E6418" s="50">
        <v>-1</v>
      </c>
      <c r="F6418" s="51">
        <v>-0.20911375391093578</v>
      </c>
      <c r="G6418" s="51" t="str">
        <v>伊藤 2022/12/03 (土)
休日午前</v>
      </c>
    </row>
    <row r="6419" spans="1:7" ht="16.149999999999999" x14ac:dyDescent="0.7">
      <c r="A6419" s="49">
        <v>44882.390201539354</v>
      </c>
      <c r="B6419" s="50" t="s">
        <v>2</v>
      </c>
      <c r="C6419" s="50" t="s">
        <v>573</v>
      </c>
      <c r="D6419" s="50" t="s">
        <v>261</v>
      </c>
      <c r="E6419" s="50">
        <v>-1</v>
      </c>
      <c r="F6419" s="51">
        <v>-0.21666595188089199</v>
      </c>
      <c r="G6419" s="51" t="str">
        <v>伊藤 2022/12/03 (土)
休日午後</v>
      </c>
    </row>
    <row r="6420" spans="1:7" ht="16.149999999999999" x14ac:dyDescent="0.7">
      <c r="A6420" s="49">
        <v>44882.390201539354</v>
      </c>
      <c r="B6420" s="50" t="s">
        <v>2</v>
      </c>
      <c r="C6420" s="50" t="s">
        <v>574</v>
      </c>
      <c r="D6420" s="50" t="s">
        <v>263</v>
      </c>
      <c r="E6420" s="50">
        <v>0</v>
      </c>
      <c r="F6420" s="51">
        <v>0.33344332484485051</v>
      </c>
      <c r="G6420" s="51" t="str">
        <v>伊藤 2022/12/04 (日)
休日午前</v>
      </c>
    </row>
    <row r="6421" spans="1:7" ht="16.149999999999999" x14ac:dyDescent="0.7">
      <c r="A6421" s="49">
        <v>44882.390201539354</v>
      </c>
      <c r="B6421" s="50" t="s">
        <v>2</v>
      </c>
      <c r="C6421" s="50" t="s">
        <v>575</v>
      </c>
      <c r="D6421" s="50" t="s">
        <v>261</v>
      </c>
      <c r="E6421" s="50">
        <v>0</v>
      </c>
      <c r="F6421" s="51">
        <v>0.99403052203086917</v>
      </c>
      <c r="G6421" s="51" t="str">
        <v>伊藤 2022/12/04 (日)
休日午後</v>
      </c>
    </row>
    <row r="6422" spans="1:7" ht="16.149999999999999" x14ac:dyDescent="0.7">
      <c r="A6422" s="49">
        <v>44882.390201539354</v>
      </c>
      <c r="B6422" s="50" t="s">
        <v>2</v>
      </c>
      <c r="C6422" s="50" t="s">
        <v>576</v>
      </c>
      <c r="D6422" s="50" t="s">
        <v>259</v>
      </c>
      <c r="E6422" s="50">
        <v>0</v>
      </c>
      <c r="F6422" s="51">
        <v>0.49535355992596242</v>
      </c>
      <c r="G6422" s="51" t="str">
        <v>伊藤 2022/12/05 (月)
平日夜間</v>
      </c>
    </row>
    <row r="6423" spans="1:7" ht="16.149999999999999" x14ac:dyDescent="0.7">
      <c r="A6423" s="49">
        <v>44882.390201539354</v>
      </c>
      <c r="B6423" s="50" t="s">
        <v>2</v>
      </c>
      <c r="C6423" s="50" t="s">
        <v>577</v>
      </c>
      <c r="D6423" s="50" t="s">
        <v>259</v>
      </c>
      <c r="E6423" s="50">
        <v>0</v>
      </c>
      <c r="F6423" s="51">
        <v>0.91168039004713797</v>
      </c>
      <c r="G6423" s="51" t="str">
        <v>伊藤 2022/12/06 (火)
平日夜間</v>
      </c>
    </row>
    <row r="6424" spans="1:7" ht="16.149999999999999" x14ac:dyDescent="0.7">
      <c r="A6424" s="49">
        <v>44882.390201539354</v>
      </c>
      <c r="B6424" s="50" t="s">
        <v>2</v>
      </c>
      <c r="C6424" s="50" t="s">
        <v>578</v>
      </c>
      <c r="D6424" s="50" t="s">
        <v>259</v>
      </c>
      <c r="E6424" s="50">
        <v>0</v>
      </c>
      <c r="F6424" s="51">
        <v>0.70167066345383122</v>
      </c>
      <c r="G6424" s="51" t="str">
        <v>伊藤 2022/12/07 (水)
平日夜間</v>
      </c>
    </row>
    <row r="6425" spans="1:7" ht="16.149999999999999" x14ac:dyDescent="0.7">
      <c r="A6425" s="49">
        <v>44882.390201539354</v>
      </c>
      <c r="B6425" s="50" t="s">
        <v>2</v>
      </c>
      <c r="C6425" s="50" t="s">
        <v>579</v>
      </c>
      <c r="D6425" s="50" t="s">
        <v>259</v>
      </c>
      <c r="E6425" s="50">
        <v>0</v>
      </c>
      <c r="F6425" s="51">
        <v>0.97766776408218847</v>
      </c>
      <c r="G6425" s="51" t="str">
        <v>伊藤 2022/12/08 (木)
平日夜間</v>
      </c>
    </row>
    <row r="6426" spans="1:7" ht="16.149999999999999" x14ac:dyDescent="0.7">
      <c r="A6426" s="49">
        <v>44882.390201539354</v>
      </c>
      <c r="B6426" s="50" t="s">
        <v>2</v>
      </c>
      <c r="C6426" s="50" t="s">
        <v>580</v>
      </c>
      <c r="D6426" s="50" t="s">
        <v>259</v>
      </c>
      <c r="E6426" s="50">
        <v>-1</v>
      </c>
      <c r="F6426" s="51">
        <v>-0.97665866647496569</v>
      </c>
      <c r="G6426" s="51" t="str">
        <v>伊藤 2022/12/09 (金)
平日夜間</v>
      </c>
    </row>
    <row r="6427" spans="1:7" ht="16.149999999999999" x14ac:dyDescent="0.7">
      <c r="A6427" s="49">
        <v>44882.390201539354</v>
      </c>
      <c r="B6427" s="50" t="s">
        <v>2</v>
      </c>
      <c r="C6427" s="50" t="s">
        <v>581</v>
      </c>
      <c r="D6427" s="50" t="s">
        <v>263</v>
      </c>
      <c r="E6427" s="50">
        <v>-1</v>
      </c>
      <c r="F6427" s="51">
        <v>-0.86284174179775364</v>
      </c>
      <c r="G6427" s="51" t="str">
        <v>伊藤 2022/12/10 (土)
休日午前</v>
      </c>
    </row>
    <row r="6428" spans="1:7" ht="16.149999999999999" x14ac:dyDescent="0.7">
      <c r="A6428" s="49">
        <v>44882.390201539354</v>
      </c>
      <c r="B6428" s="50" t="s">
        <v>2</v>
      </c>
      <c r="C6428" s="50" t="s">
        <v>582</v>
      </c>
      <c r="D6428" s="50" t="s">
        <v>261</v>
      </c>
      <c r="E6428" s="50">
        <v>-1</v>
      </c>
      <c r="F6428" s="51">
        <v>-0.24659312971532499</v>
      </c>
      <c r="G6428" s="51" t="str">
        <v>伊藤 2022/12/10 (土)
休日午後</v>
      </c>
    </row>
    <row r="6429" spans="1:7" ht="16.149999999999999" x14ac:dyDescent="0.7">
      <c r="A6429" s="49">
        <v>44882.390201539354</v>
      </c>
      <c r="B6429" s="50" t="s">
        <v>2</v>
      </c>
      <c r="C6429" s="50" t="s">
        <v>583</v>
      </c>
      <c r="D6429" s="50" t="s">
        <v>263</v>
      </c>
      <c r="E6429" s="50">
        <v>0</v>
      </c>
      <c r="F6429" s="51">
        <v>0.90078342210159446</v>
      </c>
      <c r="G6429" s="51" t="str">
        <v>伊藤 2022/12/11 (日)
休日午前</v>
      </c>
    </row>
    <row r="6430" spans="1:7" ht="16.149999999999999" x14ac:dyDescent="0.7">
      <c r="A6430" s="49">
        <v>44882.390201539354</v>
      </c>
      <c r="B6430" s="50" t="s">
        <v>2</v>
      </c>
      <c r="C6430" s="50" t="s">
        <v>584</v>
      </c>
      <c r="D6430" s="50" t="s">
        <v>261</v>
      </c>
      <c r="E6430" s="50">
        <v>2</v>
      </c>
      <c r="F6430" s="51">
        <v>2.2115672903304286</v>
      </c>
      <c r="G6430" s="51" t="str">
        <v>伊藤 2022/12/11 (日)
休日午後</v>
      </c>
    </row>
    <row r="6431" spans="1:7" ht="16.149999999999999" x14ac:dyDescent="0.7">
      <c r="A6431" s="49">
        <v>44882.390201539354</v>
      </c>
      <c r="B6431" s="50" t="s">
        <v>2</v>
      </c>
      <c r="C6431" s="50" t="s">
        <v>585</v>
      </c>
      <c r="D6431" s="50" t="s">
        <v>259</v>
      </c>
      <c r="E6431" s="50">
        <v>0</v>
      </c>
      <c r="F6431" s="51">
        <v>0.81665504054557281</v>
      </c>
      <c r="G6431" s="51" t="str">
        <v>伊藤 2022/12/12 (月)
平日夜間</v>
      </c>
    </row>
    <row r="6432" spans="1:7" ht="16.149999999999999" x14ac:dyDescent="0.7">
      <c r="A6432" s="49">
        <v>44882.390201539354</v>
      </c>
      <c r="B6432" s="50" t="s">
        <v>2</v>
      </c>
      <c r="C6432" s="50" t="s">
        <v>586</v>
      </c>
      <c r="D6432" s="50" t="s">
        <v>259</v>
      </c>
      <c r="E6432" s="50">
        <v>0</v>
      </c>
      <c r="F6432" s="51">
        <v>0.93083000623229561</v>
      </c>
      <c r="G6432" s="51" t="str">
        <v>伊藤 2022/12/13 (火)
平日夜間</v>
      </c>
    </row>
    <row r="6433" spans="1:7" ht="16.149999999999999" x14ac:dyDescent="0.7">
      <c r="A6433" s="49">
        <v>44882.390201539354</v>
      </c>
      <c r="B6433" s="50" t="s">
        <v>2</v>
      </c>
      <c r="C6433" s="50" t="s">
        <v>587</v>
      </c>
      <c r="D6433" s="50" t="s">
        <v>259</v>
      </c>
      <c r="E6433" s="50">
        <v>0</v>
      </c>
      <c r="F6433" s="51">
        <v>0.88636074852951352</v>
      </c>
      <c r="G6433" s="51" t="str">
        <v>伊藤 2022/12/14 (水)
平日夜間</v>
      </c>
    </row>
    <row r="6434" spans="1:7" ht="16.149999999999999" x14ac:dyDescent="0.7">
      <c r="A6434" s="49">
        <v>44882.390201539354</v>
      </c>
      <c r="B6434" s="50" t="s">
        <v>2</v>
      </c>
      <c r="C6434" s="50" t="s">
        <v>588</v>
      </c>
      <c r="D6434" s="50" t="s">
        <v>259</v>
      </c>
      <c r="E6434" s="50">
        <v>0</v>
      </c>
      <c r="F6434" s="51">
        <v>0.64074214205495084</v>
      </c>
      <c r="G6434" s="51" t="str">
        <v>伊藤 2022/12/15 (木)
平日夜間</v>
      </c>
    </row>
    <row r="6435" spans="1:7" ht="16.149999999999999" x14ac:dyDescent="0.7">
      <c r="A6435" s="49">
        <v>44882.390201539354</v>
      </c>
      <c r="B6435" s="50" t="s">
        <v>2</v>
      </c>
      <c r="C6435" s="50" t="s">
        <v>589</v>
      </c>
      <c r="D6435" s="50" t="s">
        <v>259</v>
      </c>
      <c r="E6435" s="50">
        <v>-1</v>
      </c>
      <c r="F6435" s="51">
        <v>-0.45820393582810826</v>
      </c>
      <c r="G6435" s="51" t="str">
        <v>伊藤 2022/12/16 (金)
平日夜間</v>
      </c>
    </row>
    <row r="6436" spans="1:7" ht="16.149999999999999" x14ac:dyDescent="0.7">
      <c r="A6436" s="49">
        <v>44882.390201539354</v>
      </c>
      <c r="B6436" s="50" t="s">
        <v>2</v>
      </c>
      <c r="C6436" s="50" t="s">
        <v>590</v>
      </c>
      <c r="D6436" s="50" t="s">
        <v>263</v>
      </c>
      <c r="E6436" s="50">
        <v>-1</v>
      </c>
      <c r="F6436" s="51">
        <v>-0.17570161926840711</v>
      </c>
      <c r="G6436" s="51" t="str">
        <v>伊藤 2022/12/17 (土)
休日午前</v>
      </c>
    </row>
    <row r="6437" spans="1:7" ht="16.149999999999999" x14ac:dyDescent="0.7">
      <c r="A6437" s="49">
        <v>44882.390201539354</v>
      </c>
      <c r="B6437" s="50" t="s">
        <v>2</v>
      </c>
      <c r="C6437" s="50" t="s">
        <v>591</v>
      </c>
      <c r="D6437" s="50" t="s">
        <v>261</v>
      </c>
      <c r="E6437" s="50">
        <v>-1</v>
      </c>
      <c r="F6437" s="51">
        <v>-0.17354672674935334</v>
      </c>
      <c r="G6437" s="51" t="str">
        <v>伊藤 2022/12/17 (土)
休日午後</v>
      </c>
    </row>
    <row r="6438" spans="1:7" ht="16.149999999999999" x14ac:dyDescent="0.7">
      <c r="A6438" s="49">
        <v>44882.390201539354</v>
      </c>
      <c r="B6438" s="50" t="s">
        <v>2</v>
      </c>
      <c r="C6438" s="50" t="s">
        <v>592</v>
      </c>
      <c r="D6438" s="50" t="s">
        <v>263</v>
      </c>
      <c r="E6438" s="50">
        <v>0</v>
      </c>
      <c r="F6438" s="51">
        <v>0.74013587736190734</v>
      </c>
      <c r="G6438" s="51" t="str">
        <v>伊藤 2022/12/18 (日)
休日午前</v>
      </c>
    </row>
    <row r="6439" spans="1:7" ht="16.149999999999999" x14ac:dyDescent="0.7">
      <c r="A6439" s="49">
        <v>44882.390201539354</v>
      </c>
      <c r="B6439" s="50" t="s">
        <v>2</v>
      </c>
      <c r="C6439" s="50" t="s">
        <v>593</v>
      </c>
      <c r="D6439" s="50" t="s">
        <v>261</v>
      </c>
      <c r="E6439" s="50">
        <v>0</v>
      </c>
      <c r="F6439" s="51">
        <v>0.87306901133477988</v>
      </c>
      <c r="G6439" s="51" t="str">
        <v>伊藤 2022/12/18 (日)
休日午後</v>
      </c>
    </row>
    <row r="6440" spans="1:7" ht="16.149999999999999" x14ac:dyDescent="0.7">
      <c r="A6440" s="49">
        <v>44882.390201539354</v>
      </c>
      <c r="B6440" s="50" t="s">
        <v>2</v>
      </c>
      <c r="C6440" s="50" t="s">
        <v>594</v>
      </c>
      <c r="D6440" s="50" t="s">
        <v>259</v>
      </c>
      <c r="E6440" s="50">
        <v>0</v>
      </c>
      <c r="F6440" s="51">
        <v>0.4461250383420281</v>
      </c>
      <c r="G6440" s="51" t="str">
        <v>伊藤 2022/12/19 (月)
平日夜間</v>
      </c>
    </row>
    <row r="6441" spans="1:7" ht="16.149999999999999" x14ac:dyDescent="0.7">
      <c r="A6441" s="49">
        <v>44882.390201539354</v>
      </c>
      <c r="B6441" s="50" t="s">
        <v>2</v>
      </c>
      <c r="C6441" s="50" t="s">
        <v>595</v>
      </c>
      <c r="D6441" s="50" t="s">
        <v>259</v>
      </c>
      <c r="E6441" s="50">
        <v>0</v>
      </c>
      <c r="F6441" s="51">
        <v>0.25435422950475828</v>
      </c>
      <c r="G6441" s="51" t="str">
        <v>伊藤 2022/12/20 (火)
平日夜間</v>
      </c>
    </row>
    <row r="6442" spans="1:7" ht="16.149999999999999" x14ac:dyDescent="0.7">
      <c r="A6442" s="49">
        <v>44882.390201539354</v>
      </c>
      <c r="B6442" s="50" t="s">
        <v>2</v>
      </c>
      <c r="C6442" s="50" t="s">
        <v>596</v>
      </c>
      <c r="D6442" s="50" t="s">
        <v>259</v>
      </c>
      <c r="E6442" s="50">
        <v>0</v>
      </c>
      <c r="F6442" s="51">
        <v>0.71386724985498118</v>
      </c>
      <c r="G6442" s="51" t="str">
        <v>伊藤 2022/12/21 (水)
平日夜間</v>
      </c>
    </row>
    <row r="6443" spans="1:7" ht="16.149999999999999" x14ac:dyDescent="0.7">
      <c r="A6443" s="49">
        <v>44882.390201539354</v>
      </c>
      <c r="B6443" s="50" t="s">
        <v>2</v>
      </c>
      <c r="C6443" s="50" t="s">
        <v>597</v>
      </c>
      <c r="D6443" s="50" t="s">
        <v>259</v>
      </c>
      <c r="E6443" s="50">
        <v>0</v>
      </c>
      <c r="F6443" s="51">
        <v>0.80495217153743237</v>
      </c>
      <c r="G6443" s="51" t="str">
        <v>伊藤 2022/12/22 (木)
平日夜間</v>
      </c>
    </row>
    <row r="6444" spans="1:7" ht="16.149999999999999" x14ac:dyDescent="0.7">
      <c r="A6444" s="49">
        <v>44882.390201539354</v>
      </c>
      <c r="B6444" s="50" t="s">
        <v>2</v>
      </c>
      <c r="C6444" s="50" t="s">
        <v>598</v>
      </c>
      <c r="D6444" s="50" t="s">
        <v>259</v>
      </c>
      <c r="E6444" s="50">
        <v>-1</v>
      </c>
      <c r="F6444" s="51">
        <v>-0.95649356211224479</v>
      </c>
      <c r="G6444" s="51" t="str">
        <v>伊藤 2022/12/23 (金)
平日夜間</v>
      </c>
    </row>
    <row r="6445" spans="1:7" ht="16.149999999999999" x14ac:dyDescent="0.7">
      <c r="A6445" s="49">
        <v>44882.390201539354</v>
      </c>
      <c r="B6445" s="50" t="s">
        <v>2</v>
      </c>
      <c r="C6445" s="50" t="s">
        <v>599</v>
      </c>
      <c r="D6445" s="50" t="s">
        <v>263</v>
      </c>
      <c r="E6445" s="50">
        <v>-1</v>
      </c>
      <c r="F6445" s="51">
        <v>-0.33900816178944515</v>
      </c>
      <c r="G6445" s="51" t="str">
        <v>伊藤 2022/12/24 (土)
休日午前</v>
      </c>
    </row>
    <row r="6446" spans="1:7" ht="16.149999999999999" x14ac:dyDescent="0.7">
      <c r="A6446" s="49">
        <v>44882.390201539354</v>
      </c>
      <c r="B6446" s="50" t="s">
        <v>2</v>
      </c>
      <c r="C6446" s="50" t="s">
        <v>600</v>
      </c>
      <c r="D6446" s="50" t="s">
        <v>261</v>
      </c>
      <c r="E6446" s="50">
        <v>-1</v>
      </c>
      <c r="F6446" s="51">
        <v>-0.59624591223517198</v>
      </c>
      <c r="G6446" s="51" t="str">
        <v>伊藤 2022/12/24 (土)
休日午後</v>
      </c>
    </row>
    <row r="6447" spans="1:7" ht="16.149999999999999" x14ac:dyDescent="0.7">
      <c r="A6447" s="49">
        <v>44882.390201539354</v>
      </c>
      <c r="B6447" s="50" t="s">
        <v>2</v>
      </c>
      <c r="C6447" s="50" t="s">
        <v>601</v>
      </c>
      <c r="D6447" s="50" t="s">
        <v>263</v>
      </c>
      <c r="E6447" s="50">
        <v>0</v>
      </c>
      <c r="F6447" s="51">
        <v>0.80418563061872184</v>
      </c>
      <c r="G6447" s="51" t="str">
        <v>伊藤 2022/12/25 (日)
休日午前</v>
      </c>
    </row>
    <row r="6448" spans="1:7" ht="16.149999999999999" x14ac:dyDescent="0.7">
      <c r="A6448" s="49">
        <v>44882.390201539354</v>
      </c>
      <c r="B6448" s="50" t="s">
        <v>2</v>
      </c>
      <c r="C6448" s="50" t="s">
        <v>602</v>
      </c>
      <c r="D6448" s="50" t="s">
        <v>261</v>
      </c>
      <c r="E6448" s="50">
        <v>0</v>
      </c>
      <c r="F6448" s="51">
        <v>0.5023640590257703</v>
      </c>
      <c r="G6448" s="51" t="str">
        <v>伊藤 2022/12/25 (日)
休日午後</v>
      </c>
    </row>
    <row r="6449" spans="1:7" ht="16.149999999999999" x14ac:dyDescent="0.7">
      <c r="A6449" s="49">
        <v>44882.390201539354</v>
      </c>
      <c r="B6449" s="50" t="s">
        <v>2</v>
      </c>
      <c r="C6449" s="50" t="s">
        <v>603</v>
      </c>
      <c r="D6449" s="50" t="s">
        <v>259</v>
      </c>
      <c r="E6449" s="50">
        <v>0</v>
      </c>
      <c r="F6449" s="51">
        <v>0.60704253154647936</v>
      </c>
      <c r="G6449" s="51" t="str">
        <v>伊藤 2022/12/26 (月)
平日夜間</v>
      </c>
    </row>
    <row r="6450" spans="1:7" ht="16.149999999999999" x14ac:dyDescent="0.7">
      <c r="A6450" s="49">
        <v>44882.390201539354</v>
      </c>
      <c r="B6450" s="50" t="s">
        <v>2</v>
      </c>
      <c r="C6450" s="50" t="s">
        <v>604</v>
      </c>
      <c r="D6450" s="50" t="s">
        <v>259</v>
      </c>
      <c r="E6450" s="50">
        <v>0</v>
      </c>
      <c r="F6450" s="51">
        <v>0.82650098596117294</v>
      </c>
      <c r="G6450" s="51" t="str">
        <v>伊藤 2022/12/27 (火)
平日夜間</v>
      </c>
    </row>
    <row r="6451" spans="1:7" ht="16.149999999999999" x14ac:dyDescent="0.7">
      <c r="A6451" s="49">
        <v>44882.390201539354</v>
      </c>
      <c r="B6451" s="50" t="s">
        <v>2</v>
      </c>
      <c r="C6451" s="50" t="s">
        <v>605</v>
      </c>
      <c r="D6451" s="50" t="s">
        <v>259</v>
      </c>
      <c r="E6451" s="50">
        <v>0</v>
      </c>
      <c r="F6451" s="51">
        <v>0.15880005077184967</v>
      </c>
      <c r="G6451" s="51" t="str">
        <v>伊藤 2022/12/28 (水)
平日夜間</v>
      </c>
    </row>
    <row r="6452" spans="1:7" ht="16.149999999999999" x14ac:dyDescent="0.7">
      <c r="A6452" s="49">
        <v>44882.921802199075</v>
      </c>
      <c r="B6452" s="50" t="s">
        <v>149</v>
      </c>
      <c r="C6452" s="50" t="s">
        <v>570</v>
      </c>
      <c r="D6452" s="50" t="s">
        <v>259</v>
      </c>
      <c r="E6452" s="50">
        <v>0</v>
      </c>
      <c r="F6452" s="51">
        <v>0.21229368330007836</v>
      </c>
      <c r="G6452" s="51" t="str">
        <v>中野 2022/12/01 (木)
平日夜間</v>
      </c>
    </row>
    <row r="6453" spans="1:7" ht="16.149999999999999" x14ac:dyDescent="0.7">
      <c r="A6453" s="49">
        <v>44882.921802199075</v>
      </c>
      <c r="B6453" s="50" t="s">
        <v>149</v>
      </c>
      <c r="C6453" s="50" t="s">
        <v>571</v>
      </c>
      <c r="D6453" s="50" t="s">
        <v>259</v>
      </c>
      <c r="E6453" s="50">
        <v>0</v>
      </c>
      <c r="F6453" s="51">
        <v>5.2505802470774299E-2</v>
      </c>
      <c r="G6453" s="51" t="str">
        <v>中野 2022/12/02 (金)
平日夜間</v>
      </c>
    </row>
    <row r="6454" spans="1:7" ht="16.149999999999999" x14ac:dyDescent="0.7">
      <c r="A6454" s="49">
        <v>44882.921802199075</v>
      </c>
      <c r="B6454" s="50" t="s">
        <v>149</v>
      </c>
      <c r="C6454" s="50" t="s">
        <v>572</v>
      </c>
      <c r="D6454" s="50" t="s">
        <v>263</v>
      </c>
      <c r="E6454" s="50">
        <v>0</v>
      </c>
      <c r="F6454" s="51">
        <v>0.23740458857983748</v>
      </c>
      <c r="G6454" s="51" t="str">
        <v>中野 2022/12/03 (土)
休日午前</v>
      </c>
    </row>
    <row r="6455" spans="1:7" ht="16.149999999999999" x14ac:dyDescent="0.7">
      <c r="A6455" s="49">
        <v>44882.921802199075</v>
      </c>
      <c r="B6455" s="50" t="s">
        <v>149</v>
      </c>
      <c r="C6455" s="50" t="s">
        <v>573</v>
      </c>
      <c r="D6455" s="50" t="s">
        <v>261</v>
      </c>
      <c r="E6455" s="50">
        <v>-1</v>
      </c>
      <c r="F6455" s="51">
        <v>-0.34487300086409256</v>
      </c>
      <c r="G6455" s="51" t="str">
        <v>中野 2022/12/03 (土)
休日午後</v>
      </c>
    </row>
    <row r="6456" spans="1:7" ht="16.149999999999999" x14ac:dyDescent="0.7">
      <c r="A6456" s="49">
        <v>44882.921802199075</v>
      </c>
      <c r="B6456" s="50" t="s">
        <v>149</v>
      </c>
      <c r="C6456" s="50" t="s">
        <v>574</v>
      </c>
      <c r="D6456" s="50" t="s">
        <v>263</v>
      </c>
      <c r="E6456" s="50">
        <v>-1</v>
      </c>
      <c r="F6456" s="51">
        <v>-0.28855488574138444</v>
      </c>
      <c r="G6456" s="51" t="str">
        <v>中野 2022/12/04 (日)
休日午前</v>
      </c>
    </row>
    <row r="6457" spans="1:7" ht="16.149999999999999" x14ac:dyDescent="0.7">
      <c r="A6457" s="49">
        <v>44882.921802199075</v>
      </c>
      <c r="B6457" s="50" t="s">
        <v>149</v>
      </c>
      <c r="C6457" s="50" t="s">
        <v>575</v>
      </c>
      <c r="D6457" s="50" t="s">
        <v>261</v>
      </c>
      <c r="E6457" s="50">
        <v>-1</v>
      </c>
      <c r="F6457" s="51">
        <v>-0.39018326366959477</v>
      </c>
      <c r="G6457" s="51" t="str">
        <v>中野 2022/12/04 (日)
休日午後</v>
      </c>
    </row>
    <row r="6458" spans="1:7" ht="16.149999999999999" x14ac:dyDescent="0.7">
      <c r="A6458" s="49">
        <v>44882.921802199075</v>
      </c>
      <c r="B6458" s="50" t="s">
        <v>149</v>
      </c>
      <c r="C6458" s="50" t="s">
        <v>576</v>
      </c>
      <c r="D6458" s="50" t="s">
        <v>259</v>
      </c>
      <c r="E6458" s="50">
        <v>-1</v>
      </c>
      <c r="F6458" s="51">
        <v>-0.89736411697963026</v>
      </c>
      <c r="G6458" s="51" t="str">
        <v>中野 2022/12/05 (月)
平日夜間</v>
      </c>
    </row>
    <row r="6459" spans="1:7" ht="16.149999999999999" x14ac:dyDescent="0.7">
      <c r="A6459" s="49">
        <v>44882.921802199075</v>
      </c>
      <c r="B6459" s="50" t="s">
        <v>149</v>
      </c>
      <c r="C6459" s="50" t="s">
        <v>577</v>
      </c>
      <c r="D6459" s="50" t="s">
        <v>259</v>
      </c>
      <c r="E6459" s="50">
        <v>0</v>
      </c>
      <c r="F6459" s="51">
        <v>0.38073478973317942</v>
      </c>
      <c r="G6459" s="51" t="str">
        <v>中野 2022/12/06 (火)
平日夜間</v>
      </c>
    </row>
    <row r="6460" spans="1:7" ht="16.149999999999999" x14ac:dyDescent="0.7">
      <c r="A6460" s="49">
        <v>44882.921802199075</v>
      </c>
      <c r="B6460" s="50" t="s">
        <v>149</v>
      </c>
      <c r="C6460" s="50" t="s">
        <v>578</v>
      </c>
      <c r="D6460" s="50" t="s">
        <v>259</v>
      </c>
      <c r="E6460" s="50">
        <v>0</v>
      </c>
      <c r="F6460" s="51">
        <v>0.21350899971951298</v>
      </c>
      <c r="G6460" s="51" t="str">
        <v>中野 2022/12/07 (水)
平日夜間</v>
      </c>
    </row>
    <row r="6461" spans="1:7" ht="16.149999999999999" x14ac:dyDescent="0.7">
      <c r="A6461" s="49">
        <v>44882.921802199075</v>
      </c>
      <c r="B6461" s="50" t="s">
        <v>149</v>
      </c>
      <c r="C6461" s="50" t="s">
        <v>579</v>
      </c>
      <c r="D6461" s="50" t="s">
        <v>259</v>
      </c>
      <c r="E6461" s="50">
        <v>0</v>
      </c>
      <c r="F6461" s="51">
        <v>0.12396327051730882</v>
      </c>
      <c r="G6461" s="51" t="str">
        <v>中野 2022/12/08 (木)
平日夜間</v>
      </c>
    </row>
    <row r="6462" spans="1:7" ht="16.149999999999999" x14ac:dyDescent="0.7">
      <c r="A6462" s="49">
        <v>44882.921802199075</v>
      </c>
      <c r="B6462" s="50" t="s">
        <v>149</v>
      </c>
      <c r="C6462" s="50" t="s">
        <v>580</v>
      </c>
      <c r="D6462" s="50" t="s">
        <v>259</v>
      </c>
      <c r="E6462" s="50">
        <v>-1</v>
      </c>
      <c r="F6462" s="51">
        <v>-0.99665091474911938</v>
      </c>
      <c r="G6462" s="51" t="str">
        <v>中野 2022/12/09 (金)
平日夜間</v>
      </c>
    </row>
    <row r="6463" spans="1:7" ht="16.149999999999999" x14ac:dyDescent="0.7">
      <c r="A6463" s="49">
        <v>44882.921802199075</v>
      </c>
      <c r="B6463" s="50" t="s">
        <v>149</v>
      </c>
      <c r="C6463" s="50" t="s">
        <v>581</v>
      </c>
      <c r="D6463" s="50" t="s">
        <v>263</v>
      </c>
      <c r="E6463" s="50">
        <v>-1</v>
      </c>
      <c r="F6463" s="51">
        <v>-0.99551247141535781</v>
      </c>
      <c r="G6463" s="51" t="str">
        <v>中野 2022/12/10 (土)
休日午前</v>
      </c>
    </row>
    <row r="6464" spans="1:7" ht="16.149999999999999" x14ac:dyDescent="0.7">
      <c r="A6464" s="49">
        <v>44882.921802199075</v>
      </c>
      <c r="B6464" s="50" t="s">
        <v>149</v>
      </c>
      <c r="C6464" s="50" t="s">
        <v>582</v>
      </c>
      <c r="D6464" s="50" t="s">
        <v>261</v>
      </c>
      <c r="E6464" s="50">
        <v>-1</v>
      </c>
      <c r="F6464" s="51">
        <v>-0.77022895441198447</v>
      </c>
      <c r="G6464" s="51" t="str">
        <v>中野 2022/12/10 (土)
休日午後</v>
      </c>
    </row>
    <row r="6465" spans="1:7" ht="16.149999999999999" x14ac:dyDescent="0.7">
      <c r="A6465" s="49">
        <v>44882.921802199075</v>
      </c>
      <c r="B6465" s="50" t="s">
        <v>149</v>
      </c>
      <c r="C6465" s="50" t="s">
        <v>583</v>
      </c>
      <c r="D6465" s="50" t="s">
        <v>263</v>
      </c>
      <c r="E6465" s="50">
        <v>-1</v>
      </c>
      <c r="F6465" s="51">
        <v>-0.3770616480385276</v>
      </c>
      <c r="G6465" s="51" t="str">
        <v>中野 2022/12/11 (日)
休日午前</v>
      </c>
    </row>
    <row r="6466" spans="1:7" ht="16.149999999999999" x14ac:dyDescent="0.7">
      <c r="A6466" s="49">
        <v>44882.921802199075</v>
      </c>
      <c r="B6466" s="50" t="s">
        <v>149</v>
      </c>
      <c r="C6466" s="50" t="s">
        <v>584</v>
      </c>
      <c r="D6466" s="50" t="s">
        <v>261</v>
      </c>
      <c r="E6466" s="50">
        <v>-1</v>
      </c>
      <c r="F6466" s="51">
        <v>-0.23478157524427701</v>
      </c>
      <c r="G6466" s="51" t="str">
        <v>中野 2022/12/11 (日)
休日午後</v>
      </c>
    </row>
    <row r="6467" spans="1:7" ht="16.149999999999999" x14ac:dyDescent="0.7">
      <c r="A6467" s="49">
        <v>44882.921802199075</v>
      </c>
      <c r="B6467" s="50" t="s">
        <v>149</v>
      </c>
      <c r="C6467" s="50" t="s">
        <v>585</v>
      </c>
      <c r="D6467" s="50" t="s">
        <v>259</v>
      </c>
      <c r="E6467" s="50">
        <v>2</v>
      </c>
      <c r="F6467" s="51">
        <v>2.5002221896194801</v>
      </c>
      <c r="G6467" s="51" t="str">
        <v>中野 2022/12/12 (月)
平日夜間</v>
      </c>
    </row>
    <row r="6468" spans="1:7" ht="16.149999999999999" x14ac:dyDescent="0.7">
      <c r="A6468" s="49">
        <v>44882.921802199075</v>
      </c>
      <c r="B6468" s="50" t="s">
        <v>149</v>
      </c>
      <c r="C6468" s="50" t="s">
        <v>586</v>
      </c>
      <c r="D6468" s="50" t="s">
        <v>259</v>
      </c>
      <c r="E6468" s="50">
        <v>-1</v>
      </c>
      <c r="F6468" s="51">
        <v>-0.74320268522105959</v>
      </c>
      <c r="G6468" s="51" t="str">
        <v>中野 2022/12/13 (火)
平日夜間</v>
      </c>
    </row>
    <row r="6469" spans="1:7" ht="16.149999999999999" x14ac:dyDescent="0.7">
      <c r="A6469" s="49">
        <v>44882.921802199075</v>
      </c>
      <c r="B6469" s="50" t="s">
        <v>149</v>
      </c>
      <c r="C6469" s="50" t="s">
        <v>587</v>
      </c>
      <c r="D6469" s="50" t="s">
        <v>259</v>
      </c>
      <c r="E6469" s="50">
        <v>0</v>
      </c>
      <c r="F6469" s="51">
        <v>5.1402187257102883E-2</v>
      </c>
      <c r="G6469" s="51" t="str">
        <v>中野 2022/12/14 (水)
平日夜間</v>
      </c>
    </row>
    <row r="6470" spans="1:7" ht="16.149999999999999" x14ac:dyDescent="0.7">
      <c r="A6470" s="49">
        <v>44882.921802199075</v>
      </c>
      <c r="B6470" s="50" t="s">
        <v>149</v>
      </c>
      <c r="C6470" s="50" t="s">
        <v>588</v>
      </c>
      <c r="D6470" s="50" t="s">
        <v>259</v>
      </c>
      <c r="E6470" s="50">
        <v>0</v>
      </c>
      <c r="F6470" s="51">
        <v>0.12203446945984409</v>
      </c>
      <c r="G6470" s="51" t="str">
        <v>中野 2022/12/15 (木)
平日夜間</v>
      </c>
    </row>
    <row r="6471" spans="1:7" ht="16.149999999999999" x14ac:dyDescent="0.7">
      <c r="A6471" s="49">
        <v>44882.921802199075</v>
      </c>
      <c r="B6471" s="50" t="s">
        <v>149</v>
      </c>
      <c r="C6471" s="50" t="s">
        <v>589</v>
      </c>
      <c r="D6471" s="50" t="s">
        <v>259</v>
      </c>
      <c r="E6471" s="50">
        <v>-1</v>
      </c>
      <c r="F6471" s="51">
        <v>-0.21067370846077793</v>
      </c>
      <c r="G6471" s="51" t="str">
        <v>中野 2022/12/16 (金)
平日夜間</v>
      </c>
    </row>
    <row r="6472" spans="1:7" ht="16.149999999999999" x14ac:dyDescent="0.7">
      <c r="A6472" s="49">
        <v>44882.921802199075</v>
      </c>
      <c r="B6472" s="50" t="s">
        <v>149</v>
      </c>
      <c r="C6472" s="50" t="s">
        <v>590</v>
      </c>
      <c r="D6472" s="50" t="s">
        <v>263</v>
      </c>
      <c r="E6472" s="50">
        <v>-1</v>
      </c>
      <c r="F6472" s="51">
        <v>-0.39023407864968984</v>
      </c>
      <c r="G6472" s="51" t="str">
        <v>中野 2022/12/17 (土)
休日午前</v>
      </c>
    </row>
    <row r="6473" spans="1:7" ht="16.149999999999999" x14ac:dyDescent="0.7">
      <c r="A6473" s="49">
        <v>44882.921802199075</v>
      </c>
      <c r="B6473" s="50" t="s">
        <v>149</v>
      </c>
      <c r="C6473" s="50" t="s">
        <v>591</v>
      </c>
      <c r="D6473" s="50" t="s">
        <v>261</v>
      </c>
      <c r="E6473" s="50">
        <v>-1</v>
      </c>
      <c r="F6473" s="51">
        <v>-0.19699840452540807</v>
      </c>
      <c r="G6473" s="51" t="str">
        <v>中野 2022/12/17 (土)
休日午後</v>
      </c>
    </row>
    <row r="6474" spans="1:7" ht="16.149999999999999" x14ac:dyDescent="0.7">
      <c r="A6474" s="49">
        <v>44882.921802199075</v>
      </c>
      <c r="B6474" s="50" t="s">
        <v>149</v>
      </c>
      <c r="C6474" s="50" t="s">
        <v>592</v>
      </c>
      <c r="D6474" s="50" t="s">
        <v>263</v>
      </c>
      <c r="E6474" s="50">
        <v>0</v>
      </c>
      <c r="F6474" s="51">
        <v>0.51865325370136595</v>
      </c>
      <c r="G6474" s="51" t="str">
        <v>中野 2022/12/18 (日)
休日午前</v>
      </c>
    </row>
    <row r="6475" spans="1:7" ht="16.149999999999999" x14ac:dyDescent="0.7">
      <c r="A6475" s="49">
        <v>44882.921802199075</v>
      </c>
      <c r="B6475" s="50" t="s">
        <v>149</v>
      </c>
      <c r="C6475" s="50" t="s">
        <v>593</v>
      </c>
      <c r="D6475" s="50" t="s">
        <v>261</v>
      </c>
      <c r="E6475" s="50">
        <v>-1</v>
      </c>
      <c r="F6475" s="51">
        <v>-0.93040235688576001</v>
      </c>
      <c r="G6475" s="51" t="str">
        <v>中野 2022/12/18 (日)
休日午後</v>
      </c>
    </row>
    <row r="6476" spans="1:7" ht="16.149999999999999" x14ac:dyDescent="0.7">
      <c r="A6476" s="49">
        <v>44882.921802199075</v>
      </c>
      <c r="B6476" s="50" t="s">
        <v>149</v>
      </c>
      <c r="C6476" s="50" t="s">
        <v>594</v>
      </c>
      <c r="D6476" s="50" t="s">
        <v>259</v>
      </c>
      <c r="E6476" s="50">
        <v>0</v>
      </c>
      <c r="F6476" s="51">
        <v>0.58762622041414803</v>
      </c>
      <c r="G6476" s="51" t="str">
        <v>中野 2022/12/19 (月)
平日夜間</v>
      </c>
    </row>
    <row r="6477" spans="1:7" ht="16.149999999999999" x14ac:dyDescent="0.7">
      <c r="A6477" s="49">
        <v>44882.921802199075</v>
      </c>
      <c r="B6477" s="50" t="s">
        <v>149</v>
      </c>
      <c r="C6477" s="50" t="s">
        <v>595</v>
      </c>
      <c r="D6477" s="50" t="s">
        <v>259</v>
      </c>
      <c r="E6477" s="50">
        <v>0</v>
      </c>
      <c r="F6477" s="51">
        <v>0.79420558220368642</v>
      </c>
      <c r="G6477" s="51" t="str">
        <v>中野 2022/12/20 (火)
平日夜間</v>
      </c>
    </row>
    <row r="6478" spans="1:7" ht="16.149999999999999" x14ac:dyDescent="0.7">
      <c r="A6478" s="49">
        <v>44882.921802199075</v>
      </c>
      <c r="B6478" s="50" t="s">
        <v>149</v>
      </c>
      <c r="C6478" s="50" t="s">
        <v>596</v>
      </c>
      <c r="D6478" s="50" t="s">
        <v>259</v>
      </c>
      <c r="E6478" s="50">
        <v>0</v>
      </c>
      <c r="F6478" s="51">
        <v>0.7862636542251884</v>
      </c>
      <c r="G6478" s="51" t="str">
        <v>中野 2022/12/21 (水)
平日夜間</v>
      </c>
    </row>
    <row r="6479" spans="1:7" ht="16.149999999999999" x14ac:dyDescent="0.7">
      <c r="A6479" s="49">
        <v>44882.921802199075</v>
      </c>
      <c r="B6479" s="50" t="s">
        <v>149</v>
      </c>
      <c r="C6479" s="50" t="s">
        <v>597</v>
      </c>
      <c r="D6479" s="50" t="s">
        <v>259</v>
      </c>
      <c r="E6479" s="50">
        <v>0</v>
      </c>
      <c r="F6479" s="51">
        <v>0.89840256045165212</v>
      </c>
      <c r="G6479" s="51" t="str">
        <v>中野 2022/12/22 (木)
平日夜間</v>
      </c>
    </row>
    <row r="6480" spans="1:7" ht="16.149999999999999" x14ac:dyDescent="0.7">
      <c r="A6480" s="49">
        <v>44882.921802199075</v>
      </c>
      <c r="B6480" s="50" t="s">
        <v>149</v>
      </c>
      <c r="C6480" s="50" t="s">
        <v>598</v>
      </c>
      <c r="D6480" s="50" t="s">
        <v>259</v>
      </c>
      <c r="E6480" s="50">
        <v>-1</v>
      </c>
      <c r="F6480" s="51">
        <v>-0.47125522236659512</v>
      </c>
      <c r="G6480" s="51" t="str">
        <v>中野 2022/12/23 (金)
平日夜間</v>
      </c>
    </row>
    <row r="6481" spans="1:7" ht="16.149999999999999" x14ac:dyDescent="0.7">
      <c r="A6481" s="49">
        <v>44882.921802199075</v>
      </c>
      <c r="B6481" s="50" t="s">
        <v>149</v>
      </c>
      <c r="C6481" s="50" t="s">
        <v>599</v>
      </c>
      <c r="D6481" s="50" t="s">
        <v>263</v>
      </c>
      <c r="E6481" s="50">
        <v>-1</v>
      </c>
      <c r="F6481" s="51">
        <v>-0.41356099186208439</v>
      </c>
      <c r="G6481" s="51" t="str">
        <v>中野 2022/12/24 (土)
休日午前</v>
      </c>
    </row>
    <row r="6482" spans="1:7" ht="16.149999999999999" x14ac:dyDescent="0.7">
      <c r="A6482" s="49">
        <v>44882.921802199075</v>
      </c>
      <c r="B6482" s="50" t="s">
        <v>149</v>
      </c>
      <c r="C6482" s="50" t="s">
        <v>600</v>
      </c>
      <c r="D6482" s="50" t="s">
        <v>261</v>
      </c>
      <c r="E6482" s="50">
        <v>-1</v>
      </c>
      <c r="F6482" s="51">
        <v>-6.3896179724026725E-2</v>
      </c>
      <c r="G6482" s="51" t="str">
        <v>中野 2022/12/24 (土)
休日午後</v>
      </c>
    </row>
    <row r="6483" spans="1:7" ht="16.149999999999999" x14ac:dyDescent="0.7">
      <c r="A6483" s="49">
        <v>44882.921802199075</v>
      </c>
      <c r="B6483" s="50" t="s">
        <v>149</v>
      </c>
      <c r="C6483" s="50" t="s">
        <v>601</v>
      </c>
      <c r="D6483" s="50" t="s">
        <v>263</v>
      </c>
      <c r="E6483" s="50">
        <v>-1</v>
      </c>
      <c r="F6483" s="51">
        <v>-0.25726166012367901</v>
      </c>
      <c r="G6483" s="51" t="str">
        <v>中野 2022/12/25 (日)
休日午前</v>
      </c>
    </row>
    <row r="6484" spans="1:7" ht="16.149999999999999" x14ac:dyDescent="0.7">
      <c r="A6484" s="49">
        <v>44882.921802199075</v>
      </c>
      <c r="B6484" s="50" t="s">
        <v>149</v>
      </c>
      <c r="C6484" s="50" t="s">
        <v>602</v>
      </c>
      <c r="D6484" s="50" t="s">
        <v>261</v>
      </c>
      <c r="E6484" s="50">
        <v>-1</v>
      </c>
      <c r="F6484" s="51">
        <v>-0.55684147731045042</v>
      </c>
      <c r="G6484" s="51" t="str">
        <v>中野 2022/12/25 (日)
休日午後</v>
      </c>
    </row>
    <row r="6485" spans="1:7" ht="16.149999999999999" x14ac:dyDescent="0.7">
      <c r="A6485" s="49">
        <v>44882.921802199075</v>
      </c>
      <c r="B6485" s="50" t="s">
        <v>149</v>
      </c>
      <c r="C6485" s="50" t="s">
        <v>603</v>
      </c>
      <c r="D6485" s="50" t="s">
        <v>259</v>
      </c>
      <c r="E6485" s="50">
        <v>-1</v>
      </c>
      <c r="F6485" s="51">
        <v>-0.5098808174100562</v>
      </c>
      <c r="G6485" s="51" t="str">
        <v>中野 2022/12/26 (月)
平日夜間</v>
      </c>
    </row>
    <row r="6486" spans="1:7" ht="16.149999999999999" x14ac:dyDescent="0.7">
      <c r="A6486" s="49">
        <v>44882.921802199075</v>
      </c>
      <c r="B6486" s="50" t="s">
        <v>149</v>
      </c>
      <c r="C6486" s="50" t="s">
        <v>604</v>
      </c>
      <c r="D6486" s="50" t="s">
        <v>259</v>
      </c>
      <c r="E6486" s="50">
        <v>0</v>
      </c>
      <c r="F6486" s="51">
        <v>0.70249375694403859</v>
      </c>
      <c r="G6486" s="51" t="str">
        <v>中野 2022/12/27 (火)
平日夜間</v>
      </c>
    </row>
    <row r="6487" spans="1:7" ht="16.149999999999999" x14ac:dyDescent="0.7">
      <c r="A6487" s="49">
        <v>44882.921802199075</v>
      </c>
      <c r="B6487" s="50" t="s">
        <v>149</v>
      </c>
      <c r="C6487" s="50" t="s">
        <v>605</v>
      </c>
      <c r="D6487" s="50" t="s">
        <v>259</v>
      </c>
      <c r="E6487" s="50">
        <v>-1</v>
      </c>
      <c r="F6487" s="51">
        <v>-0.19198417642367804</v>
      </c>
      <c r="G6487" s="51" t="str">
        <v>中野 2022/12/28 (水)
平日夜間</v>
      </c>
    </row>
    <row r="6488" spans="1:7" ht="16.149999999999999" x14ac:dyDescent="0.7">
      <c r="A6488" s="49">
        <v>44882.926366099535</v>
      </c>
      <c r="B6488" s="50" t="s">
        <v>7</v>
      </c>
      <c r="C6488" s="50" t="s">
        <v>570</v>
      </c>
      <c r="D6488" s="50" t="s">
        <v>259</v>
      </c>
      <c r="E6488" s="50">
        <v>0</v>
      </c>
      <c r="F6488" s="51">
        <v>0.14758839995608408</v>
      </c>
      <c r="G6488" s="51" t="str">
        <v>竹藤 2022/12/01 (木)
平日夜間</v>
      </c>
    </row>
    <row r="6489" spans="1:7" ht="16.149999999999999" x14ac:dyDescent="0.7">
      <c r="A6489" s="49">
        <v>44882.926366099535</v>
      </c>
      <c r="B6489" s="50" t="s">
        <v>7</v>
      </c>
      <c r="C6489" s="50" t="s">
        <v>571</v>
      </c>
      <c r="D6489" s="50" t="s">
        <v>259</v>
      </c>
      <c r="E6489" s="50">
        <v>-1</v>
      </c>
      <c r="F6489" s="51">
        <v>-0.11407302419853149</v>
      </c>
      <c r="G6489" s="51" t="str">
        <v>竹藤 2022/12/02 (金)
平日夜間</v>
      </c>
    </row>
    <row r="6490" spans="1:7" ht="16.149999999999999" x14ac:dyDescent="0.7">
      <c r="A6490" s="49">
        <v>44882.926366099535</v>
      </c>
      <c r="B6490" s="50" t="s">
        <v>7</v>
      </c>
      <c r="C6490" s="50" t="s">
        <v>572</v>
      </c>
      <c r="D6490" s="50" t="s">
        <v>263</v>
      </c>
      <c r="E6490" s="50">
        <v>-1</v>
      </c>
      <c r="F6490" s="51">
        <v>-0.62648384617406272</v>
      </c>
      <c r="G6490" s="51" t="str">
        <v>竹藤 2022/12/03 (土)
休日午前</v>
      </c>
    </row>
    <row r="6491" spans="1:7" ht="16.149999999999999" x14ac:dyDescent="0.7">
      <c r="A6491" s="49">
        <v>44882.926366099535</v>
      </c>
      <c r="B6491" s="50" t="s">
        <v>7</v>
      </c>
      <c r="C6491" s="50" t="s">
        <v>573</v>
      </c>
      <c r="D6491" s="50" t="s">
        <v>261</v>
      </c>
      <c r="E6491" s="50">
        <v>-1</v>
      </c>
      <c r="F6491" s="51">
        <v>-0.48953244090714221</v>
      </c>
      <c r="G6491" s="51" t="str">
        <v>竹藤 2022/12/03 (土)
休日午後</v>
      </c>
    </row>
    <row r="6492" spans="1:7" ht="16.149999999999999" x14ac:dyDescent="0.7">
      <c r="A6492" s="49">
        <v>44882.926366099535</v>
      </c>
      <c r="B6492" s="50" t="s">
        <v>7</v>
      </c>
      <c r="C6492" s="50" t="s">
        <v>574</v>
      </c>
      <c r="D6492" s="50" t="s">
        <v>263</v>
      </c>
      <c r="E6492" s="50">
        <v>-1</v>
      </c>
      <c r="F6492" s="51">
        <v>-0.61833253665035293</v>
      </c>
      <c r="G6492" s="51" t="str">
        <v>竹藤 2022/12/04 (日)
休日午前</v>
      </c>
    </row>
    <row r="6493" spans="1:7" ht="16.149999999999999" x14ac:dyDescent="0.7">
      <c r="A6493" s="49">
        <v>44882.926366099535</v>
      </c>
      <c r="B6493" s="50" t="s">
        <v>7</v>
      </c>
      <c r="C6493" s="50" t="s">
        <v>575</v>
      </c>
      <c r="D6493" s="50" t="s">
        <v>261</v>
      </c>
      <c r="E6493" s="50">
        <v>-1</v>
      </c>
      <c r="F6493" s="51">
        <v>-0.85620262854101914</v>
      </c>
      <c r="G6493" s="51" t="str">
        <v>竹藤 2022/12/04 (日)
休日午後</v>
      </c>
    </row>
    <row r="6494" spans="1:7" ht="16.149999999999999" x14ac:dyDescent="0.7">
      <c r="A6494" s="49">
        <v>44882.926366099535</v>
      </c>
      <c r="B6494" s="50" t="s">
        <v>7</v>
      </c>
      <c r="C6494" s="50" t="s">
        <v>576</v>
      </c>
      <c r="D6494" s="50" t="s">
        <v>259</v>
      </c>
      <c r="E6494" s="50">
        <v>0</v>
      </c>
      <c r="F6494" s="51">
        <v>0.57846293664822124</v>
      </c>
      <c r="G6494" s="51" t="str">
        <v>竹藤 2022/12/05 (月)
平日夜間</v>
      </c>
    </row>
    <row r="6495" spans="1:7" ht="16.149999999999999" x14ac:dyDescent="0.7">
      <c r="A6495" s="49">
        <v>44882.926366099535</v>
      </c>
      <c r="B6495" s="50" t="s">
        <v>7</v>
      </c>
      <c r="C6495" s="50" t="s">
        <v>577</v>
      </c>
      <c r="D6495" s="50" t="s">
        <v>259</v>
      </c>
      <c r="E6495" s="50">
        <v>-1</v>
      </c>
      <c r="F6495" s="51">
        <v>-0.80491346066870495</v>
      </c>
      <c r="G6495" s="51" t="str">
        <v>竹藤 2022/12/06 (火)
平日夜間</v>
      </c>
    </row>
    <row r="6496" spans="1:7" ht="16.149999999999999" x14ac:dyDescent="0.7">
      <c r="A6496" s="49">
        <v>44882.926366099535</v>
      </c>
      <c r="B6496" s="50" t="s">
        <v>7</v>
      </c>
      <c r="C6496" s="50" t="s">
        <v>578</v>
      </c>
      <c r="D6496" s="50" t="s">
        <v>259</v>
      </c>
      <c r="E6496" s="50">
        <v>0</v>
      </c>
      <c r="F6496" s="51">
        <v>0.20298440291946518</v>
      </c>
      <c r="G6496" s="51" t="str">
        <v>竹藤 2022/12/07 (水)
平日夜間</v>
      </c>
    </row>
    <row r="6497" spans="1:7" ht="16.149999999999999" x14ac:dyDescent="0.7">
      <c r="A6497" s="49">
        <v>44882.926366099535</v>
      </c>
      <c r="B6497" s="50" t="s">
        <v>7</v>
      </c>
      <c r="C6497" s="50" t="s">
        <v>579</v>
      </c>
      <c r="D6497" s="50" t="s">
        <v>259</v>
      </c>
      <c r="E6497" s="50">
        <v>-1</v>
      </c>
      <c r="F6497" s="51">
        <v>-0.85598681548079436</v>
      </c>
      <c r="G6497" s="51" t="str">
        <v>竹藤 2022/12/08 (木)
平日夜間</v>
      </c>
    </row>
    <row r="6498" spans="1:7" ht="16.149999999999999" x14ac:dyDescent="0.7">
      <c r="A6498" s="49">
        <v>44882.926366099535</v>
      </c>
      <c r="B6498" s="50" t="s">
        <v>7</v>
      </c>
      <c r="C6498" s="50" t="s">
        <v>580</v>
      </c>
      <c r="D6498" s="50" t="s">
        <v>259</v>
      </c>
      <c r="E6498" s="50">
        <v>-1</v>
      </c>
      <c r="F6498" s="51">
        <v>-0.77232299121939274</v>
      </c>
      <c r="G6498" s="51" t="str">
        <v>竹藤 2022/12/09 (金)
平日夜間</v>
      </c>
    </row>
    <row r="6499" spans="1:7" ht="16.149999999999999" x14ac:dyDescent="0.7">
      <c r="A6499" s="49">
        <v>44882.926366099535</v>
      </c>
      <c r="B6499" s="50" t="s">
        <v>7</v>
      </c>
      <c r="C6499" s="50" t="s">
        <v>581</v>
      </c>
      <c r="D6499" s="50" t="s">
        <v>263</v>
      </c>
      <c r="E6499" s="50">
        <v>0</v>
      </c>
      <c r="F6499" s="51">
        <v>0.73328860345603242</v>
      </c>
      <c r="G6499" s="51" t="str">
        <v>竹藤 2022/12/10 (土)
休日午前</v>
      </c>
    </row>
    <row r="6500" spans="1:7" ht="16.149999999999999" x14ac:dyDescent="0.7">
      <c r="A6500" s="49">
        <v>44882.926366099535</v>
      </c>
      <c r="B6500" s="50" t="s">
        <v>7</v>
      </c>
      <c r="C6500" s="50" t="s">
        <v>582</v>
      </c>
      <c r="D6500" s="50" t="s">
        <v>261</v>
      </c>
      <c r="E6500" s="50">
        <v>-1</v>
      </c>
      <c r="F6500" s="51">
        <v>-0.75323584729192761</v>
      </c>
      <c r="G6500" s="51" t="str">
        <v>竹藤 2022/12/10 (土)
休日午後</v>
      </c>
    </row>
    <row r="6501" spans="1:7" ht="16.149999999999999" x14ac:dyDescent="0.7">
      <c r="A6501" s="49">
        <v>44882.926366099535</v>
      </c>
      <c r="B6501" s="50" t="s">
        <v>7</v>
      </c>
      <c r="C6501" s="50" t="s">
        <v>583</v>
      </c>
      <c r="D6501" s="50" t="s">
        <v>263</v>
      </c>
      <c r="E6501" s="50">
        <v>0</v>
      </c>
      <c r="F6501" s="51">
        <v>0.15694697794752099</v>
      </c>
      <c r="G6501" s="51" t="str">
        <v>竹藤 2022/12/11 (日)
休日午前</v>
      </c>
    </row>
    <row r="6502" spans="1:7" ht="16.149999999999999" x14ac:dyDescent="0.7">
      <c r="A6502" s="49">
        <v>44882.926366099535</v>
      </c>
      <c r="B6502" s="50" t="s">
        <v>7</v>
      </c>
      <c r="C6502" s="50" t="s">
        <v>584</v>
      </c>
      <c r="D6502" s="50" t="s">
        <v>261</v>
      </c>
      <c r="E6502" s="50">
        <v>0</v>
      </c>
      <c r="F6502" s="51">
        <v>0.38001554753096833</v>
      </c>
      <c r="G6502" s="51" t="str">
        <v>竹藤 2022/12/11 (日)
休日午後</v>
      </c>
    </row>
    <row r="6503" spans="1:7" ht="16.149999999999999" x14ac:dyDescent="0.7">
      <c r="A6503" s="49">
        <v>44882.926366099535</v>
      </c>
      <c r="B6503" s="50" t="s">
        <v>7</v>
      </c>
      <c r="C6503" s="50" t="s">
        <v>585</v>
      </c>
      <c r="D6503" s="50" t="s">
        <v>259</v>
      </c>
      <c r="E6503" s="50">
        <v>0</v>
      </c>
      <c r="F6503" s="51">
        <v>0.22279911508013561</v>
      </c>
      <c r="G6503" s="51" t="str">
        <v>竹藤 2022/12/12 (月)
平日夜間</v>
      </c>
    </row>
    <row r="6504" spans="1:7" ht="16.149999999999999" x14ac:dyDescent="0.7">
      <c r="A6504" s="49">
        <v>44882.926366099535</v>
      </c>
      <c r="B6504" s="50" t="s">
        <v>7</v>
      </c>
      <c r="C6504" s="50" t="s">
        <v>586</v>
      </c>
      <c r="D6504" s="50" t="s">
        <v>259</v>
      </c>
      <c r="E6504" s="50">
        <v>-1</v>
      </c>
      <c r="F6504" s="51">
        <v>-0.48158659182172703</v>
      </c>
      <c r="G6504" s="51" t="str">
        <v>竹藤 2022/12/13 (火)
平日夜間</v>
      </c>
    </row>
    <row r="6505" spans="1:7" ht="16.149999999999999" x14ac:dyDescent="0.7">
      <c r="A6505" s="49">
        <v>44882.926366099535</v>
      </c>
      <c r="B6505" s="50" t="s">
        <v>7</v>
      </c>
      <c r="C6505" s="50" t="s">
        <v>587</v>
      </c>
      <c r="D6505" s="50" t="s">
        <v>259</v>
      </c>
      <c r="E6505" s="50">
        <v>0</v>
      </c>
      <c r="F6505" s="51">
        <v>0.49690398692227777</v>
      </c>
      <c r="G6505" s="51" t="str">
        <v>竹藤 2022/12/14 (水)
平日夜間</v>
      </c>
    </row>
    <row r="6506" spans="1:7" ht="16.149999999999999" x14ac:dyDescent="0.7">
      <c r="A6506" s="49">
        <v>44882.926366099535</v>
      </c>
      <c r="B6506" s="50" t="s">
        <v>7</v>
      </c>
      <c r="C6506" s="50" t="s">
        <v>588</v>
      </c>
      <c r="D6506" s="50" t="s">
        <v>259</v>
      </c>
      <c r="E6506" s="50">
        <v>0</v>
      </c>
      <c r="F6506" s="51">
        <v>8.2334271894085154E-2</v>
      </c>
      <c r="G6506" s="51" t="str">
        <v>竹藤 2022/12/15 (木)
平日夜間</v>
      </c>
    </row>
    <row r="6507" spans="1:7" ht="16.149999999999999" x14ac:dyDescent="0.7">
      <c r="A6507" s="49">
        <v>44882.926366099535</v>
      </c>
      <c r="B6507" s="50" t="s">
        <v>7</v>
      </c>
      <c r="C6507" s="50" t="s">
        <v>589</v>
      </c>
      <c r="D6507" s="50" t="s">
        <v>259</v>
      </c>
      <c r="E6507" s="50">
        <v>0</v>
      </c>
      <c r="F6507" s="51">
        <v>0.74669621372877426</v>
      </c>
      <c r="G6507" s="51" t="str">
        <v>竹藤 2022/12/16 (金)
平日夜間</v>
      </c>
    </row>
    <row r="6508" spans="1:7" ht="16.149999999999999" x14ac:dyDescent="0.7">
      <c r="A6508" s="49">
        <v>44882.926366099535</v>
      </c>
      <c r="B6508" s="50" t="s">
        <v>7</v>
      </c>
      <c r="C6508" s="50" t="s">
        <v>590</v>
      </c>
      <c r="D6508" s="50" t="s">
        <v>263</v>
      </c>
      <c r="E6508" s="50">
        <v>0</v>
      </c>
      <c r="F6508" s="51">
        <v>0.55531336558841127</v>
      </c>
      <c r="G6508" s="51" t="str">
        <v>竹藤 2022/12/17 (土)
休日午前</v>
      </c>
    </row>
    <row r="6509" spans="1:7" ht="16.149999999999999" x14ac:dyDescent="0.7">
      <c r="A6509" s="49">
        <v>44882.926366099535</v>
      </c>
      <c r="B6509" s="50" t="s">
        <v>7</v>
      </c>
      <c r="C6509" s="50" t="s">
        <v>591</v>
      </c>
      <c r="D6509" s="50" t="s">
        <v>261</v>
      </c>
      <c r="E6509" s="50">
        <v>0</v>
      </c>
      <c r="F6509" s="51">
        <v>0.9443232718354917</v>
      </c>
      <c r="G6509" s="51" t="str">
        <v>竹藤 2022/12/17 (土)
休日午後</v>
      </c>
    </row>
    <row r="6510" spans="1:7" ht="16.149999999999999" x14ac:dyDescent="0.7">
      <c r="A6510" s="49">
        <v>44882.926366099535</v>
      </c>
      <c r="B6510" s="50" t="s">
        <v>7</v>
      </c>
      <c r="C6510" s="50" t="s">
        <v>592</v>
      </c>
      <c r="D6510" s="50" t="s">
        <v>263</v>
      </c>
      <c r="E6510" s="50">
        <v>0</v>
      </c>
      <c r="F6510" s="51">
        <v>0.97629589143724038</v>
      </c>
      <c r="G6510" s="51" t="str">
        <v>竹藤 2022/12/18 (日)
休日午前</v>
      </c>
    </row>
    <row r="6511" spans="1:7" ht="16.149999999999999" x14ac:dyDescent="0.7">
      <c r="A6511" s="49">
        <v>44882.926366099535</v>
      </c>
      <c r="B6511" s="50" t="s">
        <v>7</v>
      </c>
      <c r="C6511" s="50" t="s">
        <v>593</v>
      </c>
      <c r="D6511" s="50" t="s">
        <v>261</v>
      </c>
      <c r="E6511" s="50">
        <v>0</v>
      </c>
      <c r="F6511" s="51">
        <v>0.65670426203801813</v>
      </c>
      <c r="G6511" s="51" t="str">
        <v>竹藤 2022/12/18 (日)
休日午後</v>
      </c>
    </row>
    <row r="6512" spans="1:7" ht="16.149999999999999" x14ac:dyDescent="0.7">
      <c r="A6512" s="49">
        <v>44882.926366099535</v>
      </c>
      <c r="B6512" s="50" t="s">
        <v>7</v>
      </c>
      <c r="C6512" s="50" t="s">
        <v>594</v>
      </c>
      <c r="D6512" s="50" t="s">
        <v>259</v>
      </c>
      <c r="E6512" s="50">
        <v>0</v>
      </c>
      <c r="F6512" s="51">
        <v>0.77288527235331861</v>
      </c>
      <c r="G6512" s="51" t="str">
        <v>竹藤 2022/12/19 (月)
平日夜間</v>
      </c>
    </row>
    <row r="6513" spans="1:7" ht="16.149999999999999" x14ac:dyDescent="0.7">
      <c r="A6513" s="49">
        <v>44882.926366099535</v>
      </c>
      <c r="B6513" s="50" t="s">
        <v>7</v>
      </c>
      <c r="C6513" s="50" t="s">
        <v>595</v>
      </c>
      <c r="D6513" s="50" t="s">
        <v>259</v>
      </c>
      <c r="E6513" s="50">
        <v>-1</v>
      </c>
      <c r="F6513" s="51">
        <v>-0.37446000524983614</v>
      </c>
      <c r="G6513" s="51" t="str">
        <v>竹藤 2022/12/20 (火)
平日夜間</v>
      </c>
    </row>
    <row r="6514" spans="1:7" ht="16.149999999999999" x14ac:dyDescent="0.7">
      <c r="A6514" s="49">
        <v>44882.926366099535</v>
      </c>
      <c r="B6514" s="50" t="s">
        <v>7</v>
      </c>
      <c r="C6514" s="50" t="s">
        <v>596</v>
      </c>
      <c r="D6514" s="50" t="s">
        <v>259</v>
      </c>
      <c r="E6514" s="50">
        <v>0</v>
      </c>
      <c r="F6514" s="51">
        <v>0.87245663750547253</v>
      </c>
      <c r="G6514" s="51" t="str">
        <v>竹藤 2022/12/21 (水)
平日夜間</v>
      </c>
    </row>
    <row r="6515" spans="1:7" ht="16.149999999999999" x14ac:dyDescent="0.7">
      <c r="A6515" s="49">
        <v>44882.926366099535</v>
      </c>
      <c r="B6515" s="50" t="s">
        <v>7</v>
      </c>
      <c r="C6515" s="50" t="s">
        <v>597</v>
      </c>
      <c r="D6515" s="50" t="s">
        <v>259</v>
      </c>
      <c r="E6515" s="50">
        <v>0</v>
      </c>
      <c r="F6515" s="51">
        <v>0.28418245526361141</v>
      </c>
      <c r="G6515" s="51" t="str">
        <v>竹藤 2022/12/22 (木)
平日夜間</v>
      </c>
    </row>
    <row r="6516" spans="1:7" ht="16.149999999999999" x14ac:dyDescent="0.7">
      <c r="A6516" s="49">
        <v>44882.926366099535</v>
      </c>
      <c r="B6516" s="50" t="s">
        <v>7</v>
      </c>
      <c r="C6516" s="50" t="s">
        <v>598</v>
      </c>
      <c r="D6516" s="50" t="s">
        <v>259</v>
      </c>
      <c r="E6516" s="50">
        <v>0</v>
      </c>
      <c r="F6516" s="51">
        <v>0.54809070929804404</v>
      </c>
      <c r="G6516" s="51" t="str">
        <v>竹藤 2022/12/23 (金)
平日夜間</v>
      </c>
    </row>
    <row r="6517" spans="1:7" ht="16.149999999999999" x14ac:dyDescent="0.7">
      <c r="A6517" s="49">
        <v>44882.926366099535</v>
      </c>
      <c r="B6517" s="50" t="s">
        <v>7</v>
      </c>
      <c r="C6517" s="50" t="s">
        <v>599</v>
      </c>
      <c r="D6517" s="50" t="s">
        <v>263</v>
      </c>
      <c r="E6517" s="50">
        <v>-1</v>
      </c>
      <c r="F6517" s="51">
        <v>-0.61440078624353989</v>
      </c>
      <c r="G6517" s="51" t="str">
        <v>竹藤 2022/12/24 (土)
休日午前</v>
      </c>
    </row>
    <row r="6518" spans="1:7" ht="16.149999999999999" x14ac:dyDescent="0.7">
      <c r="A6518" s="49">
        <v>44882.926366099535</v>
      </c>
      <c r="B6518" s="50" t="s">
        <v>7</v>
      </c>
      <c r="C6518" s="50" t="s">
        <v>600</v>
      </c>
      <c r="D6518" s="50" t="s">
        <v>261</v>
      </c>
      <c r="E6518" s="50">
        <v>-1</v>
      </c>
      <c r="F6518" s="51">
        <v>-0.19715593592574732</v>
      </c>
      <c r="G6518" s="51" t="str">
        <v>竹藤 2022/12/24 (土)
休日午後</v>
      </c>
    </row>
    <row r="6519" spans="1:7" ht="16.149999999999999" x14ac:dyDescent="0.7">
      <c r="A6519" s="49">
        <v>44882.926366099535</v>
      </c>
      <c r="B6519" s="50" t="s">
        <v>7</v>
      </c>
      <c r="C6519" s="50" t="s">
        <v>601</v>
      </c>
      <c r="D6519" s="50" t="s">
        <v>263</v>
      </c>
      <c r="E6519" s="50">
        <v>-1</v>
      </c>
      <c r="F6519" s="51">
        <v>-0.69157768703549483</v>
      </c>
      <c r="G6519" s="51" t="str">
        <v>竹藤 2022/12/25 (日)
休日午前</v>
      </c>
    </row>
    <row r="6520" spans="1:7" ht="16.149999999999999" x14ac:dyDescent="0.7">
      <c r="A6520" s="49">
        <v>44882.926366099535</v>
      </c>
      <c r="B6520" s="50" t="s">
        <v>7</v>
      </c>
      <c r="C6520" s="50" t="s">
        <v>602</v>
      </c>
      <c r="D6520" s="50" t="s">
        <v>261</v>
      </c>
      <c r="E6520" s="50">
        <v>-1</v>
      </c>
      <c r="F6520" s="51">
        <v>-0.15893658053326121</v>
      </c>
      <c r="G6520" s="51" t="str">
        <v>竹藤 2022/12/25 (日)
休日午後</v>
      </c>
    </row>
    <row r="6521" spans="1:7" ht="16.149999999999999" x14ac:dyDescent="0.7">
      <c r="A6521" s="49">
        <v>44882.926366099535</v>
      </c>
      <c r="B6521" s="50" t="s">
        <v>7</v>
      </c>
      <c r="C6521" s="50" t="s">
        <v>603</v>
      </c>
      <c r="D6521" s="50" t="s">
        <v>259</v>
      </c>
      <c r="E6521" s="50">
        <v>0</v>
      </c>
      <c r="F6521" s="51">
        <v>0.19609673858216192</v>
      </c>
      <c r="G6521" s="51" t="str">
        <v>竹藤 2022/12/26 (月)
平日夜間</v>
      </c>
    </row>
    <row r="6522" spans="1:7" ht="16.149999999999999" x14ac:dyDescent="0.7">
      <c r="A6522" s="49">
        <v>44882.926366099535</v>
      </c>
      <c r="B6522" s="50" t="s">
        <v>7</v>
      </c>
      <c r="C6522" s="50" t="s">
        <v>604</v>
      </c>
      <c r="D6522" s="50" t="s">
        <v>259</v>
      </c>
      <c r="E6522" s="50">
        <v>-1</v>
      </c>
      <c r="F6522" s="51">
        <v>-0.4524288879158036</v>
      </c>
      <c r="G6522" s="51" t="str">
        <v>竹藤 2022/12/27 (火)
平日夜間</v>
      </c>
    </row>
    <row r="6523" spans="1:7" ht="16.149999999999999" x14ac:dyDescent="0.7">
      <c r="A6523" s="49">
        <v>44882.926366099535</v>
      </c>
      <c r="B6523" s="50" t="s">
        <v>7</v>
      </c>
      <c r="C6523" s="50" t="s">
        <v>605</v>
      </c>
      <c r="D6523" s="50" t="s">
        <v>259</v>
      </c>
      <c r="E6523" s="50">
        <v>0</v>
      </c>
      <c r="F6523" s="51">
        <v>0.62259091506117348</v>
      </c>
      <c r="G6523" s="51" t="str">
        <v>竹藤 2022/12/28 (水)
平日夜間</v>
      </c>
    </row>
    <row r="6524" spans="1:7" ht="16.149999999999999" x14ac:dyDescent="0.7">
      <c r="A6524" s="49">
        <v>44883.400783217592</v>
      </c>
      <c r="B6524" s="50" t="s">
        <v>14</v>
      </c>
      <c r="C6524" s="50" t="s">
        <v>570</v>
      </c>
      <c r="D6524" s="50" t="s">
        <v>259</v>
      </c>
      <c r="E6524" s="50">
        <v>0</v>
      </c>
      <c r="F6524" s="51">
        <v>0.84436781797529314</v>
      </c>
      <c r="G6524" s="51" t="str">
        <v>林智 2022/12/01 (木)
平日夜間</v>
      </c>
    </row>
    <row r="6525" spans="1:7" ht="16.149999999999999" x14ac:dyDescent="0.7">
      <c r="A6525" s="49">
        <v>44883.400783217592</v>
      </c>
      <c r="B6525" s="50" t="s">
        <v>14</v>
      </c>
      <c r="C6525" s="50" t="s">
        <v>571</v>
      </c>
      <c r="D6525" s="50" t="s">
        <v>259</v>
      </c>
      <c r="E6525" s="50">
        <v>0</v>
      </c>
      <c r="F6525" s="51">
        <v>0.56786827499361481</v>
      </c>
      <c r="G6525" s="51" t="str">
        <v>林智 2022/12/02 (金)
平日夜間</v>
      </c>
    </row>
    <row r="6526" spans="1:7" ht="16.149999999999999" x14ac:dyDescent="0.7">
      <c r="A6526" s="49">
        <v>44883.400783217592</v>
      </c>
      <c r="B6526" s="50" t="s">
        <v>14</v>
      </c>
      <c r="C6526" s="50" t="s">
        <v>572</v>
      </c>
      <c r="D6526" s="50" t="s">
        <v>263</v>
      </c>
      <c r="E6526" s="50">
        <v>-1</v>
      </c>
      <c r="F6526" s="51">
        <v>-0.98296424133151605</v>
      </c>
      <c r="G6526" s="51" t="str">
        <v>林智 2022/12/03 (土)
休日午前</v>
      </c>
    </row>
    <row r="6527" spans="1:7" ht="16.149999999999999" x14ac:dyDescent="0.7">
      <c r="A6527" s="49">
        <v>44883.400783217592</v>
      </c>
      <c r="B6527" s="50" t="s">
        <v>14</v>
      </c>
      <c r="C6527" s="50" t="s">
        <v>573</v>
      </c>
      <c r="D6527" s="50" t="s">
        <v>261</v>
      </c>
      <c r="E6527" s="50">
        <v>-1</v>
      </c>
      <c r="F6527" s="51">
        <v>-0.39057945785848802</v>
      </c>
      <c r="G6527" s="51" t="str">
        <v>林智 2022/12/03 (土)
休日午後</v>
      </c>
    </row>
    <row r="6528" spans="1:7" ht="16.149999999999999" x14ac:dyDescent="0.7">
      <c r="A6528" s="49">
        <v>44883.400783217592</v>
      </c>
      <c r="B6528" s="50" t="s">
        <v>14</v>
      </c>
      <c r="C6528" s="50" t="s">
        <v>574</v>
      </c>
      <c r="D6528" s="50" t="s">
        <v>263</v>
      </c>
      <c r="E6528" s="50">
        <v>-1</v>
      </c>
      <c r="F6528" s="51">
        <v>-0.27822755249359865</v>
      </c>
      <c r="G6528" s="51" t="str">
        <v>林智 2022/12/04 (日)
休日午前</v>
      </c>
    </row>
    <row r="6529" spans="1:7" ht="16.149999999999999" x14ac:dyDescent="0.7">
      <c r="A6529" s="49">
        <v>44883.400783217592</v>
      </c>
      <c r="B6529" s="50" t="s">
        <v>14</v>
      </c>
      <c r="C6529" s="50" t="s">
        <v>575</v>
      </c>
      <c r="D6529" s="50" t="s">
        <v>261</v>
      </c>
      <c r="E6529" s="50">
        <v>-1</v>
      </c>
      <c r="F6529" s="51">
        <v>-0.25554673638448011</v>
      </c>
      <c r="G6529" s="51" t="str">
        <v>林智 2022/12/04 (日)
休日午後</v>
      </c>
    </row>
    <row r="6530" spans="1:7" ht="16.149999999999999" x14ac:dyDescent="0.7">
      <c r="A6530" s="49">
        <v>44883.400783217592</v>
      </c>
      <c r="B6530" s="50" t="s">
        <v>14</v>
      </c>
      <c r="C6530" s="50" t="s">
        <v>576</v>
      </c>
      <c r="D6530" s="50" t="s">
        <v>259</v>
      </c>
      <c r="E6530" s="50">
        <v>0</v>
      </c>
      <c r="F6530" s="51">
        <v>0.47615712867812854</v>
      </c>
      <c r="G6530" s="51" t="str">
        <v>林智 2022/12/05 (月)
平日夜間</v>
      </c>
    </row>
    <row r="6531" spans="1:7" ht="16.149999999999999" x14ac:dyDescent="0.7">
      <c r="A6531" s="49">
        <v>44883.400783217592</v>
      </c>
      <c r="B6531" s="50" t="s">
        <v>14</v>
      </c>
      <c r="C6531" s="50" t="s">
        <v>577</v>
      </c>
      <c r="D6531" s="50" t="s">
        <v>259</v>
      </c>
      <c r="E6531" s="50">
        <v>0</v>
      </c>
      <c r="F6531" s="51">
        <v>0.42220338219514431</v>
      </c>
      <c r="G6531" s="51" t="str">
        <v>林智 2022/12/06 (火)
平日夜間</v>
      </c>
    </row>
    <row r="6532" spans="1:7" ht="16.149999999999999" x14ac:dyDescent="0.7">
      <c r="A6532" s="49">
        <v>44883.400783217592</v>
      </c>
      <c r="B6532" s="50" t="s">
        <v>14</v>
      </c>
      <c r="C6532" s="50" t="s">
        <v>578</v>
      </c>
      <c r="D6532" s="50" t="s">
        <v>259</v>
      </c>
      <c r="E6532" s="50">
        <v>0</v>
      </c>
      <c r="F6532" s="51">
        <v>0.39216917081981006</v>
      </c>
      <c r="G6532" s="51" t="str">
        <v>林智 2022/12/07 (水)
平日夜間</v>
      </c>
    </row>
    <row r="6533" spans="1:7" ht="16.149999999999999" x14ac:dyDescent="0.7">
      <c r="A6533" s="49">
        <v>44883.400783217592</v>
      </c>
      <c r="B6533" s="50" t="s">
        <v>14</v>
      </c>
      <c r="C6533" s="50" t="s">
        <v>579</v>
      </c>
      <c r="D6533" s="50" t="s">
        <v>259</v>
      </c>
      <c r="E6533" s="50">
        <v>0</v>
      </c>
      <c r="F6533" s="51">
        <v>0.19270458498367216</v>
      </c>
      <c r="G6533" s="51" t="str">
        <v>林智 2022/12/08 (木)
平日夜間</v>
      </c>
    </row>
    <row r="6534" spans="1:7" ht="16.149999999999999" x14ac:dyDescent="0.7">
      <c r="A6534" s="49">
        <v>44883.400783217592</v>
      </c>
      <c r="B6534" s="50" t="s">
        <v>14</v>
      </c>
      <c r="C6534" s="50" t="s">
        <v>580</v>
      </c>
      <c r="D6534" s="50" t="s">
        <v>259</v>
      </c>
      <c r="E6534" s="50">
        <v>1</v>
      </c>
      <c r="F6534" s="51">
        <v>1.6926362385867562</v>
      </c>
      <c r="G6534" s="51" t="str">
        <v>林智 2022/12/09 (金)
平日夜間</v>
      </c>
    </row>
    <row r="6535" spans="1:7" ht="16.149999999999999" x14ac:dyDescent="0.7">
      <c r="A6535" s="49">
        <v>44883.400783217592</v>
      </c>
      <c r="B6535" s="50" t="s">
        <v>14</v>
      </c>
      <c r="C6535" s="50" t="s">
        <v>581</v>
      </c>
      <c r="D6535" s="50" t="s">
        <v>263</v>
      </c>
      <c r="E6535" s="50">
        <v>-1</v>
      </c>
      <c r="F6535" s="51">
        <v>-0.60923696865797905</v>
      </c>
      <c r="G6535" s="51" t="str">
        <v>林智 2022/12/10 (土)
休日午前</v>
      </c>
    </row>
    <row r="6536" spans="1:7" ht="16.149999999999999" x14ac:dyDescent="0.7">
      <c r="A6536" s="49">
        <v>44883.400783217592</v>
      </c>
      <c r="B6536" s="50" t="s">
        <v>14</v>
      </c>
      <c r="C6536" s="50" t="s">
        <v>582</v>
      </c>
      <c r="D6536" s="50" t="s">
        <v>261</v>
      </c>
      <c r="E6536" s="50">
        <v>-1</v>
      </c>
      <c r="F6536" s="51">
        <v>-0.62760704287780111</v>
      </c>
      <c r="G6536" s="51" t="str">
        <v>林智 2022/12/10 (土)
休日午後</v>
      </c>
    </row>
    <row r="6537" spans="1:7" ht="16.149999999999999" x14ac:dyDescent="0.7">
      <c r="A6537" s="49">
        <v>44883.400783217592</v>
      </c>
      <c r="B6537" s="50" t="s">
        <v>14</v>
      </c>
      <c r="C6537" s="50" t="s">
        <v>583</v>
      </c>
      <c r="D6537" s="50" t="s">
        <v>263</v>
      </c>
      <c r="E6537" s="50">
        <v>-1</v>
      </c>
      <c r="F6537" s="51">
        <v>-0.37528471430161292</v>
      </c>
      <c r="G6537" s="51" t="str">
        <v>林智 2022/12/11 (日)
休日午前</v>
      </c>
    </row>
    <row r="6538" spans="1:7" ht="16.149999999999999" x14ac:dyDescent="0.7">
      <c r="A6538" s="49">
        <v>44883.400783217592</v>
      </c>
      <c r="B6538" s="50" t="s">
        <v>14</v>
      </c>
      <c r="C6538" s="50" t="s">
        <v>584</v>
      </c>
      <c r="D6538" s="50" t="s">
        <v>261</v>
      </c>
      <c r="E6538" s="50">
        <v>-1</v>
      </c>
      <c r="F6538" s="51">
        <v>-0.3104775621384821</v>
      </c>
      <c r="G6538" s="51" t="str">
        <v>林智 2022/12/11 (日)
休日午後</v>
      </c>
    </row>
    <row r="6539" spans="1:7" ht="16.149999999999999" x14ac:dyDescent="0.7">
      <c r="A6539" s="49">
        <v>44883.400783217592</v>
      </c>
      <c r="B6539" s="50" t="s">
        <v>14</v>
      </c>
      <c r="C6539" s="50" t="s">
        <v>585</v>
      </c>
      <c r="D6539" s="50" t="s">
        <v>259</v>
      </c>
      <c r="E6539" s="50">
        <v>0</v>
      </c>
      <c r="F6539" s="51">
        <v>0.84117006894508783</v>
      </c>
      <c r="G6539" s="51" t="str">
        <v>林智 2022/12/12 (月)
平日夜間</v>
      </c>
    </row>
    <row r="6540" spans="1:7" ht="16.149999999999999" x14ac:dyDescent="0.7">
      <c r="A6540" s="49">
        <v>44883.400783217592</v>
      </c>
      <c r="B6540" s="50" t="s">
        <v>14</v>
      </c>
      <c r="C6540" s="50" t="s">
        <v>586</v>
      </c>
      <c r="D6540" s="50" t="s">
        <v>259</v>
      </c>
      <c r="E6540" s="50">
        <v>0</v>
      </c>
      <c r="F6540" s="51">
        <v>0.63460192347536726</v>
      </c>
      <c r="G6540" s="51" t="str">
        <v>林智 2022/12/13 (火)
平日夜間</v>
      </c>
    </row>
    <row r="6541" spans="1:7" ht="16.149999999999999" x14ac:dyDescent="0.7">
      <c r="A6541" s="49">
        <v>44883.400783217592</v>
      </c>
      <c r="B6541" s="50" t="s">
        <v>14</v>
      </c>
      <c r="C6541" s="50" t="s">
        <v>587</v>
      </c>
      <c r="D6541" s="50" t="s">
        <v>259</v>
      </c>
      <c r="E6541" s="50">
        <v>2</v>
      </c>
      <c r="F6541" s="51">
        <v>2.2627789035449171</v>
      </c>
      <c r="G6541" s="51" t="str">
        <v>林智 2022/12/14 (水)
平日夜間</v>
      </c>
    </row>
    <row r="6542" spans="1:7" ht="16.149999999999999" x14ac:dyDescent="0.7">
      <c r="A6542" s="49">
        <v>44883.400783217592</v>
      </c>
      <c r="B6542" s="50" t="s">
        <v>14</v>
      </c>
      <c r="C6542" s="50" t="s">
        <v>588</v>
      </c>
      <c r="D6542" s="50" t="s">
        <v>259</v>
      </c>
      <c r="E6542" s="50">
        <v>0</v>
      </c>
      <c r="F6542" s="51">
        <v>0.91569150022869983</v>
      </c>
      <c r="G6542" s="51" t="str">
        <v>林智 2022/12/15 (木)
平日夜間</v>
      </c>
    </row>
    <row r="6543" spans="1:7" ht="16.149999999999999" x14ac:dyDescent="0.7">
      <c r="A6543" s="49">
        <v>44883.400783217592</v>
      </c>
      <c r="B6543" s="50" t="s">
        <v>14</v>
      </c>
      <c r="C6543" s="50" t="s">
        <v>589</v>
      </c>
      <c r="D6543" s="50" t="s">
        <v>259</v>
      </c>
      <c r="E6543" s="50">
        <v>0</v>
      </c>
      <c r="F6543" s="51">
        <v>0.91785255253408815</v>
      </c>
      <c r="G6543" s="51" t="str">
        <v>林智 2022/12/16 (金)
平日夜間</v>
      </c>
    </row>
    <row r="6544" spans="1:7" ht="16.149999999999999" x14ac:dyDescent="0.7">
      <c r="A6544" s="49">
        <v>44883.400783217592</v>
      </c>
      <c r="B6544" s="50" t="s">
        <v>14</v>
      </c>
      <c r="C6544" s="50" t="s">
        <v>590</v>
      </c>
      <c r="D6544" s="50" t="s">
        <v>263</v>
      </c>
      <c r="E6544" s="50">
        <v>0</v>
      </c>
      <c r="F6544" s="51">
        <v>0.57669205367113641</v>
      </c>
      <c r="G6544" s="51" t="str">
        <v>林智 2022/12/17 (土)
休日午前</v>
      </c>
    </row>
    <row r="6545" spans="1:7" ht="16.149999999999999" x14ac:dyDescent="0.7">
      <c r="A6545" s="49">
        <v>44883.400783217592</v>
      </c>
      <c r="B6545" s="50" t="s">
        <v>14</v>
      </c>
      <c r="C6545" s="50" t="s">
        <v>591</v>
      </c>
      <c r="D6545" s="50" t="s">
        <v>261</v>
      </c>
      <c r="E6545" s="50">
        <v>-1</v>
      </c>
      <c r="F6545" s="51">
        <v>-0.66640899505647555</v>
      </c>
      <c r="G6545" s="51" t="str">
        <v>林智 2022/12/17 (土)
休日午後</v>
      </c>
    </row>
    <row r="6546" spans="1:7" ht="16.149999999999999" x14ac:dyDescent="0.7">
      <c r="A6546" s="49">
        <v>44883.400783217592</v>
      </c>
      <c r="B6546" s="50" t="s">
        <v>14</v>
      </c>
      <c r="C6546" s="50" t="s">
        <v>592</v>
      </c>
      <c r="D6546" s="50" t="s">
        <v>263</v>
      </c>
      <c r="E6546" s="50">
        <v>-1</v>
      </c>
      <c r="F6546" s="51">
        <v>-0.80749798216217616</v>
      </c>
      <c r="G6546" s="51" t="str">
        <v>林智 2022/12/18 (日)
休日午前</v>
      </c>
    </row>
    <row r="6547" spans="1:7" ht="16.149999999999999" x14ac:dyDescent="0.7">
      <c r="A6547" s="49">
        <v>44883.400783217592</v>
      </c>
      <c r="B6547" s="50" t="s">
        <v>14</v>
      </c>
      <c r="C6547" s="50" t="s">
        <v>593</v>
      </c>
      <c r="D6547" s="50" t="s">
        <v>261</v>
      </c>
      <c r="E6547" s="50">
        <v>-1</v>
      </c>
      <c r="F6547" s="51">
        <v>-0.50924085382642947</v>
      </c>
      <c r="G6547" s="51" t="str">
        <v>林智 2022/12/18 (日)
休日午後</v>
      </c>
    </row>
    <row r="6548" spans="1:7" ht="16.149999999999999" x14ac:dyDescent="0.7">
      <c r="A6548" s="49">
        <v>44883.400783217592</v>
      </c>
      <c r="B6548" s="50" t="s">
        <v>14</v>
      </c>
      <c r="C6548" s="50" t="s">
        <v>594</v>
      </c>
      <c r="D6548" s="50" t="s">
        <v>259</v>
      </c>
      <c r="E6548" s="50">
        <v>-1</v>
      </c>
      <c r="F6548" s="51">
        <v>-0.13441377065735649</v>
      </c>
      <c r="G6548" s="51" t="str">
        <v>林智 2022/12/19 (月)
平日夜間</v>
      </c>
    </row>
    <row r="6549" spans="1:7" ht="16.149999999999999" x14ac:dyDescent="0.7">
      <c r="A6549" s="49">
        <v>44883.400783217592</v>
      </c>
      <c r="B6549" s="50" t="s">
        <v>14</v>
      </c>
      <c r="C6549" s="50" t="s">
        <v>595</v>
      </c>
      <c r="D6549" s="50" t="s">
        <v>259</v>
      </c>
      <c r="E6549" s="50">
        <v>0</v>
      </c>
      <c r="F6549" s="51">
        <v>0.79134314257008431</v>
      </c>
      <c r="G6549" s="51" t="str">
        <v>林智 2022/12/20 (火)
平日夜間</v>
      </c>
    </row>
    <row r="6550" spans="1:7" ht="16.149999999999999" x14ac:dyDescent="0.7">
      <c r="A6550" s="49">
        <v>44883.400783217592</v>
      </c>
      <c r="B6550" s="50" t="s">
        <v>14</v>
      </c>
      <c r="C6550" s="50" t="s">
        <v>596</v>
      </c>
      <c r="D6550" s="50" t="s">
        <v>259</v>
      </c>
      <c r="E6550" s="50">
        <v>2</v>
      </c>
      <c r="F6550" s="51">
        <v>2.384739096036701</v>
      </c>
      <c r="G6550" s="51" t="str">
        <v>林智 2022/12/21 (水)
平日夜間</v>
      </c>
    </row>
    <row r="6551" spans="1:7" ht="16.149999999999999" x14ac:dyDescent="0.7">
      <c r="A6551" s="49">
        <v>44883.400783217592</v>
      </c>
      <c r="B6551" s="50" t="s">
        <v>14</v>
      </c>
      <c r="C6551" s="50" t="s">
        <v>597</v>
      </c>
      <c r="D6551" s="50" t="s">
        <v>259</v>
      </c>
      <c r="E6551" s="50">
        <v>0</v>
      </c>
      <c r="F6551" s="51">
        <v>0.36783611344050171</v>
      </c>
      <c r="G6551" s="51" t="str">
        <v>林智 2022/12/22 (木)
平日夜間</v>
      </c>
    </row>
    <row r="6552" spans="1:7" ht="16.149999999999999" x14ac:dyDescent="0.7">
      <c r="A6552" s="49">
        <v>44883.400783217592</v>
      </c>
      <c r="B6552" s="50" t="s">
        <v>14</v>
      </c>
      <c r="C6552" s="50" t="s">
        <v>598</v>
      </c>
      <c r="D6552" s="50" t="s">
        <v>259</v>
      </c>
      <c r="E6552" s="50">
        <v>0</v>
      </c>
      <c r="F6552" s="51">
        <v>0.39395634483400621</v>
      </c>
      <c r="G6552" s="51" t="str">
        <v>林智 2022/12/23 (金)
平日夜間</v>
      </c>
    </row>
    <row r="6553" spans="1:7" ht="16.149999999999999" x14ac:dyDescent="0.7">
      <c r="A6553" s="49">
        <v>44883.400783217592</v>
      </c>
      <c r="B6553" s="50" t="s">
        <v>14</v>
      </c>
      <c r="C6553" s="50" t="s">
        <v>599</v>
      </c>
      <c r="D6553" s="50" t="s">
        <v>263</v>
      </c>
      <c r="E6553" s="50">
        <v>-1</v>
      </c>
      <c r="F6553" s="51">
        <v>-0.32557075175342431</v>
      </c>
      <c r="G6553" s="51" t="str">
        <v>林智 2022/12/24 (土)
休日午前</v>
      </c>
    </row>
    <row r="6554" spans="1:7" ht="16.149999999999999" x14ac:dyDescent="0.7">
      <c r="A6554" s="49">
        <v>44883.400783217592</v>
      </c>
      <c r="B6554" s="50" t="s">
        <v>14</v>
      </c>
      <c r="C6554" s="50" t="s">
        <v>600</v>
      </c>
      <c r="D6554" s="50" t="s">
        <v>261</v>
      </c>
      <c r="E6554" s="50">
        <v>-1</v>
      </c>
      <c r="F6554" s="51">
        <v>-0.91568793453886466</v>
      </c>
      <c r="G6554" s="51" t="str">
        <v>林智 2022/12/24 (土)
休日午後</v>
      </c>
    </row>
    <row r="6555" spans="1:7" ht="16.149999999999999" x14ac:dyDescent="0.7">
      <c r="A6555" s="49">
        <v>44883.400783217592</v>
      </c>
      <c r="B6555" s="50" t="s">
        <v>14</v>
      </c>
      <c r="C6555" s="50" t="s">
        <v>601</v>
      </c>
      <c r="D6555" s="50" t="s">
        <v>263</v>
      </c>
      <c r="E6555" s="50">
        <v>-1</v>
      </c>
      <c r="F6555" s="51">
        <v>-0.18322105325537419</v>
      </c>
      <c r="G6555" s="51" t="str">
        <v>林智 2022/12/25 (日)
休日午前</v>
      </c>
    </row>
    <row r="6556" spans="1:7" ht="16.149999999999999" x14ac:dyDescent="0.7">
      <c r="A6556" s="49">
        <v>44883.400783217592</v>
      </c>
      <c r="B6556" s="50" t="s">
        <v>14</v>
      </c>
      <c r="C6556" s="50" t="s">
        <v>602</v>
      </c>
      <c r="D6556" s="50" t="s">
        <v>261</v>
      </c>
      <c r="E6556" s="50">
        <v>-1</v>
      </c>
      <c r="F6556" s="51">
        <v>-0.13180957976728425</v>
      </c>
      <c r="G6556" s="51" t="str">
        <v>林智 2022/12/25 (日)
休日午後</v>
      </c>
    </row>
    <row r="6557" spans="1:7" ht="16.149999999999999" x14ac:dyDescent="0.7">
      <c r="A6557" s="49">
        <v>44883.400783217592</v>
      </c>
      <c r="B6557" s="50" t="s">
        <v>14</v>
      </c>
      <c r="C6557" s="50" t="s">
        <v>603</v>
      </c>
      <c r="D6557" s="50" t="s">
        <v>259</v>
      </c>
      <c r="E6557" s="50">
        <v>0</v>
      </c>
      <c r="F6557" s="51">
        <v>0.24315788662040272</v>
      </c>
      <c r="G6557" s="51" t="str">
        <v>林智 2022/12/26 (月)
平日夜間</v>
      </c>
    </row>
    <row r="6558" spans="1:7" ht="16.149999999999999" x14ac:dyDescent="0.7">
      <c r="A6558" s="49">
        <v>44883.400783217592</v>
      </c>
      <c r="B6558" s="50" t="s">
        <v>14</v>
      </c>
      <c r="C6558" s="50" t="s">
        <v>604</v>
      </c>
      <c r="D6558" s="50" t="s">
        <v>259</v>
      </c>
      <c r="E6558" s="50">
        <v>0</v>
      </c>
      <c r="F6558" s="51">
        <v>0.7016027364342019</v>
      </c>
      <c r="G6558" s="51" t="str">
        <v>林智 2022/12/27 (火)
平日夜間</v>
      </c>
    </row>
    <row r="6559" spans="1:7" ht="16.149999999999999" x14ac:dyDescent="0.7">
      <c r="A6559" s="49">
        <v>44883.400783217592</v>
      </c>
      <c r="B6559" s="50" t="s">
        <v>14</v>
      </c>
      <c r="C6559" s="50" t="s">
        <v>605</v>
      </c>
      <c r="D6559" s="50" t="s">
        <v>259</v>
      </c>
      <c r="E6559" s="50">
        <v>0</v>
      </c>
      <c r="F6559" s="51">
        <v>0.71185758506122654</v>
      </c>
      <c r="G6559" s="51" t="str">
        <v>林智 2022/12/28 (水)
平日夜間</v>
      </c>
    </row>
    <row r="6560" spans="1:7" ht="16.149999999999999" x14ac:dyDescent="0.7">
      <c r="A6560" s="49">
        <v>44884.271959768521</v>
      </c>
      <c r="B6560" s="50" t="s">
        <v>127</v>
      </c>
      <c r="C6560" s="50" t="s">
        <v>570</v>
      </c>
      <c r="D6560" s="50" t="s">
        <v>259</v>
      </c>
      <c r="E6560" s="50">
        <v>0</v>
      </c>
      <c r="F6560" s="51">
        <v>0.74014208884097887</v>
      </c>
      <c r="G6560" s="51" t="str">
        <v>稲葉 2022/12/01 (木)
平日夜間</v>
      </c>
    </row>
    <row r="6561" spans="1:7" ht="16.149999999999999" x14ac:dyDescent="0.7">
      <c r="A6561" s="49">
        <v>44884.271959768521</v>
      </c>
      <c r="B6561" s="50" t="s">
        <v>127</v>
      </c>
      <c r="C6561" s="50" t="s">
        <v>571</v>
      </c>
      <c r="D6561" s="50" t="s">
        <v>259</v>
      </c>
      <c r="E6561" s="50">
        <v>0</v>
      </c>
      <c r="F6561" s="51">
        <v>0.83426159644013498</v>
      </c>
      <c r="G6561" s="51" t="str">
        <v>稲葉 2022/12/02 (金)
平日夜間</v>
      </c>
    </row>
    <row r="6562" spans="1:7" ht="16.149999999999999" x14ac:dyDescent="0.7">
      <c r="A6562" s="49">
        <v>44884.271959768521</v>
      </c>
      <c r="B6562" s="50" t="s">
        <v>127</v>
      </c>
      <c r="C6562" s="50" t="s">
        <v>572</v>
      </c>
      <c r="D6562" s="50" t="s">
        <v>263</v>
      </c>
      <c r="E6562" s="50">
        <v>0</v>
      </c>
      <c r="F6562" s="51">
        <v>0.45347870746038255</v>
      </c>
      <c r="G6562" s="51" t="str">
        <v>稲葉 2022/12/03 (土)
休日午前</v>
      </c>
    </row>
    <row r="6563" spans="1:7" ht="16.149999999999999" x14ac:dyDescent="0.7">
      <c r="A6563" s="49">
        <v>44884.271959768521</v>
      </c>
      <c r="B6563" s="50" t="s">
        <v>127</v>
      </c>
      <c r="C6563" s="50" t="s">
        <v>573</v>
      </c>
      <c r="D6563" s="50" t="s">
        <v>261</v>
      </c>
      <c r="E6563" s="50">
        <v>0</v>
      </c>
      <c r="F6563" s="51">
        <v>0.31688653705745651</v>
      </c>
      <c r="G6563" s="51" t="str">
        <v>稲葉 2022/12/03 (土)
休日午後</v>
      </c>
    </row>
    <row r="6564" spans="1:7" ht="16.149999999999999" x14ac:dyDescent="0.7">
      <c r="A6564" s="49">
        <v>44884.271959768521</v>
      </c>
      <c r="B6564" s="50" t="s">
        <v>127</v>
      </c>
      <c r="C6564" s="50" t="s">
        <v>574</v>
      </c>
      <c r="D6564" s="50" t="s">
        <v>263</v>
      </c>
      <c r="E6564" s="50">
        <v>-1</v>
      </c>
      <c r="F6564" s="51">
        <v>-0.57170351935823871</v>
      </c>
      <c r="G6564" s="51" t="str">
        <v>稲葉 2022/12/04 (日)
休日午前</v>
      </c>
    </row>
    <row r="6565" spans="1:7" ht="16.149999999999999" x14ac:dyDescent="0.7">
      <c r="A6565" s="49">
        <v>44884.271959768521</v>
      </c>
      <c r="B6565" s="50" t="s">
        <v>127</v>
      </c>
      <c r="C6565" s="50" t="s">
        <v>575</v>
      </c>
      <c r="D6565" s="50" t="s">
        <v>261</v>
      </c>
      <c r="E6565" s="50">
        <v>-1</v>
      </c>
      <c r="F6565" s="51">
        <v>-2.1215823402309875E-2</v>
      </c>
      <c r="G6565" s="51" t="str">
        <v>稲葉 2022/12/04 (日)
休日午後</v>
      </c>
    </row>
    <row r="6566" spans="1:7" ht="16.149999999999999" x14ac:dyDescent="0.7">
      <c r="A6566" s="49">
        <v>44884.271959768521</v>
      </c>
      <c r="B6566" s="50" t="s">
        <v>127</v>
      </c>
      <c r="C6566" s="50" t="s">
        <v>576</v>
      </c>
      <c r="D6566" s="50" t="s">
        <v>259</v>
      </c>
      <c r="E6566" s="50">
        <v>0</v>
      </c>
      <c r="F6566" s="51">
        <v>0.78004280502118273</v>
      </c>
      <c r="G6566" s="51" t="str">
        <v>稲葉 2022/12/05 (月)
平日夜間</v>
      </c>
    </row>
    <row r="6567" spans="1:7" ht="16.149999999999999" x14ac:dyDescent="0.7">
      <c r="A6567" s="49">
        <v>44884.271959768521</v>
      </c>
      <c r="B6567" s="50" t="s">
        <v>127</v>
      </c>
      <c r="C6567" s="50" t="s">
        <v>577</v>
      </c>
      <c r="D6567" s="50" t="s">
        <v>259</v>
      </c>
      <c r="E6567" s="50">
        <v>0</v>
      </c>
      <c r="F6567" s="51">
        <v>1.1151122897810062E-3</v>
      </c>
      <c r="G6567" s="51" t="str">
        <v>稲葉 2022/12/06 (火)
平日夜間</v>
      </c>
    </row>
    <row r="6568" spans="1:7" ht="16.149999999999999" x14ac:dyDescent="0.7">
      <c r="A6568" s="49">
        <v>44884.271959768521</v>
      </c>
      <c r="B6568" s="50" t="s">
        <v>127</v>
      </c>
      <c r="C6568" s="50" t="s">
        <v>578</v>
      </c>
      <c r="D6568" s="50" t="s">
        <v>259</v>
      </c>
      <c r="E6568" s="50">
        <v>0</v>
      </c>
      <c r="F6568" s="51">
        <v>1.8843264863765974E-2</v>
      </c>
      <c r="G6568" s="51" t="str">
        <v>稲葉 2022/12/07 (水)
平日夜間</v>
      </c>
    </row>
    <row r="6569" spans="1:7" ht="16.149999999999999" x14ac:dyDescent="0.7">
      <c r="A6569" s="49">
        <v>44884.271959768521</v>
      </c>
      <c r="B6569" s="50" t="s">
        <v>127</v>
      </c>
      <c r="C6569" s="50" t="s">
        <v>579</v>
      </c>
      <c r="D6569" s="50" t="s">
        <v>259</v>
      </c>
      <c r="E6569" s="50">
        <v>0</v>
      </c>
      <c r="F6569" s="51">
        <v>0.90120338005133105</v>
      </c>
      <c r="G6569" s="51" t="str">
        <v>稲葉 2022/12/08 (木)
平日夜間</v>
      </c>
    </row>
    <row r="6570" spans="1:7" ht="16.149999999999999" x14ac:dyDescent="0.7">
      <c r="A6570" s="49">
        <v>44884.271959768521</v>
      </c>
      <c r="B6570" s="50" t="s">
        <v>127</v>
      </c>
      <c r="C6570" s="50" t="s">
        <v>580</v>
      </c>
      <c r="D6570" s="50" t="s">
        <v>259</v>
      </c>
      <c r="E6570" s="50">
        <v>0</v>
      </c>
      <c r="F6570" s="51">
        <v>0.10076343811757282</v>
      </c>
      <c r="G6570" s="51" t="str">
        <v>稲葉 2022/12/09 (金)
平日夜間</v>
      </c>
    </row>
    <row r="6571" spans="1:7" ht="16.149999999999999" x14ac:dyDescent="0.7">
      <c r="A6571" s="49">
        <v>44884.271959768521</v>
      </c>
      <c r="B6571" s="50" t="s">
        <v>127</v>
      </c>
      <c r="C6571" s="50" t="s">
        <v>581</v>
      </c>
      <c r="D6571" s="50" t="s">
        <v>263</v>
      </c>
      <c r="E6571" s="50">
        <v>0</v>
      </c>
      <c r="F6571" s="51">
        <v>2.9816504969065738E-2</v>
      </c>
      <c r="G6571" s="51" t="str">
        <v>稲葉 2022/12/10 (土)
休日午前</v>
      </c>
    </row>
    <row r="6572" spans="1:7" ht="16.149999999999999" x14ac:dyDescent="0.7">
      <c r="A6572" s="49">
        <v>44884.271959768521</v>
      </c>
      <c r="B6572" s="50" t="s">
        <v>127</v>
      </c>
      <c r="C6572" s="50" t="s">
        <v>582</v>
      </c>
      <c r="D6572" s="50" t="s">
        <v>261</v>
      </c>
      <c r="E6572" s="50">
        <v>0</v>
      </c>
      <c r="F6572" s="51">
        <v>0.25704984350823801</v>
      </c>
      <c r="G6572" s="51" t="str">
        <v>稲葉 2022/12/10 (土)
休日午後</v>
      </c>
    </row>
    <row r="6573" spans="1:7" ht="16.149999999999999" x14ac:dyDescent="0.7">
      <c r="A6573" s="49">
        <v>44884.271959768521</v>
      </c>
      <c r="B6573" s="50" t="s">
        <v>127</v>
      </c>
      <c r="C6573" s="50" t="s">
        <v>583</v>
      </c>
      <c r="D6573" s="50" t="s">
        <v>263</v>
      </c>
      <c r="E6573" s="50">
        <v>0</v>
      </c>
      <c r="F6573" s="51">
        <v>0.81348080475513918</v>
      </c>
      <c r="G6573" s="51" t="str">
        <v>稲葉 2022/12/11 (日)
休日午前</v>
      </c>
    </row>
    <row r="6574" spans="1:7" ht="16.149999999999999" x14ac:dyDescent="0.7">
      <c r="A6574" s="49">
        <v>44884.271959768521</v>
      </c>
      <c r="B6574" s="50" t="s">
        <v>127</v>
      </c>
      <c r="C6574" s="50" t="s">
        <v>584</v>
      </c>
      <c r="D6574" s="50" t="s">
        <v>261</v>
      </c>
      <c r="E6574" s="50">
        <v>0</v>
      </c>
      <c r="F6574" s="51">
        <v>0.21539028299930973</v>
      </c>
      <c r="G6574" s="51" t="str">
        <v>稲葉 2022/12/11 (日)
休日午後</v>
      </c>
    </row>
    <row r="6575" spans="1:7" ht="16.149999999999999" x14ac:dyDescent="0.7">
      <c r="A6575" s="49">
        <v>44884.271959768521</v>
      </c>
      <c r="B6575" s="50" t="s">
        <v>127</v>
      </c>
      <c r="C6575" s="50" t="s">
        <v>585</v>
      </c>
      <c r="D6575" s="50" t="s">
        <v>259</v>
      </c>
      <c r="E6575" s="50">
        <v>0</v>
      </c>
      <c r="F6575" s="51">
        <v>5.7809819320894684E-2</v>
      </c>
      <c r="G6575" s="51" t="str">
        <v>稲葉 2022/12/12 (月)
平日夜間</v>
      </c>
    </row>
    <row r="6576" spans="1:7" ht="16.149999999999999" x14ac:dyDescent="0.7">
      <c r="A6576" s="49">
        <v>44884.271959768521</v>
      </c>
      <c r="B6576" s="50" t="s">
        <v>127</v>
      </c>
      <c r="C6576" s="50" t="s">
        <v>586</v>
      </c>
      <c r="D6576" s="50" t="s">
        <v>259</v>
      </c>
      <c r="E6576" s="50">
        <v>0</v>
      </c>
      <c r="F6576" s="51">
        <v>0.63916749987249477</v>
      </c>
      <c r="G6576" s="51" t="str">
        <v>稲葉 2022/12/13 (火)
平日夜間</v>
      </c>
    </row>
    <row r="6577" spans="1:7" ht="16.149999999999999" x14ac:dyDescent="0.7">
      <c r="A6577" s="49">
        <v>44884.271959768521</v>
      </c>
      <c r="B6577" s="50" t="s">
        <v>127</v>
      </c>
      <c r="C6577" s="50" t="s">
        <v>587</v>
      </c>
      <c r="D6577" s="50" t="s">
        <v>259</v>
      </c>
      <c r="E6577" s="50">
        <v>0</v>
      </c>
      <c r="F6577" s="51">
        <v>0.64401913140820288</v>
      </c>
      <c r="G6577" s="51" t="str">
        <v>稲葉 2022/12/14 (水)
平日夜間</v>
      </c>
    </row>
    <row r="6578" spans="1:7" ht="16.149999999999999" x14ac:dyDescent="0.7">
      <c r="A6578" s="49">
        <v>44884.271959768521</v>
      </c>
      <c r="B6578" s="50" t="s">
        <v>127</v>
      </c>
      <c r="C6578" s="50" t="s">
        <v>588</v>
      </c>
      <c r="D6578" s="50" t="s">
        <v>259</v>
      </c>
      <c r="E6578" s="50">
        <v>0</v>
      </c>
      <c r="F6578" s="51">
        <v>0.99176799999720266</v>
      </c>
      <c r="G6578" s="51" t="str">
        <v>稲葉 2022/12/15 (木)
平日夜間</v>
      </c>
    </row>
    <row r="6579" spans="1:7" ht="16.149999999999999" x14ac:dyDescent="0.7">
      <c r="A6579" s="49">
        <v>44884.271959768521</v>
      </c>
      <c r="B6579" s="50" t="s">
        <v>127</v>
      </c>
      <c r="C6579" s="50" t="s">
        <v>589</v>
      </c>
      <c r="D6579" s="50" t="s">
        <v>259</v>
      </c>
      <c r="E6579" s="50">
        <v>0</v>
      </c>
      <c r="F6579" s="51">
        <v>0.98382707075286646</v>
      </c>
      <c r="G6579" s="51" t="str">
        <v>稲葉 2022/12/16 (金)
平日夜間</v>
      </c>
    </row>
    <row r="6580" spans="1:7" ht="16.149999999999999" x14ac:dyDescent="0.7">
      <c r="A6580" s="49">
        <v>44884.271959768521</v>
      </c>
      <c r="B6580" s="50" t="s">
        <v>127</v>
      </c>
      <c r="C6580" s="50" t="s">
        <v>590</v>
      </c>
      <c r="D6580" s="50" t="s">
        <v>263</v>
      </c>
      <c r="E6580" s="50">
        <v>0</v>
      </c>
      <c r="F6580" s="51">
        <v>0.31769470471207639</v>
      </c>
      <c r="G6580" s="51" t="str">
        <v>稲葉 2022/12/17 (土)
休日午前</v>
      </c>
    </row>
    <row r="6581" spans="1:7" ht="16.149999999999999" x14ac:dyDescent="0.7">
      <c r="A6581" s="49">
        <v>44884.271959768521</v>
      </c>
      <c r="B6581" s="50" t="s">
        <v>127</v>
      </c>
      <c r="C6581" s="50" t="s">
        <v>591</v>
      </c>
      <c r="D6581" s="50" t="s">
        <v>261</v>
      </c>
      <c r="E6581" s="50">
        <v>0</v>
      </c>
      <c r="F6581" s="51">
        <v>3.2249288068328275E-2</v>
      </c>
      <c r="G6581" s="51" t="str">
        <v>稲葉 2022/12/17 (土)
休日午後</v>
      </c>
    </row>
    <row r="6582" spans="1:7" ht="16.149999999999999" x14ac:dyDescent="0.7">
      <c r="A6582" s="49">
        <v>44884.271959768521</v>
      </c>
      <c r="B6582" s="50" t="s">
        <v>127</v>
      </c>
      <c r="C6582" s="50" t="s">
        <v>592</v>
      </c>
      <c r="D6582" s="50" t="s">
        <v>263</v>
      </c>
      <c r="E6582" s="50">
        <v>0</v>
      </c>
      <c r="F6582" s="51">
        <v>0.14437466760976458</v>
      </c>
      <c r="G6582" s="51" t="str">
        <v>稲葉 2022/12/18 (日)
休日午前</v>
      </c>
    </row>
    <row r="6583" spans="1:7" ht="16.149999999999999" x14ac:dyDescent="0.7">
      <c r="A6583" s="49">
        <v>44884.271959768521</v>
      </c>
      <c r="B6583" s="50" t="s">
        <v>127</v>
      </c>
      <c r="C6583" s="50" t="s">
        <v>593</v>
      </c>
      <c r="D6583" s="50" t="s">
        <v>261</v>
      </c>
      <c r="E6583" s="50">
        <v>0</v>
      </c>
      <c r="F6583" s="51">
        <v>0.52462442730233305</v>
      </c>
      <c r="G6583" s="51" t="str">
        <v>稲葉 2022/12/18 (日)
休日午後</v>
      </c>
    </row>
    <row r="6584" spans="1:7" ht="16.149999999999999" x14ac:dyDescent="0.7">
      <c r="A6584" s="49">
        <v>44884.271959768521</v>
      </c>
      <c r="B6584" s="50" t="s">
        <v>127</v>
      </c>
      <c r="C6584" s="50" t="s">
        <v>594</v>
      </c>
      <c r="D6584" s="50" t="s">
        <v>259</v>
      </c>
      <c r="E6584" s="50">
        <v>0</v>
      </c>
      <c r="F6584" s="51">
        <v>0.71880210690743862</v>
      </c>
      <c r="G6584" s="51" t="str">
        <v>稲葉 2022/12/19 (月)
平日夜間</v>
      </c>
    </row>
    <row r="6585" spans="1:7" ht="16.149999999999999" x14ac:dyDescent="0.7">
      <c r="A6585" s="49">
        <v>44884.271959768521</v>
      </c>
      <c r="B6585" s="50" t="s">
        <v>127</v>
      </c>
      <c r="C6585" s="50" t="s">
        <v>595</v>
      </c>
      <c r="D6585" s="50" t="s">
        <v>259</v>
      </c>
      <c r="E6585" s="50">
        <v>-1</v>
      </c>
      <c r="F6585" s="51">
        <v>-0.25920325335318206</v>
      </c>
      <c r="G6585" s="51" t="str">
        <v>稲葉 2022/12/20 (火)
平日夜間</v>
      </c>
    </row>
    <row r="6586" spans="1:7" ht="16.149999999999999" x14ac:dyDescent="0.7">
      <c r="A6586" s="49">
        <v>44884.271959768521</v>
      </c>
      <c r="B6586" s="50" t="s">
        <v>127</v>
      </c>
      <c r="C6586" s="50" t="s">
        <v>596</v>
      </c>
      <c r="D6586" s="50" t="s">
        <v>259</v>
      </c>
      <c r="E6586" s="50">
        <v>0</v>
      </c>
      <c r="F6586" s="51">
        <v>0.33164898364567397</v>
      </c>
      <c r="G6586" s="51" t="str">
        <v>稲葉 2022/12/21 (水)
平日夜間</v>
      </c>
    </row>
    <row r="6587" spans="1:7" ht="16.149999999999999" x14ac:dyDescent="0.7">
      <c r="A6587" s="49">
        <v>44884.271959768521</v>
      </c>
      <c r="B6587" s="50" t="s">
        <v>127</v>
      </c>
      <c r="C6587" s="50" t="s">
        <v>597</v>
      </c>
      <c r="D6587" s="50" t="s">
        <v>259</v>
      </c>
      <c r="E6587" s="50">
        <v>0</v>
      </c>
      <c r="F6587" s="51">
        <v>0.38541609603450411</v>
      </c>
      <c r="G6587" s="51" t="str">
        <v>稲葉 2022/12/22 (木)
平日夜間</v>
      </c>
    </row>
    <row r="6588" spans="1:7" ht="16.149999999999999" x14ac:dyDescent="0.7">
      <c r="A6588" s="49">
        <v>44884.271959768521</v>
      </c>
      <c r="B6588" s="50" t="s">
        <v>127</v>
      </c>
      <c r="C6588" s="50" t="s">
        <v>598</v>
      </c>
      <c r="D6588" s="50" t="s">
        <v>259</v>
      </c>
      <c r="E6588" s="50">
        <v>0</v>
      </c>
      <c r="F6588" s="51">
        <v>0.67353839898950496</v>
      </c>
      <c r="G6588" s="51" t="str">
        <v>稲葉 2022/12/23 (金)
平日夜間</v>
      </c>
    </row>
    <row r="6589" spans="1:7" ht="16.149999999999999" x14ac:dyDescent="0.7">
      <c r="A6589" s="49">
        <v>44884.271959768521</v>
      </c>
      <c r="B6589" s="50" t="s">
        <v>127</v>
      </c>
      <c r="C6589" s="50" t="s">
        <v>599</v>
      </c>
      <c r="D6589" s="50" t="s">
        <v>263</v>
      </c>
      <c r="E6589" s="50">
        <v>-1</v>
      </c>
      <c r="F6589" s="51">
        <v>-2.3894761154586774E-2</v>
      </c>
      <c r="G6589" s="51" t="str">
        <v>稲葉 2022/12/24 (土)
休日午前</v>
      </c>
    </row>
    <row r="6590" spans="1:7" ht="16.149999999999999" x14ac:dyDescent="0.7">
      <c r="A6590" s="49">
        <v>44884.271959768521</v>
      </c>
      <c r="B6590" s="50" t="s">
        <v>127</v>
      </c>
      <c r="C6590" s="50" t="s">
        <v>600</v>
      </c>
      <c r="D6590" s="50" t="s">
        <v>261</v>
      </c>
      <c r="E6590" s="50">
        <v>-1</v>
      </c>
      <c r="F6590" s="51">
        <v>-0.85962206573288369</v>
      </c>
      <c r="G6590" s="51" t="str">
        <v>稲葉 2022/12/24 (土)
休日午後</v>
      </c>
    </row>
    <row r="6591" spans="1:7" ht="16.149999999999999" x14ac:dyDescent="0.7">
      <c r="A6591" s="49">
        <v>44884.271959768521</v>
      </c>
      <c r="B6591" s="50" t="s">
        <v>127</v>
      </c>
      <c r="C6591" s="50" t="s">
        <v>601</v>
      </c>
      <c r="D6591" s="50" t="s">
        <v>263</v>
      </c>
      <c r="E6591" s="50">
        <v>-1</v>
      </c>
      <c r="F6591" s="51">
        <v>-0.73783378625926788</v>
      </c>
      <c r="G6591" s="51" t="str">
        <v>稲葉 2022/12/25 (日)
休日午前</v>
      </c>
    </row>
    <row r="6592" spans="1:7" ht="16.149999999999999" x14ac:dyDescent="0.7">
      <c r="A6592" s="49">
        <v>44884.271959768521</v>
      </c>
      <c r="B6592" s="50" t="s">
        <v>127</v>
      </c>
      <c r="C6592" s="50" t="s">
        <v>602</v>
      </c>
      <c r="D6592" s="50" t="s">
        <v>261</v>
      </c>
      <c r="E6592" s="50">
        <v>-1</v>
      </c>
      <c r="F6592" s="51">
        <v>-0.38063061307854951</v>
      </c>
      <c r="G6592" s="51" t="str">
        <v>稲葉 2022/12/25 (日)
休日午後</v>
      </c>
    </row>
    <row r="6593" spans="1:7" ht="16.149999999999999" x14ac:dyDescent="0.7">
      <c r="A6593" s="49">
        <v>44884.271959768521</v>
      </c>
      <c r="B6593" s="50" t="s">
        <v>127</v>
      </c>
      <c r="C6593" s="50" t="s">
        <v>603</v>
      </c>
      <c r="D6593" s="50" t="s">
        <v>259</v>
      </c>
      <c r="E6593" s="50">
        <v>0</v>
      </c>
      <c r="F6593" s="51">
        <v>0.48353191016121433</v>
      </c>
      <c r="G6593" s="51" t="str">
        <v>稲葉 2022/12/26 (月)
平日夜間</v>
      </c>
    </row>
    <row r="6594" spans="1:7" ht="16.149999999999999" x14ac:dyDescent="0.7">
      <c r="A6594" s="49">
        <v>44884.271959768521</v>
      </c>
      <c r="B6594" s="50" t="s">
        <v>127</v>
      </c>
      <c r="C6594" s="50" t="s">
        <v>604</v>
      </c>
      <c r="D6594" s="50" t="s">
        <v>259</v>
      </c>
      <c r="E6594" s="50">
        <v>0</v>
      </c>
      <c r="F6594" s="51">
        <v>0.18754647172542338</v>
      </c>
      <c r="G6594" s="51" t="str">
        <v>稲葉 2022/12/27 (火)
平日夜間</v>
      </c>
    </row>
    <row r="6595" spans="1:7" ht="16.149999999999999" x14ac:dyDescent="0.7">
      <c r="A6595" s="49">
        <v>44884.271959768521</v>
      </c>
      <c r="B6595" s="50" t="s">
        <v>127</v>
      </c>
      <c r="C6595" s="50" t="s">
        <v>605</v>
      </c>
      <c r="D6595" s="50" t="s">
        <v>259</v>
      </c>
      <c r="E6595" s="50">
        <v>0</v>
      </c>
      <c r="F6595" s="51">
        <v>0.92776437396678268</v>
      </c>
      <c r="G6595" s="51" t="str">
        <v>稲葉 2022/12/28 (水)
平日夜間</v>
      </c>
    </row>
    <row r="6596" spans="1:7" ht="16.149999999999999" x14ac:dyDescent="0.7">
      <c r="A6596" s="49">
        <v>44884.427266423612</v>
      </c>
      <c r="B6596" s="50" t="s">
        <v>15</v>
      </c>
      <c r="C6596" s="50" t="s">
        <v>570</v>
      </c>
      <c r="D6596" s="50" t="s">
        <v>259</v>
      </c>
      <c r="E6596" s="50">
        <v>-1</v>
      </c>
      <c r="F6596" s="51">
        <v>-0.9033967241497336</v>
      </c>
      <c r="G6596" s="51" t="str">
        <v>太良 2022/12/01 (木)
平日夜間</v>
      </c>
    </row>
    <row r="6597" spans="1:7" ht="16.149999999999999" x14ac:dyDescent="0.7">
      <c r="A6597" s="49">
        <v>44884.427266423612</v>
      </c>
      <c r="B6597" s="50" t="s">
        <v>15</v>
      </c>
      <c r="C6597" s="50" t="s">
        <v>571</v>
      </c>
      <c r="D6597" s="50" t="s">
        <v>259</v>
      </c>
      <c r="E6597" s="50">
        <v>-1</v>
      </c>
      <c r="F6597" s="51">
        <v>-0.76358974588029649</v>
      </c>
      <c r="G6597" s="51" t="str">
        <v>太良 2022/12/02 (金)
平日夜間</v>
      </c>
    </row>
    <row r="6598" spans="1:7" ht="16.149999999999999" x14ac:dyDescent="0.7">
      <c r="A6598" s="49">
        <v>44884.427266423612</v>
      </c>
      <c r="B6598" s="50" t="s">
        <v>15</v>
      </c>
      <c r="C6598" s="50" t="s">
        <v>572</v>
      </c>
      <c r="D6598" s="50" t="s">
        <v>263</v>
      </c>
      <c r="E6598" s="50">
        <v>0</v>
      </c>
      <c r="F6598" s="51">
        <v>0.9316154468139386</v>
      </c>
      <c r="G6598" s="51" t="str">
        <v>太良 2022/12/03 (土)
休日午前</v>
      </c>
    </row>
    <row r="6599" spans="1:7" ht="16.149999999999999" x14ac:dyDescent="0.7">
      <c r="A6599" s="49">
        <v>44884.427266423612</v>
      </c>
      <c r="B6599" s="50" t="s">
        <v>15</v>
      </c>
      <c r="C6599" s="50" t="s">
        <v>573</v>
      </c>
      <c r="D6599" s="50" t="s">
        <v>261</v>
      </c>
      <c r="E6599" s="50">
        <v>2</v>
      </c>
      <c r="F6599" s="51">
        <v>2.9990925999588383</v>
      </c>
      <c r="G6599" s="51" t="str">
        <v>太良 2022/12/03 (土)
休日午後</v>
      </c>
    </row>
    <row r="6600" spans="1:7" ht="16.149999999999999" x14ac:dyDescent="0.7">
      <c r="A6600" s="49">
        <v>44884.427266423612</v>
      </c>
      <c r="B6600" s="50" t="s">
        <v>15</v>
      </c>
      <c r="C6600" s="50" t="s">
        <v>574</v>
      </c>
      <c r="D6600" s="50" t="s">
        <v>263</v>
      </c>
      <c r="E6600" s="50">
        <v>0</v>
      </c>
      <c r="F6600" s="51">
        <v>4.4751060570143109E-2</v>
      </c>
      <c r="G6600" s="51" t="str">
        <v>太良 2022/12/04 (日)
休日午前</v>
      </c>
    </row>
    <row r="6601" spans="1:7" ht="16.149999999999999" x14ac:dyDescent="0.7">
      <c r="A6601" s="49">
        <v>44884.427266423612</v>
      </c>
      <c r="B6601" s="50" t="s">
        <v>15</v>
      </c>
      <c r="C6601" s="50" t="s">
        <v>575</v>
      </c>
      <c r="D6601" s="50" t="s">
        <v>261</v>
      </c>
      <c r="E6601" s="50">
        <v>0</v>
      </c>
      <c r="F6601" s="51">
        <v>0.57430117191207564</v>
      </c>
      <c r="G6601" s="51" t="str">
        <v>太良 2022/12/04 (日)
休日午後</v>
      </c>
    </row>
    <row r="6602" spans="1:7" ht="16.149999999999999" x14ac:dyDescent="0.7">
      <c r="A6602" s="49">
        <v>44884.427266423612</v>
      </c>
      <c r="B6602" s="50" t="s">
        <v>15</v>
      </c>
      <c r="C6602" s="50" t="s">
        <v>576</v>
      </c>
      <c r="D6602" s="50" t="s">
        <v>259</v>
      </c>
      <c r="E6602" s="50">
        <v>0</v>
      </c>
      <c r="F6602" s="51">
        <v>0.68177011188817382</v>
      </c>
      <c r="G6602" s="51" t="str">
        <v>太良 2022/12/05 (月)
平日夜間</v>
      </c>
    </row>
    <row r="6603" spans="1:7" ht="16.149999999999999" x14ac:dyDescent="0.7">
      <c r="A6603" s="49">
        <v>44884.427266423612</v>
      </c>
      <c r="B6603" s="50" t="s">
        <v>15</v>
      </c>
      <c r="C6603" s="50" t="s">
        <v>577</v>
      </c>
      <c r="D6603" s="50" t="s">
        <v>259</v>
      </c>
      <c r="E6603" s="50">
        <v>-1</v>
      </c>
      <c r="F6603" s="51">
        <v>-0.92567286708414498</v>
      </c>
      <c r="G6603" s="51" t="str">
        <v>太良 2022/12/06 (火)
平日夜間</v>
      </c>
    </row>
    <row r="6604" spans="1:7" ht="16.149999999999999" x14ac:dyDescent="0.7">
      <c r="A6604" s="49">
        <v>44884.427266423612</v>
      </c>
      <c r="B6604" s="50" t="s">
        <v>15</v>
      </c>
      <c r="C6604" s="50" t="s">
        <v>578</v>
      </c>
      <c r="D6604" s="50" t="s">
        <v>259</v>
      </c>
      <c r="E6604" s="50">
        <v>-1</v>
      </c>
      <c r="F6604" s="51">
        <v>-0.64805782977810211</v>
      </c>
      <c r="G6604" s="51" t="str">
        <v>太良 2022/12/07 (水)
平日夜間</v>
      </c>
    </row>
    <row r="6605" spans="1:7" ht="16.149999999999999" x14ac:dyDescent="0.7">
      <c r="A6605" s="49">
        <v>44884.427266423612</v>
      </c>
      <c r="B6605" s="50" t="s">
        <v>15</v>
      </c>
      <c r="C6605" s="50" t="s">
        <v>579</v>
      </c>
      <c r="D6605" s="50" t="s">
        <v>259</v>
      </c>
      <c r="E6605" s="50">
        <v>-1</v>
      </c>
      <c r="F6605" s="51">
        <v>-0.82376058213076142</v>
      </c>
      <c r="G6605" s="51" t="str">
        <v>太良 2022/12/08 (木)
平日夜間</v>
      </c>
    </row>
    <row r="6606" spans="1:7" ht="16.149999999999999" x14ac:dyDescent="0.7">
      <c r="A6606" s="49">
        <v>44884.427266423612</v>
      </c>
      <c r="B6606" s="50" t="s">
        <v>15</v>
      </c>
      <c r="C6606" s="50" t="s">
        <v>580</v>
      </c>
      <c r="D6606" s="50" t="s">
        <v>259</v>
      </c>
      <c r="E6606" s="50">
        <v>-1</v>
      </c>
      <c r="F6606" s="51">
        <v>-0.23683551496580524</v>
      </c>
      <c r="G6606" s="51" t="str">
        <v>太良 2022/12/09 (金)
平日夜間</v>
      </c>
    </row>
    <row r="6607" spans="1:7" ht="16.149999999999999" x14ac:dyDescent="0.7">
      <c r="A6607" s="49">
        <v>44884.427266423612</v>
      </c>
      <c r="B6607" s="50" t="s">
        <v>15</v>
      </c>
      <c r="C6607" s="50" t="s">
        <v>581</v>
      </c>
      <c r="D6607" s="50" t="s">
        <v>263</v>
      </c>
      <c r="E6607" s="50">
        <v>-1</v>
      </c>
      <c r="F6607" s="51">
        <v>-0.67663481992939167</v>
      </c>
      <c r="G6607" s="51" t="str">
        <v>太良 2022/12/10 (土)
休日午前</v>
      </c>
    </row>
    <row r="6608" spans="1:7" ht="16.149999999999999" x14ac:dyDescent="0.7">
      <c r="A6608" s="49">
        <v>44884.427266423612</v>
      </c>
      <c r="B6608" s="50" t="s">
        <v>15</v>
      </c>
      <c r="C6608" s="50" t="s">
        <v>582</v>
      </c>
      <c r="D6608" s="50" t="s">
        <v>261</v>
      </c>
      <c r="E6608" s="50">
        <v>-1</v>
      </c>
      <c r="F6608" s="51">
        <v>-0.1424574507090004</v>
      </c>
      <c r="G6608" s="51" t="str">
        <v>太良 2022/12/10 (土)
休日午後</v>
      </c>
    </row>
    <row r="6609" spans="1:7" ht="16.149999999999999" x14ac:dyDescent="0.7">
      <c r="A6609" s="49">
        <v>44884.427266423612</v>
      </c>
      <c r="B6609" s="50" t="s">
        <v>15</v>
      </c>
      <c r="C6609" s="50" t="s">
        <v>583</v>
      </c>
      <c r="D6609" s="50" t="s">
        <v>263</v>
      </c>
      <c r="E6609" s="50">
        <v>-1</v>
      </c>
      <c r="F6609" s="51">
        <v>-3.1752527428213995E-2</v>
      </c>
      <c r="G6609" s="51" t="str">
        <v>太良 2022/12/11 (日)
休日午前</v>
      </c>
    </row>
    <row r="6610" spans="1:7" ht="16.149999999999999" x14ac:dyDescent="0.7">
      <c r="A6610" s="49">
        <v>44884.427266423612</v>
      </c>
      <c r="B6610" s="50" t="s">
        <v>15</v>
      </c>
      <c r="C6610" s="50" t="s">
        <v>584</v>
      </c>
      <c r="D6610" s="50" t="s">
        <v>261</v>
      </c>
      <c r="E6610" s="50">
        <v>-1</v>
      </c>
      <c r="F6610" s="51">
        <v>-0.11701669621857125</v>
      </c>
      <c r="G6610" s="51" t="str">
        <v>太良 2022/12/11 (日)
休日午後</v>
      </c>
    </row>
    <row r="6611" spans="1:7" ht="16.149999999999999" x14ac:dyDescent="0.7">
      <c r="A6611" s="49">
        <v>44884.427266423612</v>
      </c>
      <c r="B6611" s="50" t="s">
        <v>15</v>
      </c>
      <c r="C6611" s="50" t="s">
        <v>585</v>
      </c>
      <c r="D6611" s="50" t="s">
        <v>259</v>
      </c>
      <c r="E6611" s="50">
        <v>-1</v>
      </c>
      <c r="F6611" s="51">
        <v>-0.47979276582118358</v>
      </c>
      <c r="G6611" s="51" t="str">
        <v>太良 2022/12/12 (月)
平日夜間</v>
      </c>
    </row>
    <row r="6612" spans="1:7" ht="16.149999999999999" x14ac:dyDescent="0.7">
      <c r="A6612" s="49">
        <v>44884.427266423612</v>
      </c>
      <c r="B6612" s="50" t="s">
        <v>15</v>
      </c>
      <c r="C6612" s="50" t="s">
        <v>586</v>
      </c>
      <c r="D6612" s="50" t="s">
        <v>259</v>
      </c>
      <c r="E6612" s="50">
        <v>-1</v>
      </c>
      <c r="F6612" s="51">
        <v>-0.50396751153184582</v>
      </c>
      <c r="G6612" s="51" t="str">
        <v>太良 2022/12/13 (火)
平日夜間</v>
      </c>
    </row>
    <row r="6613" spans="1:7" ht="16.149999999999999" x14ac:dyDescent="0.7">
      <c r="A6613" s="49">
        <v>44884.427266423612</v>
      </c>
      <c r="B6613" s="50" t="s">
        <v>15</v>
      </c>
      <c r="C6613" s="50" t="s">
        <v>587</v>
      </c>
      <c r="D6613" s="50" t="s">
        <v>259</v>
      </c>
      <c r="E6613" s="50">
        <v>0</v>
      </c>
      <c r="F6613" s="51">
        <v>0.36990161491499163</v>
      </c>
      <c r="G6613" s="51" t="str">
        <v>太良 2022/12/14 (水)
平日夜間</v>
      </c>
    </row>
    <row r="6614" spans="1:7" ht="16.149999999999999" x14ac:dyDescent="0.7">
      <c r="A6614" s="49">
        <v>44884.427266423612</v>
      </c>
      <c r="B6614" s="50" t="s">
        <v>15</v>
      </c>
      <c r="C6614" s="50" t="s">
        <v>588</v>
      </c>
      <c r="D6614" s="50" t="s">
        <v>259</v>
      </c>
      <c r="E6614" s="50">
        <v>-1</v>
      </c>
      <c r="F6614" s="51">
        <v>-0.74421341661757245</v>
      </c>
      <c r="G6614" s="51" t="str">
        <v>太良 2022/12/15 (木)
平日夜間</v>
      </c>
    </row>
    <row r="6615" spans="1:7" ht="16.149999999999999" x14ac:dyDescent="0.7">
      <c r="A6615" s="49">
        <v>44884.427266423612</v>
      </c>
      <c r="B6615" s="50" t="s">
        <v>15</v>
      </c>
      <c r="C6615" s="50" t="s">
        <v>589</v>
      </c>
      <c r="D6615" s="50" t="s">
        <v>259</v>
      </c>
      <c r="E6615" s="50">
        <v>0</v>
      </c>
      <c r="F6615" s="51">
        <v>0.18422367465179046</v>
      </c>
      <c r="G6615" s="51" t="str">
        <v>太良 2022/12/16 (金)
平日夜間</v>
      </c>
    </row>
    <row r="6616" spans="1:7" ht="16.149999999999999" x14ac:dyDescent="0.7">
      <c r="A6616" s="49">
        <v>44884.427266423612</v>
      </c>
      <c r="B6616" s="50" t="s">
        <v>15</v>
      </c>
      <c r="C6616" s="50" t="s">
        <v>590</v>
      </c>
      <c r="D6616" s="50" t="s">
        <v>263</v>
      </c>
      <c r="E6616" s="50">
        <v>-1</v>
      </c>
      <c r="F6616" s="51">
        <v>-0.20458368680167793</v>
      </c>
      <c r="G6616" s="51" t="str">
        <v>太良 2022/12/17 (土)
休日午前</v>
      </c>
    </row>
    <row r="6617" spans="1:7" ht="16.149999999999999" x14ac:dyDescent="0.7">
      <c r="A6617" s="49">
        <v>44884.427266423612</v>
      </c>
      <c r="B6617" s="50" t="s">
        <v>15</v>
      </c>
      <c r="C6617" s="50" t="s">
        <v>591</v>
      </c>
      <c r="D6617" s="50" t="s">
        <v>261</v>
      </c>
      <c r="E6617" s="50">
        <v>0</v>
      </c>
      <c r="F6617" s="51">
        <v>0.85068550580737057</v>
      </c>
      <c r="G6617" s="51" t="str">
        <v>太良 2022/12/17 (土)
休日午後</v>
      </c>
    </row>
    <row r="6618" spans="1:7" ht="16.149999999999999" x14ac:dyDescent="0.7">
      <c r="A6618" s="49">
        <v>44884.427266423612</v>
      </c>
      <c r="B6618" s="50" t="s">
        <v>15</v>
      </c>
      <c r="C6618" s="50" t="s">
        <v>592</v>
      </c>
      <c r="D6618" s="50" t="s">
        <v>263</v>
      </c>
      <c r="E6618" s="50">
        <v>0</v>
      </c>
      <c r="F6618" s="51">
        <v>8.6193802050077428E-2</v>
      </c>
      <c r="G6618" s="51" t="str">
        <v>太良 2022/12/18 (日)
休日午前</v>
      </c>
    </row>
    <row r="6619" spans="1:7" ht="16.149999999999999" x14ac:dyDescent="0.7">
      <c r="A6619" s="49">
        <v>44884.427266423612</v>
      </c>
      <c r="B6619" s="50" t="s">
        <v>15</v>
      </c>
      <c r="C6619" s="50" t="s">
        <v>593</v>
      </c>
      <c r="D6619" s="50" t="s">
        <v>261</v>
      </c>
      <c r="E6619" s="50">
        <v>0</v>
      </c>
      <c r="F6619" s="51">
        <v>0.81341816480927509</v>
      </c>
      <c r="G6619" s="51" t="str">
        <v>太良 2022/12/18 (日)
休日午後</v>
      </c>
    </row>
    <row r="6620" spans="1:7" ht="16.149999999999999" x14ac:dyDescent="0.7">
      <c r="A6620" s="49">
        <v>44884.427266423612</v>
      </c>
      <c r="B6620" s="50" t="s">
        <v>15</v>
      </c>
      <c r="C6620" s="50" t="s">
        <v>594</v>
      </c>
      <c r="D6620" s="50" t="s">
        <v>259</v>
      </c>
      <c r="E6620" s="50">
        <v>0</v>
      </c>
      <c r="F6620" s="51">
        <v>0.9311584421900907</v>
      </c>
      <c r="G6620" s="51" t="str">
        <v>太良 2022/12/19 (月)
平日夜間</v>
      </c>
    </row>
    <row r="6621" spans="1:7" ht="16.149999999999999" x14ac:dyDescent="0.7">
      <c r="A6621" s="49">
        <v>44884.427266423612</v>
      </c>
      <c r="B6621" s="50" t="s">
        <v>15</v>
      </c>
      <c r="C6621" s="50" t="s">
        <v>595</v>
      </c>
      <c r="D6621" s="50" t="s">
        <v>259</v>
      </c>
      <c r="E6621" s="50">
        <v>-1</v>
      </c>
      <c r="F6621" s="51">
        <v>-0.20832992113953308</v>
      </c>
      <c r="G6621" s="51" t="str">
        <v>太良 2022/12/20 (火)
平日夜間</v>
      </c>
    </row>
    <row r="6622" spans="1:7" ht="16.149999999999999" x14ac:dyDescent="0.7">
      <c r="A6622" s="49">
        <v>44884.427266423612</v>
      </c>
      <c r="B6622" s="50" t="s">
        <v>15</v>
      </c>
      <c r="C6622" s="50" t="s">
        <v>596</v>
      </c>
      <c r="D6622" s="50" t="s">
        <v>259</v>
      </c>
      <c r="E6622" s="50">
        <v>0</v>
      </c>
      <c r="F6622" s="51">
        <v>0.83149933074255977</v>
      </c>
      <c r="G6622" s="51" t="str">
        <v>太良 2022/12/21 (水)
平日夜間</v>
      </c>
    </row>
    <row r="6623" spans="1:7" ht="16.149999999999999" x14ac:dyDescent="0.7">
      <c r="A6623" s="49">
        <v>44884.427266423612</v>
      </c>
      <c r="B6623" s="50" t="s">
        <v>15</v>
      </c>
      <c r="C6623" s="50" t="s">
        <v>597</v>
      </c>
      <c r="D6623" s="50" t="s">
        <v>259</v>
      </c>
      <c r="E6623" s="50">
        <v>-1</v>
      </c>
      <c r="F6623" s="51">
        <v>-0.93966817063091579</v>
      </c>
      <c r="G6623" s="51" t="str">
        <v>太良 2022/12/22 (木)
平日夜間</v>
      </c>
    </row>
    <row r="6624" spans="1:7" ht="16.149999999999999" x14ac:dyDescent="0.7">
      <c r="A6624" s="49">
        <v>44884.427266423612</v>
      </c>
      <c r="B6624" s="50" t="s">
        <v>15</v>
      </c>
      <c r="C6624" s="50" t="s">
        <v>598</v>
      </c>
      <c r="D6624" s="50" t="s">
        <v>259</v>
      </c>
      <c r="E6624" s="50">
        <v>0</v>
      </c>
      <c r="F6624" s="51">
        <v>0.19535147104428852</v>
      </c>
      <c r="G6624" s="51" t="str">
        <v>太良 2022/12/23 (金)
平日夜間</v>
      </c>
    </row>
    <row r="6625" spans="1:7" ht="16.149999999999999" x14ac:dyDescent="0.7">
      <c r="A6625" s="49">
        <v>44884.427266423612</v>
      </c>
      <c r="B6625" s="50" t="s">
        <v>15</v>
      </c>
      <c r="C6625" s="50" t="s">
        <v>599</v>
      </c>
      <c r="D6625" s="50" t="s">
        <v>263</v>
      </c>
      <c r="E6625" s="50">
        <v>-1</v>
      </c>
      <c r="F6625" s="51">
        <v>-0.25334983955136003</v>
      </c>
      <c r="G6625" s="51" t="str">
        <v>太良 2022/12/24 (土)
休日午前</v>
      </c>
    </row>
    <row r="6626" spans="1:7" ht="16.149999999999999" x14ac:dyDescent="0.7">
      <c r="A6626" s="49">
        <v>44884.427266423612</v>
      </c>
      <c r="B6626" s="50" t="s">
        <v>15</v>
      </c>
      <c r="C6626" s="50" t="s">
        <v>600</v>
      </c>
      <c r="D6626" s="50" t="s">
        <v>261</v>
      </c>
      <c r="E6626" s="50">
        <v>0</v>
      </c>
      <c r="F6626" s="51">
        <v>0.40007876386007779</v>
      </c>
      <c r="G6626" s="51" t="str">
        <v>太良 2022/12/24 (土)
休日午後</v>
      </c>
    </row>
    <row r="6627" spans="1:7" ht="16.149999999999999" x14ac:dyDescent="0.7">
      <c r="A6627" s="49">
        <v>44884.427266423612</v>
      </c>
      <c r="B6627" s="50" t="s">
        <v>15</v>
      </c>
      <c r="C6627" s="50" t="s">
        <v>601</v>
      </c>
      <c r="D6627" s="50" t="s">
        <v>263</v>
      </c>
      <c r="E6627" s="50">
        <v>0</v>
      </c>
      <c r="F6627" s="51">
        <v>0.37547310875485418</v>
      </c>
      <c r="G6627" s="51" t="str">
        <v>太良 2022/12/25 (日)
休日午前</v>
      </c>
    </row>
    <row r="6628" spans="1:7" ht="16.149999999999999" x14ac:dyDescent="0.7">
      <c r="A6628" s="49">
        <v>44884.427266423612</v>
      </c>
      <c r="B6628" s="50" t="s">
        <v>15</v>
      </c>
      <c r="C6628" s="50" t="s">
        <v>602</v>
      </c>
      <c r="D6628" s="50" t="s">
        <v>261</v>
      </c>
      <c r="E6628" s="50">
        <v>0</v>
      </c>
      <c r="F6628" s="51">
        <v>0.29966989660834331</v>
      </c>
      <c r="G6628" s="51" t="str">
        <v>太良 2022/12/25 (日)
休日午後</v>
      </c>
    </row>
    <row r="6629" spans="1:7" ht="16.149999999999999" x14ac:dyDescent="0.7">
      <c r="A6629" s="49">
        <v>44884.427266423612</v>
      </c>
      <c r="B6629" s="50" t="s">
        <v>15</v>
      </c>
      <c r="C6629" s="50" t="s">
        <v>603</v>
      </c>
      <c r="D6629" s="50" t="s">
        <v>259</v>
      </c>
      <c r="E6629" s="50">
        <v>0</v>
      </c>
      <c r="F6629" s="51">
        <v>0.31947725889312539</v>
      </c>
      <c r="G6629" s="51" t="str">
        <v>太良 2022/12/26 (月)
平日夜間</v>
      </c>
    </row>
    <row r="6630" spans="1:7" ht="16.149999999999999" x14ac:dyDescent="0.7">
      <c r="A6630" s="49">
        <v>44884.427266423612</v>
      </c>
      <c r="B6630" s="50" t="s">
        <v>15</v>
      </c>
      <c r="C6630" s="50" t="s">
        <v>604</v>
      </c>
      <c r="D6630" s="50" t="s">
        <v>259</v>
      </c>
      <c r="E6630" s="50">
        <v>-1</v>
      </c>
      <c r="F6630" s="51">
        <v>-4.3622504142596608E-2</v>
      </c>
      <c r="G6630" s="51" t="str">
        <v>太良 2022/12/27 (火)
平日夜間</v>
      </c>
    </row>
    <row r="6631" spans="1:7" ht="16.149999999999999" x14ac:dyDescent="0.7">
      <c r="A6631" s="49">
        <v>44884.427266423612</v>
      </c>
      <c r="B6631" s="50" t="s">
        <v>15</v>
      </c>
      <c r="C6631" s="50" t="s">
        <v>605</v>
      </c>
      <c r="D6631" s="50" t="s">
        <v>259</v>
      </c>
      <c r="E6631" s="50">
        <v>0</v>
      </c>
      <c r="F6631" s="51">
        <v>0.39419242830987922</v>
      </c>
      <c r="G6631" s="51" t="str">
        <v>太良 2022/12/28 (水)
平日夜間</v>
      </c>
    </row>
    <row r="6632" spans="1:7" ht="16.149999999999999" x14ac:dyDescent="0.7">
      <c r="A6632" s="49">
        <v>44884.434617256949</v>
      </c>
      <c r="B6632" s="50" t="s">
        <v>200</v>
      </c>
      <c r="C6632" s="50" t="s">
        <v>570</v>
      </c>
      <c r="D6632" s="50" t="s">
        <v>259</v>
      </c>
      <c r="E6632" s="50">
        <v>0</v>
      </c>
      <c r="F6632" s="51">
        <v>0.5197586496504969</v>
      </c>
      <c r="G6632" s="51" t="str">
        <v>西堂 2022/12/01 (木)
平日夜間</v>
      </c>
    </row>
    <row r="6633" spans="1:7" ht="16.149999999999999" x14ac:dyDescent="0.7">
      <c r="A6633" s="49">
        <v>44884.434617256949</v>
      </c>
      <c r="B6633" s="50" t="s">
        <v>200</v>
      </c>
      <c r="C6633" s="50" t="s">
        <v>571</v>
      </c>
      <c r="D6633" s="50" t="s">
        <v>259</v>
      </c>
      <c r="E6633" s="50">
        <v>0</v>
      </c>
      <c r="F6633" s="51">
        <v>0.24157744432471251</v>
      </c>
      <c r="G6633" s="51" t="str">
        <v>西堂 2022/12/02 (金)
平日夜間</v>
      </c>
    </row>
    <row r="6634" spans="1:7" ht="16.149999999999999" x14ac:dyDescent="0.7">
      <c r="A6634" s="49">
        <v>44884.434617256949</v>
      </c>
      <c r="B6634" s="50" t="s">
        <v>200</v>
      </c>
      <c r="C6634" s="50" t="s">
        <v>572</v>
      </c>
      <c r="D6634" s="50" t="s">
        <v>263</v>
      </c>
      <c r="E6634" s="50">
        <v>-1</v>
      </c>
      <c r="F6634" s="51">
        <v>-0.70971227319577457</v>
      </c>
      <c r="G6634" s="51" t="str">
        <v>西堂 2022/12/03 (土)
休日午前</v>
      </c>
    </row>
    <row r="6635" spans="1:7" ht="16.149999999999999" x14ac:dyDescent="0.7">
      <c r="A6635" s="49">
        <v>44884.434617256949</v>
      </c>
      <c r="B6635" s="50" t="s">
        <v>200</v>
      </c>
      <c r="C6635" s="50" t="s">
        <v>573</v>
      </c>
      <c r="D6635" s="50" t="s">
        <v>261</v>
      </c>
      <c r="E6635" s="50">
        <v>-1</v>
      </c>
      <c r="F6635" s="51">
        <v>-0.25665190361090628</v>
      </c>
      <c r="G6635" s="51" t="str">
        <v>西堂 2022/12/03 (土)
休日午後</v>
      </c>
    </row>
    <row r="6636" spans="1:7" ht="16.149999999999999" x14ac:dyDescent="0.7">
      <c r="A6636" s="49">
        <v>44884.434617256949</v>
      </c>
      <c r="B6636" s="50" t="s">
        <v>200</v>
      </c>
      <c r="C6636" s="50" t="s">
        <v>574</v>
      </c>
      <c r="D6636" s="50" t="s">
        <v>263</v>
      </c>
      <c r="E6636" s="50">
        <v>0</v>
      </c>
      <c r="F6636" s="51">
        <v>0.2735389108322237</v>
      </c>
      <c r="G6636" s="51" t="str">
        <v>西堂 2022/12/04 (日)
休日午前</v>
      </c>
    </row>
    <row r="6637" spans="1:7" ht="16.149999999999999" x14ac:dyDescent="0.7">
      <c r="A6637" s="49">
        <v>44884.434617256949</v>
      </c>
      <c r="B6637" s="50" t="s">
        <v>200</v>
      </c>
      <c r="C6637" s="50" t="s">
        <v>575</v>
      </c>
      <c r="D6637" s="50" t="s">
        <v>261</v>
      </c>
      <c r="E6637" s="50">
        <v>0</v>
      </c>
      <c r="F6637" s="51">
        <v>0.59230154003992719</v>
      </c>
      <c r="G6637" s="51" t="str">
        <v>西堂 2022/12/04 (日)
休日午後</v>
      </c>
    </row>
    <row r="6638" spans="1:7" ht="16.149999999999999" x14ac:dyDescent="0.7">
      <c r="A6638" s="49">
        <v>44884.434617256949</v>
      </c>
      <c r="B6638" s="50" t="s">
        <v>200</v>
      </c>
      <c r="C6638" s="50" t="s">
        <v>576</v>
      </c>
      <c r="D6638" s="50" t="s">
        <v>259</v>
      </c>
      <c r="E6638" s="50">
        <v>0</v>
      </c>
      <c r="F6638" s="51">
        <v>0.44479282222560834</v>
      </c>
      <c r="G6638" s="51" t="str">
        <v>西堂 2022/12/05 (月)
平日夜間</v>
      </c>
    </row>
    <row r="6639" spans="1:7" ht="16.149999999999999" x14ac:dyDescent="0.7">
      <c r="A6639" s="49">
        <v>44884.434617256949</v>
      </c>
      <c r="B6639" s="50" t="s">
        <v>200</v>
      </c>
      <c r="C6639" s="50" t="s">
        <v>577</v>
      </c>
      <c r="D6639" s="50" t="s">
        <v>259</v>
      </c>
      <c r="E6639" s="50">
        <v>0</v>
      </c>
      <c r="F6639" s="51">
        <v>2.9963240884594233E-2</v>
      </c>
      <c r="G6639" s="51" t="str">
        <v>西堂 2022/12/06 (火)
平日夜間</v>
      </c>
    </row>
    <row r="6640" spans="1:7" ht="16.149999999999999" x14ac:dyDescent="0.7">
      <c r="A6640" s="49">
        <v>44884.434617256949</v>
      </c>
      <c r="B6640" s="50" t="s">
        <v>200</v>
      </c>
      <c r="C6640" s="50" t="s">
        <v>578</v>
      </c>
      <c r="D6640" s="50" t="s">
        <v>259</v>
      </c>
      <c r="E6640" s="50">
        <v>0</v>
      </c>
      <c r="F6640" s="51">
        <v>0.62254237065018292</v>
      </c>
      <c r="G6640" s="51" t="str">
        <v>西堂 2022/12/07 (水)
平日夜間</v>
      </c>
    </row>
    <row r="6641" spans="1:7" ht="16.149999999999999" x14ac:dyDescent="0.7">
      <c r="A6641" s="49">
        <v>44884.434617256949</v>
      </c>
      <c r="B6641" s="50" t="s">
        <v>200</v>
      </c>
      <c r="C6641" s="50" t="s">
        <v>579</v>
      </c>
      <c r="D6641" s="50" t="s">
        <v>259</v>
      </c>
      <c r="E6641" s="50">
        <v>0</v>
      </c>
      <c r="F6641" s="51">
        <v>0.36196062171890553</v>
      </c>
      <c r="G6641" s="51" t="str">
        <v>西堂 2022/12/08 (木)
平日夜間</v>
      </c>
    </row>
    <row r="6642" spans="1:7" ht="16.149999999999999" x14ac:dyDescent="0.7">
      <c r="A6642" s="49">
        <v>44884.434617256949</v>
      </c>
      <c r="B6642" s="50" t="s">
        <v>200</v>
      </c>
      <c r="C6642" s="50" t="s">
        <v>580</v>
      </c>
      <c r="D6642" s="50" t="s">
        <v>259</v>
      </c>
      <c r="E6642" s="50">
        <v>-1</v>
      </c>
      <c r="F6642" s="51">
        <v>-0.81180120080132445</v>
      </c>
      <c r="G6642" s="51" t="str">
        <v>西堂 2022/12/09 (金)
平日夜間</v>
      </c>
    </row>
    <row r="6643" spans="1:7" ht="16.149999999999999" x14ac:dyDescent="0.7">
      <c r="A6643" s="49">
        <v>44884.434617256949</v>
      </c>
      <c r="B6643" s="50" t="s">
        <v>200</v>
      </c>
      <c r="C6643" s="50" t="s">
        <v>581</v>
      </c>
      <c r="D6643" s="50" t="s">
        <v>263</v>
      </c>
      <c r="E6643" s="50">
        <v>-1</v>
      </c>
      <c r="F6643" s="51">
        <v>-0.87283023631109757</v>
      </c>
      <c r="G6643" s="51" t="str">
        <v>西堂 2022/12/10 (土)
休日午前</v>
      </c>
    </row>
    <row r="6644" spans="1:7" ht="16.149999999999999" x14ac:dyDescent="0.7">
      <c r="A6644" s="49">
        <v>44884.434617256949</v>
      </c>
      <c r="B6644" s="50" t="s">
        <v>200</v>
      </c>
      <c r="C6644" s="50" t="s">
        <v>582</v>
      </c>
      <c r="D6644" s="50" t="s">
        <v>261</v>
      </c>
      <c r="E6644" s="50">
        <v>-1</v>
      </c>
      <c r="F6644" s="51">
        <v>-0.93285059855539654</v>
      </c>
      <c r="G6644" s="51" t="str">
        <v>西堂 2022/12/10 (土)
休日午後</v>
      </c>
    </row>
    <row r="6645" spans="1:7" ht="16.149999999999999" x14ac:dyDescent="0.7">
      <c r="A6645" s="49">
        <v>44884.434617256949</v>
      </c>
      <c r="B6645" s="50" t="s">
        <v>200</v>
      </c>
      <c r="C6645" s="50" t="s">
        <v>583</v>
      </c>
      <c r="D6645" s="50" t="s">
        <v>263</v>
      </c>
      <c r="E6645" s="50">
        <v>0</v>
      </c>
      <c r="F6645" s="51">
        <v>0.59985168659749677</v>
      </c>
      <c r="G6645" s="51" t="str">
        <v>西堂 2022/12/11 (日)
休日午前</v>
      </c>
    </row>
    <row r="6646" spans="1:7" ht="16.149999999999999" x14ac:dyDescent="0.7">
      <c r="A6646" s="49">
        <v>44884.434617256949</v>
      </c>
      <c r="B6646" s="50" t="s">
        <v>200</v>
      </c>
      <c r="C6646" s="50" t="s">
        <v>584</v>
      </c>
      <c r="D6646" s="50" t="s">
        <v>261</v>
      </c>
      <c r="E6646" s="50">
        <v>0</v>
      </c>
      <c r="F6646" s="51">
        <v>0.27946267240222289</v>
      </c>
      <c r="G6646" s="51" t="str">
        <v>西堂 2022/12/11 (日)
休日午後</v>
      </c>
    </row>
    <row r="6647" spans="1:7" ht="16.149999999999999" x14ac:dyDescent="0.7">
      <c r="A6647" s="49">
        <v>44884.434617256949</v>
      </c>
      <c r="B6647" s="50" t="s">
        <v>200</v>
      </c>
      <c r="C6647" s="50" t="s">
        <v>585</v>
      </c>
      <c r="D6647" s="50" t="s">
        <v>259</v>
      </c>
      <c r="E6647" s="50">
        <v>0</v>
      </c>
      <c r="F6647" s="51">
        <v>0.5754135014924433</v>
      </c>
      <c r="G6647" s="51" t="str">
        <v>西堂 2022/12/12 (月)
平日夜間</v>
      </c>
    </row>
    <row r="6648" spans="1:7" ht="16.149999999999999" x14ac:dyDescent="0.7">
      <c r="A6648" s="49">
        <v>44884.434617256949</v>
      </c>
      <c r="B6648" s="50" t="s">
        <v>200</v>
      </c>
      <c r="C6648" s="50" t="s">
        <v>586</v>
      </c>
      <c r="D6648" s="50" t="s">
        <v>259</v>
      </c>
      <c r="E6648" s="50">
        <v>0</v>
      </c>
      <c r="F6648" s="51">
        <v>6.1503512541626559E-2</v>
      </c>
      <c r="G6648" s="51" t="str">
        <v>西堂 2022/12/13 (火)
平日夜間</v>
      </c>
    </row>
    <row r="6649" spans="1:7" ht="16.149999999999999" x14ac:dyDescent="0.7">
      <c r="A6649" s="49">
        <v>44884.434617256949</v>
      </c>
      <c r="B6649" s="50" t="s">
        <v>200</v>
      </c>
      <c r="C6649" s="50" t="s">
        <v>587</v>
      </c>
      <c r="D6649" s="50" t="s">
        <v>259</v>
      </c>
      <c r="E6649" s="50">
        <v>0</v>
      </c>
      <c r="F6649" s="51">
        <v>5.9961626148083536E-2</v>
      </c>
      <c r="G6649" s="51" t="str">
        <v>西堂 2022/12/14 (水)
平日夜間</v>
      </c>
    </row>
    <row r="6650" spans="1:7" ht="16.149999999999999" x14ac:dyDescent="0.7">
      <c r="A6650" s="49">
        <v>44884.434617256949</v>
      </c>
      <c r="B6650" s="50" t="s">
        <v>200</v>
      </c>
      <c r="C6650" s="50" t="s">
        <v>588</v>
      </c>
      <c r="D6650" s="50" t="s">
        <v>259</v>
      </c>
      <c r="E6650" s="50">
        <v>0</v>
      </c>
      <c r="F6650" s="51">
        <v>0.37175779035271961</v>
      </c>
      <c r="G6650" s="51" t="str">
        <v>西堂 2022/12/15 (木)
平日夜間</v>
      </c>
    </row>
    <row r="6651" spans="1:7" ht="16.149999999999999" x14ac:dyDescent="0.7">
      <c r="A6651" s="49">
        <v>44884.434617256949</v>
      </c>
      <c r="B6651" s="50" t="s">
        <v>200</v>
      </c>
      <c r="C6651" s="50" t="s">
        <v>589</v>
      </c>
      <c r="D6651" s="50" t="s">
        <v>259</v>
      </c>
      <c r="E6651" s="50">
        <v>0</v>
      </c>
      <c r="F6651" s="51">
        <v>9.1267738111776131E-2</v>
      </c>
      <c r="G6651" s="51" t="str">
        <v>西堂 2022/12/16 (金)
平日夜間</v>
      </c>
    </row>
    <row r="6652" spans="1:7" ht="16.149999999999999" x14ac:dyDescent="0.7">
      <c r="A6652" s="49">
        <v>44884.434617256949</v>
      </c>
      <c r="B6652" s="50" t="s">
        <v>200</v>
      </c>
      <c r="C6652" s="50" t="s">
        <v>590</v>
      </c>
      <c r="D6652" s="50" t="s">
        <v>263</v>
      </c>
      <c r="E6652" s="50">
        <v>0</v>
      </c>
      <c r="F6652" s="51">
        <v>0.22270684757247428</v>
      </c>
      <c r="G6652" s="51" t="str">
        <v>西堂 2022/12/17 (土)
休日午前</v>
      </c>
    </row>
    <row r="6653" spans="1:7" ht="16.149999999999999" x14ac:dyDescent="0.7">
      <c r="A6653" s="49">
        <v>44884.434617256949</v>
      </c>
      <c r="B6653" s="50" t="s">
        <v>200</v>
      </c>
      <c r="C6653" s="50" t="s">
        <v>591</v>
      </c>
      <c r="D6653" s="50" t="s">
        <v>261</v>
      </c>
      <c r="E6653" s="50">
        <v>0</v>
      </c>
      <c r="F6653" s="51">
        <v>0.82647454636344753</v>
      </c>
      <c r="G6653" s="51" t="str">
        <v>西堂 2022/12/17 (土)
休日午後</v>
      </c>
    </row>
    <row r="6654" spans="1:7" ht="16.149999999999999" x14ac:dyDescent="0.7">
      <c r="A6654" s="49">
        <v>44884.434617256949</v>
      </c>
      <c r="B6654" s="50" t="s">
        <v>200</v>
      </c>
      <c r="C6654" s="50" t="s">
        <v>592</v>
      </c>
      <c r="D6654" s="50" t="s">
        <v>263</v>
      </c>
      <c r="E6654" s="50">
        <v>-1</v>
      </c>
      <c r="F6654" s="51">
        <v>-0.90752494463866928</v>
      </c>
      <c r="G6654" s="51" t="str">
        <v>西堂 2022/12/18 (日)
休日午前</v>
      </c>
    </row>
    <row r="6655" spans="1:7" ht="16.149999999999999" x14ac:dyDescent="0.7">
      <c r="A6655" s="49">
        <v>44884.434617256949</v>
      </c>
      <c r="B6655" s="50" t="s">
        <v>200</v>
      </c>
      <c r="C6655" s="50" t="s">
        <v>593</v>
      </c>
      <c r="D6655" s="50" t="s">
        <v>261</v>
      </c>
      <c r="E6655" s="50">
        <v>-1</v>
      </c>
      <c r="F6655" s="51">
        <v>-0.7508573550875759</v>
      </c>
      <c r="G6655" s="51" t="str">
        <v>西堂 2022/12/18 (日)
休日午後</v>
      </c>
    </row>
    <row r="6656" spans="1:7" ht="16.149999999999999" x14ac:dyDescent="0.7">
      <c r="A6656" s="49">
        <v>44884.434617256949</v>
      </c>
      <c r="B6656" s="50" t="s">
        <v>200</v>
      </c>
      <c r="C6656" s="50" t="s">
        <v>594</v>
      </c>
      <c r="D6656" s="50" t="s">
        <v>259</v>
      </c>
      <c r="E6656" s="50">
        <v>0</v>
      </c>
      <c r="F6656" s="51">
        <v>2.8470944693905764E-3</v>
      </c>
      <c r="G6656" s="51" t="str">
        <v>西堂 2022/12/19 (月)
平日夜間</v>
      </c>
    </row>
    <row r="6657" spans="1:7" ht="16.149999999999999" x14ac:dyDescent="0.7">
      <c r="A6657" s="49">
        <v>44884.434617256949</v>
      </c>
      <c r="B6657" s="50" t="s">
        <v>200</v>
      </c>
      <c r="C6657" s="50" t="s">
        <v>595</v>
      </c>
      <c r="D6657" s="50" t="s">
        <v>259</v>
      </c>
      <c r="E6657" s="50">
        <v>0</v>
      </c>
      <c r="F6657" s="51">
        <v>0.53507086240120882</v>
      </c>
      <c r="G6657" s="51" t="str">
        <v>西堂 2022/12/20 (火)
平日夜間</v>
      </c>
    </row>
    <row r="6658" spans="1:7" ht="16.149999999999999" x14ac:dyDescent="0.7">
      <c r="A6658" s="49">
        <v>44884.434617256949</v>
      </c>
      <c r="B6658" s="50" t="s">
        <v>200</v>
      </c>
      <c r="C6658" s="50" t="s">
        <v>596</v>
      </c>
      <c r="D6658" s="50" t="s">
        <v>259</v>
      </c>
      <c r="E6658" s="50">
        <v>0</v>
      </c>
      <c r="F6658" s="51">
        <v>0.44233584100651613</v>
      </c>
      <c r="G6658" s="51" t="str">
        <v>西堂 2022/12/21 (水)
平日夜間</v>
      </c>
    </row>
    <row r="6659" spans="1:7" ht="16.149999999999999" x14ac:dyDescent="0.7">
      <c r="A6659" s="49">
        <v>44884.434617256949</v>
      </c>
      <c r="B6659" s="50" t="s">
        <v>200</v>
      </c>
      <c r="C6659" s="50" t="s">
        <v>597</v>
      </c>
      <c r="D6659" s="50" t="s">
        <v>259</v>
      </c>
      <c r="E6659" s="50">
        <v>0</v>
      </c>
      <c r="F6659" s="51">
        <v>0.95031035435654898</v>
      </c>
      <c r="G6659" s="51" t="str">
        <v>西堂 2022/12/22 (木)
平日夜間</v>
      </c>
    </row>
    <row r="6660" spans="1:7" ht="16.149999999999999" x14ac:dyDescent="0.7">
      <c r="A6660" s="49">
        <v>44884.434617256949</v>
      </c>
      <c r="B6660" s="50" t="s">
        <v>200</v>
      </c>
      <c r="C6660" s="50" t="s">
        <v>598</v>
      </c>
      <c r="D6660" s="50" t="s">
        <v>259</v>
      </c>
      <c r="E6660" s="50">
        <v>0</v>
      </c>
      <c r="F6660" s="51">
        <v>0.85919265149127222</v>
      </c>
      <c r="G6660" s="51" t="str">
        <v>西堂 2022/12/23 (金)
平日夜間</v>
      </c>
    </row>
    <row r="6661" spans="1:7" ht="16.149999999999999" x14ac:dyDescent="0.7">
      <c r="A6661" s="49">
        <v>44884.434617256949</v>
      </c>
      <c r="B6661" s="50" t="s">
        <v>200</v>
      </c>
      <c r="C6661" s="50" t="s">
        <v>599</v>
      </c>
      <c r="D6661" s="50" t="s">
        <v>263</v>
      </c>
      <c r="E6661" s="50">
        <v>0</v>
      </c>
      <c r="F6661" s="51">
        <v>0.70013756843336217</v>
      </c>
      <c r="G6661" s="51" t="str">
        <v>西堂 2022/12/24 (土)
休日午前</v>
      </c>
    </row>
    <row r="6662" spans="1:7" ht="16.149999999999999" x14ac:dyDescent="0.7">
      <c r="A6662" s="49">
        <v>44884.434617256949</v>
      </c>
      <c r="B6662" s="50" t="s">
        <v>200</v>
      </c>
      <c r="C6662" s="50" t="s">
        <v>600</v>
      </c>
      <c r="D6662" s="50" t="s">
        <v>261</v>
      </c>
      <c r="E6662" s="50">
        <v>0</v>
      </c>
      <c r="F6662" s="51">
        <v>0.69206545962376587</v>
      </c>
      <c r="G6662" s="51" t="str">
        <v>西堂 2022/12/24 (土)
休日午後</v>
      </c>
    </row>
    <row r="6663" spans="1:7" ht="16.149999999999999" x14ac:dyDescent="0.7">
      <c r="A6663" s="49">
        <v>44884.434617256949</v>
      </c>
      <c r="B6663" s="50" t="s">
        <v>200</v>
      </c>
      <c r="C6663" s="50" t="s">
        <v>601</v>
      </c>
      <c r="D6663" s="50" t="s">
        <v>263</v>
      </c>
      <c r="E6663" s="50">
        <v>0</v>
      </c>
      <c r="F6663" s="51">
        <v>0.28946033495065526</v>
      </c>
      <c r="G6663" s="51" t="str">
        <v>西堂 2022/12/25 (日)
休日午前</v>
      </c>
    </row>
    <row r="6664" spans="1:7" ht="16.149999999999999" x14ac:dyDescent="0.7">
      <c r="A6664" s="49">
        <v>44884.434617256949</v>
      </c>
      <c r="B6664" s="50" t="s">
        <v>200</v>
      </c>
      <c r="C6664" s="50" t="s">
        <v>602</v>
      </c>
      <c r="D6664" s="50" t="s">
        <v>261</v>
      </c>
      <c r="E6664" s="50">
        <v>-1</v>
      </c>
      <c r="F6664" s="51">
        <v>-0.88146783159524933</v>
      </c>
      <c r="G6664" s="51" t="str">
        <v>西堂 2022/12/25 (日)
休日午後</v>
      </c>
    </row>
    <row r="6665" spans="1:7" ht="16.149999999999999" x14ac:dyDescent="0.7">
      <c r="A6665" s="49">
        <v>44884.434617256949</v>
      </c>
      <c r="B6665" s="50" t="s">
        <v>200</v>
      </c>
      <c r="C6665" s="50" t="s">
        <v>603</v>
      </c>
      <c r="D6665" s="50" t="s">
        <v>259</v>
      </c>
      <c r="E6665" s="50">
        <v>-1</v>
      </c>
      <c r="F6665" s="51">
        <v>-0.28324605373375733</v>
      </c>
      <c r="G6665" s="51" t="str">
        <v>西堂 2022/12/26 (月)
平日夜間</v>
      </c>
    </row>
    <row r="6666" spans="1:7" ht="16.149999999999999" x14ac:dyDescent="0.7">
      <c r="A6666" s="49">
        <v>44884.434617256949</v>
      </c>
      <c r="B6666" s="50" t="s">
        <v>200</v>
      </c>
      <c r="C6666" s="50" t="s">
        <v>604</v>
      </c>
      <c r="D6666" s="50" t="s">
        <v>259</v>
      </c>
      <c r="E6666" s="50">
        <v>0</v>
      </c>
      <c r="F6666" s="51">
        <v>0.59412231353964851</v>
      </c>
      <c r="G6666" s="51" t="str">
        <v>西堂 2022/12/27 (火)
平日夜間</v>
      </c>
    </row>
    <row r="6667" spans="1:7" ht="16.149999999999999" x14ac:dyDescent="0.7">
      <c r="A6667" s="49">
        <v>44884.434617256949</v>
      </c>
      <c r="B6667" s="50" t="s">
        <v>200</v>
      </c>
      <c r="C6667" s="50" t="s">
        <v>605</v>
      </c>
      <c r="D6667" s="50" t="s">
        <v>259</v>
      </c>
      <c r="E6667" s="50">
        <v>0</v>
      </c>
      <c r="F6667" s="51">
        <v>0.44315461725598859</v>
      </c>
      <c r="G6667" s="51" t="str">
        <v>西堂 2022/12/28 (水)
平日夜間</v>
      </c>
    </row>
    <row r="6668" spans="1:7" ht="16.149999999999999" x14ac:dyDescent="0.7">
      <c r="A6668" s="49">
        <v>44884.441864340275</v>
      </c>
      <c r="B6668" s="50" t="s">
        <v>16</v>
      </c>
      <c r="C6668" s="50" t="s">
        <v>570</v>
      </c>
      <c r="D6668" s="50" t="s">
        <v>259</v>
      </c>
      <c r="E6668" s="50">
        <v>0</v>
      </c>
      <c r="F6668" s="51">
        <v>0.73882813320878959</v>
      </c>
      <c r="G6668" s="51" t="str">
        <v>吉田 2022/12/01 (木)
平日夜間</v>
      </c>
    </row>
    <row r="6669" spans="1:7" ht="16.149999999999999" x14ac:dyDescent="0.7">
      <c r="A6669" s="49">
        <v>44884.441864340275</v>
      </c>
      <c r="B6669" s="50" t="s">
        <v>16</v>
      </c>
      <c r="C6669" s="50" t="s">
        <v>571</v>
      </c>
      <c r="D6669" s="50" t="s">
        <v>259</v>
      </c>
      <c r="E6669" s="50">
        <v>0</v>
      </c>
      <c r="F6669" s="51">
        <v>0.1890365830102485</v>
      </c>
      <c r="G6669" s="51" t="str">
        <v>吉田 2022/12/02 (金)
平日夜間</v>
      </c>
    </row>
    <row r="6670" spans="1:7" ht="16.149999999999999" x14ac:dyDescent="0.7">
      <c r="A6670" s="49">
        <v>44884.441864340275</v>
      </c>
      <c r="B6670" s="50" t="s">
        <v>16</v>
      </c>
      <c r="C6670" s="50" t="s">
        <v>572</v>
      </c>
      <c r="D6670" s="50" t="s">
        <v>263</v>
      </c>
      <c r="E6670" s="50">
        <v>0</v>
      </c>
      <c r="F6670" s="51">
        <v>0.84344641616047955</v>
      </c>
      <c r="G6670" s="51" t="str">
        <v>吉田 2022/12/03 (土)
休日午前</v>
      </c>
    </row>
    <row r="6671" spans="1:7" ht="16.149999999999999" x14ac:dyDescent="0.7">
      <c r="A6671" s="49">
        <v>44884.441864340275</v>
      </c>
      <c r="B6671" s="50" t="s">
        <v>16</v>
      </c>
      <c r="C6671" s="50" t="s">
        <v>573</v>
      </c>
      <c r="D6671" s="50" t="s">
        <v>261</v>
      </c>
      <c r="E6671" s="50">
        <v>0</v>
      </c>
      <c r="F6671" s="51">
        <v>0.73103634858472621</v>
      </c>
      <c r="G6671" s="51" t="str">
        <v>吉田 2022/12/03 (土)
休日午後</v>
      </c>
    </row>
    <row r="6672" spans="1:7" ht="16.149999999999999" x14ac:dyDescent="0.7">
      <c r="A6672" s="49">
        <v>44884.441864340275</v>
      </c>
      <c r="B6672" s="50" t="s">
        <v>16</v>
      </c>
      <c r="C6672" s="50" t="s">
        <v>574</v>
      </c>
      <c r="D6672" s="50" t="s">
        <v>263</v>
      </c>
      <c r="E6672" s="50">
        <v>0</v>
      </c>
      <c r="F6672" s="51">
        <v>0.78170736359043524</v>
      </c>
      <c r="G6672" s="51" t="str">
        <v>吉田 2022/12/04 (日)
休日午前</v>
      </c>
    </row>
    <row r="6673" spans="1:7" ht="16.149999999999999" x14ac:dyDescent="0.7">
      <c r="A6673" s="49">
        <v>44884.441864340275</v>
      </c>
      <c r="B6673" s="50" t="s">
        <v>16</v>
      </c>
      <c r="C6673" s="50" t="s">
        <v>575</v>
      </c>
      <c r="D6673" s="50" t="s">
        <v>261</v>
      </c>
      <c r="E6673" s="50">
        <v>0</v>
      </c>
      <c r="F6673" s="51">
        <v>0.66677985784718818</v>
      </c>
      <c r="G6673" s="51" t="str">
        <v>吉田 2022/12/04 (日)
休日午後</v>
      </c>
    </row>
    <row r="6674" spans="1:7" ht="16.149999999999999" x14ac:dyDescent="0.7">
      <c r="A6674" s="49">
        <v>44884.441864340275</v>
      </c>
      <c r="B6674" s="50" t="s">
        <v>16</v>
      </c>
      <c r="C6674" s="50" t="s">
        <v>576</v>
      </c>
      <c r="D6674" s="50" t="s">
        <v>259</v>
      </c>
      <c r="E6674" s="50">
        <v>0</v>
      </c>
      <c r="F6674" s="51">
        <v>0.45539463601633412</v>
      </c>
      <c r="G6674" s="51" t="str">
        <v>吉田 2022/12/05 (月)
平日夜間</v>
      </c>
    </row>
    <row r="6675" spans="1:7" ht="16.149999999999999" x14ac:dyDescent="0.7">
      <c r="A6675" s="49">
        <v>44884.441864340275</v>
      </c>
      <c r="B6675" s="50" t="s">
        <v>16</v>
      </c>
      <c r="C6675" s="50" t="s">
        <v>577</v>
      </c>
      <c r="D6675" s="50" t="s">
        <v>259</v>
      </c>
      <c r="E6675" s="50">
        <v>0</v>
      </c>
      <c r="F6675" s="51">
        <v>0.45298691737155949</v>
      </c>
      <c r="G6675" s="51" t="str">
        <v>吉田 2022/12/06 (火)
平日夜間</v>
      </c>
    </row>
    <row r="6676" spans="1:7" ht="16.149999999999999" x14ac:dyDescent="0.7">
      <c r="A6676" s="49">
        <v>44884.441864340275</v>
      </c>
      <c r="B6676" s="50" t="s">
        <v>16</v>
      </c>
      <c r="C6676" s="50" t="s">
        <v>578</v>
      </c>
      <c r="D6676" s="50" t="s">
        <v>259</v>
      </c>
      <c r="E6676" s="50">
        <v>0</v>
      </c>
      <c r="F6676" s="51">
        <v>0.18297113930291098</v>
      </c>
      <c r="G6676" s="51" t="str">
        <v>吉田 2022/12/07 (水)
平日夜間</v>
      </c>
    </row>
    <row r="6677" spans="1:7" ht="16.149999999999999" x14ac:dyDescent="0.7">
      <c r="A6677" s="49">
        <v>44884.441864340275</v>
      </c>
      <c r="B6677" s="50" t="s">
        <v>16</v>
      </c>
      <c r="C6677" s="50" t="s">
        <v>579</v>
      </c>
      <c r="D6677" s="50" t="s">
        <v>259</v>
      </c>
      <c r="E6677" s="50">
        <v>-1</v>
      </c>
      <c r="F6677" s="51">
        <v>-0.62035903517646385</v>
      </c>
      <c r="G6677" s="51" t="str">
        <v>吉田 2022/12/08 (木)
平日夜間</v>
      </c>
    </row>
    <row r="6678" spans="1:7" ht="16.149999999999999" x14ac:dyDescent="0.7">
      <c r="A6678" s="49">
        <v>44884.441864340275</v>
      </c>
      <c r="B6678" s="50" t="s">
        <v>16</v>
      </c>
      <c r="C6678" s="50" t="s">
        <v>580</v>
      </c>
      <c r="D6678" s="50" t="s">
        <v>259</v>
      </c>
      <c r="E6678" s="50">
        <v>-1</v>
      </c>
      <c r="F6678" s="51">
        <v>-0.58255086595680772</v>
      </c>
      <c r="G6678" s="51" t="str">
        <v>吉田 2022/12/09 (金)
平日夜間</v>
      </c>
    </row>
    <row r="6679" spans="1:7" ht="16.149999999999999" x14ac:dyDescent="0.7">
      <c r="A6679" s="49">
        <v>44884.441864340275</v>
      </c>
      <c r="B6679" s="50" t="s">
        <v>16</v>
      </c>
      <c r="C6679" s="50" t="s">
        <v>581</v>
      </c>
      <c r="D6679" s="50" t="s">
        <v>263</v>
      </c>
      <c r="E6679" s="50">
        <v>-1</v>
      </c>
      <c r="F6679" s="51">
        <v>-0.80519005926406595</v>
      </c>
      <c r="G6679" s="51" t="str">
        <v>吉田 2022/12/10 (土)
休日午前</v>
      </c>
    </row>
    <row r="6680" spans="1:7" ht="16.149999999999999" x14ac:dyDescent="0.7">
      <c r="A6680" s="49">
        <v>44884.441864340275</v>
      </c>
      <c r="B6680" s="50" t="s">
        <v>16</v>
      </c>
      <c r="C6680" s="50" t="s">
        <v>582</v>
      </c>
      <c r="D6680" s="50" t="s">
        <v>261</v>
      </c>
      <c r="E6680" s="50">
        <v>-1</v>
      </c>
      <c r="F6680" s="51">
        <v>-4.0931620388968026E-2</v>
      </c>
      <c r="G6680" s="51" t="str">
        <v>吉田 2022/12/10 (土)
休日午後</v>
      </c>
    </row>
    <row r="6681" spans="1:7" ht="16.149999999999999" x14ac:dyDescent="0.7">
      <c r="A6681" s="49">
        <v>44884.441864340275</v>
      </c>
      <c r="B6681" s="50" t="s">
        <v>16</v>
      </c>
      <c r="C6681" s="50" t="s">
        <v>583</v>
      </c>
      <c r="D6681" s="50" t="s">
        <v>263</v>
      </c>
      <c r="E6681" s="50">
        <v>-1</v>
      </c>
      <c r="F6681" s="51">
        <v>-0.24415957688289902</v>
      </c>
      <c r="G6681" s="51" t="str">
        <v>吉田 2022/12/11 (日)
休日午前</v>
      </c>
    </row>
    <row r="6682" spans="1:7" ht="16.149999999999999" x14ac:dyDescent="0.7">
      <c r="A6682" s="49">
        <v>44884.441864340275</v>
      </c>
      <c r="B6682" s="50" t="s">
        <v>16</v>
      </c>
      <c r="C6682" s="50" t="s">
        <v>584</v>
      </c>
      <c r="D6682" s="50" t="s">
        <v>261</v>
      </c>
      <c r="E6682" s="50">
        <v>-1</v>
      </c>
      <c r="F6682" s="51">
        <v>-0.87048386509444819</v>
      </c>
      <c r="G6682" s="51" t="str">
        <v>吉田 2022/12/11 (日)
休日午後</v>
      </c>
    </row>
    <row r="6683" spans="1:7" ht="16.149999999999999" x14ac:dyDescent="0.7">
      <c r="A6683" s="49">
        <v>44884.441864340275</v>
      </c>
      <c r="B6683" s="50" t="s">
        <v>16</v>
      </c>
      <c r="C6683" s="50" t="s">
        <v>585</v>
      </c>
      <c r="D6683" s="50" t="s">
        <v>259</v>
      </c>
      <c r="E6683" s="50">
        <v>0</v>
      </c>
      <c r="F6683" s="51">
        <v>0.76092745484025848</v>
      </c>
      <c r="G6683" s="51" t="str">
        <v>吉田 2022/12/12 (月)
平日夜間</v>
      </c>
    </row>
    <row r="6684" spans="1:7" ht="16.149999999999999" x14ac:dyDescent="0.7">
      <c r="A6684" s="49">
        <v>44884.441864340275</v>
      </c>
      <c r="B6684" s="50" t="s">
        <v>16</v>
      </c>
      <c r="C6684" s="50" t="s">
        <v>586</v>
      </c>
      <c r="D6684" s="50" t="s">
        <v>259</v>
      </c>
      <c r="E6684" s="50">
        <v>0</v>
      </c>
      <c r="F6684" s="51">
        <v>0.70348433776985786</v>
      </c>
      <c r="G6684" s="51" t="str">
        <v>吉田 2022/12/13 (火)
平日夜間</v>
      </c>
    </row>
    <row r="6685" spans="1:7" ht="16.149999999999999" x14ac:dyDescent="0.7">
      <c r="A6685" s="49">
        <v>44884.441864340275</v>
      </c>
      <c r="B6685" s="50" t="s">
        <v>16</v>
      </c>
      <c r="C6685" s="50" t="s">
        <v>587</v>
      </c>
      <c r="D6685" s="50" t="s">
        <v>259</v>
      </c>
      <c r="E6685" s="50">
        <v>-1</v>
      </c>
      <c r="F6685" s="51">
        <v>-0.46528959356996102</v>
      </c>
      <c r="G6685" s="51" t="str">
        <v>吉田 2022/12/14 (水)
平日夜間</v>
      </c>
    </row>
    <row r="6686" spans="1:7" ht="16.149999999999999" x14ac:dyDescent="0.7">
      <c r="A6686" s="49">
        <v>44884.441864340275</v>
      </c>
      <c r="B6686" s="50" t="s">
        <v>16</v>
      </c>
      <c r="C6686" s="50" t="s">
        <v>588</v>
      </c>
      <c r="D6686" s="50" t="s">
        <v>259</v>
      </c>
      <c r="E6686" s="50">
        <v>0</v>
      </c>
      <c r="F6686" s="51">
        <v>4.9148224471873947E-2</v>
      </c>
      <c r="G6686" s="51" t="str">
        <v>吉田 2022/12/15 (木)
平日夜間</v>
      </c>
    </row>
    <row r="6687" spans="1:7" ht="16.149999999999999" x14ac:dyDescent="0.7">
      <c r="A6687" s="49">
        <v>44884.441864340275</v>
      </c>
      <c r="B6687" s="50" t="s">
        <v>16</v>
      </c>
      <c r="C6687" s="50" t="s">
        <v>589</v>
      </c>
      <c r="D6687" s="50" t="s">
        <v>259</v>
      </c>
      <c r="E6687" s="50">
        <v>0</v>
      </c>
      <c r="F6687" s="51">
        <v>0.98277968162629281</v>
      </c>
      <c r="G6687" s="51" t="str">
        <v>吉田 2022/12/16 (金)
平日夜間</v>
      </c>
    </row>
    <row r="6688" spans="1:7" ht="16.149999999999999" x14ac:dyDescent="0.7">
      <c r="A6688" s="49">
        <v>44884.441864340275</v>
      </c>
      <c r="B6688" s="50" t="s">
        <v>16</v>
      </c>
      <c r="C6688" s="50" t="s">
        <v>590</v>
      </c>
      <c r="D6688" s="50" t="s">
        <v>263</v>
      </c>
      <c r="E6688" s="50">
        <v>0</v>
      </c>
      <c r="F6688" s="51">
        <v>0.32435937414041693</v>
      </c>
      <c r="G6688" s="51" t="str">
        <v>吉田 2022/12/17 (土)
休日午前</v>
      </c>
    </row>
    <row r="6689" spans="1:7" ht="16.149999999999999" x14ac:dyDescent="0.7">
      <c r="A6689" s="49">
        <v>44884.441864340275</v>
      </c>
      <c r="B6689" s="50" t="s">
        <v>16</v>
      </c>
      <c r="C6689" s="50" t="s">
        <v>591</v>
      </c>
      <c r="D6689" s="50" t="s">
        <v>261</v>
      </c>
      <c r="E6689" s="50">
        <v>0</v>
      </c>
      <c r="F6689" s="51">
        <v>0.18756134463561724</v>
      </c>
      <c r="G6689" s="51" t="str">
        <v>吉田 2022/12/17 (土)
休日午後</v>
      </c>
    </row>
    <row r="6690" spans="1:7" ht="16.149999999999999" x14ac:dyDescent="0.7">
      <c r="A6690" s="49">
        <v>44884.441864340275</v>
      </c>
      <c r="B6690" s="50" t="s">
        <v>16</v>
      </c>
      <c r="C6690" s="50" t="s">
        <v>592</v>
      </c>
      <c r="D6690" s="50" t="s">
        <v>263</v>
      </c>
      <c r="E6690" s="50">
        <v>0</v>
      </c>
      <c r="F6690" s="51">
        <v>0.90413183181986034</v>
      </c>
      <c r="G6690" s="51" t="str">
        <v>吉田 2022/12/18 (日)
休日午前</v>
      </c>
    </row>
    <row r="6691" spans="1:7" ht="16.149999999999999" x14ac:dyDescent="0.7">
      <c r="A6691" s="49">
        <v>44884.441864340275</v>
      </c>
      <c r="B6691" s="50" t="s">
        <v>16</v>
      </c>
      <c r="C6691" s="50" t="s">
        <v>593</v>
      </c>
      <c r="D6691" s="50" t="s">
        <v>261</v>
      </c>
      <c r="E6691" s="50">
        <v>0</v>
      </c>
      <c r="F6691" s="51">
        <v>0.99857248776825647</v>
      </c>
      <c r="G6691" s="51" t="str">
        <v>吉田 2022/12/18 (日)
休日午後</v>
      </c>
    </row>
    <row r="6692" spans="1:7" ht="16.149999999999999" x14ac:dyDescent="0.7">
      <c r="A6692" s="49">
        <v>44884.441864340275</v>
      </c>
      <c r="B6692" s="50" t="s">
        <v>16</v>
      </c>
      <c r="C6692" s="50" t="s">
        <v>594</v>
      </c>
      <c r="D6692" s="50" t="s">
        <v>259</v>
      </c>
      <c r="E6692" s="50">
        <v>2</v>
      </c>
      <c r="F6692" s="51">
        <v>2.5650293270347371</v>
      </c>
      <c r="G6692" s="51" t="str">
        <v>吉田 2022/12/19 (月)
平日夜間</v>
      </c>
    </row>
    <row r="6693" spans="1:7" ht="16.149999999999999" x14ac:dyDescent="0.7">
      <c r="A6693" s="49">
        <v>44884.441864340275</v>
      </c>
      <c r="B6693" s="50" t="s">
        <v>16</v>
      </c>
      <c r="C6693" s="50" t="s">
        <v>595</v>
      </c>
      <c r="D6693" s="50" t="s">
        <v>259</v>
      </c>
      <c r="E6693" s="50">
        <v>-1</v>
      </c>
      <c r="F6693" s="51">
        <v>-0.99213940789081634</v>
      </c>
      <c r="G6693" s="51" t="str">
        <v>吉田 2022/12/20 (火)
平日夜間</v>
      </c>
    </row>
    <row r="6694" spans="1:7" ht="16.149999999999999" x14ac:dyDescent="0.7">
      <c r="A6694" s="49">
        <v>44884.441864340275</v>
      </c>
      <c r="B6694" s="50" t="s">
        <v>16</v>
      </c>
      <c r="C6694" s="50" t="s">
        <v>596</v>
      </c>
      <c r="D6694" s="50" t="s">
        <v>259</v>
      </c>
      <c r="E6694" s="50">
        <v>-1</v>
      </c>
      <c r="F6694" s="51">
        <v>-0.48268340957212752</v>
      </c>
      <c r="G6694" s="51" t="str">
        <v>吉田 2022/12/21 (水)
平日夜間</v>
      </c>
    </row>
    <row r="6695" spans="1:7" ht="16.149999999999999" x14ac:dyDescent="0.7">
      <c r="A6695" s="49">
        <v>44884.441864340275</v>
      </c>
      <c r="B6695" s="50" t="s">
        <v>16</v>
      </c>
      <c r="C6695" s="50" t="s">
        <v>597</v>
      </c>
      <c r="D6695" s="50" t="s">
        <v>259</v>
      </c>
      <c r="E6695" s="50">
        <v>0</v>
      </c>
      <c r="F6695" s="51">
        <v>0.98147648441899871</v>
      </c>
      <c r="G6695" s="51" t="str">
        <v>吉田 2022/12/22 (木)
平日夜間</v>
      </c>
    </row>
    <row r="6696" spans="1:7" ht="16.149999999999999" x14ac:dyDescent="0.7">
      <c r="A6696" s="49">
        <v>44884.441864340275</v>
      </c>
      <c r="B6696" s="50" t="s">
        <v>16</v>
      </c>
      <c r="C6696" s="50" t="s">
        <v>598</v>
      </c>
      <c r="D6696" s="50" t="s">
        <v>259</v>
      </c>
      <c r="E6696" s="50">
        <v>0</v>
      </c>
      <c r="F6696" s="51">
        <v>0.33249594746050914</v>
      </c>
      <c r="G6696" s="51" t="str">
        <v>吉田 2022/12/23 (金)
平日夜間</v>
      </c>
    </row>
    <row r="6697" spans="1:7" ht="16.149999999999999" x14ac:dyDescent="0.7">
      <c r="A6697" s="49">
        <v>44884.441864340275</v>
      </c>
      <c r="B6697" s="50" t="s">
        <v>16</v>
      </c>
      <c r="C6697" s="50" t="s">
        <v>599</v>
      </c>
      <c r="D6697" s="50" t="s">
        <v>263</v>
      </c>
      <c r="E6697" s="50">
        <v>0</v>
      </c>
      <c r="F6697" s="51">
        <v>0.57824972007806164</v>
      </c>
      <c r="G6697" s="51" t="str">
        <v>吉田 2022/12/24 (土)
休日午前</v>
      </c>
    </row>
    <row r="6698" spans="1:7" ht="16.149999999999999" x14ac:dyDescent="0.7">
      <c r="A6698" s="49">
        <v>44884.441864340275</v>
      </c>
      <c r="B6698" s="50" t="s">
        <v>16</v>
      </c>
      <c r="C6698" s="50" t="s">
        <v>600</v>
      </c>
      <c r="D6698" s="50" t="s">
        <v>261</v>
      </c>
      <c r="E6698" s="50">
        <v>0</v>
      </c>
      <c r="F6698" s="51">
        <v>0.99312248787372637</v>
      </c>
      <c r="G6698" s="51" t="str">
        <v>吉田 2022/12/24 (土)
休日午後</v>
      </c>
    </row>
    <row r="6699" spans="1:7" ht="16.149999999999999" x14ac:dyDescent="0.7">
      <c r="A6699" s="49">
        <v>44884.441864340275</v>
      </c>
      <c r="B6699" s="50" t="s">
        <v>16</v>
      </c>
      <c r="C6699" s="50" t="s">
        <v>601</v>
      </c>
      <c r="D6699" s="50" t="s">
        <v>263</v>
      </c>
      <c r="E6699" s="50">
        <v>0</v>
      </c>
      <c r="F6699" s="51">
        <v>0.91154903333171089</v>
      </c>
      <c r="G6699" s="51" t="str">
        <v>吉田 2022/12/25 (日)
休日午前</v>
      </c>
    </row>
    <row r="6700" spans="1:7" ht="16.149999999999999" x14ac:dyDescent="0.7">
      <c r="A6700" s="49">
        <v>44884.441864340275</v>
      </c>
      <c r="B6700" s="50" t="s">
        <v>16</v>
      </c>
      <c r="C6700" s="50" t="s">
        <v>602</v>
      </c>
      <c r="D6700" s="50" t="s">
        <v>261</v>
      </c>
      <c r="E6700" s="50">
        <v>0</v>
      </c>
      <c r="F6700" s="51">
        <v>0.28137545261087582</v>
      </c>
      <c r="G6700" s="51" t="str">
        <v>吉田 2022/12/25 (日)
休日午後</v>
      </c>
    </row>
    <row r="6701" spans="1:7" ht="16.149999999999999" x14ac:dyDescent="0.7">
      <c r="A6701" s="49">
        <v>44884.441864340275</v>
      </c>
      <c r="B6701" s="50" t="s">
        <v>16</v>
      </c>
      <c r="C6701" s="50" t="s">
        <v>603</v>
      </c>
      <c r="D6701" s="50" t="s">
        <v>259</v>
      </c>
      <c r="E6701" s="50">
        <v>0</v>
      </c>
      <c r="F6701" s="51">
        <v>0.91718689148534027</v>
      </c>
      <c r="G6701" s="51" t="str">
        <v>吉田 2022/12/26 (月)
平日夜間</v>
      </c>
    </row>
    <row r="6702" spans="1:7" ht="16.149999999999999" x14ac:dyDescent="0.7">
      <c r="A6702" s="49">
        <v>44884.441864340275</v>
      </c>
      <c r="B6702" s="50" t="s">
        <v>16</v>
      </c>
      <c r="C6702" s="50" t="s">
        <v>604</v>
      </c>
      <c r="D6702" s="50" t="s">
        <v>259</v>
      </c>
      <c r="E6702" s="50">
        <v>0</v>
      </c>
      <c r="F6702" s="51">
        <v>0.99323563114759694</v>
      </c>
      <c r="G6702" s="51" t="str">
        <v>吉田 2022/12/27 (火)
平日夜間</v>
      </c>
    </row>
    <row r="6703" spans="1:7" ht="16.149999999999999" x14ac:dyDescent="0.7">
      <c r="A6703" s="49">
        <v>44884.441864340275</v>
      </c>
      <c r="B6703" s="50" t="s">
        <v>16</v>
      </c>
      <c r="C6703" s="50" t="s">
        <v>605</v>
      </c>
      <c r="D6703" s="50" t="s">
        <v>259</v>
      </c>
      <c r="E6703" s="50">
        <v>0</v>
      </c>
      <c r="F6703" s="51">
        <v>0.66351017231446829</v>
      </c>
      <c r="G6703" s="51" t="str">
        <v>吉田 2022/12/28 (水)
平日夜間</v>
      </c>
    </row>
    <row r="6704" spans="1:7" ht="16.149999999999999" x14ac:dyDescent="0.7">
      <c r="A6704" s="49">
        <v>44884.449935092591</v>
      </c>
      <c r="B6704" s="50" t="s">
        <v>45</v>
      </c>
      <c r="C6704" s="50" t="s">
        <v>570</v>
      </c>
      <c r="D6704" s="50" t="s">
        <v>259</v>
      </c>
      <c r="E6704" s="50">
        <v>-1</v>
      </c>
      <c r="F6704" s="51">
        <v>-0.34439139147612896</v>
      </c>
      <c r="G6704" s="51" t="str">
        <v>松井 2022/12/01 (木)
平日夜間</v>
      </c>
    </row>
    <row r="6705" spans="1:7" ht="16.149999999999999" x14ac:dyDescent="0.7">
      <c r="A6705" s="49">
        <v>44884.449935092591</v>
      </c>
      <c r="B6705" s="50" t="s">
        <v>45</v>
      </c>
      <c r="C6705" s="50" t="s">
        <v>571</v>
      </c>
      <c r="D6705" s="50" t="s">
        <v>259</v>
      </c>
      <c r="E6705" s="50">
        <v>-1</v>
      </c>
      <c r="F6705" s="51">
        <v>-0.71112460105396202</v>
      </c>
      <c r="G6705" s="51" t="str">
        <v>松井 2022/12/02 (金)
平日夜間</v>
      </c>
    </row>
    <row r="6706" spans="1:7" ht="16.149999999999999" x14ac:dyDescent="0.7">
      <c r="A6706" s="49">
        <v>44884.449935092591</v>
      </c>
      <c r="B6706" s="50" t="s">
        <v>45</v>
      </c>
      <c r="C6706" s="50" t="s">
        <v>572</v>
      </c>
      <c r="D6706" s="50" t="s">
        <v>263</v>
      </c>
      <c r="E6706" s="50">
        <v>-1</v>
      </c>
      <c r="F6706" s="51">
        <v>-3.9135919947419717E-2</v>
      </c>
      <c r="G6706" s="51" t="str">
        <v>松井 2022/12/03 (土)
休日午前</v>
      </c>
    </row>
    <row r="6707" spans="1:7" ht="16.149999999999999" x14ac:dyDescent="0.7">
      <c r="A6707" s="49">
        <v>44884.449935092591</v>
      </c>
      <c r="B6707" s="50" t="s">
        <v>45</v>
      </c>
      <c r="C6707" s="50" t="s">
        <v>573</v>
      </c>
      <c r="D6707" s="50" t="s">
        <v>261</v>
      </c>
      <c r="E6707" s="50">
        <v>-1</v>
      </c>
      <c r="F6707" s="51">
        <v>-8.5025151167255952E-2</v>
      </c>
      <c r="G6707" s="51" t="str">
        <v>松井 2022/12/03 (土)
休日午後</v>
      </c>
    </row>
    <row r="6708" spans="1:7" ht="16.149999999999999" x14ac:dyDescent="0.7">
      <c r="A6708" s="49">
        <v>44884.449935092591</v>
      </c>
      <c r="B6708" s="50" t="s">
        <v>45</v>
      </c>
      <c r="C6708" s="50" t="s">
        <v>574</v>
      </c>
      <c r="D6708" s="50" t="s">
        <v>263</v>
      </c>
      <c r="E6708" s="50">
        <v>-1</v>
      </c>
      <c r="F6708" s="51">
        <v>-0.60596794117056385</v>
      </c>
      <c r="G6708" s="51" t="str">
        <v>松井 2022/12/04 (日)
休日午前</v>
      </c>
    </row>
    <row r="6709" spans="1:7" ht="16.149999999999999" x14ac:dyDescent="0.7">
      <c r="A6709" s="49">
        <v>44884.449935092591</v>
      </c>
      <c r="B6709" s="50" t="s">
        <v>45</v>
      </c>
      <c r="C6709" s="50" t="s">
        <v>575</v>
      </c>
      <c r="D6709" s="50" t="s">
        <v>261</v>
      </c>
      <c r="E6709" s="50">
        <v>-1</v>
      </c>
      <c r="F6709" s="51">
        <v>-0.71135678561358362</v>
      </c>
      <c r="G6709" s="51" t="str">
        <v>松井 2022/12/04 (日)
休日午後</v>
      </c>
    </row>
    <row r="6710" spans="1:7" ht="16.149999999999999" x14ac:dyDescent="0.7">
      <c r="A6710" s="49">
        <v>44884.449935092591</v>
      </c>
      <c r="B6710" s="50" t="s">
        <v>45</v>
      </c>
      <c r="C6710" s="50" t="s">
        <v>576</v>
      </c>
      <c r="D6710" s="50" t="s">
        <v>259</v>
      </c>
      <c r="E6710" s="50">
        <v>0</v>
      </c>
      <c r="F6710" s="51">
        <v>0.99767372867120452</v>
      </c>
      <c r="G6710" s="51" t="str">
        <v>松井 2022/12/05 (月)
平日夜間</v>
      </c>
    </row>
    <row r="6711" spans="1:7" ht="16.149999999999999" x14ac:dyDescent="0.7">
      <c r="A6711" s="49">
        <v>44884.449935092591</v>
      </c>
      <c r="B6711" s="50" t="s">
        <v>45</v>
      </c>
      <c r="C6711" s="50" t="s">
        <v>577</v>
      </c>
      <c r="D6711" s="50" t="s">
        <v>259</v>
      </c>
      <c r="E6711" s="50">
        <v>0</v>
      </c>
      <c r="F6711" s="51">
        <v>0.28832828965952229</v>
      </c>
      <c r="G6711" s="51" t="str">
        <v>松井 2022/12/06 (火)
平日夜間</v>
      </c>
    </row>
    <row r="6712" spans="1:7" ht="16.149999999999999" x14ac:dyDescent="0.7">
      <c r="A6712" s="49">
        <v>44884.449935092591</v>
      </c>
      <c r="B6712" s="50" t="s">
        <v>45</v>
      </c>
      <c r="C6712" s="50" t="s">
        <v>578</v>
      </c>
      <c r="D6712" s="50" t="s">
        <v>259</v>
      </c>
      <c r="E6712" s="50">
        <v>0</v>
      </c>
      <c r="F6712" s="51">
        <v>0.82256977457268343</v>
      </c>
      <c r="G6712" s="51" t="str">
        <v>松井 2022/12/07 (水)
平日夜間</v>
      </c>
    </row>
    <row r="6713" spans="1:7" ht="16.149999999999999" x14ac:dyDescent="0.7">
      <c r="A6713" s="49">
        <v>44884.449935092591</v>
      </c>
      <c r="B6713" s="50" t="s">
        <v>45</v>
      </c>
      <c r="C6713" s="50" t="s">
        <v>579</v>
      </c>
      <c r="D6713" s="50" t="s">
        <v>259</v>
      </c>
      <c r="E6713" s="50">
        <v>0</v>
      </c>
      <c r="F6713" s="51">
        <v>7.7003423550633832E-2</v>
      </c>
      <c r="G6713" s="51" t="str">
        <v>松井 2022/12/08 (木)
平日夜間</v>
      </c>
    </row>
    <row r="6714" spans="1:7" ht="16.149999999999999" x14ac:dyDescent="0.7">
      <c r="A6714" s="49">
        <v>44884.449935092591</v>
      </c>
      <c r="B6714" s="50" t="s">
        <v>45</v>
      </c>
      <c r="C6714" s="50" t="s">
        <v>580</v>
      </c>
      <c r="D6714" s="50" t="s">
        <v>259</v>
      </c>
      <c r="E6714" s="50">
        <v>0</v>
      </c>
      <c r="F6714" s="51">
        <v>0.33589644210722991</v>
      </c>
      <c r="G6714" s="51" t="str">
        <v>松井 2022/12/09 (金)
平日夜間</v>
      </c>
    </row>
    <row r="6715" spans="1:7" ht="16.149999999999999" x14ac:dyDescent="0.7">
      <c r="A6715" s="49">
        <v>44884.449935092591</v>
      </c>
      <c r="B6715" s="50" t="s">
        <v>45</v>
      </c>
      <c r="C6715" s="50" t="s">
        <v>581</v>
      </c>
      <c r="D6715" s="50" t="s">
        <v>263</v>
      </c>
      <c r="E6715" s="50">
        <v>-1</v>
      </c>
      <c r="F6715" s="51">
        <v>-0.19043379581734077</v>
      </c>
      <c r="G6715" s="51" t="str">
        <v>松井 2022/12/10 (土)
休日午前</v>
      </c>
    </row>
    <row r="6716" spans="1:7" ht="16.149999999999999" x14ac:dyDescent="0.7">
      <c r="A6716" s="49">
        <v>44884.449935092591</v>
      </c>
      <c r="B6716" s="50" t="s">
        <v>45</v>
      </c>
      <c r="C6716" s="50" t="s">
        <v>582</v>
      </c>
      <c r="D6716" s="50" t="s">
        <v>261</v>
      </c>
      <c r="E6716" s="50">
        <v>-1</v>
      </c>
      <c r="F6716" s="51">
        <v>-0.40488040325820829</v>
      </c>
      <c r="G6716" s="51" t="str">
        <v>松井 2022/12/10 (土)
休日午後</v>
      </c>
    </row>
    <row r="6717" spans="1:7" ht="16.149999999999999" x14ac:dyDescent="0.7">
      <c r="A6717" s="49">
        <v>44884.449935092591</v>
      </c>
      <c r="B6717" s="50" t="s">
        <v>45</v>
      </c>
      <c r="C6717" s="50" t="s">
        <v>583</v>
      </c>
      <c r="D6717" s="50" t="s">
        <v>263</v>
      </c>
      <c r="E6717" s="50">
        <v>0</v>
      </c>
      <c r="F6717" s="51">
        <v>0.81671291889923858</v>
      </c>
      <c r="G6717" s="51" t="str">
        <v>松井 2022/12/11 (日)
休日午前</v>
      </c>
    </row>
    <row r="6718" spans="1:7" ht="16.149999999999999" x14ac:dyDescent="0.7">
      <c r="A6718" s="49">
        <v>44884.449935092591</v>
      </c>
      <c r="B6718" s="50" t="s">
        <v>45</v>
      </c>
      <c r="C6718" s="50" t="s">
        <v>584</v>
      </c>
      <c r="D6718" s="50" t="s">
        <v>261</v>
      </c>
      <c r="E6718" s="50">
        <v>0</v>
      </c>
      <c r="F6718" s="51">
        <v>3.269067456782504E-2</v>
      </c>
      <c r="G6718" s="51" t="str">
        <v>松井 2022/12/11 (日)
休日午後</v>
      </c>
    </row>
    <row r="6719" spans="1:7" ht="16.149999999999999" x14ac:dyDescent="0.7">
      <c r="A6719" s="49">
        <v>44884.449935092591</v>
      </c>
      <c r="B6719" s="50" t="s">
        <v>45</v>
      </c>
      <c r="C6719" s="50" t="s">
        <v>585</v>
      </c>
      <c r="D6719" s="50" t="s">
        <v>259</v>
      </c>
      <c r="E6719" s="50">
        <v>0</v>
      </c>
      <c r="F6719" s="51">
        <v>0.58334389892861571</v>
      </c>
      <c r="G6719" s="51" t="str">
        <v>松井 2022/12/12 (月)
平日夜間</v>
      </c>
    </row>
    <row r="6720" spans="1:7" ht="16.149999999999999" x14ac:dyDescent="0.7">
      <c r="A6720" s="49">
        <v>44884.449935092591</v>
      </c>
      <c r="B6720" s="50" t="s">
        <v>45</v>
      </c>
      <c r="C6720" s="50" t="s">
        <v>586</v>
      </c>
      <c r="D6720" s="50" t="s">
        <v>259</v>
      </c>
      <c r="E6720" s="50">
        <v>0</v>
      </c>
      <c r="F6720" s="51">
        <v>0.58607101952818152</v>
      </c>
      <c r="G6720" s="51" t="str">
        <v>松井 2022/12/13 (火)
平日夜間</v>
      </c>
    </row>
    <row r="6721" spans="1:7" ht="16.149999999999999" x14ac:dyDescent="0.7">
      <c r="A6721" s="49">
        <v>44884.449935092591</v>
      </c>
      <c r="B6721" s="50" t="s">
        <v>45</v>
      </c>
      <c r="C6721" s="50" t="s">
        <v>587</v>
      </c>
      <c r="D6721" s="50" t="s">
        <v>259</v>
      </c>
      <c r="E6721" s="50">
        <v>0</v>
      </c>
      <c r="F6721" s="51">
        <v>0.58213264790607977</v>
      </c>
      <c r="G6721" s="51" t="str">
        <v>松井 2022/12/14 (水)
平日夜間</v>
      </c>
    </row>
    <row r="6722" spans="1:7" ht="16.149999999999999" x14ac:dyDescent="0.7">
      <c r="A6722" s="49">
        <v>44884.449935092591</v>
      </c>
      <c r="B6722" s="50" t="s">
        <v>45</v>
      </c>
      <c r="C6722" s="50" t="s">
        <v>588</v>
      </c>
      <c r="D6722" s="50" t="s">
        <v>259</v>
      </c>
      <c r="E6722" s="50">
        <v>-1</v>
      </c>
      <c r="F6722" s="51">
        <v>-0.721163360198815</v>
      </c>
      <c r="G6722" s="51" t="str">
        <v>松井 2022/12/15 (木)
平日夜間</v>
      </c>
    </row>
    <row r="6723" spans="1:7" ht="16.149999999999999" x14ac:dyDescent="0.7">
      <c r="A6723" s="49">
        <v>44884.449935092591</v>
      </c>
      <c r="B6723" s="50" t="s">
        <v>45</v>
      </c>
      <c r="C6723" s="50" t="s">
        <v>589</v>
      </c>
      <c r="D6723" s="50" t="s">
        <v>259</v>
      </c>
      <c r="E6723" s="50">
        <v>0</v>
      </c>
      <c r="F6723" s="51">
        <v>0.13525115743831417</v>
      </c>
      <c r="G6723" s="51" t="str">
        <v>松井 2022/12/16 (金)
平日夜間</v>
      </c>
    </row>
    <row r="6724" spans="1:7" ht="16.149999999999999" x14ac:dyDescent="0.7">
      <c r="A6724" s="49">
        <v>44884.449935092591</v>
      </c>
      <c r="B6724" s="50" t="s">
        <v>45</v>
      </c>
      <c r="C6724" s="50" t="s">
        <v>590</v>
      </c>
      <c r="D6724" s="50" t="s">
        <v>263</v>
      </c>
      <c r="E6724" s="50">
        <v>0</v>
      </c>
      <c r="F6724" s="51">
        <v>0.86417492887384317</v>
      </c>
      <c r="G6724" s="51" t="str">
        <v>松井 2022/12/17 (土)
休日午前</v>
      </c>
    </row>
    <row r="6725" spans="1:7" ht="16.149999999999999" x14ac:dyDescent="0.7">
      <c r="A6725" s="49">
        <v>44884.449935092591</v>
      </c>
      <c r="B6725" s="50" t="s">
        <v>45</v>
      </c>
      <c r="C6725" s="50" t="s">
        <v>591</v>
      </c>
      <c r="D6725" s="50" t="s">
        <v>261</v>
      </c>
      <c r="E6725" s="50">
        <v>0</v>
      </c>
      <c r="F6725" s="51">
        <v>0.13759802124082499</v>
      </c>
      <c r="G6725" s="51" t="str">
        <v>松井 2022/12/17 (土)
休日午後</v>
      </c>
    </row>
    <row r="6726" spans="1:7" ht="16.149999999999999" x14ac:dyDescent="0.7">
      <c r="A6726" s="49">
        <v>44884.449935092591</v>
      </c>
      <c r="B6726" s="50" t="s">
        <v>45</v>
      </c>
      <c r="C6726" s="50" t="s">
        <v>592</v>
      </c>
      <c r="D6726" s="50" t="s">
        <v>263</v>
      </c>
      <c r="E6726" s="50">
        <v>0</v>
      </c>
      <c r="F6726" s="51">
        <v>0.79845371208653848</v>
      </c>
      <c r="G6726" s="51" t="str">
        <v>松井 2022/12/18 (日)
休日午前</v>
      </c>
    </row>
    <row r="6727" spans="1:7" ht="16.149999999999999" x14ac:dyDescent="0.7">
      <c r="A6727" s="49">
        <v>44884.449935092591</v>
      </c>
      <c r="B6727" s="50" t="s">
        <v>45</v>
      </c>
      <c r="C6727" s="50" t="s">
        <v>593</v>
      </c>
      <c r="D6727" s="50" t="s">
        <v>261</v>
      </c>
      <c r="E6727" s="50">
        <v>0</v>
      </c>
      <c r="F6727" s="51">
        <v>0.16394850921297022</v>
      </c>
      <c r="G6727" s="51" t="str">
        <v>松井 2022/12/18 (日)
休日午後</v>
      </c>
    </row>
    <row r="6728" spans="1:7" ht="16.149999999999999" x14ac:dyDescent="0.7">
      <c r="A6728" s="49">
        <v>44884.449935092591</v>
      </c>
      <c r="B6728" s="50" t="s">
        <v>45</v>
      </c>
      <c r="C6728" s="50" t="s">
        <v>594</v>
      </c>
      <c r="D6728" s="50" t="s">
        <v>259</v>
      </c>
      <c r="E6728" s="50">
        <v>0</v>
      </c>
      <c r="F6728" s="51">
        <v>0.72200433783795548</v>
      </c>
      <c r="G6728" s="51" t="str">
        <v>松井 2022/12/19 (月)
平日夜間</v>
      </c>
    </row>
    <row r="6729" spans="1:7" ht="16.149999999999999" x14ac:dyDescent="0.7">
      <c r="A6729" s="49">
        <v>44884.449935092591</v>
      </c>
      <c r="B6729" s="50" t="s">
        <v>45</v>
      </c>
      <c r="C6729" s="50" t="s">
        <v>595</v>
      </c>
      <c r="D6729" s="50" t="s">
        <v>259</v>
      </c>
      <c r="E6729" s="50">
        <v>0</v>
      </c>
      <c r="F6729" s="51">
        <v>0.95788376224362004</v>
      </c>
      <c r="G6729" s="51" t="str">
        <v>松井 2022/12/20 (火)
平日夜間</v>
      </c>
    </row>
    <row r="6730" spans="1:7" ht="16.149999999999999" x14ac:dyDescent="0.7">
      <c r="A6730" s="49">
        <v>44884.449935092591</v>
      </c>
      <c r="B6730" s="50" t="s">
        <v>45</v>
      </c>
      <c r="C6730" s="50" t="s">
        <v>596</v>
      </c>
      <c r="D6730" s="50" t="s">
        <v>259</v>
      </c>
      <c r="E6730" s="50">
        <v>0</v>
      </c>
      <c r="F6730" s="51">
        <v>0.25221205383836764</v>
      </c>
      <c r="G6730" s="51" t="str">
        <v>松井 2022/12/21 (水)
平日夜間</v>
      </c>
    </row>
    <row r="6731" spans="1:7" ht="16.149999999999999" x14ac:dyDescent="0.7">
      <c r="A6731" s="49">
        <v>44884.449935092591</v>
      </c>
      <c r="B6731" s="50" t="s">
        <v>45</v>
      </c>
      <c r="C6731" s="50" t="s">
        <v>597</v>
      </c>
      <c r="D6731" s="50" t="s">
        <v>259</v>
      </c>
      <c r="E6731" s="50">
        <v>0</v>
      </c>
      <c r="F6731" s="51">
        <v>0.89177648067569271</v>
      </c>
      <c r="G6731" s="51" t="str">
        <v>松井 2022/12/22 (木)
平日夜間</v>
      </c>
    </row>
    <row r="6732" spans="1:7" ht="16.149999999999999" x14ac:dyDescent="0.7">
      <c r="A6732" s="49">
        <v>44884.449935092591</v>
      </c>
      <c r="B6732" s="50" t="s">
        <v>45</v>
      </c>
      <c r="C6732" s="50" t="s">
        <v>598</v>
      </c>
      <c r="D6732" s="50" t="s">
        <v>259</v>
      </c>
      <c r="E6732" s="50">
        <v>0</v>
      </c>
      <c r="F6732" s="51">
        <v>4.4472060969110938E-2</v>
      </c>
      <c r="G6732" s="51" t="str">
        <v>松井 2022/12/23 (金)
平日夜間</v>
      </c>
    </row>
    <row r="6733" spans="1:7" ht="16.149999999999999" x14ac:dyDescent="0.7">
      <c r="A6733" s="49">
        <v>44884.449935092591</v>
      </c>
      <c r="B6733" s="50" t="s">
        <v>45</v>
      </c>
      <c r="C6733" s="50" t="s">
        <v>599</v>
      </c>
      <c r="D6733" s="50" t="s">
        <v>263</v>
      </c>
      <c r="E6733" s="50">
        <v>-1</v>
      </c>
      <c r="F6733" s="51">
        <v>-0.65013710096337007</v>
      </c>
      <c r="G6733" s="51" t="str">
        <v>松井 2022/12/24 (土)
休日午前</v>
      </c>
    </row>
    <row r="6734" spans="1:7" ht="16.149999999999999" x14ac:dyDescent="0.7">
      <c r="A6734" s="49">
        <v>44884.449935092591</v>
      </c>
      <c r="B6734" s="50" t="s">
        <v>45</v>
      </c>
      <c r="C6734" s="50" t="s">
        <v>600</v>
      </c>
      <c r="D6734" s="50" t="s">
        <v>261</v>
      </c>
      <c r="E6734" s="50">
        <v>-1</v>
      </c>
      <c r="F6734" s="51">
        <v>-0.12642734622883545</v>
      </c>
      <c r="G6734" s="51" t="str">
        <v>松井 2022/12/24 (土)
休日午後</v>
      </c>
    </row>
    <row r="6735" spans="1:7" ht="16.149999999999999" x14ac:dyDescent="0.7">
      <c r="A6735" s="49">
        <v>44884.449935092591</v>
      </c>
      <c r="B6735" s="50" t="s">
        <v>45</v>
      </c>
      <c r="C6735" s="50" t="s">
        <v>601</v>
      </c>
      <c r="D6735" s="50" t="s">
        <v>263</v>
      </c>
      <c r="E6735" s="50">
        <v>-1</v>
      </c>
      <c r="F6735" s="51">
        <v>-3.5866804006632558E-2</v>
      </c>
      <c r="G6735" s="51" t="str">
        <v>松井 2022/12/25 (日)
休日午前</v>
      </c>
    </row>
    <row r="6736" spans="1:7" ht="16.149999999999999" x14ac:dyDescent="0.7">
      <c r="A6736" s="49">
        <v>44884.449935092591</v>
      </c>
      <c r="B6736" s="50" t="s">
        <v>45</v>
      </c>
      <c r="C6736" s="50" t="s">
        <v>602</v>
      </c>
      <c r="D6736" s="50" t="s">
        <v>261</v>
      </c>
      <c r="E6736" s="50">
        <v>-1</v>
      </c>
      <c r="F6736" s="51">
        <v>-0.57074376728141418</v>
      </c>
      <c r="G6736" s="51" t="str">
        <v>松井 2022/12/25 (日)
休日午後</v>
      </c>
    </row>
    <row r="6737" spans="1:7" ht="16.149999999999999" x14ac:dyDescent="0.7">
      <c r="A6737" s="49">
        <v>44884.449935092591</v>
      </c>
      <c r="B6737" s="50" t="s">
        <v>45</v>
      </c>
      <c r="C6737" s="50" t="s">
        <v>603</v>
      </c>
      <c r="D6737" s="50" t="s">
        <v>259</v>
      </c>
      <c r="E6737" s="50">
        <v>0</v>
      </c>
      <c r="F6737" s="51">
        <v>0.85779407651531447</v>
      </c>
      <c r="G6737" s="51" t="str">
        <v>松井 2022/12/26 (月)
平日夜間</v>
      </c>
    </row>
    <row r="6738" spans="1:7" ht="16.149999999999999" x14ac:dyDescent="0.7">
      <c r="A6738" s="49">
        <v>44884.449935092591</v>
      </c>
      <c r="B6738" s="50" t="s">
        <v>45</v>
      </c>
      <c r="C6738" s="50" t="s">
        <v>604</v>
      </c>
      <c r="D6738" s="50" t="s">
        <v>259</v>
      </c>
      <c r="E6738" s="50">
        <v>0</v>
      </c>
      <c r="F6738" s="51">
        <v>0.35691117362333702</v>
      </c>
      <c r="G6738" s="51" t="str">
        <v>松井 2022/12/27 (火)
平日夜間</v>
      </c>
    </row>
    <row r="6739" spans="1:7" ht="16.149999999999999" x14ac:dyDescent="0.7">
      <c r="A6739" s="49">
        <v>44884.449935092591</v>
      </c>
      <c r="B6739" s="50" t="s">
        <v>45</v>
      </c>
      <c r="C6739" s="50" t="s">
        <v>605</v>
      </c>
      <c r="D6739" s="50" t="s">
        <v>259</v>
      </c>
      <c r="E6739" s="50">
        <v>0</v>
      </c>
      <c r="F6739" s="51">
        <v>0.37636230915067093</v>
      </c>
      <c r="G6739" s="51" t="str">
        <v>松井 2022/12/28 (水)
平日夜間</v>
      </c>
    </row>
    <row r="6740" spans="1:7" ht="16.149999999999999" x14ac:dyDescent="0.7">
      <c r="A6740" s="49">
        <v>44885.360693449074</v>
      </c>
      <c r="B6740" s="50" t="s">
        <v>17</v>
      </c>
      <c r="C6740" s="50" t="s">
        <v>570</v>
      </c>
      <c r="D6740" s="50" t="s">
        <v>259</v>
      </c>
      <c r="E6740" s="50">
        <v>-1</v>
      </c>
      <c r="F6740" s="51">
        <v>-0.26916974548135375</v>
      </c>
      <c r="G6740" s="51" t="str">
        <v>尾田 2022/12/01 (木)
平日夜間</v>
      </c>
    </row>
    <row r="6741" spans="1:7" ht="16.149999999999999" x14ac:dyDescent="0.7">
      <c r="A6741" s="49">
        <v>44885.360693449074</v>
      </c>
      <c r="B6741" s="50" t="s">
        <v>17</v>
      </c>
      <c r="C6741" s="50" t="s">
        <v>571</v>
      </c>
      <c r="D6741" s="50" t="s">
        <v>259</v>
      </c>
      <c r="E6741" s="50">
        <v>-1</v>
      </c>
      <c r="F6741" s="51">
        <v>-0.61571792349791954</v>
      </c>
      <c r="G6741" s="51" t="str">
        <v>尾田 2022/12/02 (金)
平日夜間</v>
      </c>
    </row>
    <row r="6742" spans="1:7" ht="16.149999999999999" x14ac:dyDescent="0.7">
      <c r="A6742" s="49">
        <v>44885.360693449074</v>
      </c>
      <c r="B6742" s="50" t="s">
        <v>17</v>
      </c>
      <c r="C6742" s="50" t="s">
        <v>572</v>
      </c>
      <c r="D6742" s="50" t="s">
        <v>263</v>
      </c>
      <c r="E6742" s="50">
        <v>-1</v>
      </c>
      <c r="F6742" s="51">
        <v>-0.64095598337395798</v>
      </c>
      <c r="G6742" s="51" t="str">
        <v>尾田 2022/12/03 (土)
休日午前</v>
      </c>
    </row>
    <row r="6743" spans="1:7" ht="16.149999999999999" x14ac:dyDescent="0.7">
      <c r="A6743" s="49">
        <v>44885.360693449074</v>
      </c>
      <c r="B6743" s="50" t="s">
        <v>17</v>
      </c>
      <c r="C6743" s="50" t="s">
        <v>573</v>
      </c>
      <c r="D6743" s="50" t="s">
        <v>261</v>
      </c>
      <c r="E6743" s="50">
        <v>-1</v>
      </c>
      <c r="F6743" s="51">
        <v>-0.85787795581563464</v>
      </c>
      <c r="G6743" s="51" t="str">
        <v>尾田 2022/12/03 (土)
休日午後</v>
      </c>
    </row>
    <row r="6744" spans="1:7" ht="16.149999999999999" x14ac:dyDescent="0.7">
      <c r="A6744" s="49">
        <v>44885.360693449074</v>
      </c>
      <c r="B6744" s="50" t="s">
        <v>17</v>
      </c>
      <c r="C6744" s="50" t="s">
        <v>574</v>
      </c>
      <c r="D6744" s="50" t="s">
        <v>263</v>
      </c>
      <c r="E6744" s="50">
        <v>-1</v>
      </c>
      <c r="F6744" s="51">
        <v>-0.8835554857375727</v>
      </c>
      <c r="G6744" s="51" t="str">
        <v>尾田 2022/12/04 (日)
休日午前</v>
      </c>
    </row>
    <row r="6745" spans="1:7" ht="16.149999999999999" x14ac:dyDescent="0.7">
      <c r="A6745" s="49">
        <v>44885.360693449074</v>
      </c>
      <c r="B6745" s="50" t="s">
        <v>17</v>
      </c>
      <c r="C6745" s="50" t="s">
        <v>575</v>
      </c>
      <c r="D6745" s="50" t="s">
        <v>261</v>
      </c>
      <c r="E6745" s="50">
        <v>-1</v>
      </c>
      <c r="F6745" s="51">
        <v>-0.69782931126564485</v>
      </c>
      <c r="G6745" s="51" t="str">
        <v>尾田 2022/12/04 (日)
休日午後</v>
      </c>
    </row>
    <row r="6746" spans="1:7" ht="16.149999999999999" x14ac:dyDescent="0.7">
      <c r="A6746" s="49">
        <v>44885.360693449074</v>
      </c>
      <c r="B6746" s="50" t="s">
        <v>17</v>
      </c>
      <c r="C6746" s="50" t="s">
        <v>576</v>
      </c>
      <c r="D6746" s="50" t="s">
        <v>259</v>
      </c>
      <c r="E6746" s="50">
        <v>0</v>
      </c>
      <c r="F6746" s="51">
        <v>0.48479785610082726</v>
      </c>
      <c r="G6746" s="51" t="str">
        <v>尾田 2022/12/05 (月)
平日夜間</v>
      </c>
    </row>
    <row r="6747" spans="1:7" ht="16.149999999999999" x14ac:dyDescent="0.7">
      <c r="A6747" s="49">
        <v>44885.360693449074</v>
      </c>
      <c r="B6747" s="50" t="s">
        <v>17</v>
      </c>
      <c r="C6747" s="50" t="s">
        <v>577</v>
      </c>
      <c r="D6747" s="50" t="s">
        <v>259</v>
      </c>
      <c r="E6747" s="50">
        <v>0</v>
      </c>
      <c r="F6747" s="51">
        <v>0.82235025045005572</v>
      </c>
      <c r="G6747" s="51" t="str">
        <v>尾田 2022/12/06 (火)
平日夜間</v>
      </c>
    </row>
    <row r="6748" spans="1:7" ht="16.149999999999999" x14ac:dyDescent="0.7">
      <c r="A6748" s="49">
        <v>44885.360693449074</v>
      </c>
      <c r="B6748" s="50" t="s">
        <v>17</v>
      </c>
      <c r="C6748" s="50" t="s">
        <v>578</v>
      </c>
      <c r="D6748" s="50" t="s">
        <v>259</v>
      </c>
      <c r="E6748" s="50">
        <v>0</v>
      </c>
      <c r="F6748" s="51">
        <v>0.19826264510491742</v>
      </c>
      <c r="G6748" s="51" t="str">
        <v>尾田 2022/12/07 (水)
平日夜間</v>
      </c>
    </row>
    <row r="6749" spans="1:7" ht="16.149999999999999" x14ac:dyDescent="0.7">
      <c r="A6749" s="49">
        <v>44885.360693449074</v>
      </c>
      <c r="B6749" s="50" t="s">
        <v>17</v>
      </c>
      <c r="C6749" s="50" t="s">
        <v>579</v>
      </c>
      <c r="D6749" s="50" t="s">
        <v>259</v>
      </c>
      <c r="E6749" s="50">
        <v>-1</v>
      </c>
      <c r="F6749" s="51">
        <v>-0.20440075736990693</v>
      </c>
      <c r="G6749" s="51" t="str">
        <v>尾田 2022/12/08 (木)
平日夜間</v>
      </c>
    </row>
    <row r="6750" spans="1:7" ht="16.149999999999999" x14ac:dyDescent="0.7">
      <c r="A6750" s="49">
        <v>44885.360693449074</v>
      </c>
      <c r="B6750" s="50" t="s">
        <v>17</v>
      </c>
      <c r="C6750" s="50" t="s">
        <v>580</v>
      </c>
      <c r="D6750" s="50" t="s">
        <v>259</v>
      </c>
      <c r="E6750" s="50">
        <v>-1</v>
      </c>
      <c r="F6750" s="51">
        <v>-0.49903792453867557</v>
      </c>
      <c r="G6750" s="51" t="str">
        <v>尾田 2022/12/09 (金)
平日夜間</v>
      </c>
    </row>
    <row r="6751" spans="1:7" ht="16.149999999999999" x14ac:dyDescent="0.7">
      <c r="A6751" s="49">
        <v>44885.360693449074</v>
      </c>
      <c r="B6751" s="50" t="s">
        <v>17</v>
      </c>
      <c r="C6751" s="50" t="s">
        <v>581</v>
      </c>
      <c r="D6751" s="50" t="s">
        <v>263</v>
      </c>
      <c r="E6751" s="50">
        <v>-1</v>
      </c>
      <c r="F6751" s="51">
        <v>-0.53669044513622177</v>
      </c>
      <c r="G6751" s="51" t="str">
        <v>尾田 2022/12/10 (土)
休日午前</v>
      </c>
    </row>
    <row r="6752" spans="1:7" ht="16.149999999999999" x14ac:dyDescent="0.7">
      <c r="A6752" s="49">
        <v>44885.360693449074</v>
      </c>
      <c r="B6752" s="50" t="s">
        <v>17</v>
      </c>
      <c r="C6752" s="50" t="s">
        <v>582</v>
      </c>
      <c r="D6752" s="50" t="s">
        <v>261</v>
      </c>
      <c r="E6752" s="50">
        <v>-1</v>
      </c>
      <c r="F6752" s="51">
        <v>-0.34642942903811491</v>
      </c>
      <c r="G6752" s="51" t="str">
        <v>尾田 2022/12/10 (土)
休日午後</v>
      </c>
    </row>
    <row r="6753" spans="1:7" ht="16.149999999999999" x14ac:dyDescent="0.7">
      <c r="A6753" s="49">
        <v>44885.360693449074</v>
      </c>
      <c r="B6753" s="50" t="s">
        <v>17</v>
      </c>
      <c r="C6753" s="50" t="s">
        <v>583</v>
      </c>
      <c r="D6753" s="50" t="s">
        <v>263</v>
      </c>
      <c r="E6753" s="50">
        <v>-1</v>
      </c>
      <c r="F6753" s="51">
        <v>-0.83563327982740621</v>
      </c>
      <c r="G6753" s="51" t="str">
        <v>尾田 2022/12/11 (日)
休日午前</v>
      </c>
    </row>
    <row r="6754" spans="1:7" ht="16.149999999999999" x14ac:dyDescent="0.7">
      <c r="A6754" s="49">
        <v>44885.360693449074</v>
      </c>
      <c r="B6754" s="50" t="s">
        <v>17</v>
      </c>
      <c r="C6754" s="50" t="s">
        <v>584</v>
      </c>
      <c r="D6754" s="50" t="s">
        <v>261</v>
      </c>
      <c r="E6754" s="50">
        <v>-1</v>
      </c>
      <c r="F6754" s="51">
        <v>-0.8375703520883726</v>
      </c>
      <c r="G6754" s="51" t="str">
        <v>尾田 2022/12/11 (日)
休日午後</v>
      </c>
    </row>
    <row r="6755" spans="1:7" ht="16.149999999999999" x14ac:dyDescent="0.7">
      <c r="A6755" s="49">
        <v>44885.360693449074</v>
      </c>
      <c r="B6755" s="50" t="s">
        <v>17</v>
      </c>
      <c r="C6755" s="50" t="s">
        <v>585</v>
      </c>
      <c r="D6755" s="50" t="s">
        <v>259</v>
      </c>
      <c r="E6755" s="50">
        <v>0</v>
      </c>
      <c r="F6755" s="51">
        <v>0.22179355996266992</v>
      </c>
      <c r="G6755" s="51" t="str">
        <v>尾田 2022/12/12 (月)
平日夜間</v>
      </c>
    </row>
    <row r="6756" spans="1:7" ht="16.149999999999999" x14ac:dyDescent="0.7">
      <c r="A6756" s="49">
        <v>44885.360693449074</v>
      </c>
      <c r="B6756" s="50" t="s">
        <v>17</v>
      </c>
      <c r="C6756" s="50" t="s">
        <v>586</v>
      </c>
      <c r="D6756" s="50" t="s">
        <v>259</v>
      </c>
      <c r="E6756" s="50">
        <v>0</v>
      </c>
      <c r="F6756" s="51">
        <v>0.47828464728694997</v>
      </c>
      <c r="G6756" s="51" t="str">
        <v>尾田 2022/12/13 (火)
平日夜間</v>
      </c>
    </row>
    <row r="6757" spans="1:7" ht="16.149999999999999" x14ac:dyDescent="0.7">
      <c r="A6757" s="49">
        <v>44885.360693449074</v>
      </c>
      <c r="B6757" s="50" t="s">
        <v>17</v>
      </c>
      <c r="C6757" s="50" t="s">
        <v>587</v>
      </c>
      <c r="D6757" s="50" t="s">
        <v>259</v>
      </c>
      <c r="E6757" s="50">
        <v>0</v>
      </c>
      <c r="F6757" s="51">
        <v>0.91063805467292047</v>
      </c>
      <c r="G6757" s="51" t="str">
        <v>尾田 2022/12/14 (水)
平日夜間</v>
      </c>
    </row>
    <row r="6758" spans="1:7" ht="16.149999999999999" x14ac:dyDescent="0.7">
      <c r="A6758" s="49">
        <v>44885.360693449074</v>
      </c>
      <c r="B6758" s="50" t="s">
        <v>17</v>
      </c>
      <c r="C6758" s="50" t="s">
        <v>588</v>
      </c>
      <c r="D6758" s="50" t="s">
        <v>259</v>
      </c>
      <c r="E6758" s="50">
        <v>-1</v>
      </c>
      <c r="F6758" s="51">
        <v>-0.23404784897418107</v>
      </c>
      <c r="G6758" s="51" t="str">
        <v>尾田 2022/12/15 (木)
平日夜間</v>
      </c>
    </row>
    <row r="6759" spans="1:7" ht="16.149999999999999" x14ac:dyDescent="0.7">
      <c r="A6759" s="49">
        <v>44885.360693449074</v>
      </c>
      <c r="B6759" s="50" t="s">
        <v>17</v>
      </c>
      <c r="C6759" s="50" t="s">
        <v>589</v>
      </c>
      <c r="D6759" s="50" t="s">
        <v>259</v>
      </c>
      <c r="E6759" s="50">
        <v>-1</v>
      </c>
      <c r="F6759" s="51">
        <v>-0.80431519491944359</v>
      </c>
      <c r="G6759" s="51" t="str">
        <v>尾田 2022/12/16 (金)
平日夜間</v>
      </c>
    </row>
    <row r="6760" spans="1:7" ht="16.149999999999999" x14ac:dyDescent="0.7">
      <c r="A6760" s="49">
        <v>44885.360693449074</v>
      </c>
      <c r="B6760" s="50" t="s">
        <v>17</v>
      </c>
      <c r="C6760" s="50" t="s">
        <v>590</v>
      </c>
      <c r="D6760" s="50" t="s">
        <v>263</v>
      </c>
      <c r="E6760" s="50">
        <v>-1</v>
      </c>
      <c r="F6760" s="51">
        <v>-7.690225804015216E-2</v>
      </c>
      <c r="G6760" s="51" t="str">
        <v>尾田 2022/12/17 (土)
休日午前</v>
      </c>
    </row>
    <row r="6761" spans="1:7" ht="16.149999999999999" x14ac:dyDescent="0.7">
      <c r="A6761" s="49">
        <v>44885.360693449074</v>
      </c>
      <c r="B6761" s="50" t="s">
        <v>17</v>
      </c>
      <c r="C6761" s="50" t="s">
        <v>591</v>
      </c>
      <c r="D6761" s="50" t="s">
        <v>261</v>
      </c>
      <c r="E6761" s="50">
        <v>-1</v>
      </c>
      <c r="F6761" s="51">
        <v>-0.3326230698419439</v>
      </c>
      <c r="G6761" s="51" t="str">
        <v>尾田 2022/12/17 (土)
休日午後</v>
      </c>
    </row>
    <row r="6762" spans="1:7" ht="16.149999999999999" x14ac:dyDescent="0.7">
      <c r="A6762" s="49">
        <v>44885.360693449074</v>
      </c>
      <c r="B6762" s="50" t="s">
        <v>17</v>
      </c>
      <c r="C6762" s="50" t="s">
        <v>592</v>
      </c>
      <c r="D6762" s="50" t="s">
        <v>263</v>
      </c>
      <c r="E6762" s="50">
        <v>-1</v>
      </c>
      <c r="F6762" s="51">
        <v>-0.32000065938819677</v>
      </c>
      <c r="G6762" s="51" t="str">
        <v>尾田 2022/12/18 (日)
休日午前</v>
      </c>
    </row>
    <row r="6763" spans="1:7" ht="16.149999999999999" x14ac:dyDescent="0.7">
      <c r="A6763" s="49">
        <v>44885.360693449074</v>
      </c>
      <c r="B6763" s="50" t="s">
        <v>17</v>
      </c>
      <c r="C6763" s="50" t="s">
        <v>593</v>
      </c>
      <c r="D6763" s="50" t="s">
        <v>261</v>
      </c>
      <c r="E6763" s="50">
        <v>-1</v>
      </c>
      <c r="F6763" s="51">
        <v>-0.83455953812684558</v>
      </c>
      <c r="G6763" s="51" t="str">
        <v>尾田 2022/12/18 (日)
休日午後</v>
      </c>
    </row>
    <row r="6764" spans="1:7" ht="16.149999999999999" x14ac:dyDescent="0.7">
      <c r="A6764" s="49">
        <v>44885.360693449074</v>
      </c>
      <c r="B6764" s="50" t="s">
        <v>17</v>
      </c>
      <c r="C6764" s="50" t="s">
        <v>594</v>
      </c>
      <c r="D6764" s="50" t="s">
        <v>259</v>
      </c>
      <c r="E6764" s="50">
        <v>0</v>
      </c>
      <c r="F6764" s="51">
        <v>0.13462157837225353</v>
      </c>
      <c r="G6764" s="51" t="str">
        <v>尾田 2022/12/19 (月)
平日夜間</v>
      </c>
    </row>
    <row r="6765" spans="1:7" ht="16.149999999999999" x14ac:dyDescent="0.7">
      <c r="A6765" s="49">
        <v>44885.360693449074</v>
      </c>
      <c r="B6765" s="50" t="s">
        <v>17</v>
      </c>
      <c r="C6765" s="50" t="s">
        <v>595</v>
      </c>
      <c r="D6765" s="50" t="s">
        <v>259</v>
      </c>
      <c r="E6765" s="50">
        <v>0</v>
      </c>
      <c r="F6765" s="51">
        <v>0.42894642329278376</v>
      </c>
      <c r="G6765" s="51" t="str">
        <v>尾田 2022/12/20 (火)
平日夜間</v>
      </c>
    </row>
    <row r="6766" spans="1:7" ht="16.149999999999999" x14ac:dyDescent="0.7">
      <c r="A6766" s="49">
        <v>44885.360693449074</v>
      </c>
      <c r="B6766" s="50" t="s">
        <v>17</v>
      </c>
      <c r="C6766" s="50" t="s">
        <v>596</v>
      </c>
      <c r="D6766" s="50" t="s">
        <v>259</v>
      </c>
      <c r="E6766" s="50">
        <v>0</v>
      </c>
      <c r="F6766" s="51">
        <v>7.4386401427964932E-2</v>
      </c>
      <c r="G6766" s="51" t="str">
        <v>尾田 2022/12/21 (水)
平日夜間</v>
      </c>
    </row>
    <row r="6767" spans="1:7" ht="16.149999999999999" x14ac:dyDescent="0.7">
      <c r="A6767" s="49">
        <v>44885.360693449074</v>
      </c>
      <c r="B6767" s="50" t="s">
        <v>17</v>
      </c>
      <c r="C6767" s="50" t="s">
        <v>597</v>
      </c>
      <c r="D6767" s="50" t="s">
        <v>259</v>
      </c>
      <c r="E6767" s="50">
        <v>-1</v>
      </c>
      <c r="F6767" s="51">
        <v>-0.78429564368380866</v>
      </c>
      <c r="G6767" s="51" t="str">
        <v>尾田 2022/12/22 (木)
平日夜間</v>
      </c>
    </row>
    <row r="6768" spans="1:7" ht="16.149999999999999" x14ac:dyDescent="0.7">
      <c r="A6768" s="49">
        <v>44885.360693449074</v>
      </c>
      <c r="B6768" s="50" t="s">
        <v>17</v>
      </c>
      <c r="C6768" s="50" t="s">
        <v>598</v>
      </c>
      <c r="D6768" s="50" t="s">
        <v>259</v>
      </c>
      <c r="E6768" s="50">
        <v>-1</v>
      </c>
      <c r="F6768" s="51">
        <v>-0.81254231379771968</v>
      </c>
      <c r="G6768" s="51" t="str">
        <v>尾田 2022/12/23 (金)
平日夜間</v>
      </c>
    </row>
    <row r="6769" spans="1:7" ht="16.149999999999999" x14ac:dyDescent="0.7">
      <c r="A6769" s="49">
        <v>44885.360693449074</v>
      </c>
      <c r="B6769" s="50" t="s">
        <v>17</v>
      </c>
      <c r="C6769" s="50" t="s">
        <v>599</v>
      </c>
      <c r="D6769" s="50" t="s">
        <v>263</v>
      </c>
      <c r="E6769" s="50">
        <v>-1</v>
      </c>
      <c r="F6769" s="51">
        <v>-0.25684801909229105</v>
      </c>
      <c r="G6769" s="51" t="str">
        <v>尾田 2022/12/24 (土)
休日午前</v>
      </c>
    </row>
    <row r="6770" spans="1:7" ht="16.149999999999999" x14ac:dyDescent="0.7">
      <c r="A6770" s="49">
        <v>44885.360693449074</v>
      </c>
      <c r="B6770" s="50" t="s">
        <v>17</v>
      </c>
      <c r="C6770" s="50" t="s">
        <v>600</v>
      </c>
      <c r="D6770" s="50" t="s">
        <v>261</v>
      </c>
      <c r="E6770" s="50">
        <v>-1</v>
      </c>
      <c r="F6770" s="51">
        <v>-0.67510869962583753</v>
      </c>
      <c r="G6770" s="51" t="str">
        <v>尾田 2022/12/24 (土)
休日午後</v>
      </c>
    </row>
    <row r="6771" spans="1:7" ht="16.149999999999999" x14ac:dyDescent="0.7">
      <c r="A6771" s="49">
        <v>44885.360693449074</v>
      </c>
      <c r="B6771" s="50" t="s">
        <v>17</v>
      </c>
      <c r="C6771" s="50" t="s">
        <v>601</v>
      </c>
      <c r="D6771" s="50" t="s">
        <v>263</v>
      </c>
      <c r="E6771" s="50">
        <v>-1</v>
      </c>
      <c r="F6771" s="51">
        <v>-0.44365365640278354</v>
      </c>
      <c r="G6771" s="51" t="str">
        <v>尾田 2022/12/25 (日)
休日午前</v>
      </c>
    </row>
    <row r="6772" spans="1:7" ht="16.149999999999999" x14ac:dyDescent="0.7">
      <c r="A6772" s="49">
        <v>44885.360693449074</v>
      </c>
      <c r="B6772" s="50" t="s">
        <v>17</v>
      </c>
      <c r="C6772" s="50" t="s">
        <v>602</v>
      </c>
      <c r="D6772" s="50" t="s">
        <v>261</v>
      </c>
      <c r="E6772" s="50">
        <v>-1</v>
      </c>
      <c r="F6772" s="51">
        <v>-0.95454217917753392</v>
      </c>
      <c r="G6772" s="51" t="str">
        <v>尾田 2022/12/25 (日)
休日午後</v>
      </c>
    </row>
    <row r="6773" spans="1:7" ht="16.149999999999999" x14ac:dyDescent="0.7">
      <c r="A6773" s="49">
        <v>44885.360693449074</v>
      </c>
      <c r="B6773" s="50" t="s">
        <v>17</v>
      </c>
      <c r="C6773" s="50" t="s">
        <v>603</v>
      </c>
      <c r="D6773" s="50" t="s">
        <v>259</v>
      </c>
      <c r="E6773" s="50">
        <v>0</v>
      </c>
      <c r="F6773" s="51">
        <v>1.5546384364274246E-2</v>
      </c>
      <c r="G6773" s="51" t="str">
        <v>尾田 2022/12/26 (月)
平日夜間</v>
      </c>
    </row>
    <row r="6774" spans="1:7" ht="16.149999999999999" x14ac:dyDescent="0.7">
      <c r="A6774" s="49">
        <v>44885.360693449074</v>
      </c>
      <c r="B6774" s="50" t="s">
        <v>17</v>
      </c>
      <c r="C6774" s="50" t="s">
        <v>604</v>
      </c>
      <c r="D6774" s="50" t="s">
        <v>259</v>
      </c>
      <c r="E6774" s="50">
        <v>0</v>
      </c>
      <c r="F6774" s="51">
        <v>0.12370849770853898</v>
      </c>
      <c r="G6774" s="51" t="str">
        <v>尾田 2022/12/27 (火)
平日夜間</v>
      </c>
    </row>
    <row r="6775" spans="1:7" ht="16.149999999999999" x14ac:dyDescent="0.7">
      <c r="A6775" s="49">
        <v>44885.360693449074</v>
      </c>
      <c r="B6775" s="50" t="s">
        <v>17</v>
      </c>
      <c r="C6775" s="50" t="s">
        <v>605</v>
      </c>
      <c r="D6775" s="50" t="s">
        <v>259</v>
      </c>
      <c r="E6775" s="50">
        <v>0</v>
      </c>
      <c r="F6775" s="51">
        <v>0.86307999521389811</v>
      </c>
      <c r="G6775" s="51" t="str">
        <v>尾田 2022/12/28 (水)
平日夜間</v>
      </c>
    </row>
    <row r="6776" spans="1:7" ht="16.149999999999999" x14ac:dyDescent="0.7">
      <c r="A6776" s="49">
        <v>44885.685005474537</v>
      </c>
      <c r="B6776" s="50" t="s">
        <v>10</v>
      </c>
      <c r="C6776" s="50" t="s">
        <v>570</v>
      </c>
      <c r="D6776" s="50" t="s">
        <v>259</v>
      </c>
      <c r="E6776" s="50">
        <v>-1</v>
      </c>
      <c r="F6776" s="51">
        <v>-0.24694894714945415</v>
      </c>
      <c r="G6776" s="51" t="str">
        <v>福井 2022/12/01 (木)
平日夜間</v>
      </c>
    </row>
    <row r="6777" spans="1:7" ht="16.149999999999999" x14ac:dyDescent="0.7">
      <c r="A6777" s="49">
        <v>44885.685005474537</v>
      </c>
      <c r="B6777" s="50" t="s">
        <v>10</v>
      </c>
      <c r="C6777" s="50" t="s">
        <v>571</v>
      </c>
      <c r="D6777" s="50" t="s">
        <v>259</v>
      </c>
      <c r="E6777" s="50">
        <v>-1</v>
      </c>
      <c r="F6777" s="51">
        <v>-0.34028237488444302</v>
      </c>
      <c r="G6777" s="51" t="str">
        <v>福井 2022/12/02 (金)
平日夜間</v>
      </c>
    </row>
    <row r="6778" spans="1:7" ht="16.149999999999999" x14ac:dyDescent="0.7">
      <c r="A6778" s="49">
        <v>44885.685005474537</v>
      </c>
      <c r="B6778" s="50" t="s">
        <v>10</v>
      </c>
      <c r="C6778" s="50" t="s">
        <v>572</v>
      </c>
      <c r="D6778" s="50" t="s">
        <v>263</v>
      </c>
      <c r="E6778" s="50">
        <v>-1</v>
      </c>
      <c r="F6778" s="51">
        <v>-0.70298276647040403</v>
      </c>
      <c r="G6778" s="51" t="str">
        <v>福井 2022/12/03 (土)
休日午前</v>
      </c>
    </row>
    <row r="6779" spans="1:7" ht="16.149999999999999" x14ac:dyDescent="0.7">
      <c r="A6779" s="49">
        <v>44885.685005474537</v>
      </c>
      <c r="B6779" s="50" t="s">
        <v>10</v>
      </c>
      <c r="C6779" s="50" t="s">
        <v>573</v>
      </c>
      <c r="D6779" s="50" t="s">
        <v>261</v>
      </c>
      <c r="E6779" s="50">
        <v>-1</v>
      </c>
      <c r="F6779" s="51">
        <v>-0.40716571213558117</v>
      </c>
      <c r="G6779" s="51" t="str">
        <v>福井 2022/12/03 (土)
休日午後</v>
      </c>
    </row>
    <row r="6780" spans="1:7" ht="16.149999999999999" x14ac:dyDescent="0.7">
      <c r="A6780" s="49">
        <v>44885.685005474537</v>
      </c>
      <c r="B6780" s="50" t="s">
        <v>10</v>
      </c>
      <c r="C6780" s="50" t="s">
        <v>574</v>
      </c>
      <c r="D6780" s="50" t="s">
        <v>263</v>
      </c>
      <c r="E6780" s="50">
        <v>0</v>
      </c>
      <c r="F6780" s="51">
        <v>0.23361836374654854</v>
      </c>
      <c r="G6780" s="51" t="str">
        <v>福井 2022/12/04 (日)
休日午前</v>
      </c>
    </row>
    <row r="6781" spans="1:7" ht="16.149999999999999" x14ac:dyDescent="0.7">
      <c r="A6781" s="49">
        <v>44885.685005474537</v>
      </c>
      <c r="B6781" s="50" t="s">
        <v>10</v>
      </c>
      <c r="C6781" s="50" t="s">
        <v>575</v>
      </c>
      <c r="D6781" s="50" t="s">
        <v>261</v>
      </c>
      <c r="E6781" s="50">
        <v>0</v>
      </c>
      <c r="F6781" s="51">
        <v>0.81756514183906726</v>
      </c>
      <c r="G6781" s="51" t="str">
        <v>福井 2022/12/04 (日)
休日午後</v>
      </c>
    </row>
    <row r="6782" spans="1:7" ht="16.149999999999999" x14ac:dyDescent="0.7">
      <c r="A6782" s="49">
        <v>44885.685005474537</v>
      </c>
      <c r="B6782" s="50" t="s">
        <v>10</v>
      </c>
      <c r="C6782" s="50" t="s">
        <v>576</v>
      </c>
      <c r="D6782" s="50" t="s">
        <v>259</v>
      </c>
      <c r="E6782" s="50">
        <v>0</v>
      </c>
      <c r="F6782" s="51">
        <v>0.85172417040932769</v>
      </c>
      <c r="G6782" s="51" t="str">
        <v>福井 2022/12/05 (月)
平日夜間</v>
      </c>
    </row>
    <row r="6783" spans="1:7" ht="16.149999999999999" x14ac:dyDescent="0.7">
      <c r="A6783" s="49">
        <v>44885.685005474537</v>
      </c>
      <c r="B6783" s="50" t="s">
        <v>10</v>
      </c>
      <c r="C6783" s="50" t="s">
        <v>577</v>
      </c>
      <c r="D6783" s="50" t="s">
        <v>259</v>
      </c>
      <c r="E6783" s="50">
        <v>-1</v>
      </c>
      <c r="F6783" s="51">
        <v>-0.7361492771690934</v>
      </c>
      <c r="G6783" s="51" t="str">
        <v>福井 2022/12/06 (火)
平日夜間</v>
      </c>
    </row>
    <row r="6784" spans="1:7" ht="16.149999999999999" x14ac:dyDescent="0.7">
      <c r="A6784" s="49">
        <v>44885.685005474537</v>
      </c>
      <c r="B6784" s="50" t="s">
        <v>10</v>
      </c>
      <c r="C6784" s="50" t="s">
        <v>578</v>
      </c>
      <c r="D6784" s="50" t="s">
        <v>259</v>
      </c>
      <c r="E6784" s="50">
        <v>0</v>
      </c>
      <c r="F6784" s="51">
        <v>0.76377026458634534</v>
      </c>
      <c r="G6784" s="51" t="str">
        <v>福井 2022/12/07 (水)
平日夜間</v>
      </c>
    </row>
    <row r="6785" spans="1:7" ht="16.149999999999999" x14ac:dyDescent="0.7">
      <c r="A6785" s="49">
        <v>44885.685005474537</v>
      </c>
      <c r="B6785" s="50" t="s">
        <v>10</v>
      </c>
      <c r="C6785" s="50" t="s">
        <v>579</v>
      </c>
      <c r="D6785" s="50" t="s">
        <v>259</v>
      </c>
      <c r="E6785" s="50">
        <v>0</v>
      </c>
      <c r="F6785" s="51">
        <v>0.31646404464529843</v>
      </c>
      <c r="G6785" s="51" t="str">
        <v>福井 2022/12/08 (木)
平日夜間</v>
      </c>
    </row>
    <row r="6786" spans="1:7" ht="16.149999999999999" x14ac:dyDescent="0.7">
      <c r="A6786" s="49">
        <v>44885.685005474537</v>
      </c>
      <c r="B6786" s="50" t="s">
        <v>10</v>
      </c>
      <c r="C6786" s="50" t="s">
        <v>580</v>
      </c>
      <c r="D6786" s="50" t="s">
        <v>259</v>
      </c>
      <c r="E6786" s="50">
        <v>-1</v>
      </c>
      <c r="F6786" s="51">
        <v>-0.31583365908508498</v>
      </c>
      <c r="G6786" s="51" t="str">
        <v>福井 2022/12/09 (金)
平日夜間</v>
      </c>
    </row>
    <row r="6787" spans="1:7" ht="16.149999999999999" x14ac:dyDescent="0.7">
      <c r="A6787" s="49">
        <v>44885.685005474537</v>
      </c>
      <c r="B6787" s="50" t="s">
        <v>10</v>
      </c>
      <c r="C6787" s="50" t="s">
        <v>581</v>
      </c>
      <c r="D6787" s="50" t="s">
        <v>263</v>
      </c>
      <c r="E6787" s="50">
        <v>-1</v>
      </c>
      <c r="F6787" s="51">
        <v>-0.88331128471782616</v>
      </c>
      <c r="G6787" s="51" t="str">
        <v>福井 2022/12/10 (土)
休日午前</v>
      </c>
    </row>
    <row r="6788" spans="1:7" ht="16.149999999999999" x14ac:dyDescent="0.7">
      <c r="A6788" s="49">
        <v>44885.685005474537</v>
      </c>
      <c r="B6788" s="50" t="s">
        <v>10</v>
      </c>
      <c r="C6788" s="50" t="s">
        <v>582</v>
      </c>
      <c r="D6788" s="50" t="s">
        <v>261</v>
      </c>
      <c r="E6788" s="50">
        <v>-1</v>
      </c>
      <c r="F6788" s="51">
        <v>-0.55179575072711451</v>
      </c>
      <c r="G6788" s="51" t="str">
        <v>福井 2022/12/10 (土)
休日午後</v>
      </c>
    </row>
    <row r="6789" spans="1:7" ht="16.149999999999999" x14ac:dyDescent="0.7">
      <c r="A6789" s="49">
        <v>44885.685005474537</v>
      </c>
      <c r="B6789" s="50" t="s">
        <v>10</v>
      </c>
      <c r="C6789" s="50" t="s">
        <v>583</v>
      </c>
      <c r="D6789" s="50" t="s">
        <v>263</v>
      </c>
      <c r="E6789" s="50">
        <v>-1</v>
      </c>
      <c r="F6789" s="51">
        <v>-0.21956459774737369</v>
      </c>
      <c r="G6789" s="51" t="str">
        <v>福井 2022/12/11 (日)
休日午前</v>
      </c>
    </row>
    <row r="6790" spans="1:7" ht="16.149999999999999" x14ac:dyDescent="0.7">
      <c r="A6790" s="49">
        <v>44885.685005474537</v>
      </c>
      <c r="B6790" s="50" t="s">
        <v>10</v>
      </c>
      <c r="C6790" s="50" t="s">
        <v>584</v>
      </c>
      <c r="D6790" s="50" t="s">
        <v>261</v>
      </c>
      <c r="E6790" s="50">
        <v>-1</v>
      </c>
      <c r="F6790" s="51">
        <v>-0.23986882349583505</v>
      </c>
      <c r="G6790" s="51" t="str">
        <v>福井 2022/12/11 (日)
休日午後</v>
      </c>
    </row>
    <row r="6791" spans="1:7" ht="16.149999999999999" x14ac:dyDescent="0.7">
      <c r="A6791" s="49">
        <v>44885.685005474537</v>
      </c>
      <c r="B6791" s="50" t="s">
        <v>10</v>
      </c>
      <c r="C6791" s="50" t="s">
        <v>585</v>
      </c>
      <c r="D6791" s="50" t="s">
        <v>259</v>
      </c>
      <c r="E6791" s="50">
        <v>0</v>
      </c>
      <c r="F6791" s="51">
        <v>0.79689476329827391</v>
      </c>
      <c r="G6791" s="51" t="str">
        <v>福井 2022/12/12 (月)
平日夜間</v>
      </c>
    </row>
    <row r="6792" spans="1:7" ht="16.149999999999999" x14ac:dyDescent="0.7">
      <c r="A6792" s="49">
        <v>44885.685005474537</v>
      </c>
      <c r="B6792" s="50" t="s">
        <v>10</v>
      </c>
      <c r="C6792" s="50" t="s">
        <v>586</v>
      </c>
      <c r="D6792" s="50" t="s">
        <v>259</v>
      </c>
      <c r="E6792" s="50">
        <v>-1</v>
      </c>
      <c r="F6792" s="51">
        <v>-0.92683790802317234</v>
      </c>
      <c r="G6792" s="51" t="str">
        <v>福井 2022/12/13 (火)
平日夜間</v>
      </c>
    </row>
    <row r="6793" spans="1:7" ht="16.149999999999999" x14ac:dyDescent="0.7">
      <c r="A6793" s="49">
        <v>44885.685005474537</v>
      </c>
      <c r="B6793" s="50" t="s">
        <v>10</v>
      </c>
      <c r="C6793" s="50" t="s">
        <v>587</v>
      </c>
      <c r="D6793" s="50" t="s">
        <v>259</v>
      </c>
      <c r="E6793" s="50">
        <v>-1</v>
      </c>
      <c r="F6793" s="51">
        <v>-0.41874166835853277</v>
      </c>
      <c r="G6793" s="51" t="str">
        <v>福井 2022/12/14 (水)
平日夜間</v>
      </c>
    </row>
    <row r="6794" spans="1:7" ht="16.149999999999999" x14ac:dyDescent="0.7">
      <c r="A6794" s="49">
        <v>44885.685005474537</v>
      </c>
      <c r="B6794" s="50" t="s">
        <v>10</v>
      </c>
      <c r="C6794" s="50" t="s">
        <v>588</v>
      </c>
      <c r="D6794" s="50" t="s">
        <v>259</v>
      </c>
      <c r="E6794" s="50">
        <v>-1</v>
      </c>
      <c r="F6794" s="51">
        <v>-0.28719947484612041</v>
      </c>
      <c r="G6794" s="51" t="str">
        <v>福井 2022/12/15 (木)
平日夜間</v>
      </c>
    </row>
    <row r="6795" spans="1:7" ht="16.149999999999999" x14ac:dyDescent="0.7">
      <c r="A6795" s="49">
        <v>44885.685005474537</v>
      </c>
      <c r="B6795" s="50" t="s">
        <v>10</v>
      </c>
      <c r="C6795" s="50" t="s">
        <v>589</v>
      </c>
      <c r="D6795" s="50" t="s">
        <v>259</v>
      </c>
      <c r="E6795" s="50">
        <v>-1</v>
      </c>
      <c r="F6795" s="51">
        <v>-9.6415665979094234E-2</v>
      </c>
      <c r="G6795" s="51" t="str">
        <v>福井 2022/12/16 (金)
平日夜間</v>
      </c>
    </row>
    <row r="6796" spans="1:7" ht="16.149999999999999" x14ac:dyDescent="0.7">
      <c r="A6796" s="49">
        <v>44885.685005474537</v>
      </c>
      <c r="B6796" s="50" t="s">
        <v>10</v>
      </c>
      <c r="C6796" s="50" t="s">
        <v>590</v>
      </c>
      <c r="D6796" s="50" t="s">
        <v>263</v>
      </c>
      <c r="E6796" s="50">
        <v>-1</v>
      </c>
      <c r="F6796" s="51">
        <v>-0.81105263463240718</v>
      </c>
      <c r="G6796" s="51" t="str">
        <v>福井 2022/12/17 (土)
休日午前</v>
      </c>
    </row>
    <row r="6797" spans="1:7" ht="16.149999999999999" x14ac:dyDescent="0.7">
      <c r="A6797" s="49">
        <v>44885.685005474537</v>
      </c>
      <c r="B6797" s="50" t="s">
        <v>10</v>
      </c>
      <c r="C6797" s="50" t="s">
        <v>591</v>
      </c>
      <c r="D6797" s="50" t="s">
        <v>261</v>
      </c>
      <c r="E6797" s="50">
        <v>-1</v>
      </c>
      <c r="F6797" s="51">
        <v>-0.47754784548203322</v>
      </c>
      <c r="G6797" s="51" t="str">
        <v>福井 2022/12/17 (土)
休日午後</v>
      </c>
    </row>
    <row r="6798" spans="1:7" ht="16.149999999999999" x14ac:dyDescent="0.7">
      <c r="A6798" s="49">
        <v>44885.685005474537</v>
      </c>
      <c r="B6798" s="50" t="s">
        <v>10</v>
      </c>
      <c r="C6798" s="50" t="s">
        <v>592</v>
      </c>
      <c r="D6798" s="50" t="s">
        <v>263</v>
      </c>
      <c r="E6798" s="50">
        <v>-1</v>
      </c>
      <c r="F6798" s="51">
        <v>-0.90724019595842309</v>
      </c>
      <c r="G6798" s="51" t="str">
        <v>福井 2022/12/18 (日)
休日午前</v>
      </c>
    </row>
    <row r="6799" spans="1:7" ht="16.149999999999999" x14ac:dyDescent="0.7">
      <c r="A6799" s="49">
        <v>44885.685005474537</v>
      </c>
      <c r="B6799" s="50" t="s">
        <v>10</v>
      </c>
      <c r="C6799" s="50" t="s">
        <v>593</v>
      </c>
      <c r="D6799" s="50" t="s">
        <v>261</v>
      </c>
      <c r="E6799" s="50">
        <v>-1</v>
      </c>
      <c r="F6799" s="51">
        <v>-0.89327603144467149</v>
      </c>
      <c r="G6799" s="51" t="str">
        <v>福井 2022/12/18 (日)
休日午後</v>
      </c>
    </row>
    <row r="6800" spans="1:7" ht="16.149999999999999" x14ac:dyDescent="0.7">
      <c r="A6800" s="49">
        <v>44885.685005474537</v>
      </c>
      <c r="B6800" s="50" t="s">
        <v>10</v>
      </c>
      <c r="C6800" s="50" t="s">
        <v>594</v>
      </c>
      <c r="D6800" s="50" t="s">
        <v>259</v>
      </c>
      <c r="E6800" s="50">
        <v>0</v>
      </c>
      <c r="F6800" s="51">
        <v>0.87780510464389727</v>
      </c>
      <c r="G6800" s="51" t="str">
        <v>福井 2022/12/19 (月)
平日夜間</v>
      </c>
    </row>
    <row r="6801" spans="1:7" ht="16.149999999999999" x14ac:dyDescent="0.7">
      <c r="A6801" s="49">
        <v>44885.685005474537</v>
      </c>
      <c r="B6801" s="50" t="s">
        <v>10</v>
      </c>
      <c r="C6801" s="50" t="s">
        <v>595</v>
      </c>
      <c r="D6801" s="50" t="s">
        <v>259</v>
      </c>
      <c r="E6801" s="50">
        <v>-1</v>
      </c>
      <c r="F6801" s="51">
        <v>-0.76918175772325625</v>
      </c>
      <c r="G6801" s="51" t="str">
        <v>福井 2022/12/20 (火)
平日夜間</v>
      </c>
    </row>
    <row r="6802" spans="1:7" ht="16.149999999999999" x14ac:dyDescent="0.7">
      <c r="A6802" s="49">
        <v>44885.685005474537</v>
      </c>
      <c r="B6802" s="50" t="s">
        <v>10</v>
      </c>
      <c r="C6802" s="50" t="s">
        <v>596</v>
      </c>
      <c r="D6802" s="50" t="s">
        <v>259</v>
      </c>
      <c r="E6802" s="50">
        <v>0</v>
      </c>
      <c r="F6802" s="51">
        <v>0.22242961978277442</v>
      </c>
      <c r="G6802" s="51" t="str">
        <v>福井 2022/12/21 (水)
平日夜間</v>
      </c>
    </row>
    <row r="6803" spans="1:7" ht="16.149999999999999" x14ac:dyDescent="0.7">
      <c r="A6803" s="49">
        <v>44885.685005474537</v>
      </c>
      <c r="B6803" s="50" t="s">
        <v>10</v>
      </c>
      <c r="C6803" s="50" t="s">
        <v>597</v>
      </c>
      <c r="D6803" s="50" t="s">
        <v>259</v>
      </c>
      <c r="E6803" s="50">
        <v>0</v>
      </c>
      <c r="F6803" s="51">
        <v>0.69513698764010345</v>
      </c>
      <c r="G6803" s="51" t="str">
        <v>福井 2022/12/22 (木)
平日夜間</v>
      </c>
    </row>
    <row r="6804" spans="1:7" ht="16.149999999999999" x14ac:dyDescent="0.7">
      <c r="A6804" s="49">
        <v>44885.685005474537</v>
      </c>
      <c r="B6804" s="50" t="s">
        <v>10</v>
      </c>
      <c r="C6804" s="50" t="s">
        <v>598</v>
      </c>
      <c r="D6804" s="50" t="s">
        <v>259</v>
      </c>
      <c r="E6804" s="50">
        <v>0</v>
      </c>
      <c r="F6804" s="51">
        <v>0.72018172654641721</v>
      </c>
      <c r="G6804" s="51" t="str">
        <v>福井 2022/12/23 (金)
平日夜間</v>
      </c>
    </row>
    <row r="6805" spans="1:7" ht="16.149999999999999" x14ac:dyDescent="0.7">
      <c r="A6805" s="49">
        <v>44885.685005474537</v>
      </c>
      <c r="B6805" s="50" t="s">
        <v>10</v>
      </c>
      <c r="C6805" s="50" t="s">
        <v>599</v>
      </c>
      <c r="D6805" s="50" t="s">
        <v>263</v>
      </c>
      <c r="E6805" s="50">
        <v>0</v>
      </c>
      <c r="F6805" s="51">
        <v>0.38808231565226348</v>
      </c>
      <c r="G6805" s="51" t="str">
        <v>福井 2022/12/24 (土)
休日午前</v>
      </c>
    </row>
    <row r="6806" spans="1:7" ht="16.149999999999999" x14ac:dyDescent="0.7">
      <c r="A6806" s="49">
        <v>44885.685005474537</v>
      </c>
      <c r="B6806" s="50" t="s">
        <v>10</v>
      </c>
      <c r="C6806" s="50" t="s">
        <v>600</v>
      </c>
      <c r="D6806" s="50" t="s">
        <v>261</v>
      </c>
      <c r="E6806" s="50">
        <v>0</v>
      </c>
      <c r="F6806" s="51">
        <v>0.61546686596529998</v>
      </c>
      <c r="G6806" s="51" t="str">
        <v>福井 2022/12/24 (土)
休日午後</v>
      </c>
    </row>
    <row r="6807" spans="1:7" ht="16.149999999999999" x14ac:dyDescent="0.7">
      <c r="A6807" s="49">
        <v>44885.685005474537</v>
      </c>
      <c r="B6807" s="50" t="s">
        <v>10</v>
      </c>
      <c r="C6807" s="50" t="s">
        <v>601</v>
      </c>
      <c r="D6807" s="50" t="s">
        <v>263</v>
      </c>
      <c r="E6807" s="50">
        <v>-1</v>
      </c>
      <c r="F6807" s="51">
        <v>-0.57955794527509696</v>
      </c>
      <c r="G6807" s="51" t="str">
        <v>福井 2022/12/25 (日)
休日午前</v>
      </c>
    </row>
    <row r="6808" spans="1:7" ht="16.149999999999999" x14ac:dyDescent="0.7">
      <c r="A6808" s="49">
        <v>44885.685005474537</v>
      </c>
      <c r="B6808" s="50" t="s">
        <v>10</v>
      </c>
      <c r="C6808" s="50" t="s">
        <v>602</v>
      </c>
      <c r="D6808" s="50" t="s">
        <v>261</v>
      </c>
      <c r="E6808" s="50">
        <v>-1</v>
      </c>
      <c r="F6808" s="51">
        <v>-0.58601896472105208</v>
      </c>
      <c r="G6808" s="51" t="str">
        <v>福井 2022/12/25 (日)
休日午後</v>
      </c>
    </row>
    <row r="6809" spans="1:7" ht="16.149999999999999" x14ac:dyDescent="0.7">
      <c r="A6809" s="49">
        <v>44885.685005474537</v>
      </c>
      <c r="B6809" s="50" t="s">
        <v>10</v>
      </c>
      <c r="C6809" s="50" t="s">
        <v>603</v>
      </c>
      <c r="D6809" s="50" t="s">
        <v>259</v>
      </c>
      <c r="E6809" s="50">
        <v>2</v>
      </c>
      <c r="F6809" s="51">
        <v>2.7264911810123942</v>
      </c>
      <c r="G6809" s="51" t="str">
        <v>福井 2022/12/26 (月)
平日夜間</v>
      </c>
    </row>
    <row r="6810" spans="1:7" ht="16.149999999999999" x14ac:dyDescent="0.7">
      <c r="A6810" s="49">
        <v>44885.685005474537</v>
      </c>
      <c r="B6810" s="50" t="s">
        <v>10</v>
      </c>
      <c r="C6810" s="50" t="s">
        <v>604</v>
      </c>
      <c r="D6810" s="50" t="s">
        <v>259</v>
      </c>
      <c r="E6810" s="50">
        <v>-1</v>
      </c>
      <c r="F6810" s="51">
        <v>-1.0459200804702196E-3</v>
      </c>
      <c r="G6810" s="51" t="str">
        <v>福井 2022/12/27 (火)
平日夜間</v>
      </c>
    </row>
    <row r="6811" spans="1:7" ht="16.149999999999999" x14ac:dyDescent="0.7">
      <c r="A6811" s="49">
        <v>44885.685005474537</v>
      </c>
      <c r="B6811" s="50" t="s">
        <v>10</v>
      </c>
      <c r="C6811" s="50" t="s">
        <v>605</v>
      </c>
      <c r="D6811" s="50" t="s">
        <v>259</v>
      </c>
      <c r="E6811" s="50">
        <v>0</v>
      </c>
      <c r="F6811" s="51">
        <v>0.83215219680261798</v>
      </c>
      <c r="G6811" s="51" t="str">
        <v>福井 2022/12/28 (水)
平日夜間</v>
      </c>
    </row>
    <row r="6812" spans="1:7" ht="16.149999999999999" x14ac:dyDescent="0.7">
      <c r="A6812" s="49">
        <v>44886.972689710645</v>
      </c>
      <c r="B6812" s="50" t="s">
        <v>6</v>
      </c>
      <c r="C6812" s="50" t="s">
        <v>570</v>
      </c>
      <c r="D6812" s="50" t="s">
        <v>259</v>
      </c>
      <c r="E6812" s="50">
        <v>1</v>
      </c>
      <c r="F6812" s="51">
        <v>1.7039257317156178</v>
      </c>
      <c r="G6812" s="51" t="str">
        <v>西谷 2022/12/01 (木)
平日夜間</v>
      </c>
    </row>
    <row r="6813" spans="1:7" ht="16.149999999999999" x14ac:dyDescent="0.7">
      <c r="A6813" s="49">
        <v>44886.972689710645</v>
      </c>
      <c r="B6813" s="50" t="s">
        <v>6</v>
      </c>
      <c r="C6813" s="50" t="s">
        <v>571</v>
      </c>
      <c r="D6813" s="50" t="s">
        <v>259</v>
      </c>
      <c r="E6813" s="50">
        <v>-1</v>
      </c>
      <c r="F6813" s="51">
        <v>-0.5065508736426183</v>
      </c>
      <c r="G6813" s="51" t="str">
        <v>西谷 2022/12/02 (金)
平日夜間</v>
      </c>
    </row>
    <row r="6814" spans="1:7" ht="16.149999999999999" x14ac:dyDescent="0.7">
      <c r="A6814" s="49">
        <v>44886.972689710645</v>
      </c>
      <c r="B6814" s="50" t="s">
        <v>6</v>
      </c>
      <c r="C6814" s="50" t="s">
        <v>572</v>
      </c>
      <c r="D6814" s="50" t="s">
        <v>263</v>
      </c>
      <c r="E6814" s="50">
        <v>-1</v>
      </c>
      <c r="F6814" s="51">
        <v>-0.33405859763010826</v>
      </c>
      <c r="G6814" s="51" t="str">
        <v>西谷 2022/12/03 (土)
休日午前</v>
      </c>
    </row>
    <row r="6815" spans="1:7" ht="16.149999999999999" x14ac:dyDescent="0.7">
      <c r="A6815" s="49">
        <v>44886.972689710645</v>
      </c>
      <c r="B6815" s="50" t="s">
        <v>6</v>
      </c>
      <c r="C6815" s="50" t="s">
        <v>573</v>
      </c>
      <c r="D6815" s="50" t="s">
        <v>261</v>
      </c>
      <c r="E6815" s="50">
        <v>-1</v>
      </c>
      <c r="F6815" s="51">
        <v>-0.35427624666817414</v>
      </c>
      <c r="G6815" s="51" t="str">
        <v>西谷 2022/12/03 (土)
休日午後</v>
      </c>
    </row>
    <row r="6816" spans="1:7" ht="16.149999999999999" x14ac:dyDescent="0.7">
      <c r="A6816" s="49">
        <v>44886.972689710645</v>
      </c>
      <c r="B6816" s="50" t="s">
        <v>6</v>
      </c>
      <c r="C6816" s="50" t="s">
        <v>574</v>
      </c>
      <c r="D6816" s="50" t="s">
        <v>263</v>
      </c>
      <c r="E6816" s="50">
        <v>-1</v>
      </c>
      <c r="F6816" s="51">
        <v>-0.55020994131254919</v>
      </c>
      <c r="G6816" s="51" t="str">
        <v>西谷 2022/12/04 (日)
休日午前</v>
      </c>
    </row>
    <row r="6817" spans="1:7" ht="16.149999999999999" x14ac:dyDescent="0.7">
      <c r="A6817" s="49">
        <v>44886.972689710645</v>
      </c>
      <c r="B6817" s="50" t="s">
        <v>6</v>
      </c>
      <c r="C6817" s="50" t="s">
        <v>575</v>
      </c>
      <c r="D6817" s="50" t="s">
        <v>261</v>
      </c>
      <c r="E6817" s="50">
        <v>-1</v>
      </c>
      <c r="F6817" s="51">
        <v>-0.23403286072913643</v>
      </c>
      <c r="G6817" s="51" t="str">
        <v>西谷 2022/12/04 (日)
休日午後</v>
      </c>
    </row>
    <row r="6818" spans="1:7" ht="16.149999999999999" x14ac:dyDescent="0.7">
      <c r="A6818" s="49">
        <v>44886.972689710645</v>
      </c>
      <c r="B6818" s="50" t="s">
        <v>6</v>
      </c>
      <c r="C6818" s="50" t="s">
        <v>576</v>
      </c>
      <c r="D6818" s="50" t="s">
        <v>259</v>
      </c>
      <c r="E6818" s="50">
        <v>0</v>
      </c>
      <c r="F6818" s="51">
        <v>0.49970183189579753</v>
      </c>
      <c r="G6818" s="51" t="str">
        <v>西谷 2022/12/05 (月)
平日夜間</v>
      </c>
    </row>
    <row r="6819" spans="1:7" ht="16.149999999999999" x14ac:dyDescent="0.7">
      <c r="A6819" s="49">
        <v>44886.972689710645</v>
      </c>
      <c r="B6819" s="50" t="s">
        <v>6</v>
      </c>
      <c r="C6819" s="50" t="s">
        <v>577</v>
      </c>
      <c r="D6819" s="50" t="s">
        <v>259</v>
      </c>
      <c r="E6819" s="50">
        <v>0</v>
      </c>
      <c r="F6819" s="51">
        <v>0.76491528384798801</v>
      </c>
      <c r="G6819" s="51" t="str">
        <v>西谷 2022/12/06 (火)
平日夜間</v>
      </c>
    </row>
    <row r="6820" spans="1:7" ht="16.149999999999999" x14ac:dyDescent="0.7">
      <c r="A6820" s="49">
        <v>44886.972689710645</v>
      </c>
      <c r="B6820" s="50" t="s">
        <v>6</v>
      </c>
      <c r="C6820" s="50" t="s">
        <v>578</v>
      </c>
      <c r="D6820" s="50" t="s">
        <v>259</v>
      </c>
      <c r="E6820" s="50">
        <v>1</v>
      </c>
      <c r="F6820" s="51">
        <v>1.0121251042727848</v>
      </c>
      <c r="G6820" s="51" t="str">
        <v>西谷 2022/12/07 (水)
平日夜間</v>
      </c>
    </row>
    <row r="6821" spans="1:7" ht="16.149999999999999" x14ac:dyDescent="0.7">
      <c r="A6821" s="49">
        <v>44886.972689710645</v>
      </c>
      <c r="B6821" s="50" t="s">
        <v>6</v>
      </c>
      <c r="C6821" s="50" t="s">
        <v>579</v>
      </c>
      <c r="D6821" s="50" t="s">
        <v>259</v>
      </c>
      <c r="E6821" s="50">
        <v>0</v>
      </c>
      <c r="F6821" s="51">
        <v>3.73285753992183E-2</v>
      </c>
      <c r="G6821" s="51" t="str">
        <v>西谷 2022/12/08 (木)
平日夜間</v>
      </c>
    </row>
    <row r="6822" spans="1:7" ht="16.149999999999999" x14ac:dyDescent="0.7">
      <c r="A6822" s="49">
        <v>44886.972689710645</v>
      </c>
      <c r="B6822" s="50" t="s">
        <v>6</v>
      </c>
      <c r="C6822" s="50" t="s">
        <v>580</v>
      </c>
      <c r="D6822" s="50" t="s">
        <v>259</v>
      </c>
      <c r="E6822" s="50">
        <v>-1</v>
      </c>
      <c r="F6822" s="51">
        <v>-0.25577083785682375</v>
      </c>
      <c r="G6822" s="51" t="str">
        <v>西谷 2022/12/09 (金)
平日夜間</v>
      </c>
    </row>
    <row r="6823" spans="1:7" ht="16.149999999999999" x14ac:dyDescent="0.7">
      <c r="A6823" s="49">
        <v>44886.972689710645</v>
      </c>
      <c r="B6823" s="50" t="s">
        <v>6</v>
      </c>
      <c r="C6823" s="50" t="s">
        <v>581</v>
      </c>
      <c r="D6823" s="50" t="s">
        <v>263</v>
      </c>
      <c r="E6823" s="50">
        <v>-1</v>
      </c>
      <c r="F6823" s="51">
        <v>-0.44176182435426536</v>
      </c>
      <c r="G6823" s="51" t="str">
        <v>西谷 2022/12/10 (土)
休日午前</v>
      </c>
    </row>
    <row r="6824" spans="1:7" ht="16.149999999999999" x14ac:dyDescent="0.7">
      <c r="A6824" s="49">
        <v>44886.972689710645</v>
      </c>
      <c r="B6824" s="50" t="s">
        <v>6</v>
      </c>
      <c r="C6824" s="50" t="s">
        <v>582</v>
      </c>
      <c r="D6824" s="50" t="s">
        <v>261</v>
      </c>
      <c r="E6824" s="50">
        <v>-1</v>
      </c>
      <c r="F6824" s="51">
        <v>-0.27183538208629376</v>
      </c>
      <c r="G6824" s="51" t="str">
        <v>西谷 2022/12/10 (土)
休日午後</v>
      </c>
    </row>
    <row r="6825" spans="1:7" ht="16.149999999999999" x14ac:dyDescent="0.7">
      <c r="A6825" s="49">
        <v>44886.972689710645</v>
      </c>
      <c r="B6825" s="50" t="s">
        <v>6</v>
      </c>
      <c r="C6825" s="50" t="s">
        <v>583</v>
      </c>
      <c r="D6825" s="50" t="s">
        <v>263</v>
      </c>
      <c r="E6825" s="50">
        <v>-1</v>
      </c>
      <c r="F6825" s="51">
        <v>-5.4333951979995021E-2</v>
      </c>
      <c r="G6825" s="51" t="str">
        <v>西谷 2022/12/11 (日)
休日午前</v>
      </c>
    </row>
    <row r="6826" spans="1:7" ht="16.149999999999999" x14ac:dyDescent="0.7">
      <c r="A6826" s="49">
        <v>44886.972689710645</v>
      </c>
      <c r="B6826" s="50" t="s">
        <v>6</v>
      </c>
      <c r="C6826" s="50" t="s">
        <v>584</v>
      </c>
      <c r="D6826" s="50" t="s">
        <v>261</v>
      </c>
      <c r="E6826" s="50">
        <v>0</v>
      </c>
      <c r="F6826" s="51">
        <v>0.72586964893963191</v>
      </c>
      <c r="G6826" s="51" t="str">
        <v>西谷 2022/12/11 (日)
休日午後</v>
      </c>
    </row>
    <row r="6827" spans="1:7" ht="16.149999999999999" x14ac:dyDescent="0.7">
      <c r="A6827" s="49">
        <v>44886.972689710645</v>
      </c>
      <c r="B6827" s="50" t="s">
        <v>6</v>
      </c>
      <c r="C6827" s="50" t="s">
        <v>585</v>
      </c>
      <c r="D6827" s="50" t="s">
        <v>259</v>
      </c>
      <c r="E6827" s="50">
        <v>0</v>
      </c>
      <c r="F6827" s="51">
        <v>0.26450300610282573</v>
      </c>
      <c r="G6827" s="51" t="str">
        <v>西谷 2022/12/12 (月)
平日夜間</v>
      </c>
    </row>
    <row r="6828" spans="1:7" ht="16.149999999999999" x14ac:dyDescent="0.7">
      <c r="A6828" s="49">
        <v>44886.972689710645</v>
      </c>
      <c r="B6828" s="50" t="s">
        <v>6</v>
      </c>
      <c r="C6828" s="50" t="s">
        <v>586</v>
      </c>
      <c r="D6828" s="50" t="s">
        <v>259</v>
      </c>
      <c r="E6828" s="50">
        <v>0</v>
      </c>
      <c r="F6828" s="51">
        <v>0.33322044422946484</v>
      </c>
      <c r="G6828" s="51" t="str">
        <v>西谷 2022/12/13 (火)
平日夜間</v>
      </c>
    </row>
    <row r="6829" spans="1:7" ht="16.149999999999999" x14ac:dyDescent="0.7">
      <c r="A6829" s="49">
        <v>44886.972689710645</v>
      </c>
      <c r="B6829" s="50" t="s">
        <v>6</v>
      </c>
      <c r="C6829" s="50" t="s">
        <v>587</v>
      </c>
      <c r="D6829" s="50" t="s">
        <v>259</v>
      </c>
      <c r="E6829" s="50">
        <v>1</v>
      </c>
      <c r="F6829" s="51">
        <v>1.1706688689508293</v>
      </c>
      <c r="G6829" s="51" t="str">
        <v>西谷 2022/12/14 (水)
平日夜間</v>
      </c>
    </row>
    <row r="6830" spans="1:7" ht="16.149999999999999" x14ac:dyDescent="0.7">
      <c r="A6830" s="49">
        <v>44886.972689710645</v>
      </c>
      <c r="B6830" s="50" t="s">
        <v>6</v>
      </c>
      <c r="C6830" s="50" t="s">
        <v>588</v>
      </c>
      <c r="D6830" s="50" t="s">
        <v>259</v>
      </c>
      <c r="E6830" s="50">
        <v>0</v>
      </c>
      <c r="F6830" s="51">
        <v>0.93634767145226361</v>
      </c>
      <c r="G6830" s="51" t="str">
        <v>西谷 2022/12/15 (木)
平日夜間</v>
      </c>
    </row>
    <row r="6831" spans="1:7" ht="16.149999999999999" x14ac:dyDescent="0.7">
      <c r="A6831" s="49">
        <v>44886.972689710645</v>
      </c>
      <c r="B6831" s="50" t="s">
        <v>6</v>
      </c>
      <c r="C6831" s="50" t="s">
        <v>589</v>
      </c>
      <c r="D6831" s="50" t="s">
        <v>259</v>
      </c>
      <c r="E6831" s="50">
        <v>-1</v>
      </c>
      <c r="F6831" s="51">
        <v>-0.61595074537421968</v>
      </c>
      <c r="G6831" s="51" t="str">
        <v>西谷 2022/12/16 (金)
平日夜間</v>
      </c>
    </row>
    <row r="6832" spans="1:7" ht="16.149999999999999" x14ac:dyDescent="0.7">
      <c r="A6832" s="49">
        <v>44886.972689710645</v>
      </c>
      <c r="B6832" s="50" t="s">
        <v>6</v>
      </c>
      <c r="C6832" s="50" t="s">
        <v>590</v>
      </c>
      <c r="D6832" s="50" t="s">
        <v>263</v>
      </c>
      <c r="E6832" s="50">
        <v>-1</v>
      </c>
      <c r="F6832" s="51">
        <v>-0.80437377097814555</v>
      </c>
      <c r="G6832" s="51" t="str">
        <v>西谷 2022/12/17 (土)
休日午前</v>
      </c>
    </row>
    <row r="6833" spans="1:7" ht="16.149999999999999" x14ac:dyDescent="0.7">
      <c r="A6833" s="49">
        <v>44886.972689710645</v>
      </c>
      <c r="B6833" s="50" t="s">
        <v>6</v>
      </c>
      <c r="C6833" s="50" t="s">
        <v>591</v>
      </c>
      <c r="D6833" s="50" t="s">
        <v>261</v>
      </c>
      <c r="E6833" s="50">
        <v>-1</v>
      </c>
      <c r="F6833" s="51">
        <v>-0.11980227331325843</v>
      </c>
      <c r="G6833" s="51" t="str">
        <v>西谷 2022/12/17 (土)
休日午後</v>
      </c>
    </row>
    <row r="6834" spans="1:7" ht="16.149999999999999" x14ac:dyDescent="0.7">
      <c r="A6834" s="49">
        <v>44886.972689710645</v>
      </c>
      <c r="B6834" s="50" t="s">
        <v>6</v>
      </c>
      <c r="C6834" s="50" t="s">
        <v>592</v>
      </c>
      <c r="D6834" s="50" t="s">
        <v>263</v>
      </c>
      <c r="E6834" s="50">
        <v>-1</v>
      </c>
      <c r="F6834" s="51">
        <v>-0.17530024034246949</v>
      </c>
      <c r="G6834" s="51" t="str">
        <v>西谷 2022/12/18 (日)
休日午前</v>
      </c>
    </row>
    <row r="6835" spans="1:7" ht="16.149999999999999" x14ac:dyDescent="0.7">
      <c r="A6835" s="49">
        <v>44886.972689710645</v>
      </c>
      <c r="B6835" s="50" t="s">
        <v>6</v>
      </c>
      <c r="C6835" s="50" t="s">
        <v>593</v>
      </c>
      <c r="D6835" s="50" t="s">
        <v>261</v>
      </c>
      <c r="E6835" s="50">
        <v>-1</v>
      </c>
      <c r="F6835" s="51">
        <v>-0.56954033836945839</v>
      </c>
      <c r="G6835" s="51" t="str">
        <v>西谷 2022/12/18 (日)
休日午後</v>
      </c>
    </row>
    <row r="6836" spans="1:7" ht="16.149999999999999" x14ac:dyDescent="0.7">
      <c r="A6836" s="49">
        <v>44886.972689710645</v>
      </c>
      <c r="B6836" s="50" t="s">
        <v>6</v>
      </c>
      <c r="C6836" s="50" t="s">
        <v>594</v>
      </c>
      <c r="D6836" s="50" t="s">
        <v>259</v>
      </c>
      <c r="E6836" s="50">
        <v>0</v>
      </c>
      <c r="F6836" s="51">
        <v>2.7881232116635957E-2</v>
      </c>
      <c r="G6836" s="51" t="str">
        <v>西谷 2022/12/19 (月)
平日夜間</v>
      </c>
    </row>
    <row r="6837" spans="1:7" ht="16.149999999999999" x14ac:dyDescent="0.7">
      <c r="A6837" s="49">
        <v>44886.972689710645</v>
      </c>
      <c r="B6837" s="50" t="s">
        <v>6</v>
      </c>
      <c r="C6837" s="50" t="s">
        <v>595</v>
      </c>
      <c r="D6837" s="50" t="s">
        <v>259</v>
      </c>
      <c r="E6837" s="50">
        <v>0</v>
      </c>
      <c r="F6837" s="51">
        <v>0.14101771127056284</v>
      </c>
      <c r="G6837" s="51" t="str">
        <v>西谷 2022/12/20 (火)
平日夜間</v>
      </c>
    </row>
    <row r="6838" spans="1:7" ht="16.149999999999999" x14ac:dyDescent="0.7">
      <c r="A6838" s="49">
        <v>44886.972689710645</v>
      </c>
      <c r="B6838" s="50" t="s">
        <v>6</v>
      </c>
      <c r="C6838" s="50" t="s">
        <v>596</v>
      </c>
      <c r="D6838" s="50" t="s">
        <v>259</v>
      </c>
      <c r="E6838" s="50">
        <v>0</v>
      </c>
      <c r="F6838" s="51">
        <v>0.81599699886232879</v>
      </c>
      <c r="G6838" s="51" t="str">
        <v>西谷 2022/12/21 (水)
平日夜間</v>
      </c>
    </row>
    <row r="6839" spans="1:7" ht="16.149999999999999" x14ac:dyDescent="0.7">
      <c r="A6839" s="49">
        <v>44886.972689710645</v>
      </c>
      <c r="B6839" s="50" t="s">
        <v>6</v>
      </c>
      <c r="C6839" s="50" t="s">
        <v>597</v>
      </c>
      <c r="D6839" s="50" t="s">
        <v>259</v>
      </c>
      <c r="E6839" s="50">
        <v>2</v>
      </c>
      <c r="F6839" s="51">
        <v>2.422024798094256</v>
      </c>
      <c r="G6839" s="51" t="str">
        <v>西谷 2022/12/22 (木)
平日夜間</v>
      </c>
    </row>
    <row r="6840" spans="1:7" ht="16.149999999999999" x14ac:dyDescent="0.7">
      <c r="A6840" s="49">
        <v>44886.972689710645</v>
      </c>
      <c r="B6840" s="50" t="s">
        <v>6</v>
      </c>
      <c r="C6840" s="50" t="s">
        <v>598</v>
      </c>
      <c r="D6840" s="50" t="s">
        <v>259</v>
      </c>
      <c r="E6840" s="50">
        <v>0</v>
      </c>
      <c r="F6840" s="51">
        <v>0.37231384387149169</v>
      </c>
      <c r="G6840" s="51" t="str">
        <v>西谷 2022/12/23 (金)
平日夜間</v>
      </c>
    </row>
    <row r="6841" spans="1:7" ht="16.149999999999999" x14ac:dyDescent="0.7">
      <c r="A6841" s="49">
        <v>44886.972689710645</v>
      </c>
      <c r="B6841" s="50" t="s">
        <v>6</v>
      </c>
      <c r="C6841" s="50" t="s">
        <v>599</v>
      </c>
      <c r="D6841" s="50" t="s">
        <v>263</v>
      </c>
      <c r="E6841" s="50">
        <v>0</v>
      </c>
      <c r="F6841" s="51">
        <v>0.24644458867399055</v>
      </c>
      <c r="G6841" s="51" t="str">
        <v>西谷 2022/12/24 (土)
休日午前</v>
      </c>
    </row>
    <row r="6842" spans="1:7" ht="16.149999999999999" x14ac:dyDescent="0.7">
      <c r="A6842" s="49">
        <v>44886.972689710645</v>
      </c>
      <c r="B6842" s="50" t="s">
        <v>6</v>
      </c>
      <c r="C6842" s="50" t="s">
        <v>600</v>
      </c>
      <c r="D6842" s="50" t="s">
        <v>261</v>
      </c>
      <c r="E6842" s="50">
        <v>0</v>
      </c>
      <c r="F6842" s="51">
        <v>0.98098464099340377</v>
      </c>
      <c r="G6842" s="51" t="str">
        <v>西谷 2022/12/24 (土)
休日午後</v>
      </c>
    </row>
    <row r="6843" spans="1:7" ht="16.149999999999999" x14ac:dyDescent="0.7">
      <c r="A6843" s="49">
        <v>44886.972689710645</v>
      </c>
      <c r="B6843" s="50" t="s">
        <v>6</v>
      </c>
      <c r="C6843" s="50" t="s">
        <v>601</v>
      </c>
      <c r="D6843" s="50" t="s">
        <v>263</v>
      </c>
      <c r="E6843" s="50">
        <v>0</v>
      </c>
      <c r="F6843" s="51">
        <v>0.11213491508451567</v>
      </c>
      <c r="G6843" s="51" t="str">
        <v>西谷 2022/12/25 (日)
休日午前</v>
      </c>
    </row>
    <row r="6844" spans="1:7" ht="16.149999999999999" x14ac:dyDescent="0.7">
      <c r="A6844" s="49">
        <v>44886.972689710645</v>
      </c>
      <c r="B6844" s="50" t="s">
        <v>6</v>
      </c>
      <c r="C6844" s="50" t="s">
        <v>602</v>
      </c>
      <c r="D6844" s="50" t="s">
        <v>261</v>
      </c>
      <c r="E6844" s="50">
        <v>0</v>
      </c>
      <c r="F6844" s="51">
        <v>0.79980959525926987</v>
      </c>
      <c r="G6844" s="51" t="str">
        <v>西谷 2022/12/25 (日)
休日午後</v>
      </c>
    </row>
    <row r="6845" spans="1:7" ht="16.149999999999999" x14ac:dyDescent="0.7">
      <c r="A6845" s="49">
        <v>44886.972689710645</v>
      </c>
      <c r="B6845" s="50" t="s">
        <v>6</v>
      </c>
      <c r="C6845" s="50" t="s">
        <v>603</v>
      </c>
      <c r="D6845" s="50" t="s">
        <v>259</v>
      </c>
      <c r="E6845" s="50">
        <v>0</v>
      </c>
      <c r="F6845" s="51">
        <v>5.0322158533250505E-2</v>
      </c>
      <c r="G6845" s="51" t="str">
        <v>西谷 2022/12/26 (月)
平日夜間</v>
      </c>
    </row>
    <row r="6846" spans="1:7" ht="16.149999999999999" x14ac:dyDescent="0.7">
      <c r="A6846" s="49">
        <v>44886.972689710645</v>
      </c>
      <c r="B6846" s="50" t="s">
        <v>6</v>
      </c>
      <c r="C6846" s="50" t="s">
        <v>604</v>
      </c>
      <c r="D6846" s="50" t="s">
        <v>259</v>
      </c>
      <c r="E6846" s="50">
        <v>0</v>
      </c>
      <c r="F6846" s="51">
        <v>0.54157475126975929</v>
      </c>
      <c r="G6846" s="51" t="str">
        <v>西谷 2022/12/27 (火)
平日夜間</v>
      </c>
    </row>
    <row r="6847" spans="1:7" ht="16.149999999999999" x14ac:dyDescent="0.7">
      <c r="A6847" s="49">
        <v>44886.972689710645</v>
      </c>
      <c r="B6847" s="50" t="s">
        <v>6</v>
      </c>
      <c r="C6847" s="50" t="s">
        <v>605</v>
      </c>
      <c r="D6847" s="50" t="s">
        <v>259</v>
      </c>
      <c r="E6847" s="50">
        <v>0</v>
      </c>
      <c r="F6847" s="51">
        <v>0.77936759672897904</v>
      </c>
      <c r="G6847" s="51" t="str">
        <v>西谷 2022/12/28 (水)
平日夜間</v>
      </c>
    </row>
    <row r="6848" spans="1:7" ht="16.149999999999999" x14ac:dyDescent="0.7">
      <c r="A6848" s="49">
        <v>44888.42109304398</v>
      </c>
      <c r="B6848" s="50" t="s">
        <v>38</v>
      </c>
      <c r="C6848" s="50" t="s">
        <v>570</v>
      </c>
      <c r="D6848" s="50" t="s">
        <v>259</v>
      </c>
      <c r="E6848" s="50">
        <v>0</v>
      </c>
      <c r="F6848" s="51">
        <v>9.4338062204606166E-2</v>
      </c>
      <c r="G6848" s="51" t="str">
        <v>森岳 2022/12/01 (木)
平日夜間</v>
      </c>
    </row>
    <row r="6849" spans="1:7" ht="16.149999999999999" x14ac:dyDescent="0.7">
      <c r="A6849" s="49">
        <v>44888.42109304398</v>
      </c>
      <c r="B6849" s="50" t="s">
        <v>38</v>
      </c>
      <c r="C6849" s="50" t="s">
        <v>571</v>
      </c>
      <c r="D6849" s="50" t="s">
        <v>259</v>
      </c>
      <c r="E6849" s="50">
        <v>0</v>
      </c>
      <c r="F6849" s="51">
        <v>0.62221293300810454</v>
      </c>
      <c r="G6849" s="51" t="str">
        <v>森岳 2022/12/02 (金)
平日夜間</v>
      </c>
    </row>
    <row r="6850" spans="1:7" ht="16.149999999999999" x14ac:dyDescent="0.7">
      <c r="A6850" s="49">
        <v>44888.42109304398</v>
      </c>
      <c r="B6850" s="50" t="s">
        <v>38</v>
      </c>
      <c r="C6850" s="50" t="s">
        <v>572</v>
      </c>
      <c r="D6850" s="50" t="s">
        <v>263</v>
      </c>
      <c r="E6850" s="50">
        <v>-1</v>
      </c>
      <c r="F6850" s="51">
        <v>-0.8497577155470275</v>
      </c>
      <c r="G6850" s="51" t="str">
        <v>森岳 2022/12/03 (土)
休日午前</v>
      </c>
    </row>
    <row r="6851" spans="1:7" ht="16.149999999999999" x14ac:dyDescent="0.7">
      <c r="A6851" s="49">
        <v>44888.42109304398</v>
      </c>
      <c r="B6851" s="50" t="s">
        <v>38</v>
      </c>
      <c r="C6851" s="50" t="s">
        <v>573</v>
      </c>
      <c r="D6851" s="50" t="s">
        <v>261</v>
      </c>
      <c r="E6851" s="50">
        <v>-1</v>
      </c>
      <c r="F6851" s="51">
        <v>-0.70750642387502483</v>
      </c>
      <c r="G6851" s="51" t="str">
        <v>森岳 2022/12/03 (土)
休日午後</v>
      </c>
    </row>
    <row r="6852" spans="1:7" ht="16.149999999999999" x14ac:dyDescent="0.7">
      <c r="A6852" s="49">
        <v>44888.42109304398</v>
      </c>
      <c r="B6852" s="50" t="s">
        <v>38</v>
      </c>
      <c r="C6852" s="50" t="s">
        <v>574</v>
      </c>
      <c r="D6852" s="50" t="s">
        <v>263</v>
      </c>
      <c r="E6852" s="50">
        <v>-1</v>
      </c>
      <c r="F6852" s="51">
        <v>-0.66461178972773971</v>
      </c>
      <c r="G6852" s="51" t="str">
        <v>森岳 2022/12/04 (日)
休日午前</v>
      </c>
    </row>
    <row r="6853" spans="1:7" ht="16.149999999999999" x14ac:dyDescent="0.7">
      <c r="A6853" s="49">
        <v>44888.42109304398</v>
      </c>
      <c r="B6853" s="50" t="s">
        <v>38</v>
      </c>
      <c r="C6853" s="50" t="s">
        <v>575</v>
      </c>
      <c r="D6853" s="50" t="s">
        <v>261</v>
      </c>
      <c r="E6853" s="50">
        <v>-1</v>
      </c>
      <c r="F6853" s="51">
        <v>-7.6341515741276789E-2</v>
      </c>
      <c r="G6853" s="51" t="str">
        <v>森岳 2022/12/04 (日)
休日午後</v>
      </c>
    </row>
    <row r="6854" spans="1:7" ht="16.149999999999999" x14ac:dyDescent="0.7">
      <c r="A6854" s="49">
        <v>44888.42109304398</v>
      </c>
      <c r="B6854" s="50" t="s">
        <v>38</v>
      </c>
      <c r="C6854" s="50" t="s">
        <v>576</v>
      </c>
      <c r="D6854" s="50" t="s">
        <v>259</v>
      </c>
      <c r="E6854" s="50">
        <v>0</v>
      </c>
      <c r="F6854" s="51">
        <v>0.78754239538987458</v>
      </c>
      <c r="G6854" s="51" t="str">
        <v>森岳 2022/12/05 (月)
平日夜間</v>
      </c>
    </row>
    <row r="6855" spans="1:7" ht="16.149999999999999" x14ac:dyDescent="0.7">
      <c r="A6855" s="49">
        <v>44888.42109304398</v>
      </c>
      <c r="B6855" s="50" t="s">
        <v>38</v>
      </c>
      <c r="C6855" s="50" t="s">
        <v>577</v>
      </c>
      <c r="D6855" s="50" t="s">
        <v>259</v>
      </c>
      <c r="E6855" s="50">
        <v>-1</v>
      </c>
      <c r="F6855" s="51">
        <v>-0.1224894796976892</v>
      </c>
      <c r="G6855" s="51" t="str">
        <v>森岳 2022/12/06 (火)
平日夜間</v>
      </c>
    </row>
    <row r="6856" spans="1:7" ht="16.149999999999999" x14ac:dyDescent="0.7">
      <c r="A6856" s="49">
        <v>44888.42109304398</v>
      </c>
      <c r="B6856" s="50" t="s">
        <v>38</v>
      </c>
      <c r="C6856" s="50" t="s">
        <v>578</v>
      </c>
      <c r="D6856" s="50" t="s">
        <v>259</v>
      </c>
      <c r="E6856" s="50">
        <v>-1</v>
      </c>
      <c r="F6856" s="51">
        <v>-0.45954362890249079</v>
      </c>
      <c r="G6856" s="51" t="str">
        <v>森岳 2022/12/07 (水)
平日夜間</v>
      </c>
    </row>
    <row r="6857" spans="1:7" ht="16.149999999999999" x14ac:dyDescent="0.7">
      <c r="A6857" s="49">
        <v>44888.42109304398</v>
      </c>
      <c r="B6857" s="50" t="s">
        <v>38</v>
      </c>
      <c r="C6857" s="50" t="s">
        <v>579</v>
      </c>
      <c r="D6857" s="50" t="s">
        <v>259</v>
      </c>
      <c r="E6857" s="50">
        <v>0</v>
      </c>
      <c r="F6857" s="51">
        <v>0.43977893628961073</v>
      </c>
      <c r="G6857" s="51" t="str">
        <v>森岳 2022/12/08 (木)
平日夜間</v>
      </c>
    </row>
    <row r="6858" spans="1:7" ht="16.149999999999999" x14ac:dyDescent="0.7">
      <c r="A6858" s="49">
        <v>44888.42109304398</v>
      </c>
      <c r="B6858" s="50" t="s">
        <v>38</v>
      </c>
      <c r="C6858" s="50" t="s">
        <v>580</v>
      </c>
      <c r="D6858" s="50" t="s">
        <v>259</v>
      </c>
      <c r="E6858" s="50">
        <v>0</v>
      </c>
      <c r="F6858" s="51">
        <v>0.91717601567951701</v>
      </c>
      <c r="G6858" s="51" t="str">
        <v>森岳 2022/12/09 (金)
平日夜間</v>
      </c>
    </row>
    <row r="6859" spans="1:7" ht="16.149999999999999" x14ac:dyDescent="0.7">
      <c r="A6859" s="49">
        <v>44888.42109304398</v>
      </c>
      <c r="B6859" s="50" t="s">
        <v>38</v>
      </c>
      <c r="C6859" s="50" t="s">
        <v>581</v>
      </c>
      <c r="D6859" s="50" t="s">
        <v>263</v>
      </c>
      <c r="E6859" s="50">
        <v>2</v>
      </c>
      <c r="F6859" s="51">
        <v>2.2606903132500711</v>
      </c>
      <c r="G6859" s="51" t="str">
        <v>森岳 2022/12/10 (土)
休日午前</v>
      </c>
    </row>
    <row r="6860" spans="1:7" ht="16.149999999999999" x14ac:dyDescent="0.7">
      <c r="A6860" s="49">
        <v>44888.42109304398</v>
      </c>
      <c r="B6860" s="50" t="s">
        <v>38</v>
      </c>
      <c r="C6860" s="50" t="s">
        <v>582</v>
      </c>
      <c r="D6860" s="50" t="s">
        <v>261</v>
      </c>
      <c r="E6860" s="50">
        <v>-1</v>
      </c>
      <c r="F6860" s="51">
        <v>-0.48835299418068767</v>
      </c>
      <c r="G6860" s="51" t="str">
        <v>森岳 2022/12/10 (土)
休日午後</v>
      </c>
    </row>
    <row r="6861" spans="1:7" ht="16.149999999999999" x14ac:dyDescent="0.7">
      <c r="A6861" s="49">
        <v>44888.42109304398</v>
      </c>
      <c r="B6861" s="50" t="s">
        <v>38</v>
      </c>
      <c r="C6861" s="50" t="s">
        <v>583</v>
      </c>
      <c r="D6861" s="50" t="s">
        <v>263</v>
      </c>
      <c r="E6861" s="50">
        <v>1</v>
      </c>
      <c r="F6861" s="51">
        <v>1.680979422328386</v>
      </c>
      <c r="G6861" s="51" t="str">
        <v>森岳 2022/12/11 (日)
休日午前</v>
      </c>
    </row>
    <row r="6862" spans="1:7" ht="16.149999999999999" x14ac:dyDescent="0.7">
      <c r="A6862" s="49">
        <v>44888.42109304398</v>
      </c>
      <c r="B6862" s="50" t="s">
        <v>38</v>
      </c>
      <c r="C6862" s="50" t="s">
        <v>584</v>
      </c>
      <c r="D6862" s="50" t="s">
        <v>261</v>
      </c>
      <c r="E6862" s="50">
        <v>-1</v>
      </c>
      <c r="F6862" s="51">
        <v>-0.76743255967725443</v>
      </c>
      <c r="G6862" s="51" t="str">
        <v>森岳 2022/12/11 (日)
休日午後</v>
      </c>
    </row>
    <row r="6863" spans="1:7" ht="16.149999999999999" x14ac:dyDescent="0.7">
      <c r="A6863" s="49">
        <v>44888.42109304398</v>
      </c>
      <c r="B6863" s="50" t="s">
        <v>38</v>
      </c>
      <c r="C6863" s="50" t="s">
        <v>585</v>
      </c>
      <c r="D6863" s="50" t="s">
        <v>259</v>
      </c>
      <c r="E6863" s="50">
        <v>0</v>
      </c>
      <c r="F6863" s="51">
        <v>0.53839458340610347</v>
      </c>
      <c r="G6863" s="51" t="str">
        <v>森岳 2022/12/12 (月)
平日夜間</v>
      </c>
    </row>
    <row r="6864" spans="1:7" ht="16.149999999999999" x14ac:dyDescent="0.7">
      <c r="A6864" s="49">
        <v>44888.42109304398</v>
      </c>
      <c r="B6864" s="50" t="s">
        <v>38</v>
      </c>
      <c r="C6864" s="50" t="s">
        <v>586</v>
      </c>
      <c r="D6864" s="50" t="s">
        <v>259</v>
      </c>
      <c r="E6864" s="50">
        <v>0</v>
      </c>
      <c r="F6864" s="51">
        <v>0.74935925637677059</v>
      </c>
      <c r="G6864" s="51" t="str">
        <v>森岳 2022/12/13 (火)
平日夜間</v>
      </c>
    </row>
    <row r="6865" spans="1:7" ht="16.149999999999999" x14ac:dyDescent="0.7">
      <c r="A6865" s="49">
        <v>44888.42109304398</v>
      </c>
      <c r="B6865" s="50" t="s">
        <v>38</v>
      </c>
      <c r="C6865" s="50" t="s">
        <v>587</v>
      </c>
      <c r="D6865" s="50" t="s">
        <v>259</v>
      </c>
      <c r="E6865" s="50">
        <v>-1</v>
      </c>
      <c r="F6865" s="51">
        <v>-0.27883368050157697</v>
      </c>
      <c r="G6865" s="51" t="str">
        <v>森岳 2022/12/14 (水)
平日夜間</v>
      </c>
    </row>
    <row r="6866" spans="1:7" ht="16.149999999999999" x14ac:dyDescent="0.7">
      <c r="A6866" s="49">
        <v>44888.42109304398</v>
      </c>
      <c r="B6866" s="50" t="s">
        <v>38</v>
      </c>
      <c r="C6866" s="50" t="s">
        <v>588</v>
      </c>
      <c r="D6866" s="50" t="s">
        <v>259</v>
      </c>
      <c r="E6866" s="50">
        <v>0</v>
      </c>
      <c r="F6866" s="51">
        <v>0.98729145339072111</v>
      </c>
      <c r="G6866" s="51" t="str">
        <v>森岳 2022/12/15 (木)
平日夜間</v>
      </c>
    </row>
    <row r="6867" spans="1:7" ht="16.149999999999999" x14ac:dyDescent="0.7">
      <c r="A6867" s="49">
        <v>44888.42109304398</v>
      </c>
      <c r="B6867" s="50" t="s">
        <v>38</v>
      </c>
      <c r="C6867" s="50" t="s">
        <v>589</v>
      </c>
      <c r="D6867" s="50" t="s">
        <v>259</v>
      </c>
      <c r="E6867" s="50">
        <v>0</v>
      </c>
      <c r="F6867" s="51">
        <v>0.15151302651945286</v>
      </c>
      <c r="G6867" s="51" t="str">
        <v>森岳 2022/12/16 (金)
平日夜間</v>
      </c>
    </row>
    <row r="6868" spans="1:7" ht="16.149999999999999" x14ac:dyDescent="0.7">
      <c r="A6868" s="49">
        <v>44888.42109304398</v>
      </c>
      <c r="B6868" s="50" t="s">
        <v>38</v>
      </c>
      <c r="C6868" s="50" t="s">
        <v>590</v>
      </c>
      <c r="D6868" s="50" t="s">
        <v>263</v>
      </c>
      <c r="E6868" s="50">
        <v>-1</v>
      </c>
      <c r="F6868" s="51">
        <v>-0.41214951311919923</v>
      </c>
      <c r="G6868" s="51" t="str">
        <v>森岳 2022/12/17 (土)
休日午前</v>
      </c>
    </row>
    <row r="6869" spans="1:7" ht="16.149999999999999" x14ac:dyDescent="0.7">
      <c r="A6869" s="49">
        <v>44888.42109304398</v>
      </c>
      <c r="B6869" s="50" t="s">
        <v>38</v>
      </c>
      <c r="C6869" s="50" t="s">
        <v>591</v>
      </c>
      <c r="D6869" s="50" t="s">
        <v>261</v>
      </c>
      <c r="E6869" s="50">
        <v>0</v>
      </c>
      <c r="F6869" s="51">
        <v>0.28025638639958417</v>
      </c>
      <c r="G6869" s="51" t="str">
        <v>森岳 2022/12/17 (土)
休日午後</v>
      </c>
    </row>
    <row r="6870" spans="1:7" ht="16.149999999999999" x14ac:dyDescent="0.7">
      <c r="A6870" s="49">
        <v>44888.42109304398</v>
      </c>
      <c r="B6870" s="50" t="s">
        <v>38</v>
      </c>
      <c r="C6870" s="50" t="s">
        <v>592</v>
      </c>
      <c r="D6870" s="50" t="s">
        <v>263</v>
      </c>
      <c r="E6870" s="50">
        <v>-1</v>
      </c>
      <c r="F6870" s="51">
        <v>-0.59896281761478387</v>
      </c>
      <c r="G6870" s="51" t="str">
        <v>森岳 2022/12/18 (日)
休日午前</v>
      </c>
    </row>
    <row r="6871" spans="1:7" ht="16.149999999999999" x14ac:dyDescent="0.7">
      <c r="A6871" s="49">
        <v>44888.42109304398</v>
      </c>
      <c r="B6871" s="50" t="s">
        <v>38</v>
      </c>
      <c r="C6871" s="50" t="s">
        <v>593</v>
      </c>
      <c r="D6871" s="50" t="s">
        <v>261</v>
      </c>
      <c r="E6871" s="50">
        <v>-1</v>
      </c>
      <c r="F6871" s="51">
        <v>-0.83102797980713206</v>
      </c>
      <c r="G6871" s="51" t="str">
        <v>森岳 2022/12/18 (日)
休日午後</v>
      </c>
    </row>
    <row r="6872" spans="1:7" ht="16.149999999999999" x14ac:dyDescent="0.7">
      <c r="A6872" s="49">
        <v>44888.42109304398</v>
      </c>
      <c r="B6872" s="50" t="s">
        <v>38</v>
      </c>
      <c r="C6872" s="50" t="s">
        <v>594</v>
      </c>
      <c r="D6872" s="50" t="s">
        <v>259</v>
      </c>
      <c r="E6872" s="50">
        <v>0</v>
      </c>
      <c r="F6872" s="51">
        <v>0.34018362825372384</v>
      </c>
      <c r="G6872" s="51" t="str">
        <v>森岳 2022/12/19 (月)
平日夜間</v>
      </c>
    </row>
    <row r="6873" spans="1:7" ht="16.149999999999999" x14ac:dyDescent="0.7">
      <c r="A6873" s="49">
        <v>44888.42109304398</v>
      </c>
      <c r="B6873" s="50" t="s">
        <v>38</v>
      </c>
      <c r="C6873" s="50" t="s">
        <v>595</v>
      </c>
      <c r="D6873" s="50" t="s">
        <v>259</v>
      </c>
      <c r="E6873" s="50">
        <v>0</v>
      </c>
      <c r="F6873" s="51">
        <v>0.13361971005246165</v>
      </c>
      <c r="G6873" s="51" t="str">
        <v>森岳 2022/12/20 (火)
平日夜間</v>
      </c>
    </row>
    <row r="6874" spans="1:7" ht="16.149999999999999" x14ac:dyDescent="0.7">
      <c r="A6874" s="49">
        <v>44888.42109304398</v>
      </c>
      <c r="B6874" s="50" t="s">
        <v>38</v>
      </c>
      <c r="C6874" s="50" t="s">
        <v>596</v>
      </c>
      <c r="D6874" s="50" t="s">
        <v>259</v>
      </c>
      <c r="E6874" s="50">
        <v>0</v>
      </c>
      <c r="F6874" s="51">
        <v>0.50290512554961686</v>
      </c>
      <c r="G6874" s="51" t="str">
        <v>森岳 2022/12/21 (水)
平日夜間</v>
      </c>
    </row>
    <row r="6875" spans="1:7" ht="16.149999999999999" x14ac:dyDescent="0.7">
      <c r="A6875" s="49">
        <v>44888.42109304398</v>
      </c>
      <c r="B6875" s="50" t="s">
        <v>38</v>
      </c>
      <c r="C6875" s="50" t="s">
        <v>597</v>
      </c>
      <c r="D6875" s="50" t="s">
        <v>259</v>
      </c>
      <c r="E6875" s="50">
        <v>0</v>
      </c>
      <c r="F6875" s="51">
        <v>0.49256442327606131</v>
      </c>
      <c r="G6875" s="51" t="str">
        <v>森岳 2022/12/22 (木)
平日夜間</v>
      </c>
    </row>
    <row r="6876" spans="1:7" ht="16.149999999999999" x14ac:dyDescent="0.7">
      <c r="A6876" s="49">
        <v>44888.42109304398</v>
      </c>
      <c r="B6876" s="50" t="s">
        <v>38</v>
      </c>
      <c r="C6876" s="50" t="s">
        <v>598</v>
      </c>
      <c r="D6876" s="50" t="s">
        <v>259</v>
      </c>
      <c r="E6876" s="50">
        <v>0</v>
      </c>
      <c r="F6876" s="51">
        <v>0.67157177128421841</v>
      </c>
      <c r="G6876" s="51" t="str">
        <v>森岳 2022/12/23 (金)
平日夜間</v>
      </c>
    </row>
    <row r="6877" spans="1:7" ht="16.149999999999999" x14ac:dyDescent="0.7">
      <c r="A6877" s="49">
        <v>44888.42109304398</v>
      </c>
      <c r="B6877" s="50" t="s">
        <v>38</v>
      </c>
      <c r="C6877" s="50" t="s">
        <v>599</v>
      </c>
      <c r="D6877" s="50" t="s">
        <v>263</v>
      </c>
      <c r="E6877" s="50">
        <v>0</v>
      </c>
      <c r="F6877" s="51">
        <v>0.28079826482028292</v>
      </c>
      <c r="G6877" s="51" t="str">
        <v>森岳 2022/12/24 (土)
休日午前</v>
      </c>
    </row>
    <row r="6878" spans="1:7" ht="16.149999999999999" x14ac:dyDescent="0.7">
      <c r="A6878" s="49">
        <v>44888.42109304398</v>
      </c>
      <c r="B6878" s="50" t="s">
        <v>38</v>
      </c>
      <c r="C6878" s="50" t="s">
        <v>600</v>
      </c>
      <c r="D6878" s="50" t="s">
        <v>261</v>
      </c>
      <c r="E6878" s="50">
        <v>-1</v>
      </c>
      <c r="F6878" s="51">
        <v>-0.18384871032053329</v>
      </c>
      <c r="G6878" s="51" t="str">
        <v>森岳 2022/12/24 (土)
休日午後</v>
      </c>
    </row>
    <row r="6879" spans="1:7" ht="16.149999999999999" x14ac:dyDescent="0.7">
      <c r="A6879" s="49">
        <v>44888.42109304398</v>
      </c>
      <c r="B6879" s="50" t="s">
        <v>38</v>
      </c>
      <c r="C6879" s="50" t="s">
        <v>601</v>
      </c>
      <c r="D6879" s="50" t="s">
        <v>263</v>
      </c>
      <c r="E6879" s="50">
        <v>0</v>
      </c>
      <c r="F6879" s="51">
        <v>0.15893289429862678</v>
      </c>
      <c r="G6879" s="51" t="str">
        <v>森岳 2022/12/25 (日)
休日午前</v>
      </c>
    </row>
    <row r="6880" spans="1:7" ht="16.149999999999999" x14ac:dyDescent="0.7">
      <c r="A6880" s="49">
        <v>44888.42109304398</v>
      </c>
      <c r="B6880" s="50" t="s">
        <v>38</v>
      </c>
      <c r="C6880" s="50" t="s">
        <v>602</v>
      </c>
      <c r="D6880" s="50" t="s">
        <v>261</v>
      </c>
      <c r="E6880" s="50">
        <v>0</v>
      </c>
      <c r="F6880" s="51">
        <v>0.979863764064697</v>
      </c>
      <c r="G6880" s="51" t="str">
        <v>森岳 2022/12/25 (日)
休日午後</v>
      </c>
    </row>
    <row r="6881" spans="1:7" ht="16.149999999999999" x14ac:dyDescent="0.7">
      <c r="A6881" s="49">
        <v>44888.42109304398</v>
      </c>
      <c r="B6881" s="50" t="s">
        <v>38</v>
      </c>
      <c r="C6881" s="50" t="s">
        <v>603</v>
      </c>
      <c r="D6881" s="50" t="s">
        <v>259</v>
      </c>
      <c r="E6881" s="50">
        <v>0</v>
      </c>
      <c r="F6881" s="51">
        <v>0.9652822191917223</v>
      </c>
      <c r="G6881" s="51" t="str">
        <v>森岳 2022/12/26 (月)
平日夜間</v>
      </c>
    </row>
    <row r="6882" spans="1:7" ht="16.149999999999999" x14ac:dyDescent="0.7">
      <c r="A6882" s="49">
        <v>44888.42109304398</v>
      </c>
      <c r="B6882" s="50" t="s">
        <v>38</v>
      </c>
      <c r="C6882" s="50" t="s">
        <v>604</v>
      </c>
      <c r="D6882" s="50" t="s">
        <v>259</v>
      </c>
      <c r="E6882" s="50">
        <v>0</v>
      </c>
      <c r="F6882" s="51">
        <v>2.0758632840742308E-2</v>
      </c>
      <c r="G6882" s="51" t="str">
        <v>森岳 2022/12/27 (火)
平日夜間</v>
      </c>
    </row>
    <row r="6883" spans="1:7" ht="16.149999999999999" x14ac:dyDescent="0.7">
      <c r="A6883" s="49">
        <v>44888.42109304398</v>
      </c>
      <c r="B6883" s="50" t="s">
        <v>38</v>
      </c>
      <c r="C6883" s="50" t="s">
        <v>605</v>
      </c>
      <c r="D6883" s="50" t="s">
        <v>259</v>
      </c>
      <c r="E6883" s="50">
        <v>0</v>
      </c>
      <c r="F6883" s="51">
        <v>0.53636795050236352</v>
      </c>
      <c r="G6883" s="51" t="str">
        <v>森岳 2022/12/28 (水)
平日夜間</v>
      </c>
    </row>
    <row r="6884" spans="1:7" ht="16.149999999999999" x14ac:dyDescent="0.7">
      <c r="A6884" s="49">
        <v>44888.715051030093</v>
      </c>
      <c r="B6884" s="50" t="s">
        <v>15</v>
      </c>
      <c r="C6884" s="50" t="s">
        <v>570</v>
      </c>
      <c r="D6884" s="50" t="s">
        <v>259</v>
      </c>
      <c r="E6884" s="50">
        <v>-1</v>
      </c>
      <c r="F6884" s="51">
        <v>-0.58858130536059328</v>
      </c>
      <c r="G6884" s="51" t="str">
        <v>太良 2022/12/01 (木)
平日夜間</v>
      </c>
    </row>
    <row r="6885" spans="1:7" ht="16.149999999999999" x14ac:dyDescent="0.7">
      <c r="A6885" s="49">
        <v>44888.715051030093</v>
      </c>
      <c r="B6885" s="50" t="s">
        <v>15</v>
      </c>
      <c r="C6885" s="50" t="s">
        <v>571</v>
      </c>
      <c r="D6885" s="50" t="s">
        <v>259</v>
      </c>
      <c r="E6885" s="50">
        <v>0</v>
      </c>
      <c r="F6885" s="51">
        <v>1.2332273224411106E-2</v>
      </c>
      <c r="G6885" s="51" t="str">
        <v>太良 2022/12/02 (金)
平日夜間</v>
      </c>
    </row>
    <row r="6886" spans="1:7" ht="16.149999999999999" x14ac:dyDescent="0.7">
      <c r="A6886" s="49">
        <v>44888.715051030093</v>
      </c>
      <c r="B6886" s="50" t="s">
        <v>15</v>
      </c>
      <c r="C6886" s="50" t="s">
        <v>572</v>
      </c>
      <c r="D6886" s="50" t="s">
        <v>263</v>
      </c>
      <c r="E6886" s="50">
        <v>-1</v>
      </c>
      <c r="F6886" s="51">
        <v>-0.10216515528329251</v>
      </c>
      <c r="G6886" s="51" t="str">
        <v>太良 2022/12/03 (土)
休日午前</v>
      </c>
    </row>
    <row r="6887" spans="1:7" ht="16.149999999999999" x14ac:dyDescent="0.7">
      <c r="A6887" s="49">
        <v>44888.715051030093</v>
      </c>
      <c r="B6887" s="50" t="s">
        <v>15</v>
      </c>
      <c r="C6887" s="50" t="s">
        <v>573</v>
      </c>
      <c r="D6887" s="50" t="s">
        <v>261</v>
      </c>
      <c r="E6887" s="50">
        <v>-1</v>
      </c>
      <c r="F6887" s="51">
        <v>-0.72948627002071365</v>
      </c>
      <c r="G6887" s="51" t="str">
        <v>太良 2022/12/03 (土)
休日午後</v>
      </c>
    </row>
    <row r="6888" spans="1:7" ht="16.149999999999999" x14ac:dyDescent="0.7">
      <c r="A6888" s="49">
        <v>44888.715051030093</v>
      </c>
      <c r="B6888" s="50" t="s">
        <v>15</v>
      </c>
      <c r="C6888" s="50" t="s">
        <v>574</v>
      </c>
      <c r="D6888" s="50" t="s">
        <v>263</v>
      </c>
      <c r="E6888" s="50">
        <v>0</v>
      </c>
      <c r="F6888" s="51">
        <v>0.53597869429600786</v>
      </c>
      <c r="G6888" s="51" t="str">
        <v>太良 2022/12/04 (日)
休日午前</v>
      </c>
    </row>
    <row r="6889" spans="1:7" ht="16.149999999999999" x14ac:dyDescent="0.7">
      <c r="A6889" s="49">
        <v>44888.715051030093</v>
      </c>
      <c r="B6889" s="50" t="s">
        <v>15</v>
      </c>
      <c r="C6889" s="50" t="s">
        <v>575</v>
      </c>
      <c r="D6889" s="50" t="s">
        <v>261</v>
      </c>
      <c r="E6889" s="50">
        <v>2</v>
      </c>
      <c r="F6889" s="51">
        <v>2.513010777127985</v>
      </c>
      <c r="G6889" s="51" t="str">
        <v>太良 2022/12/04 (日)
休日午後</v>
      </c>
    </row>
    <row r="6890" spans="1:7" ht="16.149999999999999" x14ac:dyDescent="0.7">
      <c r="A6890" s="49">
        <v>44888.715051030093</v>
      </c>
      <c r="B6890" s="50" t="s">
        <v>15</v>
      </c>
      <c r="C6890" s="50" t="s">
        <v>576</v>
      </c>
      <c r="D6890" s="50" t="s">
        <v>259</v>
      </c>
      <c r="E6890" s="50">
        <v>-1</v>
      </c>
      <c r="F6890" s="51">
        <v>-0.61633355527242606</v>
      </c>
      <c r="G6890" s="51" t="str">
        <v>太良 2022/12/05 (月)
平日夜間</v>
      </c>
    </row>
    <row r="6891" spans="1:7" ht="16.149999999999999" x14ac:dyDescent="0.7">
      <c r="A6891" s="49">
        <v>44888.715051030093</v>
      </c>
      <c r="B6891" s="50" t="s">
        <v>15</v>
      </c>
      <c r="C6891" s="50" t="s">
        <v>577</v>
      </c>
      <c r="D6891" s="50" t="s">
        <v>259</v>
      </c>
      <c r="E6891" s="50">
        <v>-1</v>
      </c>
      <c r="F6891" s="51">
        <v>-0.69141987729345744</v>
      </c>
      <c r="G6891" s="51" t="str">
        <v>太良 2022/12/06 (火)
平日夜間</v>
      </c>
    </row>
    <row r="6892" spans="1:7" ht="16.149999999999999" x14ac:dyDescent="0.7">
      <c r="A6892" s="49">
        <v>44888.715051030093</v>
      </c>
      <c r="B6892" s="50" t="s">
        <v>15</v>
      </c>
      <c r="C6892" s="50" t="s">
        <v>578</v>
      </c>
      <c r="D6892" s="50" t="s">
        <v>259</v>
      </c>
      <c r="E6892" s="50">
        <v>0</v>
      </c>
      <c r="F6892" s="51">
        <v>0.20876969104771903</v>
      </c>
      <c r="G6892" s="51" t="str">
        <v>太良 2022/12/07 (水)
平日夜間</v>
      </c>
    </row>
    <row r="6893" spans="1:7" ht="16.149999999999999" x14ac:dyDescent="0.7">
      <c r="A6893" s="49">
        <v>44888.715051030093</v>
      </c>
      <c r="B6893" s="50" t="s">
        <v>15</v>
      </c>
      <c r="C6893" s="50" t="s">
        <v>579</v>
      </c>
      <c r="D6893" s="50" t="s">
        <v>259</v>
      </c>
      <c r="E6893" s="50">
        <v>-1</v>
      </c>
      <c r="F6893" s="51">
        <v>-0.76474043367636457</v>
      </c>
      <c r="G6893" s="51" t="str">
        <v>太良 2022/12/08 (木)
平日夜間</v>
      </c>
    </row>
    <row r="6894" spans="1:7" ht="16.149999999999999" x14ac:dyDescent="0.7">
      <c r="A6894" s="49">
        <v>44888.715051030093</v>
      </c>
      <c r="B6894" s="50" t="s">
        <v>15</v>
      </c>
      <c r="C6894" s="50" t="s">
        <v>580</v>
      </c>
      <c r="D6894" s="50" t="s">
        <v>259</v>
      </c>
      <c r="E6894" s="50">
        <v>-1</v>
      </c>
      <c r="F6894" s="51">
        <v>-0.40515058441065444</v>
      </c>
      <c r="G6894" s="51" t="str">
        <v>太良 2022/12/09 (金)
平日夜間</v>
      </c>
    </row>
    <row r="6895" spans="1:7" ht="16.149999999999999" x14ac:dyDescent="0.7">
      <c r="A6895" s="49">
        <v>44888.715051030093</v>
      </c>
      <c r="B6895" s="50" t="s">
        <v>15</v>
      </c>
      <c r="C6895" s="50" t="s">
        <v>581</v>
      </c>
      <c r="D6895" s="50" t="s">
        <v>263</v>
      </c>
      <c r="E6895" s="50">
        <v>-1</v>
      </c>
      <c r="F6895" s="51">
        <v>-0.67008364944784438</v>
      </c>
      <c r="G6895" s="51" t="str">
        <v>太良 2022/12/10 (土)
休日午前</v>
      </c>
    </row>
    <row r="6896" spans="1:7" ht="16.149999999999999" x14ac:dyDescent="0.7">
      <c r="A6896" s="49">
        <v>44888.715051030093</v>
      </c>
      <c r="B6896" s="50" t="s">
        <v>15</v>
      </c>
      <c r="C6896" s="50" t="s">
        <v>582</v>
      </c>
      <c r="D6896" s="50" t="s">
        <v>261</v>
      </c>
      <c r="E6896" s="50">
        <v>-1</v>
      </c>
      <c r="F6896" s="51">
        <v>-0.53182903122976399</v>
      </c>
      <c r="G6896" s="51" t="str">
        <v>太良 2022/12/10 (土)
休日午後</v>
      </c>
    </row>
    <row r="6897" spans="1:7" ht="16.149999999999999" x14ac:dyDescent="0.7">
      <c r="A6897" s="49">
        <v>44888.715051030093</v>
      </c>
      <c r="B6897" s="50" t="s">
        <v>15</v>
      </c>
      <c r="C6897" s="50" t="s">
        <v>583</v>
      </c>
      <c r="D6897" s="50" t="s">
        <v>263</v>
      </c>
      <c r="E6897" s="50">
        <v>-1</v>
      </c>
      <c r="F6897" s="51">
        <v>-0.88529309679490265</v>
      </c>
      <c r="G6897" s="51" t="str">
        <v>太良 2022/12/11 (日)
休日午前</v>
      </c>
    </row>
    <row r="6898" spans="1:7" ht="16.149999999999999" x14ac:dyDescent="0.7">
      <c r="A6898" s="49">
        <v>44888.715051030093</v>
      </c>
      <c r="B6898" s="50" t="s">
        <v>15</v>
      </c>
      <c r="C6898" s="50" t="s">
        <v>584</v>
      </c>
      <c r="D6898" s="50" t="s">
        <v>261</v>
      </c>
      <c r="E6898" s="50">
        <v>-1</v>
      </c>
      <c r="F6898" s="51">
        <v>-0.75044651823206099</v>
      </c>
      <c r="G6898" s="51" t="str">
        <v>太良 2022/12/11 (日)
休日午後</v>
      </c>
    </row>
    <row r="6899" spans="1:7" ht="16.149999999999999" x14ac:dyDescent="0.7">
      <c r="A6899" s="49">
        <v>44888.715051030093</v>
      </c>
      <c r="B6899" s="50" t="s">
        <v>15</v>
      </c>
      <c r="C6899" s="50" t="s">
        <v>585</v>
      </c>
      <c r="D6899" s="50" t="s">
        <v>259</v>
      </c>
      <c r="E6899" s="50">
        <v>-1</v>
      </c>
      <c r="F6899" s="51">
        <v>-0.81492947886173117</v>
      </c>
      <c r="G6899" s="51" t="str">
        <v>太良 2022/12/12 (月)
平日夜間</v>
      </c>
    </row>
    <row r="6900" spans="1:7" ht="16.149999999999999" x14ac:dyDescent="0.7">
      <c r="A6900" s="49">
        <v>44888.715051030093</v>
      </c>
      <c r="B6900" s="50" t="s">
        <v>15</v>
      </c>
      <c r="C6900" s="50" t="s">
        <v>586</v>
      </c>
      <c r="D6900" s="50" t="s">
        <v>259</v>
      </c>
      <c r="E6900" s="50">
        <v>-1</v>
      </c>
      <c r="F6900" s="51">
        <v>-0.86408267063775246</v>
      </c>
      <c r="G6900" s="51" t="str">
        <v>太良 2022/12/13 (火)
平日夜間</v>
      </c>
    </row>
    <row r="6901" spans="1:7" ht="16.149999999999999" x14ac:dyDescent="0.7">
      <c r="A6901" s="49">
        <v>44888.715051030093</v>
      </c>
      <c r="B6901" s="50" t="s">
        <v>15</v>
      </c>
      <c r="C6901" s="50" t="s">
        <v>587</v>
      </c>
      <c r="D6901" s="50" t="s">
        <v>259</v>
      </c>
      <c r="E6901" s="50">
        <v>0</v>
      </c>
      <c r="F6901" s="51">
        <v>0.20152273692163791</v>
      </c>
      <c r="G6901" s="51" t="str">
        <v>太良 2022/12/14 (水)
平日夜間</v>
      </c>
    </row>
    <row r="6902" spans="1:7" ht="16.149999999999999" x14ac:dyDescent="0.7">
      <c r="A6902" s="49">
        <v>44888.715051030093</v>
      </c>
      <c r="B6902" s="50" t="s">
        <v>15</v>
      </c>
      <c r="C6902" s="50" t="s">
        <v>588</v>
      </c>
      <c r="D6902" s="50" t="s">
        <v>259</v>
      </c>
      <c r="E6902" s="50">
        <v>-1</v>
      </c>
      <c r="F6902" s="51">
        <v>-0.17945566618666065</v>
      </c>
      <c r="G6902" s="51" t="str">
        <v>太良 2022/12/15 (木)
平日夜間</v>
      </c>
    </row>
    <row r="6903" spans="1:7" ht="16.149999999999999" x14ac:dyDescent="0.7">
      <c r="A6903" s="49">
        <v>44888.715051030093</v>
      </c>
      <c r="B6903" s="50" t="s">
        <v>15</v>
      </c>
      <c r="C6903" s="50" t="s">
        <v>589</v>
      </c>
      <c r="D6903" s="50" t="s">
        <v>259</v>
      </c>
      <c r="E6903" s="50">
        <v>0</v>
      </c>
      <c r="F6903" s="51">
        <v>0.85129442460278026</v>
      </c>
      <c r="G6903" s="51" t="str">
        <v>太良 2022/12/16 (金)
平日夜間</v>
      </c>
    </row>
    <row r="6904" spans="1:7" ht="16.149999999999999" x14ac:dyDescent="0.7">
      <c r="A6904" s="49">
        <v>44888.715051030093</v>
      </c>
      <c r="B6904" s="50" t="s">
        <v>15</v>
      </c>
      <c r="C6904" s="50" t="s">
        <v>590</v>
      </c>
      <c r="D6904" s="50" t="s">
        <v>263</v>
      </c>
      <c r="E6904" s="50">
        <v>0</v>
      </c>
      <c r="F6904" s="51">
        <v>0.75067088557021311</v>
      </c>
      <c r="G6904" s="51" t="str">
        <v>太良 2022/12/17 (土)
休日午前</v>
      </c>
    </row>
    <row r="6905" spans="1:7" ht="16.149999999999999" x14ac:dyDescent="0.7">
      <c r="A6905" s="49">
        <v>44888.715051030093</v>
      </c>
      <c r="B6905" s="50" t="s">
        <v>15</v>
      </c>
      <c r="C6905" s="50" t="s">
        <v>591</v>
      </c>
      <c r="D6905" s="50" t="s">
        <v>261</v>
      </c>
      <c r="E6905" s="50">
        <v>0</v>
      </c>
      <c r="F6905" s="51">
        <v>0.15430989780963444</v>
      </c>
      <c r="G6905" s="51" t="str">
        <v>太良 2022/12/17 (土)
休日午後</v>
      </c>
    </row>
    <row r="6906" spans="1:7" ht="16.149999999999999" x14ac:dyDescent="0.7">
      <c r="A6906" s="49">
        <v>44888.715051030093</v>
      </c>
      <c r="B6906" s="50" t="s">
        <v>15</v>
      </c>
      <c r="C6906" s="50" t="s">
        <v>592</v>
      </c>
      <c r="D6906" s="50" t="s">
        <v>263</v>
      </c>
      <c r="E6906" s="50">
        <v>0</v>
      </c>
      <c r="F6906" s="51">
        <v>0.77652229432979736</v>
      </c>
      <c r="G6906" s="51" t="str">
        <v>太良 2022/12/18 (日)
休日午前</v>
      </c>
    </row>
    <row r="6907" spans="1:7" ht="16.149999999999999" x14ac:dyDescent="0.7">
      <c r="A6907" s="49">
        <v>44888.715051030093</v>
      </c>
      <c r="B6907" s="50" t="s">
        <v>15</v>
      </c>
      <c r="C6907" s="50" t="s">
        <v>593</v>
      </c>
      <c r="D6907" s="50" t="s">
        <v>261</v>
      </c>
      <c r="E6907" s="50">
        <v>0</v>
      </c>
      <c r="F6907" s="51">
        <v>0.84863021618608658</v>
      </c>
      <c r="G6907" s="51" t="str">
        <v>太良 2022/12/18 (日)
休日午後</v>
      </c>
    </row>
    <row r="6908" spans="1:7" ht="16.149999999999999" x14ac:dyDescent="0.7">
      <c r="A6908" s="49">
        <v>44888.715051030093</v>
      </c>
      <c r="B6908" s="50" t="s">
        <v>15</v>
      </c>
      <c r="C6908" s="50" t="s">
        <v>594</v>
      </c>
      <c r="D6908" s="50" t="s">
        <v>259</v>
      </c>
      <c r="E6908" s="50">
        <v>0</v>
      </c>
      <c r="F6908" s="51">
        <v>0.13959625190436142</v>
      </c>
      <c r="G6908" s="51" t="str">
        <v>太良 2022/12/19 (月)
平日夜間</v>
      </c>
    </row>
    <row r="6909" spans="1:7" ht="16.149999999999999" x14ac:dyDescent="0.7">
      <c r="A6909" s="49">
        <v>44888.715051030093</v>
      </c>
      <c r="B6909" s="50" t="s">
        <v>15</v>
      </c>
      <c r="C6909" s="50" t="s">
        <v>595</v>
      </c>
      <c r="D6909" s="50" t="s">
        <v>259</v>
      </c>
      <c r="E6909" s="50">
        <v>-1</v>
      </c>
      <c r="F6909" s="51">
        <v>-0.4272948018625331</v>
      </c>
      <c r="G6909" s="51" t="str">
        <v>太良 2022/12/20 (火)
平日夜間</v>
      </c>
    </row>
    <row r="6910" spans="1:7" ht="16.149999999999999" x14ac:dyDescent="0.7">
      <c r="A6910" s="49">
        <v>44888.715051030093</v>
      </c>
      <c r="B6910" s="50" t="s">
        <v>15</v>
      </c>
      <c r="C6910" s="50" t="s">
        <v>596</v>
      </c>
      <c r="D6910" s="50" t="s">
        <v>259</v>
      </c>
      <c r="E6910" s="50">
        <v>-1</v>
      </c>
      <c r="F6910" s="51">
        <v>-0.15293056798412308</v>
      </c>
      <c r="G6910" s="51" t="str">
        <v>太良 2022/12/21 (水)
平日夜間</v>
      </c>
    </row>
    <row r="6911" spans="1:7" ht="16.149999999999999" x14ac:dyDescent="0.7">
      <c r="A6911" s="49">
        <v>44888.715051030093</v>
      </c>
      <c r="B6911" s="50" t="s">
        <v>15</v>
      </c>
      <c r="C6911" s="50" t="s">
        <v>597</v>
      </c>
      <c r="D6911" s="50" t="s">
        <v>259</v>
      </c>
      <c r="E6911" s="50">
        <v>-1</v>
      </c>
      <c r="F6911" s="51">
        <v>-0.83209712768655342</v>
      </c>
      <c r="G6911" s="51" t="str">
        <v>太良 2022/12/22 (木)
平日夜間</v>
      </c>
    </row>
    <row r="6912" spans="1:7" ht="16.149999999999999" x14ac:dyDescent="0.7">
      <c r="A6912" s="49">
        <v>44888.715051030093</v>
      </c>
      <c r="B6912" s="50" t="s">
        <v>15</v>
      </c>
      <c r="C6912" s="50" t="s">
        <v>598</v>
      </c>
      <c r="D6912" s="50" t="s">
        <v>259</v>
      </c>
      <c r="E6912" s="50">
        <v>-1</v>
      </c>
      <c r="F6912" s="51">
        <v>-0.79099765064267658</v>
      </c>
      <c r="G6912" s="51" t="str">
        <v>太良 2022/12/23 (金)
平日夜間</v>
      </c>
    </row>
    <row r="6913" spans="1:7" ht="16.149999999999999" x14ac:dyDescent="0.7">
      <c r="A6913" s="49">
        <v>44888.715051030093</v>
      </c>
      <c r="B6913" s="50" t="s">
        <v>15</v>
      </c>
      <c r="C6913" s="50" t="s">
        <v>599</v>
      </c>
      <c r="D6913" s="50" t="s">
        <v>263</v>
      </c>
      <c r="E6913" s="50">
        <v>-1</v>
      </c>
      <c r="F6913" s="51">
        <v>-0.17530956287301525</v>
      </c>
      <c r="G6913" s="51" t="str">
        <v>太良 2022/12/24 (土)
休日午前</v>
      </c>
    </row>
    <row r="6914" spans="1:7" ht="16.149999999999999" x14ac:dyDescent="0.7">
      <c r="A6914" s="49">
        <v>44888.715051030093</v>
      </c>
      <c r="B6914" s="50" t="s">
        <v>15</v>
      </c>
      <c r="C6914" s="50" t="s">
        <v>600</v>
      </c>
      <c r="D6914" s="50" t="s">
        <v>261</v>
      </c>
      <c r="E6914" s="50">
        <v>-1</v>
      </c>
      <c r="F6914" s="51">
        <v>-0.33068629457633891</v>
      </c>
      <c r="G6914" s="51" t="str">
        <v>太良 2022/12/24 (土)
休日午後</v>
      </c>
    </row>
    <row r="6915" spans="1:7" ht="16.149999999999999" x14ac:dyDescent="0.7">
      <c r="A6915" s="49">
        <v>44888.715051030093</v>
      </c>
      <c r="B6915" s="50" t="s">
        <v>15</v>
      </c>
      <c r="C6915" s="50" t="s">
        <v>601</v>
      </c>
      <c r="D6915" s="50" t="s">
        <v>263</v>
      </c>
      <c r="E6915" s="50">
        <v>-1</v>
      </c>
      <c r="F6915" s="51">
        <v>-0.37007512477395665</v>
      </c>
      <c r="G6915" s="51" t="str">
        <v>太良 2022/12/25 (日)
休日午前</v>
      </c>
    </row>
    <row r="6916" spans="1:7" ht="16.149999999999999" x14ac:dyDescent="0.7">
      <c r="A6916" s="49">
        <v>44888.715051030093</v>
      </c>
      <c r="B6916" s="50" t="s">
        <v>15</v>
      </c>
      <c r="C6916" s="50" t="s">
        <v>602</v>
      </c>
      <c r="D6916" s="50" t="s">
        <v>261</v>
      </c>
      <c r="E6916" s="50">
        <v>-1</v>
      </c>
      <c r="F6916" s="51">
        <v>-0.85776374561197377</v>
      </c>
      <c r="G6916" s="51" t="str">
        <v>太良 2022/12/25 (日)
休日午後</v>
      </c>
    </row>
    <row r="6917" spans="1:7" ht="16.149999999999999" x14ac:dyDescent="0.7">
      <c r="A6917" s="49">
        <v>44888.715051030093</v>
      </c>
      <c r="B6917" s="50" t="s">
        <v>15</v>
      </c>
      <c r="C6917" s="50" t="s">
        <v>603</v>
      </c>
      <c r="D6917" s="50" t="s">
        <v>259</v>
      </c>
      <c r="E6917" s="50">
        <v>0</v>
      </c>
      <c r="F6917" s="51">
        <v>0.5102574860414355</v>
      </c>
      <c r="G6917" s="51" t="str">
        <v>太良 2022/12/26 (月)
平日夜間</v>
      </c>
    </row>
    <row r="6918" spans="1:7" ht="16.149999999999999" x14ac:dyDescent="0.7">
      <c r="A6918" s="49">
        <v>44888.715051030093</v>
      </c>
      <c r="B6918" s="50" t="s">
        <v>15</v>
      </c>
      <c r="C6918" s="50" t="s">
        <v>604</v>
      </c>
      <c r="D6918" s="50" t="s">
        <v>259</v>
      </c>
      <c r="E6918" s="50">
        <v>-1</v>
      </c>
      <c r="F6918" s="51">
        <v>-0.4410184427095114</v>
      </c>
      <c r="G6918" s="51" t="str">
        <v>太良 2022/12/27 (火)
平日夜間</v>
      </c>
    </row>
    <row r="6919" spans="1:7" ht="16.149999999999999" x14ac:dyDescent="0.7">
      <c r="A6919" s="49">
        <v>44888.715051030093</v>
      </c>
      <c r="B6919" s="50" t="s">
        <v>15</v>
      </c>
      <c r="C6919" s="50" t="s">
        <v>605</v>
      </c>
      <c r="D6919" s="50" t="s">
        <v>259</v>
      </c>
      <c r="E6919" s="50">
        <v>-1</v>
      </c>
      <c r="F6919" s="51">
        <v>-0.37904839808470925</v>
      </c>
      <c r="G6919" s="51" t="str">
        <v>太良 2022/12/28 (水)
平日夜間</v>
      </c>
    </row>
    <row r="6920" spans="1:7" ht="16.149999999999999" x14ac:dyDescent="0.7">
      <c r="A6920" s="49">
        <v>44905.42634554398</v>
      </c>
      <c r="B6920" s="50" t="s">
        <v>13</v>
      </c>
      <c r="C6920" s="50" t="s">
        <v>606</v>
      </c>
      <c r="D6920" s="50" t="s">
        <v>259</v>
      </c>
      <c r="E6920" s="50">
        <v>-1</v>
      </c>
      <c r="F6920" s="51">
        <v>-0.54852768560867893</v>
      </c>
      <c r="G6920" s="51" t="str">
        <v>新美 2023/01/04 (水)
平日夜間</v>
      </c>
    </row>
    <row r="6921" spans="1:7" ht="16.149999999999999" x14ac:dyDescent="0.7">
      <c r="A6921" s="49">
        <v>44905.42634554398</v>
      </c>
      <c r="B6921" s="50" t="s">
        <v>13</v>
      </c>
      <c r="C6921" s="50" t="s">
        <v>607</v>
      </c>
      <c r="D6921" s="50" t="s">
        <v>259</v>
      </c>
      <c r="E6921" s="50">
        <v>0</v>
      </c>
      <c r="F6921" s="51">
        <v>0.95009577951663493</v>
      </c>
      <c r="G6921" s="51" t="str">
        <v>新美 2023/01/05 (木)
平日夜間</v>
      </c>
    </row>
    <row r="6922" spans="1:7" ht="16.149999999999999" x14ac:dyDescent="0.7">
      <c r="A6922" s="49">
        <v>44905.42634554398</v>
      </c>
      <c r="B6922" s="50" t="s">
        <v>13</v>
      </c>
      <c r="C6922" s="50" t="s">
        <v>608</v>
      </c>
      <c r="D6922" s="50" t="s">
        <v>259</v>
      </c>
      <c r="E6922" s="50">
        <v>0</v>
      </c>
      <c r="F6922" s="51">
        <v>0.47555899297857018</v>
      </c>
      <c r="G6922" s="51" t="str">
        <v>新美 2023/01/06 (金)
平日夜間</v>
      </c>
    </row>
    <row r="6923" spans="1:7" ht="16.149999999999999" x14ac:dyDescent="0.7">
      <c r="A6923" s="49">
        <v>44905.42634554398</v>
      </c>
      <c r="B6923" s="50" t="s">
        <v>13</v>
      </c>
      <c r="C6923" s="50" t="s">
        <v>609</v>
      </c>
      <c r="D6923" s="50" t="s">
        <v>263</v>
      </c>
      <c r="E6923" s="50">
        <v>0</v>
      </c>
      <c r="F6923" s="51">
        <v>0.91636507216368868</v>
      </c>
      <c r="G6923" s="51" t="str">
        <v>新美 2023/01/07 (土)
休日午前</v>
      </c>
    </row>
    <row r="6924" spans="1:7" ht="16.149999999999999" x14ac:dyDescent="0.7">
      <c r="A6924" s="49">
        <v>44905.42634554398</v>
      </c>
      <c r="B6924" s="50" t="s">
        <v>13</v>
      </c>
      <c r="C6924" s="50" t="s">
        <v>610</v>
      </c>
      <c r="D6924" s="50" t="s">
        <v>261</v>
      </c>
      <c r="E6924" s="50">
        <v>-1</v>
      </c>
      <c r="F6924" s="51">
        <v>-0.4238474367481857</v>
      </c>
      <c r="G6924" s="51" t="str">
        <v>新美 2023/01/07 (土)
休日午後</v>
      </c>
    </row>
    <row r="6925" spans="1:7" ht="16.149999999999999" x14ac:dyDescent="0.7">
      <c r="A6925" s="49">
        <v>44905.42634554398</v>
      </c>
      <c r="B6925" s="50" t="s">
        <v>13</v>
      </c>
      <c r="C6925" s="50" t="s">
        <v>611</v>
      </c>
      <c r="D6925" s="50" t="s">
        <v>263</v>
      </c>
      <c r="E6925" s="50">
        <v>0</v>
      </c>
      <c r="F6925" s="51">
        <v>0.79263302078761511</v>
      </c>
      <c r="G6925" s="51" t="str">
        <v>新美 2023/01/08 (日)
休日午前</v>
      </c>
    </row>
    <row r="6926" spans="1:7" ht="16.149999999999999" x14ac:dyDescent="0.7">
      <c r="A6926" s="49">
        <v>44905.42634554398</v>
      </c>
      <c r="B6926" s="50" t="s">
        <v>13</v>
      </c>
      <c r="C6926" s="50" t="s">
        <v>612</v>
      </c>
      <c r="D6926" s="50" t="s">
        <v>261</v>
      </c>
      <c r="E6926" s="50">
        <v>-1</v>
      </c>
      <c r="F6926" s="51">
        <v>-0.61949500767575283</v>
      </c>
      <c r="G6926" s="51" t="str">
        <v>新美 2023/01/08 (日)
休日午後</v>
      </c>
    </row>
    <row r="6927" spans="1:7" ht="16.149999999999999" x14ac:dyDescent="0.7">
      <c r="A6927" s="49">
        <v>44905.42634554398</v>
      </c>
      <c r="B6927" s="50" t="s">
        <v>13</v>
      </c>
      <c r="C6927" s="50" t="s">
        <v>613</v>
      </c>
      <c r="D6927" s="50" t="s">
        <v>263</v>
      </c>
      <c r="E6927" s="50">
        <v>0</v>
      </c>
      <c r="F6927" s="51">
        <v>1.9755802378963683E-2</v>
      </c>
      <c r="G6927" s="51" t="str">
        <v>新美 2023/01/09 (月)
休日午前</v>
      </c>
    </row>
    <row r="6928" spans="1:7" ht="16.149999999999999" x14ac:dyDescent="0.7">
      <c r="A6928" s="49">
        <v>44905.42634554398</v>
      </c>
      <c r="B6928" s="50" t="s">
        <v>13</v>
      </c>
      <c r="C6928" s="50" t="s">
        <v>614</v>
      </c>
      <c r="D6928" s="50" t="s">
        <v>261</v>
      </c>
      <c r="E6928" s="50">
        <v>0</v>
      </c>
      <c r="F6928" s="51">
        <v>0.43956185359527344</v>
      </c>
      <c r="G6928" s="51" t="str">
        <v>新美 2023/01/09 (月)
休日午後</v>
      </c>
    </row>
    <row r="6929" spans="1:7" ht="16.149999999999999" x14ac:dyDescent="0.7">
      <c r="A6929" s="49">
        <v>44905.42634554398</v>
      </c>
      <c r="B6929" s="50" t="s">
        <v>13</v>
      </c>
      <c r="C6929" s="50" t="s">
        <v>615</v>
      </c>
      <c r="D6929" s="50" t="s">
        <v>259</v>
      </c>
      <c r="E6929" s="50">
        <v>0</v>
      </c>
      <c r="F6929" s="51">
        <v>0.46451723733337968</v>
      </c>
      <c r="G6929" s="51" t="str">
        <v>新美 2023/01/10 (火)
平日夜間</v>
      </c>
    </row>
    <row r="6930" spans="1:7" ht="16.149999999999999" x14ac:dyDescent="0.7">
      <c r="A6930" s="49">
        <v>44905.42634554398</v>
      </c>
      <c r="B6930" s="50" t="s">
        <v>13</v>
      </c>
      <c r="C6930" s="50" t="s">
        <v>616</v>
      </c>
      <c r="D6930" s="50" t="s">
        <v>259</v>
      </c>
      <c r="E6930" s="50">
        <v>-1</v>
      </c>
      <c r="F6930" s="51">
        <v>-9.8766341407960923E-2</v>
      </c>
      <c r="G6930" s="51" t="str">
        <v>新美 2023/01/11 (水)
平日夜間</v>
      </c>
    </row>
    <row r="6931" spans="1:7" ht="16.149999999999999" x14ac:dyDescent="0.7">
      <c r="A6931" s="49">
        <v>44905.42634554398</v>
      </c>
      <c r="B6931" s="50" t="s">
        <v>13</v>
      </c>
      <c r="C6931" s="50" t="s">
        <v>617</v>
      </c>
      <c r="D6931" s="50" t="s">
        <v>259</v>
      </c>
      <c r="E6931" s="50">
        <v>0</v>
      </c>
      <c r="F6931" s="51">
        <v>0.2139863551604051</v>
      </c>
      <c r="G6931" s="51" t="str">
        <v>新美 2023/01/12 (木)
平日夜間</v>
      </c>
    </row>
    <row r="6932" spans="1:7" ht="16.149999999999999" x14ac:dyDescent="0.7">
      <c r="A6932" s="49">
        <v>44905.42634554398</v>
      </c>
      <c r="B6932" s="50" t="s">
        <v>13</v>
      </c>
      <c r="C6932" s="50" t="s">
        <v>618</v>
      </c>
      <c r="D6932" s="50" t="s">
        <v>259</v>
      </c>
      <c r="E6932" s="50">
        <v>0</v>
      </c>
      <c r="F6932" s="51">
        <v>0.48395796659352119</v>
      </c>
      <c r="G6932" s="51" t="str">
        <v>新美 2023/01/13 (金)
平日夜間</v>
      </c>
    </row>
    <row r="6933" spans="1:7" ht="16.149999999999999" x14ac:dyDescent="0.7">
      <c r="A6933" s="49">
        <v>44905.42634554398</v>
      </c>
      <c r="B6933" s="50" t="s">
        <v>13</v>
      </c>
      <c r="C6933" s="50" t="s">
        <v>619</v>
      </c>
      <c r="D6933" s="50" t="s">
        <v>263</v>
      </c>
      <c r="E6933" s="50">
        <v>-1</v>
      </c>
      <c r="F6933" s="51">
        <v>-0.35986495810242558</v>
      </c>
      <c r="G6933" s="51" t="str">
        <v>新美 2023/01/14 (土)
休日午前</v>
      </c>
    </row>
    <row r="6934" spans="1:7" ht="16.149999999999999" x14ac:dyDescent="0.7">
      <c r="A6934" s="49">
        <v>44905.42634554398</v>
      </c>
      <c r="B6934" s="50" t="s">
        <v>13</v>
      </c>
      <c r="C6934" s="50" t="s">
        <v>620</v>
      </c>
      <c r="D6934" s="50" t="s">
        <v>261</v>
      </c>
      <c r="E6934" s="50">
        <v>-1</v>
      </c>
      <c r="F6934" s="51">
        <v>-0.87557378044356549</v>
      </c>
      <c r="G6934" s="51" t="str">
        <v>新美 2023/01/14 (土)
休日午後</v>
      </c>
    </row>
    <row r="6935" spans="1:7" ht="16.149999999999999" x14ac:dyDescent="0.7">
      <c r="A6935" s="49">
        <v>44905.42634554398</v>
      </c>
      <c r="B6935" s="50" t="s">
        <v>13</v>
      </c>
      <c r="C6935" s="50" t="s">
        <v>621</v>
      </c>
      <c r="D6935" s="50" t="s">
        <v>263</v>
      </c>
      <c r="E6935" s="50">
        <v>0</v>
      </c>
      <c r="F6935" s="51">
        <v>9.0372165271169536E-2</v>
      </c>
      <c r="G6935" s="51" t="str">
        <v>新美 2023/01/15 (日)
休日午前</v>
      </c>
    </row>
    <row r="6936" spans="1:7" ht="16.149999999999999" x14ac:dyDescent="0.7">
      <c r="A6936" s="49">
        <v>44905.42634554398</v>
      </c>
      <c r="B6936" s="50" t="s">
        <v>13</v>
      </c>
      <c r="C6936" s="50" t="s">
        <v>622</v>
      </c>
      <c r="D6936" s="50" t="s">
        <v>261</v>
      </c>
      <c r="E6936" s="50">
        <v>0</v>
      </c>
      <c r="F6936" s="51">
        <v>0.3186572014442679</v>
      </c>
      <c r="G6936" s="51" t="str">
        <v>新美 2023/01/15 (日)
休日午後</v>
      </c>
    </row>
    <row r="6937" spans="1:7" ht="16.149999999999999" x14ac:dyDescent="0.7">
      <c r="A6937" s="49">
        <v>44905.42634554398</v>
      </c>
      <c r="B6937" s="50" t="s">
        <v>13</v>
      </c>
      <c r="C6937" s="50" t="s">
        <v>623</v>
      </c>
      <c r="D6937" s="50" t="s">
        <v>259</v>
      </c>
      <c r="E6937" s="50">
        <v>0</v>
      </c>
      <c r="F6937" s="51">
        <v>0.87336165883908445</v>
      </c>
      <c r="G6937" s="51" t="str">
        <v>新美 2023/01/16 (月)
平日夜間</v>
      </c>
    </row>
    <row r="6938" spans="1:7" ht="16.149999999999999" x14ac:dyDescent="0.7">
      <c r="A6938" s="49">
        <v>44905.42634554398</v>
      </c>
      <c r="B6938" s="50" t="s">
        <v>13</v>
      </c>
      <c r="C6938" s="50" t="s">
        <v>624</v>
      </c>
      <c r="D6938" s="50" t="s">
        <v>259</v>
      </c>
      <c r="E6938" s="50">
        <v>-1</v>
      </c>
      <c r="F6938" s="51">
        <v>-0.39814805049244772</v>
      </c>
      <c r="G6938" s="51" t="str">
        <v>新美 2023/01/17 (火)
平日夜間</v>
      </c>
    </row>
    <row r="6939" spans="1:7" ht="16.149999999999999" x14ac:dyDescent="0.7">
      <c r="A6939" s="49">
        <v>44905.42634554398</v>
      </c>
      <c r="B6939" s="50" t="s">
        <v>13</v>
      </c>
      <c r="C6939" s="50" t="s">
        <v>625</v>
      </c>
      <c r="D6939" s="50" t="s">
        <v>259</v>
      </c>
      <c r="E6939" s="50">
        <v>-1</v>
      </c>
      <c r="F6939" s="51">
        <v>-0.74749529122642899</v>
      </c>
      <c r="G6939" s="51" t="str">
        <v>新美 2023/01/18 (水)
平日夜間</v>
      </c>
    </row>
    <row r="6940" spans="1:7" ht="16.149999999999999" x14ac:dyDescent="0.7">
      <c r="A6940" s="49">
        <v>44905.42634554398</v>
      </c>
      <c r="B6940" s="50" t="s">
        <v>13</v>
      </c>
      <c r="C6940" s="50" t="s">
        <v>626</v>
      </c>
      <c r="D6940" s="50" t="s">
        <v>259</v>
      </c>
      <c r="E6940" s="50">
        <v>0</v>
      </c>
      <c r="F6940" s="51">
        <v>0.60065713685271693</v>
      </c>
      <c r="G6940" s="51" t="str">
        <v>新美 2023/01/19 (木)
平日夜間</v>
      </c>
    </row>
    <row r="6941" spans="1:7" ht="16.149999999999999" x14ac:dyDescent="0.7">
      <c r="A6941" s="49">
        <v>44905.42634554398</v>
      </c>
      <c r="B6941" s="50" t="s">
        <v>13</v>
      </c>
      <c r="C6941" s="50" t="s">
        <v>627</v>
      </c>
      <c r="D6941" s="50" t="s">
        <v>259</v>
      </c>
      <c r="E6941" s="50">
        <v>0</v>
      </c>
      <c r="F6941" s="51">
        <v>0.1458888036287922</v>
      </c>
      <c r="G6941" s="51" t="str">
        <v>新美 2023/01/20 (金)
平日夜間</v>
      </c>
    </row>
    <row r="6942" spans="1:7" ht="16.149999999999999" x14ac:dyDescent="0.7">
      <c r="A6942" s="49">
        <v>44905.42634554398</v>
      </c>
      <c r="B6942" s="50" t="s">
        <v>13</v>
      </c>
      <c r="C6942" s="50" t="s">
        <v>628</v>
      </c>
      <c r="D6942" s="50" t="s">
        <v>263</v>
      </c>
      <c r="E6942" s="50">
        <v>0</v>
      </c>
      <c r="F6942" s="51">
        <v>0.37927423301902152</v>
      </c>
      <c r="G6942" s="51" t="str">
        <v>新美 2023/01/21 (土)
休日午前</v>
      </c>
    </row>
    <row r="6943" spans="1:7" ht="16.149999999999999" x14ac:dyDescent="0.7">
      <c r="A6943" s="49">
        <v>44905.42634554398</v>
      </c>
      <c r="B6943" s="50" t="s">
        <v>13</v>
      </c>
      <c r="C6943" s="50" t="s">
        <v>629</v>
      </c>
      <c r="D6943" s="50" t="s">
        <v>261</v>
      </c>
      <c r="E6943" s="50">
        <v>-1</v>
      </c>
      <c r="F6943" s="51">
        <v>-0.52701780324136394</v>
      </c>
      <c r="G6943" s="51" t="str">
        <v>新美 2023/01/21 (土)
休日午後</v>
      </c>
    </row>
    <row r="6944" spans="1:7" ht="16.149999999999999" x14ac:dyDescent="0.7">
      <c r="A6944" s="49">
        <v>44905.42634554398</v>
      </c>
      <c r="B6944" s="50" t="s">
        <v>13</v>
      </c>
      <c r="C6944" s="50" t="s">
        <v>630</v>
      </c>
      <c r="D6944" s="50" t="s">
        <v>263</v>
      </c>
      <c r="E6944" s="50">
        <v>0</v>
      </c>
      <c r="F6944" s="51">
        <v>0.35374608752743586</v>
      </c>
      <c r="G6944" s="51" t="str">
        <v>新美 2023/01/22 (日)
休日午前</v>
      </c>
    </row>
    <row r="6945" spans="1:7" ht="16.149999999999999" x14ac:dyDescent="0.7">
      <c r="A6945" s="49">
        <v>44905.42634554398</v>
      </c>
      <c r="B6945" s="50" t="s">
        <v>13</v>
      </c>
      <c r="C6945" s="50" t="s">
        <v>631</v>
      </c>
      <c r="D6945" s="50" t="s">
        <v>261</v>
      </c>
      <c r="E6945" s="50">
        <v>0</v>
      </c>
      <c r="F6945" s="51">
        <v>0.20302189159594519</v>
      </c>
      <c r="G6945" s="51" t="str">
        <v>新美 2023/01/22 (日)
休日午後</v>
      </c>
    </row>
    <row r="6946" spans="1:7" ht="16.149999999999999" x14ac:dyDescent="0.7">
      <c r="A6946" s="49">
        <v>44905.42634554398</v>
      </c>
      <c r="B6946" s="50" t="s">
        <v>13</v>
      </c>
      <c r="C6946" s="50" t="s">
        <v>632</v>
      </c>
      <c r="D6946" s="50" t="s">
        <v>259</v>
      </c>
      <c r="E6946" s="50">
        <v>-1</v>
      </c>
      <c r="F6946" s="51">
        <v>-9.0979754103293953E-2</v>
      </c>
      <c r="G6946" s="51" t="str">
        <v>新美 2023/01/23 (月)
平日夜間</v>
      </c>
    </row>
    <row r="6947" spans="1:7" ht="16.149999999999999" x14ac:dyDescent="0.7">
      <c r="A6947" s="49">
        <v>44905.42634554398</v>
      </c>
      <c r="B6947" s="50" t="s">
        <v>13</v>
      </c>
      <c r="C6947" s="50" t="s">
        <v>633</v>
      </c>
      <c r="D6947" s="50" t="s">
        <v>259</v>
      </c>
      <c r="E6947" s="50">
        <v>-1</v>
      </c>
      <c r="F6947" s="51">
        <v>-0.25721807525739537</v>
      </c>
      <c r="G6947" s="51" t="str">
        <v>新美 2023/01/24 (火)
平日夜間</v>
      </c>
    </row>
    <row r="6948" spans="1:7" ht="16.149999999999999" x14ac:dyDescent="0.7">
      <c r="A6948" s="49">
        <v>44905.42634554398</v>
      </c>
      <c r="B6948" s="50" t="s">
        <v>13</v>
      </c>
      <c r="C6948" s="50" t="s">
        <v>634</v>
      </c>
      <c r="D6948" s="50" t="s">
        <v>259</v>
      </c>
      <c r="E6948" s="50">
        <v>-1</v>
      </c>
      <c r="F6948" s="51">
        <v>-0.93058678166151676</v>
      </c>
      <c r="G6948" s="51" t="str">
        <v>新美 2023/01/25 (水)
平日夜間</v>
      </c>
    </row>
    <row r="6949" spans="1:7" ht="16.149999999999999" x14ac:dyDescent="0.7">
      <c r="A6949" s="49">
        <v>44905.42634554398</v>
      </c>
      <c r="B6949" s="50" t="s">
        <v>13</v>
      </c>
      <c r="C6949" s="50" t="s">
        <v>635</v>
      </c>
      <c r="D6949" s="50" t="s">
        <v>259</v>
      </c>
      <c r="E6949" s="50">
        <v>0</v>
      </c>
      <c r="F6949" s="51">
        <v>0.4372037351407001</v>
      </c>
      <c r="G6949" s="51" t="str">
        <v>新美 2023/01/26 (木)
平日夜間</v>
      </c>
    </row>
    <row r="6950" spans="1:7" ht="16.149999999999999" x14ac:dyDescent="0.7">
      <c r="A6950" s="49">
        <v>44905.42634554398</v>
      </c>
      <c r="B6950" s="50" t="s">
        <v>13</v>
      </c>
      <c r="C6950" s="50" t="s">
        <v>636</v>
      </c>
      <c r="D6950" s="50" t="s">
        <v>259</v>
      </c>
      <c r="E6950" s="50">
        <v>0</v>
      </c>
      <c r="F6950" s="51">
        <v>0.11119155696126448</v>
      </c>
      <c r="G6950" s="51" t="str">
        <v>新美 2023/01/27 (金)
平日夜間</v>
      </c>
    </row>
    <row r="6951" spans="1:7" ht="16.149999999999999" x14ac:dyDescent="0.7">
      <c r="A6951" s="49">
        <v>44905.42634554398</v>
      </c>
      <c r="B6951" s="50" t="s">
        <v>13</v>
      </c>
      <c r="C6951" s="50" t="s">
        <v>637</v>
      </c>
      <c r="D6951" s="50" t="s">
        <v>263</v>
      </c>
      <c r="E6951" s="50">
        <v>0</v>
      </c>
      <c r="F6951" s="51">
        <v>0.30957713576903911</v>
      </c>
      <c r="G6951" s="51" t="str">
        <v>新美 2023/01/28 (土)
休日午前</v>
      </c>
    </row>
    <row r="6952" spans="1:7" ht="16.149999999999999" x14ac:dyDescent="0.7">
      <c r="A6952" s="49">
        <v>44905.42634554398</v>
      </c>
      <c r="B6952" s="50" t="s">
        <v>13</v>
      </c>
      <c r="C6952" s="50" t="s">
        <v>638</v>
      </c>
      <c r="D6952" s="50" t="s">
        <v>261</v>
      </c>
      <c r="E6952" s="50">
        <v>0</v>
      </c>
      <c r="F6952" s="51">
        <v>0.34871197233297213</v>
      </c>
      <c r="G6952" s="51" t="str">
        <v>新美 2023/01/28 (土)
休日午後</v>
      </c>
    </row>
    <row r="6953" spans="1:7" ht="16.149999999999999" x14ac:dyDescent="0.7">
      <c r="A6953" s="49">
        <v>44905.42634554398</v>
      </c>
      <c r="B6953" s="50" t="s">
        <v>13</v>
      </c>
      <c r="C6953" s="50" t="s">
        <v>639</v>
      </c>
      <c r="D6953" s="50" t="s">
        <v>263</v>
      </c>
      <c r="E6953" s="50">
        <v>0</v>
      </c>
      <c r="F6953" s="51">
        <v>0.45479230694773576</v>
      </c>
      <c r="G6953" s="51" t="str">
        <v>新美 2023/01/29 (日)
休日午前</v>
      </c>
    </row>
    <row r="6954" spans="1:7" ht="16.149999999999999" x14ac:dyDescent="0.7">
      <c r="A6954" s="49">
        <v>44905.42634554398</v>
      </c>
      <c r="B6954" s="50" t="s">
        <v>13</v>
      </c>
      <c r="C6954" s="50" t="s">
        <v>640</v>
      </c>
      <c r="D6954" s="50" t="s">
        <v>261</v>
      </c>
      <c r="E6954" s="50">
        <v>0</v>
      </c>
      <c r="F6954" s="51">
        <v>0.1262010398328659</v>
      </c>
      <c r="G6954" s="51" t="str">
        <v>新美 2023/01/29 (日)
休日午後</v>
      </c>
    </row>
    <row r="6955" spans="1:7" ht="16.149999999999999" x14ac:dyDescent="0.7">
      <c r="A6955" s="49">
        <v>44905.42634554398</v>
      </c>
      <c r="B6955" s="50" t="s">
        <v>13</v>
      </c>
      <c r="C6955" s="50" t="s">
        <v>641</v>
      </c>
      <c r="D6955" s="50" t="s">
        <v>259</v>
      </c>
      <c r="E6955" s="50">
        <v>0</v>
      </c>
      <c r="F6955" s="51">
        <v>0.33354795037438656</v>
      </c>
      <c r="G6955" s="51" t="str">
        <v>新美 2023/01/30 (月)
平日夜間</v>
      </c>
    </row>
    <row r="6956" spans="1:7" ht="16.149999999999999" x14ac:dyDescent="0.7">
      <c r="A6956" s="49">
        <v>44905.42634554398</v>
      </c>
      <c r="B6956" s="50" t="s">
        <v>13</v>
      </c>
      <c r="C6956" s="50" t="s">
        <v>642</v>
      </c>
      <c r="D6956" s="50" t="s">
        <v>259</v>
      </c>
      <c r="E6956" s="50">
        <v>0</v>
      </c>
      <c r="F6956" s="51">
        <v>0.40437758837766125</v>
      </c>
      <c r="G6956" s="51" t="str">
        <v>新美 2023/01/31 (火)
平日夜間</v>
      </c>
    </row>
    <row r="6957" spans="1:7" ht="16.149999999999999" x14ac:dyDescent="0.7">
      <c r="A6957" s="49">
        <v>44906.490629930558</v>
      </c>
      <c r="B6957" s="50" t="s">
        <v>16</v>
      </c>
      <c r="C6957" s="50" t="s">
        <v>606</v>
      </c>
      <c r="D6957" s="50" t="s">
        <v>259</v>
      </c>
      <c r="E6957" s="50">
        <v>0</v>
      </c>
      <c r="F6957" s="51">
        <v>0.49712069263236369</v>
      </c>
      <c r="G6957" s="51" t="str">
        <v>吉田 2023/01/04 (水)
平日夜間</v>
      </c>
    </row>
    <row r="6958" spans="1:7" ht="16.149999999999999" x14ac:dyDescent="0.7">
      <c r="A6958" s="49">
        <v>44906.490629930558</v>
      </c>
      <c r="B6958" s="50" t="s">
        <v>16</v>
      </c>
      <c r="C6958" s="50" t="s">
        <v>607</v>
      </c>
      <c r="D6958" s="50" t="s">
        <v>259</v>
      </c>
      <c r="E6958" s="50">
        <v>0</v>
      </c>
      <c r="F6958" s="51">
        <v>7.8602469456312773E-2</v>
      </c>
      <c r="G6958" s="51" t="str">
        <v>吉田 2023/01/05 (木)
平日夜間</v>
      </c>
    </row>
    <row r="6959" spans="1:7" ht="16.149999999999999" x14ac:dyDescent="0.7">
      <c r="A6959" s="49">
        <v>44906.490629930558</v>
      </c>
      <c r="B6959" s="50" t="s">
        <v>16</v>
      </c>
      <c r="C6959" s="50" t="s">
        <v>608</v>
      </c>
      <c r="D6959" s="50" t="s">
        <v>259</v>
      </c>
      <c r="E6959" s="50">
        <v>0</v>
      </c>
      <c r="F6959" s="51">
        <v>0.42521643989094571</v>
      </c>
      <c r="G6959" s="51" t="str">
        <v>吉田 2023/01/06 (金)
平日夜間</v>
      </c>
    </row>
    <row r="6960" spans="1:7" ht="16.149999999999999" x14ac:dyDescent="0.7">
      <c r="A6960" s="49">
        <v>44906.490629930558</v>
      </c>
      <c r="B6960" s="50" t="s">
        <v>16</v>
      </c>
      <c r="C6960" s="50" t="s">
        <v>609</v>
      </c>
      <c r="D6960" s="50" t="s">
        <v>263</v>
      </c>
      <c r="E6960" s="50">
        <v>0</v>
      </c>
      <c r="F6960" s="51">
        <v>0.53420924396122182</v>
      </c>
      <c r="G6960" s="51" t="str">
        <v>吉田 2023/01/07 (土)
休日午前</v>
      </c>
    </row>
    <row r="6961" spans="1:7" ht="16.149999999999999" x14ac:dyDescent="0.7">
      <c r="A6961" s="49">
        <v>44906.490629930558</v>
      </c>
      <c r="B6961" s="50" t="s">
        <v>16</v>
      </c>
      <c r="C6961" s="50" t="s">
        <v>610</v>
      </c>
      <c r="D6961" s="50" t="s">
        <v>261</v>
      </c>
      <c r="E6961" s="50">
        <v>0</v>
      </c>
      <c r="F6961" s="51">
        <v>0.42603725616145605</v>
      </c>
      <c r="G6961" s="51" t="str">
        <v>吉田 2023/01/07 (土)
休日午後</v>
      </c>
    </row>
    <row r="6962" spans="1:7" ht="16.149999999999999" x14ac:dyDescent="0.7">
      <c r="A6962" s="49">
        <v>44906.490629930558</v>
      </c>
      <c r="B6962" s="50" t="s">
        <v>16</v>
      </c>
      <c r="C6962" s="50" t="s">
        <v>611</v>
      </c>
      <c r="D6962" s="50" t="s">
        <v>263</v>
      </c>
      <c r="E6962" s="50">
        <v>0</v>
      </c>
      <c r="F6962" s="51">
        <v>0.27035529953601589</v>
      </c>
      <c r="G6962" s="51" t="str">
        <v>吉田 2023/01/08 (日)
休日午前</v>
      </c>
    </row>
    <row r="6963" spans="1:7" ht="16.149999999999999" x14ac:dyDescent="0.7">
      <c r="A6963" s="49">
        <v>44906.490629930558</v>
      </c>
      <c r="B6963" s="50" t="s">
        <v>16</v>
      </c>
      <c r="C6963" s="50" t="s">
        <v>612</v>
      </c>
      <c r="D6963" s="50" t="s">
        <v>261</v>
      </c>
      <c r="E6963" s="50">
        <v>0</v>
      </c>
      <c r="F6963" s="51">
        <v>0.88372394913569785</v>
      </c>
      <c r="G6963" s="51" t="str">
        <v>吉田 2023/01/08 (日)
休日午後</v>
      </c>
    </row>
    <row r="6964" spans="1:7" ht="16.149999999999999" x14ac:dyDescent="0.7">
      <c r="A6964" s="49">
        <v>44906.490629930558</v>
      </c>
      <c r="B6964" s="50" t="s">
        <v>16</v>
      </c>
      <c r="C6964" s="50" t="s">
        <v>613</v>
      </c>
      <c r="D6964" s="50" t="s">
        <v>263</v>
      </c>
      <c r="E6964" s="50">
        <v>0</v>
      </c>
      <c r="F6964" s="51">
        <v>0.59645786869190731</v>
      </c>
      <c r="G6964" s="51" t="str">
        <v>吉田 2023/01/09 (月)
休日午前</v>
      </c>
    </row>
    <row r="6965" spans="1:7" ht="16.149999999999999" x14ac:dyDescent="0.7">
      <c r="A6965" s="49">
        <v>44906.490629930558</v>
      </c>
      <c r="B6965" s="50" t="s">
        <v>16</v>
      </c>
      <c r="C6965" s="50" t="s">
        <v>614</v>
      </c>
      <c r="D6965" s="50" t="s">
        <v>261</v>
      </c>
      <c r="E6965" s="50">
        <v>0</v>
      </c>
      <c r="F6965" s="51">
        <v>0.199467335643434</v>
      </c>
      <c r="G6965" s="51" t="str">
        <v>吉田 2023/01/09 (月)
休日午後</v>
      </c>
    </row>
    <row r="6966" spans="1:7" ht="16.149999999999999" x14ac:dyDescent="0.7">
      <c r="A6966" s="49">
        <v>44906.490629930558</v>
      </c>
      <c r="B6966" s="50" t="s">
        <v>16</v>
      </c>
      <c r="C6966" s="50" t="s">
        <v>615</v>
      </c>
      <c r="D6966" s="50" t="s">
        <v>259</v>
      </c>
      <c r="E6966" s="50">
        <v>0</v>
      </c>
      <c r="F6966" s="51">
        <v>0.10544642125001014</v>
      </c>
      <c r="G6966" s="51" t="str">
        <v>吉田 2023/01/10 (火)
平日夜間</v>
      </c>
    </row>
    <row r="6967" spans="1:7" ht="16.149999999999999" x14ac:dyDescent="0.7">
      <c r="A6967" s="49">
        <v>44906.490629930558</v>
      </c>
      <c r="B6967" s="50" t="s">
        <v>16</v>
      </c>
      <c r="C6967" s="50" t="s">
        <v>616</v>
      </c>
      <c r="D6967" s="50" t="s">
        <v>259</v>
      </c>
      <c r="E6967" s="50">
        <v>0</v>
      </c>
      <c r="F6967" s="51">
        <v>6.6045549244417412E-2</v>
      </c>
      <c r="G6967" s="51" t="str">
        <v>吉田 2023/01/11 (水)
平日夜間</v>
      </c>
    </row>
    <row r="6968" spans="1:7" ht="16.149999999999999" x14ac:dyDescent="0.7">
      <c r="A6968" s="49">
        <v>44906.490629930558</v>
      </c>
      <c r="B6968" s="50" t="s">
        <v>16</v>
      </c>
      <c r="C6968" s="50" t="s">
        <v>617</v>
      </c>
      <c r="D6968" s="50" t="s">
        <v>259</v>
      </c>
      <c r="E6968" s="50">
        <v>0</v>
      </c>
      <c r="F6968" s="51">
        <v>0.68249459780263999</v>
      </c>
      <c r="G6968" s="51" t="str">
        <v>吉田 2023/01/12 (木)
平日夜間</v>
      </c>
    </row>
    <row r="6969" spans="1:7" ht="16.149999999999999" x14ac:dyDescent="0.7">
      <c r="A6969" s="49">
        <v>44906.490629930558</v>
      </c>
      <c r="B6969" s="50" t="s">
        <v>16</v>
      </c>
      <c r="C6969" s="50" t="s">
        <v>618</v>
      </c>
      <c r="D6969" s="50" t="s">
        <v>259</v>
      </c>
      <c r="E6969" s="50">
        <v>0</v>
      </c>
      <c r="F6969" s="51">
        <v>0.1412416223749704</v>
      </c>
      <c r="G6969" s="51" t="str">
        <v>吉田 2023/01/13 (金)
平日夜間</v>
      </c>
    </row>
    <row r="6970" spans="1:7" ht="16.149999999999999" x14ac:dyDescent="0.7">
      <c r="A6970" s="49">
        <v>44906.490629930558</v>
      </c>
      <c r="B6970" s="50" t="s">
        <v>16</v>
      </c>
      <c r="C6970" s="50" t="s">
        <v>619</v>
      </c>
      <c r="D6970" s="50" t="s">
        <v>263</v>
      </c>
      <c r="E6970" s="50">
        <v>-1</v>
      </c>
      <c r="F6970" s="51">
        <v>-0.23631843499701932</v>
      </c>
      <c r="G6970" s="51" t="str">
        <v>吉田 2023/01/14 (土)
休日午前</v>
      </c>
    </row>
    <row r="6971" spans="1:7" ht="16.149999999999999" x14ac:dyDescent="0.7">
      <c r="A6971" s="49">
        <v>44906.490629930558</v>
      </c>
      <c r="B6971" s="50" t="s">
        <v>16</v>
      </c>
      <c r="C6971" s="50" t="s">
        <v>620</v>
      </c>
      <c r="D6971" s="50" t="s">
        <v>261</v>
      </c>
      <c r="E6971" s="50">
        <v>-1</v>
      </c>
      <c r="F6971" s="51">
        <v>-4.9738397390908018E-2</v>
      </c>
      <c r="G6971" s="51" t="str">
        <v>吉田 2023/01/14 (土)
休日午後</v>
      </c>
    </row>
    <row r="6972" spans="1:7" ht="16.149999999999999" x14ac:dyDescent="0.7">
      <c r="A6972" s="49">
        <v>44906.490629930558</v>
      </c>
      <c r="B6972" s="50" t="s">
        <v>16</v>
      </c>
      <c r="C6972" s="50" t="s">
        <v>621</v>
      </c>
      <c r="D6972" s="50" t="s">
        <v>263</v>
      </c>
      <c r="E6972" s="50">
        <v>-1</v>
      </c>
      <c r="F6972" s="51">
        <v>-0.46313420231141178</v>
      </c>
      <c r="G6972" s="51" t="str">
        <v>吉田 2023/01/15 (日)
休日午前</v>
      </c>
    </row>
    <row r="6973" spans="1:7" ht="16.149999999999999" x14ac:dyDescent="0.7">
      <c r="A6973" s="49">
        <v>44906.490629930558</v>
      </c>
      <c r="B6973" s="50" t="s">
        <v>16</v>
      </c>
      <c r="C6973" s="50" t="s">
        <v>622</v>
      </c>
      <c r="D6973" s="50" t="s">
        <v>261</v>
      </c>
      <c r="E6973" s="50">
        <v>-1</v>
      </c>
      <c r="F6973" s="51">
        <v>-0.52383053124809198</v>
      </c>
      <c r="G6973" s="51" t="str">
        <v>吉田 2023/01/15 (日)
休日午後</v>
      </c>
    </row>
    <row r="6974" spans="1:7" ht="16.149999999999999" x14ac:dyDescent="0.7">
      <c r="A6974" s="49">
        <v>44906.490629930558</v>
      </c>
      <c r="B6974" s="50" t="s">
        <v>16</v>
      </c>
      <c r="C6974" s="50" t="s">
        <v>623</v>
      </c>
      <c r="D6974" s="50" t="s">
        <v>259</v>
      </c>
      <c r="E6974" s="50">
        <v>0</v>
      </c>
      <c r="F6974" s="51">
        <v>0.29639014390424956</v>
      </c>
      <c r="G6974" s="51" t="str">
        <v>吉田 2023/01/16 (月)
平日夜間</v>
      </c>
    </row>
    <row r="6975" spans="1:7" ht="16.149999999999999" x14ac:dyDescent="0.7">
      <c r="A6975" s="49">
        <v>44906.490629930558</v>
      </c>
      <c r="B6975" s="50" t="s">
        <v>16</v>
      </c>
      <c r="C6975" s="50" t="s">
        <v>624</v>
      </c>
      <c r="D6975" s="50" t="s">
        <v>259</v>
      </c>
      <c r="E6975" s="50">
        <v>-1</v>
      </c>
      <c r="F6975" s="51">
        <v>-0.39121786790341284</v>
      </c>
      <c r="G6975" s="51" t="str">
        <v>吉田 2023/01/17 (火)
平日夜間</v>
      </c>
    </row>
    <row r="6976" spans="1:7" ht="16.149999999999999" x14ac:dyDescent="0.7">
      <c r="A6976" s="49">
        <v>44906.490629930558</v>
      </c>
      <c r="B6976" s="50" t="s">
        <v>16</v>
      </c>
      <c r="C6976" s="50" t="s">
        <v>625</v>
      </c>
      <c r="D6976" s="50" t="s">
        <v>259</v>
      </c>
      <c r="E6976" s="50">
        <v>-1</v>
      </c>
      <c r="F6976" s="51">
        <v>-0.14292752215909821</v>
      </c>
      <c r="G6976" s="51" t="str">
        <v>吉田 2023/01/18 (水)
平日夜間</v>
      </c>
    </row>
    <row r="6977" spans="1:7" ht="16.149999999999999" x14ac:dyDescent="0.7">
      <c r="A6977" s="49">
        <v>44906.490629930558</v>
      </c>
      <c r="B6977" s="50" t="s">
        <v>16</v>
      </c>
      <c r="C6977" s="50" t="s">
        <v>626</v>
      </c>
      <c r="D6977" s="50" t="s">
        <v>259</v>
      </c>
      <c r="E6977" s="50">
        <v>0</v>
      </c>
      <c r="F6977" s="51">
        <v>0.5627310055992647</v>
      </c>
      <c r="G6977" s="51" t="str">
        <v>吉田 2023/01/19 (木)
平日夜間</v>
      </c>
    </row>
    <row r="6978" spans="1:7" ht="16.149999999999999" x14ac:dyDescent="0.7">
      <c r="A6978" s="49">
        <v>44906.490629930558</v>
      </c>
      <c r="B6978" s="50" t="s">
        <v>16</v>
      </c>
      <c r="C6978" s="50" t="s">
        <v>627</v>
      </c>
      <c r="D6978" s="50" t="s">
        <v>259</v>
      </c>
      <c r="E6978" s="50">
        <v>0</v>
      </c>
      <c r="F6978" s="51">
        <v>0.2302610210981495</v>
      </c>
      <c r="G6978" s="51" t="str">
        <v>吉田 2023/01/20 (金)
平日夜間</v>
      </c>
    </row>
    <row r="6979" spans="1:7" ht="16.149999999999999" x14ac:dyDescent="0.7">
      <c r="A6979" s="49">
        <v>44906.490629930558</v>
      </c>
      <c r="B6979" s="50" t="s">
        <v>16</v>
      </c>
      <c r="C6979" s="50" t="s">
        <v>628</v>
      </c>
      <c r="D6979" s="50" t="s">
        <v>263</v>
      </c>
      <c r="E6979" s="50">
        <v>0</v>
      </c>
      <c r="F6979" s="51">
        <v>0.95837919397537896</v>
      </c>
      <c r="G6979" s="51" t="str">
        <v>吉田 2023/01/21 (土)
休日午前</v>
      </c>
    </row>
    <row r="6980" spans="1:7" ht="16.149999999999999" x14ac:dyDescent="0.7">
      <c r="A6980" s="49">
        <v>44906.490629930558</v>
      </c>
      <c r="B6980" s="50" t="s">
        <v>16</v>
      </c>
      <c r="C6980" s="50" t="s">
        <v>629</v>
      </c>
      <c r="D6980" s="50" t="s">
        <v>261</v>
      </c>
      <c r="E6980" s="50">
        <v>0</v>
      </c>
      <c r="F6980" s="51">
        <v>0.85373354942586555</v>
      </c>
      <c r="G6980" s="51" t="str">
        <v>吉田 2023/01/21 (土)
休日午後</v>
      </c>
    </row>
    <row r="6981" spans="1:7" ht="16.149999999999999" x14ac:dyDescent="0.7">
      <c r="A6981" s="49">
        <v>44906.490629930558</v>
      </c>
      <c r="B6981" s="50" t="s">
        <v>16</v>
      </c>
      <c r="C6981" s="50" t="s">
        <v>630</v>
      </c>
      <c r="D6981" s="50" t="s">
        <v>263</v>
      </c>
      <c r="E6981" s="50">
        <v>0</v>
      </c>
      <c r="F6981" s="51">
        <v>0.57884666136171048</v>
      </c>
      <c r="G6981" s="51" t="str">
        <v>吉田 2023/01/22 (日)
休日午前</v>
      </c>
    </row>
    <row r="6982" spans="1:7" ht="16.149999999999999" x14ac:dyDescent="0.7">
      <c r="A6982" s="49">
        <v>44906.490629930558</v>
      </c>
      <c r="B6982" s="50" t="s">
        <v>16</v>
      </c>
      <c r="C6982" s="50" t="s">
        <v>631</v>
      </c>
      <c r="D6982" s="50" t="s">
        <v>261</v>
      </c>
      <c r="E6982" s="50">
        <v>0</v>
      </c>
      <c r="F6982" s="51">
        <v>0.2231501897358239</v>
      </c>
      <c r="G6982" s="51" t="str">
        <v>吉田 2023/01/22 (日)
休日午後</v>
      </c>
    </row>
    <row r="6983" spans="1:7" ht="16.149999999999999" x14ac:dyDescent="0.7">
      <c r="A6983" s="49">
        <v>44906.490629930558</v>
      </c>
      <c r="B6983" s="50" t="s">
        <v>16</v>
      </c>
      <c r="C6983" s="50" t="s">
        <v>632</v>
      </c>
      <c r="D6983" s="50" t="s">
        <v>259</v>
      </c>
      <c r="E6983" s="50">
        <v>0</v>
      </c>
      <c r="F6983" s="51">
        <v>0.57991340452729911</v>
      </c>
      <c r="G6983" s="51" t="str">
        <v>吉田 2023/01/23 (月)
平日夜間</v>
      </c>
    </row>
    <row r="6984" spans="1:7" ht="16.149999999999999" x14ac:dyDescent="0.7">
      <c r="A6984" s="49">
        <v>44906.490629930558</v>
      </c>
      <c r="B6984" s="50" t="s">
        <v>16</v>
      </c>
      <c r="C6984" s="50" t="s">
        <v>633</v>
      </c>
      <c r="D6984" s="50" t="s">
        <v>259</v>
      </c>
      <c r="E6984" s="50">
        <v>0</v>
      </c>
      <c r="F6984" s="51">
        <v>0.49825022502124972</v>
      </c>
      <c r="G6984" s="51" t="str">
        <v>吉田 2023/01/24 (火)
平日夜間</v>
      </c>
    </row>
    <row r="6985" spans="1:7" ht="16.149999999999999" x14ac:dyDescent="0.7">
      <c r="A6985" s="49">
        <v>44906.490629930558</v>
      </c>
      <c r="B6985" s="50" t="s">
        <v>16</v>
      </c>
      <c r="C6985" s="50" t="s">
        <v>634</v>
      </c>
      <c r="D6985" s="50" t="s">
        <v>259</v>
      </c>
      <c r="E6985" s="50">
        <v>0</v>
      </c>
      <c r="F6985" s="51">
        <v>0.20385251931974957</v>
      </c>
      <c r="G6985" s="51" t="str">
        <v>吉田 2023/01/25 (水)
平日夜間</v>
      </c>
    </row>
    <row r="6986" spans="1:7" ht="16.149999999999999" x14ac:dyDescent="0.7">
      <c r="A6986" s="49">
        <v>44906.490629930558</v>
      </c>
      <c r="B6986" s="50" t="s">
        <v>16</v>
      </c>
      <c r="C6986" s="50" t="s">
        <v>635</v>
      </c>
      <c r="D6986" s="50" t="s">
        <v>259</v>
      </c>
      <c r="E6986" s="50">
        <v>0</v>
      </c>
      <c r="F6986" s="51">
        <v>0.63359927086517631</v>
      </c>
      <c r="G6986" s="51" t="str">
        <v>吉田 2023/01/26 (木)
平日夜間</v>
      </c>
    </row>
    <row r="6987" spans="1:7" ht="16.149999999999999" x14ac:dyDescent="0.7">
      <c r="A6987" s="49">
        <v>44906.490629930558</v>
      </c>
      <c r="B6987" s="50" t="s">
        <v>16</v>
      </c>
      <c r="C6987" s="50" t="s">
        <v>636</v>
      </c>
      <c r="D6987" s="50" t="s">
        <v>259</v>
      </c>
      <c r="E6987" s="50">
        <v>0</v>
      </c>
      <c r="F6987" s="51">
        <v>0.2799626373303632</v>
      </c>
      <c r="G6987" s="51" t="str">
        <v>吉田 2023/01/27 (金)
平日夜間</v>
      </c>
    </row>
    <row r="6988" spans="1:7" ht="16.149999999999999" x14ac:dyDescent="0.7">
      <c r="A6988" s="49">
        <v>44906.490629930558</v>
      </c>
      <c r="B6988" s="50" t="s">
        <v>16</v>
      </c>
      <c r="C6988" s="50" t="s">
        <v>637</v>
      </c>
      <c r="D6988" s="50" t="s">
        <v>263</v>
      </c>
      <c r="E6988" s="50">
        <v>0</v>
      </c>
      <c r="F6988" s="51">
        <v>0.39981264050996157</v>
      </c>
      <c r="G6988" s="51" t="str">
        <v>吉田 2023/01/28 (土)
休日午前</v>
      </c>
    </row>
    <row r="6989" spans="1:7" ht="16.149999999999999" x14ac:dyDescent="0.7">
      <c r="A6989" s="49">
        <v>44906.490629930558</v>
      </c>
      <c r="B6989" s="50" t="s">
        <v>16</v>
      </c>
      <c r="C6989" s="50" t="s">
        <v>638</v>
      </c>
      <c r="D6989" s="50" t="s">
        <v>261</v>
      </c>
      <c r="E6989" s="50">
        <v>2</v>
      </c>
      <c r="F6989" s="51">
        <v>2.9048075407351472</v>
      </c>
      <c r="G6989" s="51" t="str">
        <v>吉田 2023/01/28 (土)
休日午後</v>
      </c>
    </row>
    <row r="6990" spans="1:7" ht="16.149999999999999" x14ac:dyDescent="0.7">
      <c r="A6990" s="49">
        <v>44906.490629930558</v>
      </c>
      <c r="B6990" s="50" t="s">
        <v>16</v>
      </c>
      <c r="C6990" s="50" t="s">
        <v>639</v>
      </c>
      <c r="D6990" s="50" t="s">
        <v>263</v>
      </c>
      <c r="E6990" s="50">
        <v>-1</v>
      </c>
      <c r="F6990" s="51">
        <v>-0.98353105513451133</v>
      </c>
      <c r="G6990" s="51" t="str">
        <v>吉田 2023/01/29 (日)
休日午前</v>
      </c>
    </row>
    <row r="6991" spans="1:7" ht="16.149999999999999" x14ac:dyDescent="0.7">
      <c r="A6991" s="49">
        <v>44906.490629930558</v>
      </c>
      <c r="B6991" s="50" t="s">
        <v>16</v>
      </c>
      <c r="C6991" s="50" t="s">
        <v>640</v>
      </c>
      <c r="D6991" s="50" t="s">
        <v>261</v>
      </c>
      <c r="E6991" s="50">
        <v>-1</v>
      </c>
      <c r="F6991" s="51">
        <v>-0.68256298320599629</v>
      </c>
      <c r="G6991" s="51" t="str">
        <v>吉田 2023/01/29 (日)
休日午後</v>
      </c>
    </row>
    <row r="6992" spans="1:7" ht="16.149999999999999" x14ac:dyDescent="0.7">
      <c r="A6992" s="49">
        <v>44906.490629930558</v>
      </c>
      <c r="B6992" s="50" t="s">
        <v>16</v>
      </c>
      <c r="C6992" s="50" t="s">
        <v>641</v>
      </c>
      <c r="D6992" s="50" t="s">
        <v>259</v>
      </c>
      <c r="E6992" s="50">
        <v>0</v>
      </c>
      <c r="F6992" s="51">
        <v>0.34326231599859192</v>
      </c>
      <c r="G6992" s="51" t="str">
        <v>吉田 2023/01/30 (月)
平日夜間</v>
      </c>
    </row>
    <row r="6993" spans="1:7" ht="16.149999999999999" x14ac:dyDescent="0.7">
      <c r="A6993" s="49">
        <v>44906.490629930558</v>
      </c>
      <c r="B6993" s="50" t="s">
        <v>16</v>
      </c>
      <c r="C6993" s="50" t="s">
        <v>642</v>
      </c>
      <c r="D6993" s="50" t="s">
        <v>259</v>
      </c>
      <c r="E6993" s="50">
        <v>0</v>
      </c>
      <c r="F6993" s="51">
        <v>0.33356348601215657</v>
      </c>
      <c r="G6993" s="51" t="str">
        <v>吉田 2023/01/31 (火)
平日夜間</v>
      </c>
    </row>
    <row r="6994" spans="1:7" ht="16.149999999999999" x14ac:dyDescent="0.7">
      <c r="A6994" s="49">
        <v>44907.758908298609</v>
      </c>
      <c r="B6994" s="50" t="s">
        <v>9</v>
      </c>
      <c r="C6994" s="50" t="s">
        <v>606</v>
      </c>
      <c r="D6994" s="50" t="s">
        <v>259</v>
      </c>
      <c r="E6994" s="50">
        <v>0</v>
      </c>
      <c r="F6994" s="51">
        <v>0.24547348454875784</v>
      </c>
      <c r="G6994" s="51" t="str">
        <v>山口 2023/01/04 (水)
平日夜間</v>
      </c>
    </row>
    <row r="6995" spans="1:7" ht="16.149999999999999" x14ac:dyDescent="0.7">
      <c r="A6995" s="49">
        <v>44907.758908298609</v>
      </c>
      <c r="B6995" s="50" t="s">
        <v>9</v>
      </c>
      <c r="C6995" s="50" t="s">
        <v>607</v>
      </c>
      <c r="D6995" s="50" t="s">
        <v>259</v>
      </c>
      <c r="E6995" s="50">
        <v>0</v>
      </c>
      <c r="F6995" s="51">
        <v>0.53526872631800759</v>
      </c>
      <c r="G6995" s="51" t="str">
        <v>山口 2023/01/05 (木)
平日夜間</v>
      </c>
    </row>
    <row r="6996" spans="1:7" ht="16.149999999999999" x14ac:dyDescent="0.7">
      <c r="A6996" s="49">
        <v>44907.758908298609</v>
      </c>
      <c r="B6996" s="50" t="s">
        <v>9</v>
      </c>
      <c r="C6996" s="50" t="s">
        <v>608</v>
      </c>
      <c r="D6996" s="50" t="s">
        <v>259</v>
      </c>
      <c r="E6996" s="50">
        <v>0</v>
      </c>
      <c r="F6996" s="51">
        <v>0.84444551914527954</v>
      </c>
      <c r="G6996" s="51" t="str">
        <v>山口 2023/01/06 (金)
平日夜間</v>
      </c>
    </row>
    <row r="6997" spans="1:7" ht="16.149999999999999" x14ac:dyDescent="0.7">
      <c r="A6997" s="49">
        <v>44907.758908298609</v>
      </c>
      <c r="B6997" s="50" t="s">
        <v>9</v>
      </c>
      <c r="C6997" s="50" t="s">
        <v>609</v>
      </c>
      <c r="D6997" s="50" t="s">
        <v>263</v>
      </c>
      <c r="E6997" s="50">
        <v>0</v>
      </c>
      <c r="F6997" s="51">
        <v>0.2569080670043129</v>
      </c>
      <c r="G6997" s="51" t="str">
        <v>山口 2023/01/07 (土)
休日午前</v>
      </c>
    </row>
    <row r="6998" spans="1:7" ht="16.149999999999999" x14ac:dyDescent="0.7">
      <c r="A6998" s="49">
        <v>44907.758908298609</v>
      </c>
      <c r="B6998" s="50" t="s">
        <v>9</v>
      </c>
      <c r="C6998" s="50" t="s">
        <v>610</v>
      </c>
      <c r="D6998" s="50" t="s">
        <v>261</v>
      </c>
      <c r="E6998" s="50">
        <v>0</v>
      </c>
      <c r="F6998" s="51">
        <v>9.4083965749640397E-2</v>
      </c>
      <c r="G6998" s="51" t="str">
        <v>山口 2023/01/07 (土)
休日午後</v>
      </c>
    </row>
    <row r="6999" spans="1:7" ht="16.149999999999999" x14ac:dyDescent="0.7">
      <c r="A6999" s="49">
        <v>44907.758908298609</v>
      </c>
      <c r="B6999" s="50" t="s">
        <v>9</v>
      </c>
      <c r="C6999" s="50" t="s">
        <v>611</v>
      </c>
      <c r="D6999" s="50" t="s">
        <v>263</v>
      </c>
      <c r="E6999" s="50">
        <v>0</v>
      </c>
      <c r="F6999" s="51">
        <v>0.23355691232989551</v>
      </c>
      <c r="G6999" s="51" t="str">
        <v>山口 2023/01/08 (日)
休日午前</v>
      </c>
    </row>
    <row r="7000" spans="1:7" ht="16.149999999999999" x14ac:dyDescent="0.7">
      <c r="A7000" s="49">
        <v>44907.758908298609</v>
      </c>
      <c r="B7000" s="50" t="s">
        <v>9</v>
      </c>
      <c r="C7000" s="50" t="s">
        <v>612</v>
      </c>
      <c r="D7000" s="50" t="s">
        <v>261</v>
      </c>
      <c r="E7000" s="50">
        <v>0</v>
      </c>
      <c r="F7000" s="51">
        <v>0.79119514363324539</v>
      </c>
      <c r="G7000" s="51" t="str">
        <v>山口 2023/01/08 (日)
休日午後</v>
      </c>
    </row>
    <row r="7001" spans="1:7" ht="16.149999999999999" x14ac:dyDescent="0.7">
      <c r="A7001" s="49">
        <v>44907.758908298609</v>
      </c>
      <c r="B7001" s="50" t="s">
        <v>9</v>
      </c>
      <c r="C7001" s="50" t="s">
        <v>613</v>
      </c>
      <c r="D7001" s="50" t="s">
        <v>263</v>
      </c>
      <c r="E7001" s="50">
        <v>0</v>
      </c>
      <c r="F7001" s="51">
        <v>0.9157221443840462</v>
      </c>
      <c r="G7001" s="51" t="str">
        <v>山口 2023/01/09 (月)
休日午前</v>
      </c>
    </row>
    <row r="7002" spans="1:7" ht="16.149999999999999" x14ac:dyDescent="0.7">
      <c r="A7002" s="49">
        <v>44907.758908298609</v>
      </c>
      <c r="B7002" s="50" t="s">
        <v>9</v>
      </c>
      <c r="C7002" s="50" t="s">
        <v>614</v>
      </c>
      <c r="D7002" s="50" t="s">
        <v>261</v>
      </c>
      <c r="E7002" s="50">
        <v>0</v>
      </c>
      <c r="F7002" s="51">
        <v>0.16539252302071161</v>
      </c>
      <c r="G7002" s="51" t="str">
        <v>山口 2023/01/09 (月)
休日午後</v>
      </c>
    </row>
    <row r="7003" spans="1:7" ht="16.149999999999999" x14ac:dyDescent="0.7">
      <c r="A7003" s="49">
        <v>44907.758908298609</v>
      </c>
      <c r="B7003" s="50" t="s">
        <v>9</v>
      </c>
      <c r="C7003" s="50" t="s">
        <v>615</v>
      </c>
      <c r="D7003" s="50" t="s">
        <v>259</v>
      </c>
      <c r="E7003" s="50">
        <v>0</v>
      </c>
      <c r="F7003" s="51">
        <v>0.95043220531812489</v>
      </c>
      <c r="G7003" s="51" t="str">
        <v>山口 2023/01/10 (火)
平日夜間</v>
      </c>
    </row>
    <row r="7004" spans="1:7" ht="16.149999999999999" x14ac:dyDescent="0.7">
      <c r="A7004" s="49">
        <v>44907.758908298609</v>
      </c>
      <c r="B7004" s="50" t="s">
        <v>9</v>
      </c>
      <c r="C7004" s="50" t="s">
        <v>616</v>
      </c>
      <c r="D7004" s="50" t="s">
        <v>259</v>
      </c>
      <c r="E7004" s="50">
        <v>0</v>
      </c>
      <c r="F7004" s="51">
        <v>0.29918987562898214</v>
      </c>
      <c r="G7004" s="51" t="str">
        <v>山口 2023/01/11 (水)
平日夜間</v>
      </c>
    </row>
    <row r="7005" spans="1:7" ht="16.149999999999999" x14ac:dyDescent="0.7">
      <c r="A7005" s="49">
        <v>44907.758908298609</v>
      </c>
      <c r="B7005" s="50" t="s">
        <v>9</v>
      </c>
      <c r="C7005" s="50" t="s">
        <v>617</v>
      </c>
      <c r="D7005" s="50" t="s">
        <v>259</v>
      </c>
      <c r="E7005" s="50">
        <v>0</v>
      </c>
      <c r="F7005" s="51">
        <v>0.21044987916030511</v>
      </c>
      <c r="G7005" s="51" t="str">
        <v>山口 2023/01/12 (木)
平日夜間</v>
      </c>
    </row>
    <row r="7006" spans="1:7" ht="16.149999999999999" x14ac:dyDescent="0.7">
      <c r="A7006" s="49">
        <v>44907.758908298609</v>
      </c>
      <c r="B7006" s="50" t="s">
        <v>9</v>
      </c>
      <c r="C7006" s="50" t="s">
        <v>618</v>
      </c>
      <c r="D7006" s="50" t="s">
        <v>259</v>
      </c>
      <c r="E7006" s="50">
        <v>0</v>
      </c>
      <c r="F7006" s="51">
        <v>0.56810306389651077</v>
      </c>
      <c r="G7006" s="51" t="str">
        <v>山口 2023/01/13 (金)
平日夜間</v>
      </c>
    </row>
    <row r="7007" spans="1:7" ht="16.149999999999999" x14ac:dyDescent="0.7">
      <c r="A7007" s="49">
        <v>44907.758908298609</v>
      </c>
      <c r="B7007" s="50" t="s">
        <v>9</v>
      </c>
      <c r="C7007" s="50" t="s">
        <v>619</v>
      </c>
      <c r="D7007" s="50" t="s">
        <v>263</v>
      </c>
      <c r="E7007" s="50">
        <v>0</v>
      </c>
      <c r="F7007" s="51">
        <v>0.25006793650954795</v>
      </c>
      <c r="G7007" s="51" t="str">
        <v>山口 2023/01/14 (土)
休日午前</v>
      </c>
    </row>
    <row r="7008" spans="1:7" ht="16.149999999999999" x14ac:dyDescent="0.7">
      <c r="A7008" s="49">
        <v>44907.758908298609</v>
      </c>
      <c r="B7008" s="50" t="s">
        <v>9</v>
      </c>
      <c r="C7008" s="50" t="s">
        <v>620</v>
      </c>
      <c r="D7008" s="50" t="s">
        <v>261</v>
      </c>
      <c r="E7008" s="50">
        <v>0</v>
      </c>
      <c r="F7008" s="51">
        <v>0.24338733365136545</v>
      </c>
      <c r="G7008" s="51" t="str">
        <v>山口 2023/01/14 (土)
休日午後</v>
      </c>
    </row>
    <row r="7009" spans="1:7" ht="16.149999999999999" x14ac:dyDescent="0.7">
      <c r="A7009" s="49">
        <v>44907.758908298609</v>
      </c>
      <c r="B7009" s="50" t="s">
        <v>9</v>
      </c>
      <c r="C7009" s="50" t="s">
        <v>621</v>
      </c>
      <c r="D7009" s="50" t="s">
        <v>263</v>
      </c>
      <c r="E7009" s="50">
        <v>0</v>
      </c>
      <c r="F7009" s="51">
        <v>0.29810562082692615</v>
      </c>
      <c r="G7009" s="51" t="str">
        <v>山口 2023/01/15 (日)
休日午前</v>
      </c>
    </row>
    <row r="7010" spans="1:7" ht="16.149999999999999" x14ac:dyDescent="0.7">
      <c r="A7010" s="49">
        <v>44907.758908298609</v>
      </c>
      <c r="B7010" s="50" t="s">
        <v>9</v>
      </c>
      <c r="C7010" s="50" t="s">
        <v>622</v>
      </c>
      <c r="D7010" s="50" t="s">
        <v>261</v>
      </c>
      <c r="E7010" s="50">
        <v>0</v>
      </c>
      <c r="F7010" s="51">
        <v>0.57913218734801863</v>
      </c>
      <c r="G7010" s="51" t="str">
        <v>山口 2023/01/15 (日)
休日午後</v>
      </c>
    </row>
    <row r="7011" spans="1:7" ht="16.149999999999999" x14ac:dyDescent="0.7">
      <c r="A7011" s="49">
        <v>44907.758908298609</v>
      </c>
      <c r="B7011" s="50" t="s">
        <v>9</v>
      </c>
      <c r="C7011" s="50" t="s">
        <v>623</v>
      </c>
      <c r="D7011" s="50" t="s">
        <v>259</v>
      </c>
      <c r="E7011" s="50">
        <v>0</v>
      </c>
      <c r="F7011" s="51">
        <v>0.50074569514632961</v>
      </c>
      <c r="G7011" s="51" t="str">
        <v>山口 2023/01/16 (月)
平日夜間</v>
      </c>
    </row>
    <row r="7012" spans="1:7" ht="16.149999999999999" x14ac:dyDescent="0.7">
      <c r="A7012" s="49">
        <v>44907.758908298609</v>
      </c>
      <c r="B7012" s="50" t="s">
        <v>9</v>
      </c>
      <c r="C7012" s="50" t="s">
        <v>624</v>
      </c>
      <c r="D7012" s="50" t="s">
        <v>259</v>
      </c>
      <c r="E7012" s="50">
        <v>0</v>
      </c>
      <c r="F7012" s="51">
        <v>0.81972489025003559</v>
      </c>
      <c r="G7012" s="51" t="str">
        <v>山口 2023/01/17 (火)
平日夜間</v>
      </c>
    </row>
    <row r="7013" spans="1:7" ht="16.149999999999999" x14ac:dyDescent="0.7">
      <c r="A7013" s="49">
        <v>44907.758908298609</v>
      </c>
      <c r="B7013" s="50" t="s">
        <v>9</v>
      </c>
      <c r="C7013" s="50" t="s">
        <v>625</v>
      </c>
      <c r="D7013" s="50" t="s">
        <v>259</v>
      </c>
      <c r="E7013" s="50">
        <v>-1</v>
      </c>
      <c r="F7013" s="51">
        <v>-7.1538479871062322E-2</v>
      </c>
      <c r="G7013" s="51" t="str">
        <v>山口 2023/01/18 (水)
平日夜間</v>
      </c>
    </row>
    <row r="7014" spans="1:7" ht="16.149999999999999" x14ac:dyDescent="0.7">
      <c r="A7014" s="49">
        <v>44907.758908298609</v>
      </c>
      <c r="B7014" s="50" t="s">
        <v>9</v>
      </c>
      <c r="C7014" s="50" t="s">
        <v>626</v>
      </c>
      <c r="D7014" s="50" t="s">
        <v>259</v>
      </c>
      <c r="E7014" s="50">
        <v>-1</v>
      </c>
      <c r="F7014" s="51">
        <v>-0.50505396595317764</v>
      </c>
      <c r="G7014" s="51" t="str">
        <v>山口 2023/01/19 (木)
平日夜間</v>
      </c>
    </row>
    <row r="7015" spans="1:7" ht="16.149999999999999" x14ac:dyDescent="0.7">
      <c r="A7015" s="49">
        <v>44907.758908298609</v>
      </c>
      <c r="B7015" s="50" t="s">
        <v>9</v>
      </c>
      <c r="C7015" s="50" t="s">
        <v>627</v>
      </c>
      <c r="D7015" s="50" t="s">
        <v>259</v>
      </c>
      <c r="E7015" s="50">
        <v>0</v>
      </c>
      <c r="F7015" s="51">
        <v>0.69015146964899654</v>
      </c>
      <c r="G7015" s="51" t="str">
        <v>山口 2023/01/20 (金)
平日夜間</v>
      </c>
    </row>
    <row r="7016" spans="1:7" ht="16.149999999999999" x14ac:dyDescent="0.7">
      <c r="A7016" s="49">
        <v>44907.758908298609</v>
      </c>
      <c r="B7016" s="50" t="s">
        <v>9</v>
      </c>
      <c r="C7016" s="50" t="s">
        <v>628</v>
      </c>
      <c r="D7016" s="50" t="s">
        <v>263</v>
      </c>
      <c r="E7016" s="50">
        <v>0</v>
      </c>
      <c r="F7016" s="51">
        <v>0.10438571340715641</v>
      </c>
      <c r="G7016" s="51" t="str">
        <v>山口 2023/01/21 (土)
休日午前</v>
      </c>
    </row>
    <row r="7017" spans="1:7" ht="16.149999999999999" x14ac:dyDescent="0.7">
      <c r="A7017" s="49">
        <v>44907.758908298609</v>
      </c>
      <c r="B7017" s="50" t="s">
        <v>9</v>
      </c>
      <c r="C7017" s="50" t="s">
        <v>629</v>
      </c>
      <c r="D7017" s="50" t="s">
        <v>261</v>
      </c>
      <c r="E7017" s="50">
        <v>0</v>
      </c>
      <c r="F7017" s="51">
        <v>0.91197207727887797</v>
      </c>
      <c r="G7017" s="51" t="str">
        <v>山口 2023/01/21 (土)
休日午後</v>
      </c>
    </row>
    <row r="7018" spans="1:7" ht="16.149999999999999" x14ac:dyDescent="0.7">
      <c r="A7018" s="49">
        <v>44907.758908298609</v>
      </c>
      <c r="B7018" s="50" t="s">
        <v>9</v>
      </c>
      <c r="C7018" s="50" t="s">
        <v>630</v>
      </c>
      <c r="D7018" s="50" t="s">
        <v>263</v>
      </c>
      <c r="E7018" s="50">
        <v>0</v>
      </c>
      <c r="F7018" s="51">
        <v>0.78816762289197939</v>
      </c>
      <c r="G7018" s="51" t="str">
        <v>山口 2023/01/22 (日)
休日午前</v>
      </c>
    </row>
    <row r="7019" spans="1:7" ht="16.149999999999999" x14ac:dyDescent="0.7">
      <c r="A7019" s="49">
        <v>44907.758908298609</v>
      </c>
      <c r="B7019" s="50" t="s">
        <v>9</v>
      </c>
      <c r="C7019" s="50" t="s">
        <v>631</v>
      </c>
      <c r="D7019" s="50" t="s">
        <v>261</v>
      </c>
      <c r="E7019" s="50">
        <v>0</v>
      </c>
      <c r="F7019" s="51">
        <v>0.54248746220082311</v>
      </c>
      <c r="G7019" s="51" t="str">
        <v>山口 2023/01/22 (日)
休日午後</v>
      </c>
    </row>
    <row r="7020" spans="1:7" ht="16.149999999999999" x14ac:dyDescent="0.7">
      <c r="A7020" s="49">
        <v>44907.758908298609</v>
      </c>
      <c r="B7020" s="50" t="s">
        <v>9</v>
      </c>
      <c r="C7020" s="50" t="s">
        <v>632</v>
      </c>
      <c r="D7020" s="50" t="s">
        <v>259</v>
      </c>
      <c r="E7020" s="50">
        <v>0</v>
      </c>
      <c r="F7020" s="51">
        <v>0.91572173372278876</v>
      </c>
      <c r="G7020" s="51" t="str">
        <v>山口 2023/01/23 (月)
平日夜間</v>
      </c>
    </row>
    <row r="7021" spans="1:7" ht="16.149999999999999" x14ac:dyDescent="0.7">
      <c r="A7021" s="49">
        <v>44907.758908298609</v>
      </c>
      <c r="B7021" s="50" t="s">
        <v>9</v>
      </c>
      <c r="C7021" s="50" t="s">
        <v>633</v>
      </c>
      <c r="D7021" s="50" t="s">
        <v>259</v>
      </c>
      <c r="E7021" s="50">
        <v>0</v>
      </c>
      <c r="F7021" s="51">
        <v>0.83330139046260188</v>
      </c>
      <c r="G7021" s="51" t="str">
        <v>山口 2023/01/24 (火)
平日夜間</v>
      </c>
    </row>
    <row r="7022" spans="1:7" ht="16.149999999999999" x14ac:dyDescent="0.7">
      <c r="A7022" s="49">
        <v>44907.758908298609</v>
      </c>
      <c r="B7022" s="50" t="s">
        <v>9</v>
      </c>
      <c r="C7022" s="50" t="s">
        <v>634</v>
      </c>
      <c r="D7022" s="50" t="s">
        <v>259</v>
      </c>
      <c r="E7022" s="50">
        <v>0</v>
      </c>
      <c r="F7022" s="51">
        <v>0.24649298197929825</v>
      </c>
      <c r="G7022" s="51" t="str">
        <v>山口 2023/01/25 (水)
平日夜間</v>
      </c>
    </row>
    <row r="7023" spans="1:7" ht="16.149999999999999" x14ac:dyDescent="0.7">
      <c r="A7023" s="49">
        <v>44907.758908298609</v>
      </c>
      <c r="B7023" s="50" t="s">
        <v>9</v>
      </c>
      <c r="C7023" s="50" t="s">
        <v>635</v>
      </c>
      <c r="D7023" s="50" t="s">
        <v>259</v>
      </c>
      <c r="E7023" s="50">
        <v>-1</v>
      </c>
      <c r="F7023" s="51">
        <v>-0.76885177875028976</v>
      </c>
      <c r="G7023" s="51" t="str">
        <v>山口 2023/01/26 (木)
平日夜間</v>
      </c>
    </row>
    <row r="7024" spans="1:7" ht="16.149999999999999" x14ac:dyDescent="0.7">
      <c r="A7024" s="49">
        <v>44907.758908298609</v>
      </c>
      <c r="B7024" s="50" t="s">
        <v>9</v>
      </c>
      <c r="C7024" s="50" t="s">
        <v>636</v>
      </c>
      <c r="D7024" s="50" t="s">
        <v>259</v>
      </c>
      <c r="E7024" s="50">
        <v>-1</v>
      </c>
      <c r="F7024" s="51">
        <v>-0.50480252739375508</v>
      </c>
      <c r="G7024" s="51" t="str">
        <v>山口 2023/01/27 (金)
平日夜間</v>
      </c>
    </row>
    <row r="7025" spans="1:7" ht="16.149999999999999" x14ac:dyDescent="0.7">
      <c r="A7025" s="49">
        <v>44907.758908298609</v>
      </c>
      <c r="B7025" s="50" t="s">
        <v>9</v>
      </c>
      <c r="C7025" s="50" t="s">
        <v>637</v>
      </c>
      <c r="D7025" s="50" t="s">
        <v>263</v>
      </c>
      <c r="E7025" s="50">
        <v>0</v>
      </c>
      <c r="F7025" s="51">
        <v>0.41031887237352205</v>
      </c>
      <c r="G7025" s="51" t="str">
        <v>山口 2023/01/28 (土)
休日午前</v>
      </c>
    </row>
    <row r="7026" spans="1:7" ht="16.149999999999999" x14ac:dyDescent="0.7">
      <c r="A7026" s="49">
        <v>44907.758908298609</v>
      </c>
      <c r="B7026" s="50" t="s">
        <v>9</v>
      </c>
      <c r="C7026" s="50" t="s">
        <v>638</v>
      </c>
      <c r="D7026" s="50" t="s">
        <v>261</v>
      </c>
      <c r="E7026" s="50">
        <v>0</v>
      </c>
      <c r="F7026" s="51">
        <v>0.3568574546750638</v>
      </c>
      <c r="G7026" s="51" t="str">
        <v>山口 2023/01/28 (土)
休日午後</v>
      </c>
    </row>
    <row r="7027" spans="1:7" ht="16.149999999999999" x14ac:dyDescent="0.7">
      <c r="A7027" s="49">
        <v>44907.758908298609</v>
      </c>
      <c r="B7027" s="50" t="s">
        <v>9</v>
      </c>
      <c r="C7027" s="50" t="s">
        <v>639</v>
      </c>
      <c r="D7027" s="50" t="s">
        <v>263</v>
      </c>
      <c r="E7027" s="50">
        <v>0</v>
      </c>
      <c r="F7027" s="51">
        <v>0.18051911723014591</v>
      </c>
      <c r="G7027" s="51" t="str">
        <v>山口 2023/01/29 (日)
休日午前</v>
      </c>
    </row>
    <row r="7028" spans="1:7" ht="16.149999999999999" x14ac:dyDescent="0.7">
      <c r="A7028" s="49">
        <v>44907.758908298609</v>
      </c>
      <c r="B7028" s="50" t="s">
        <v>9</v>
      </c>
      <c r="C7028" s="50" t="s">
        <v>640</v>
      </c>
      <c r="D7028" s="50" t="s">
        <v>261</v>
      </c>
      <c r="E7028" s="50">
        <v>0</v>
      </c>
      <c r="F7028" s="51">
        <v>0.91091914305484867</v>
      </c>
      <c r="G7028" s="51" t="str">
        <v>山口 2023/01/29 (日)
休日午後</v>
      </c>
    </row>
    <row r="7029" spans="1:7" ht="16.149999999999999" x14ac:dyDescent="0.7">
      <c r="A7029" s="49">
        <v>44907.758908298609</v>
      </c>
      <c r="B7029" s="50" t="s">
        <v>9</v>
      </c>
      <c r="C7029" s="50" t="s">
        <v>641</v>
      </c>
      <c r="D7029" s="50" t="s">
        <v>259</v>
      </c>
      <c r="E7029" s="50">
        <v>0</v>
      </c>
      <c r="F7029" s="51">
        <v>0.18701135034079219</v>
      </c>
      <c r="G7029" s="51" t="str">
        <v>山口 2023/01/30 (月)
平日夜間</v>
      </c>
    </row>
    <row r="7030" spans="1:7" ht="16.149999999999999" x14ac:dyDescent="0.7">
      <c r="A7030" s="49">
        <v>44907.758908298609</v>
      </c>
      <c r="B7030" s="50" t="s">
        <v>9</v>
      </c>
      <c r="C7030" s="50" t="s">
        <v>642</v>
      </c>
      <c r="D7030" s="50" t="s">
        <v>259</v>
      </c>
      <c r="E7030" s="50">
        <v>0</v>
      </c>
      <c r="F7030" s="51">
        <v>5.7016227610745318E-2</v>
      </c>
      <c r="G7030" s="51" t="str">
        <v>山口 2023/01/31 (火)
平日夜間</v>
      </c>
    </row>
    <row r="7031" spans="1:7" ht="16.149999999999999" x14ac:dyDescent="0.7">
      <c r="A7031" s="49">
        <v>44908.441254594909</v>
      </c>
      <c r="B7031" s="50" t="s">
        <v>7</v>
      </c>
      <c r="C7031" s="50" t="s">
        <v>606</v>
      </c>
      <c r="D7031" s="50" t="s">
        <v>259</v>
      </c>
      <c r="E7031" s="50">
        <v>-1</v>
      </c>
      <c r="F7031" s="51">
        <v>-0.51857167511751201</v>
      </c>
      <c r="G7031" s="51" t="str">
        <v>竹藤 2023/01/04 (水)
平日夜間</v>
      </c>
    </row>
    <row r="7032" spans="1:7" ht="16.149999999999999" x14ac:dyDescent="0.7">
      <c r="A7032" s="49">
        <v>44908.441254594909</v>
      </c>
      <c r="B7032" s="50" t="s">
        <v>7</v>
      </c>
      <c r="C7032" s="50" t="s">
        <v>607</v>
      </c>
      <c r="D7032" s="50" t="s">
        <v>259</v>
      </c>
      <c r="E7032" s="50">
        <v>0</v>
      </c>
      <c r="F7032" s="51">
        <v>0.26665139306015662</v>
      </c>
      <c r="G7032" s="51" t="str">
        <v>竹藤 2023/01/05 (木)
平日夜間</v>
      </c>
    </row>
    <row r="7033" spans="1:7" ht="16.149999999999999" x14ac:dyDescent="0.7">
      <c r="A7033" s="49">
        <v>44908.441254594909</v>
      </c>
      <c r="B7033" s="50" t="s">
        <v>7</v>
      </c>
      <c r="C7033" s="50" t="s">
        <v>608</v>
      </c>
      <c r="D7033" s="50" t="s">
        <v>259</v>
      </c>
      <c r="E7033" s="50">
        <v>-1</v>
      </c>
      <c r="F7033" s="51">
        <v>-0.41543761880831198</v>
      </c>
      <c r="G7033" s="51" t="str">
        <v>竹藤 2023/01/06 (金)
平日夜間</v>
      </c>
    </row>
    <row r="7034" spans="1:7" ht="16.149999999999999" x14ac:dyDescent="0.7">
      <c r="A7034" s="49">
        <v>44908.441254594909</v>
      </c>
      <c r="B7034" s="50" t="s">
        <v>7</v>
      </c>
      <c r="C7034" s="50" t="s">
        <v>609</v>
      </c>
      <c r="D7034" s="50" t="s">
        <v>263</v>
      </c>
      <c r="E7034" s="50">
        <v>0</v>
      </c>
      <c r="F7034" s="51">
        <v>1.3403871345205154E-2</v>
      </c>
      <c r="G7034" s="51" t="str">
        <v>竹藤 2023/01/07 (土)
休日午前</v>
      </c>
    </row>
    <row r="7035" spans="1:7" ht="16.149999999999999" x14ac:dyDescent="0.7">
      <c r="A7035" s="49">
        <v>44908.441254594909</v>
      </c>
      <c r="B7035" s="50" t="s">
        <v>7</v>
      </c>
      <c r="C7035" s="50" t="s">
        <v>610</v>
      </c>
      <c r="D7035" s="50" t="s">
        <v>261</v>
      </c>
      <c r="E7035" s="50">
        <v>0</v>
      </c>
      <c r="F7035" s="51">
        <v>1.742310204658315E-2</v>
      </c>
      <c r="G7035" s="51" t="str">
        <v>竹藤 2023/01/07 (土)
休日午後</v>
      </c>
    </row>
    <row r="7036" spans="1:7" ht="16.149999999999999" x14ac:dyDescent="0.7">
      <c r="A7036" s="49">
        <v>44908.441254594909</v>
      </c>
      <c r="B7036" s="50" t="s">
        <v>7</v>
      </c>
      <c r="C7036" s="50" t="s">
        <v>611</v>
      </c>
      <c r="D7036" s="50" t="s">
        <v>263</v>
      </c>
      <c r="E7036" s="50">
        <v>0</v>
      </c>
      <c r="F7036" s="51">
        <v>0.18697657099626031</v>
      </c>
      <c r="G7036" s="51" t="str">
        <v>竹藤 2023/01/08 (日)
休日午前</v>
      </c>
    </row>
    <row r="7037" spans="1:7" ht="16.149999999999999" x14ac:dyDescent="0.7">
      <c r="A7037" s="49">
        <v>44908.441254594909</v>
      </c>
      <c r="B7037" s="50" t="s">
        <v>7</v>
      </c>
      <c r="C7037" s="50" t="s">
        <v>612</v>
      </c>
      <c r="D7037" s="50" t="s">
        <v>261</v>
      </c>
      <c r="E7037" s="50">
        <v>0</v>
      </c>
      <c r="F7037" s="51">
        <v>0.78974102508078237</v>
      </c>
      <c r="G7037" s="51" t="str">
        <v>竹藤 2023/01/08 (日)
休日午後</v>
      </c>
    </row>
    <row r="7038" spans="1:7" ht="16.149999999999999" x14ac:dyDescent="0.7">
      <c r="A7038" s="49">
        <v>44908.441254594909</v>
      </c>
      <c r="B7038" s="50" t="s">
        <v>7</v>
      </c>
      <c r="C7038" s="50" t="s">
        <v>613</v>
      </c>
      <c r="D7038" s="50" t="s">
        <v>263</v>
      </c>
      <c r="E7038" s="50">
        <v>-1</v>
      </c>
      <c r="F7038" s="51">
        <v>-0.7901972754551212</v>
      </c>
      <c r="G7038" s="51" t="str">
        <v>竹藤 2023/01/09 (月)
休日午前</v>
      </c>
    </row>
    <row r="7039" spans="1:7" ht="16.149999999999999" x14ac:dyDescent="0.7">
      <c r="A7039" s="49">
        <v>44908.441254594909</v>
      </c>
      <c r="B7039" s="50" t="s">
        <v>7</v>
      </c>
      <c r="C7039" s="50" t="s">
        <v>614</v>
      </c>
      <c r="D7039" s="50" t="s">
        <v>261</v>
      </c>
      <c r="E7039" s="50">
        <v>-1</v>
      </c>
      <c r="F7039" s="51">
        <v>-0.26740428615666789</v>
      </c>
      <c r="G7039" s="51" t="str">
        <v>竹藤 2023/01/09 (月)
休日午後</v>
      </c>
    </row>
    <row r="7040" spans="1:7" ht="16.149999999999999" x14ac:dyDescent="0.7">
      <c r="A7040" s="49">
        <v>44908.441254594909</v>
      </c>
      <c r="B7040" s="50" t="s">
        <v>7</v>
      </c>
      <c r="C7040" s="50" t="s">
        <v>615</v>
      </c>
      <c r="D7040" s="50" t="s">
        <v>259</v>
      </c>
      <c r="E7040" s="50">
        <v>-1</v>
      </c>
      <c r="F7040" s="51">
        <v>-0.98889237041031919</v>
      </c>
      <c r="G7040" s="51" t="str">
        <v>竹藤 2023/01/10 (火)
平日夜間</v>
      </c>
    </row>
    <row r="7041" spans="1:7" ht="16.149999999999999" x14ac:dyDescent="0.7">
      <c r="A7041" s="49">
        <v>44908.441254594909</v>
      </c>
      <c r="B7041" s="50" t="s">
        <v>7</v>
      </c>
      <c r="C7041" s="50" t="s">
        <v>616</v>
      </c>
      <c r="D7041" s="50" t="s">
        <v>259</v>
      </c>
      <c r="E7041" s="50">
        <v>2</v>
      </c>
      <c r="F7041" s="51">
        <v>2.901630803734502</v>
      </c>
      <c r="G7041" s="51" t="str">
        <v>竹藤 2023/01/11 (水)
平日夜間</v>
      </c>
    </row>
    <row r="7042" spans="1:7" ht="16.149999999999999" x14ac:dyDescent="0.7">
      <c r="A7042" s="49">
        <v>44908.441254594909</v>
      </c>
      <c r="B7042" s="50" t="s">
        <v>7</v>
      </c>
      <c r="C7042" s="50" t="s">
        <v>617</v>
      </c>
      <c r="D7042" s="50" t="s">
        <v>259</v>
      </c>
      <c r="E7042" s="50">
        <v>-1</v>
      </c>
      <c r="F7042" s="51">
        <v>-0.4911353111925556</v>
      </c>
      <c r="G7042" s="51" t="str">
        <v>竹藤 2023/01/12 (木)
平日夜間</v>
      </c>
    </row>
    <row r="7043" spans="1:7" ht="16.149999999999999" x14ac:dyDescent="0.7">
      <c r="A7043" s="49">
        <v>44908.441254594909</v>
      </c>
      <c r="B7043" s="50" t="s">
        <v>7</v>
      </c>
      <c r="C7043" s="50" t="s">
        <v>618</v>
      </c>
      <c r="D7043" s="50" t="s">
        <v>259</v>
      </c>
      <c r="E7043" s="50">
        <v>0</v>
      </c>
      <c r="F7043" s="51">
        <v>0.45752561917088186</v>
      </c>
      <c r="G7043" s="51" t="str">
        <v>竹藤 2023/01/13 (金)
平日夜間</v>
      </c>
    </row>
    <row r="7044" spans="1:7" ht="16.149999999999999" x14ac:dyDescent="0.7">
      <c r="A7044" s="49">
        <v>44908.441254594909</v>
      </c>
      <c r="B7044" s="50" t="s">
        <v>7</v>
      </c>
      <c r="C7044" s="50" t="s">
        <v>619</v>
      </c>
      <c r="D7044" s="50" t="s">
        <v>263</v>
      </c>
      <c r="E7044" s="50">
        <v>0</v>
      </c>
      <c r="F7044" s="51">
        <v>0.60263638810017706</v>
      </c>
      <c r="G7044" s="51" t="str">
        <v>竹藤 2023/01/14 (土)
休日午前</v>
      </c>
    </row>
    <row r="7045" spans="1:7" ht="16.149999999999999" x14ac:dyDescent="0.7">
      <c r="A7045" s="49">
        <v>44908.441254594909</v>
      </c>
      <c r="B7045" s="50" t="s">
        <v>7</v>
      </c>
      <c r="C7045" s="50" t="s">
        <v>620</v>
      </c>
      <c r="D7045" s="50" t="s">
        <v>261</v>
      </c>
      <c r="E7045" s="50">
        <v>0</v>
      </c>
      <c r="F7045" s="51">
        <v>7.9681990203373187E-2</v>
      </c>
      <c r="G7045" s="51" t="str">
        <v>竹藤 2023/01/14 (土)
休日午後</v>
      </c>
    </row>
    <row r="7046" spans="1:7" ht="16.149999999999999" x14ac:dyDescent="0.7">
      <c r="A7046" s="49">
        <v>44908.441254594909</v>
      </c>
      <c r="B7046" s="50" t="s">
        <v>7</v>
      </c>
      <c r="C7046" s="50" t="s">
        <v>621</v>
      </c>
      <c r="D7046" s="50" t="s">
        <v>263</v>
      </c>
      <c r="E7046" s="50">
        <v>0</v>
      </c>
      <c r="F7046" s="51">
        <v>0.64261724550077592</v>
      </c>
      <c r="G7046" s="51" t="str">
        <v>竹藤 2023/01/15 (日)
休日午前</v>
      </c>
    </row>
    <row r="7047" spans="1:7" ht="16.149999999999999" x14ac:dyDescent="0.7">
      <c r="A7047" s="49">
        <v>44908.441254594909</v>
      </c>
      <c r="B7047" s="50" t="s">
        <v>7</v>
      </c>
      <c r="C7047" s="50" t="s">
        <v>622</v>
      </c>
      <c r="D7047" s="50" t="s">
        <v>261</v>
      </c>
      <c r="E7047" s="50">
        <v>0</v>
      </c>
      <c r="F7047" s="51">
        <v>0.19647854690386857</v>
      </c>
      <c r="G7047" s="51" t="str">
        <v>竹藤 2023/01/15 (日)
休日午後</v>
      </c>
    </row>
    <row r="7048" spans="1:7" ht="16.149999999999999" x14ac:dyDescent="0.7">
      <c r="A7048" s="49">
        <v>44908.441254594909</v>
      </c>
      <c r="B7048" s="50" t="s">
        <v>7</v>
      </c>
      <c r="C7048" s="50" t="s">
        <v>623</v>
      </c>
      <c r="D7048" s="50" t="s">
        <v>259</v>
      </c>
      <c r="E7048" s="50">
        <v>0</v>
      </c>
      <c r="F7048" s="51">
        <v>3.217549572962497E-2</v>
      </c>
      <c r="G7048" s="51" t="str">
        <v>竹藤 2023/01/16 (月)
平日夜間</v>
      </c>
    </row>
    <row r="7049" spans="1:7" ht="16.149999999999999" x14ac:dyDescent="0.7">
      <c r="A7049" s="49">
        <v>44908.441254594909</v>
      </c>
      <c r="B7049" s="50" t="s">
        <v>7</v>
      </c>
      <c r="C7049" s="50" t="s">
        <v>624</v>
      </c>
      <c r="D7049" s="50" t="s">
        <v>259</v>
      </c>
      <c r="E7049" s="50">
        <v>-1</v>
      </c>
      <c r="F7049" s="51">
        <v>-0.56575818855587801</v>
      </c>
      <c r="G7049" s="51" t="str">
        <v>竹藤 2023/01/17 (火)
平日夜間</v>
      </c>
    </row>
    <row r="7050" spans="1:7" ht="16.149999999999999" x14ac:dyDescent="0.7">
      <c r="A7050" s="49">
        <v>44908.441254594909</v>
      </c>
      <c r="B7050" s="50" t="s">
        <v>7</v>
      </c>
      <c r="C7050" s="50" t="s">
        <v>625</v>
      </c>
      <c r="D7050" s="50" t="s">
        <v>259</v>
      </c>
      <c r="E7050" s="50">
        <v>0</v>
      </c>
      <c r="F7050" s="51">
        <v>0.26893784283299915</v>
      </c>
      <c r="G7050" s="51" t="str">
        <v>竹藤 2023/01/18 (水)
平日夜間</v>
      </c>
    </row>
    <row r="7051" spans="1:7" ht="16.149999999999999" x14ac:dyDescent="0.7">
      <c r="A7051" s="49">
        <v>44908.441254594909</v>
      </c>
      <c r="B7051" s="50" t="s">
        <v>7</v>
      </c>
      <c r="C7051" s="50" t="s">
        <v>626</v>
      </c>
      <c r="D7051" s="50" t="s">
        <v>259</v>
      </c>
      <c r="E7051" s="50">
        <v>0</v>
      </c>
      <c r="F7051" s="51">
        <v>0.17914641191597291</v>
      </c>
      <c r="G7051" s="51" t="str">
        <v>竹藤 2023/01/19 (木)
平日夜間</v>
      </c>
    </row>
    <row r="7052" spans="1:7" ht="16.149999999999999" x14ac:dyDescent="0.7">
      <c r="A7052" s="49">
        <v>44908.441254594909</v>
      </c>
      <c r="B7052" s="50" t="s">
        <v>7</v>
      </c>
      <c r="C7052" s="50" t="s">
        <v>627</v>
      </c>
      <c r="D7052" s="50" t="s">
        <v>259</v>
      </c>
      <c r="E7052" s="50">
        <v>2</v>
      </c>
      <c r="F7052" s="51">
        <v>2.2538609700144048</v>
      </c>
      <c r="G7052" s="51" t="str">
        <v>竹藤 2023/01/20 (金)
平日夜間</v>
      </c>
    </row>
    <row r="7053" spans="1:7" ht="16.149999999999999" x14ac:dyDescent="0.7">
      <c r="A7053" s="49">
        <v>44908.441254594909</v>
      </c>
      <c r="B7053" s="50" t="s">
        <v>7</v>
      </c>
      <c r="C7053" s="50" t="s">
        <v>628</v>
      </c>
      <c r="D7053" s="50" t="s">
        <v>263</v>
      </c>
      <c r="E7053" s="50">
        <v>0</v>
      </c>
      <c r="F7053" s="51">
        <v>0.63667223596217504</v>
      </c>
      <c r="G7053" s="51" t="str">
        <v>竹藤 2023/01/21 (土)
休日午前</v>
      </c>
    </row>
    <row r="7054" spans="1:7" ht="16.149999999999999" x14ac:dyDescent="0.7">
      <c r="A7054" s="49">
        <v>44908.441254594909</v>
      </c>
      <c r="B7054" s="50" t="s">
        <v>7</v>
      </c>
      <c r="C7054" s="50" t="s">
        <v>629</v>
      </c>
      <c r="D7054" s="50" t="s">
        <v>261</v>
      </c>
      <c r="E7054" s="50">
        <v>0</v>
      </c>
      <c r="F7054" s="51">
        <v>0.77885820222362168</v>
      </c>
      <c r="G7054" s="51" t="str">
        <v>竹藤 2023/01/21 (土)
休日午後</v>
      </c>
    </row>
    <row r="7055" spans="1:7" ht="16.149999999999999" x14ac:dyDescent="0.7">
      <c r="A7055" s="49">
        <v>44908.441254594909</v>
      </c>
      <c r="B7055" s="50" t="s">
        <v>7</v>
      </c>
      <c r="C7055" s="50" t="s">
        <v>630</v>
      </c>
      <c r="D7055" s="50" t="s">
        <v>263</v>
      </c>
      <c r="E7055" s="50">
        <v>0</v>
      </c>
      <c r="F7055" s="51">
        <v>0.43519866977055144</v>
      </c>
      <c r="G7055" s="51" t="str">
        <v>竹藤 2023/01/22 (日)
休日午前</v>
      </c>
    </row>
    <row r="7056" spans="1:7" ht="16.149999999999999" x14ac:dyDescent="0.7">
      <c r="A7056" s="49">
        <v>44908.441254594909</v>
      </c>
      <c r="B7056" s="50" t="s">
        <v>7</v>
      </c>
      <c r="C7056" s="50" t="s">
        <v>631</v>
      </c>
      <c r="D7056" s="50" t="s">
        <v>261</v>
      </c>
      <c r="E7056" s="50">
        <v>0</v>
      </c>
      <c r="F7056" s="51">
        <v>0.61096444185034327</v>
      </c>
      <c r="G7056" s="51" t="str">
        <v>竹藤 2023/01/22 (日)
休日午後</v>
      </c>
    </row>
    <row r="7057" spans="1:7" ht="16.149999999999999" x14ac:dyDescent="0.7">
      <c r="A7057" s="49">
        <v>44908.441254594909</v>
      </c>
      <c r="B7057" s="50" t="s">
        <v>7</v>
      </c>
      <c r="C7057" s="50" t="s">
        <v>632</v>
      </c>
      <c r="D7057" s="50" t="s">
        <v>259</v>
      </c>
      <c r="E7057" s="50">
        <v>-1</v>
      </c>
      <c r="F7057" s="51">
        <v>-0.61462109458570802</v>
      </c>
      <c r="G7057" s="51" t="str">
        <v>竹藤 2023/01/23 (月)
平日夜間</v>
      </c>
    </row>
    <row r="7058" spans="1:7" ht="16.149999999999999" x14ac:dyDescent="0.7">
      <c r="A7058" s="49">
        <v>44908.441254594909</v>
      </c>
      <c r="B7058" s="50" t="s">
        <v>7</v>
      </c>
      <c r="C7058" s="50" t="s">
        <v>633</v>
      </c>
      <c r="D7058" s="50" t="s">
        <v>259</v>
      </c>
      <c r="E7058" s="50">
        <v>-1</v>
      </c>
      <c r="F7058" s="51">
        <v>-1.2238382308011442E-2</v>
      </c>
      <c r="G7058" s="51" t="str">
        <v>竹藤 2023/01/24 (火)
平日夜間</v>
      </c>
    </row>
    <row r="7059" spans="1:7" ht="16.149999999999999" x14ac:dyDescent="0.7">
      <c r="A7059" s="49">
        <v>44908.441254594909</v>
      </c>
      <c r="B7059" s="50" t="s">
        <v>7</v>
      </c>
      <c r="C7059" s="50" t="s">
        <v>634</v>
      </c>
      <c r="D7059" s="50" t="s">
        <v>259</v>
      </c>
      <c r="E7059" s="50">
        <v>0</v>
      </c>
      <c r="F7059" s="51">
        <v>0.60577583563585446</v>
      </c>
      <c r="G7059" s="51" t="str">
        <v>竹藤 2023/01/25 (水)
平日夜間</v>
      </c>
    </row>
    <row r="7060" spans="1:7" ht="16.149999999999999" x14ac:dyDescent="0.7">
      <c r="A7060" s="49">
        <v>44908.441254594909</v>
      </c>
      <c r="B7060" s="50" t="s">
        <v>7</v>
      </c>
      <c r="C7060" s="50" t="s">
        <v>635</v>
      </c>
      <c r="D7060" s="50" t="s">
        <v>259</v>
      </c>
      <c r="E7060" s="50">
        <v>0</v>
      </c>
      <c r="F7060" s="51">
        <v>8.9957051354852213E-2</v>
      </c>
      <c r="G7060" s="51" t="str">
        <v>竹藤 2023/01/26 (木)
平日夜間</v>
      </c>
    </row>
    <row r="7061" spans="1:7" ht="16.149999999999999" x14ac:dyDescent="0.7">
      <c r="A7061" s="49">
        <v>44908.441254594909</v>
      </c>
      <c r="B7061" s="50" t="s">
        <v>7</v>
      </c>
      <c r="C7061" s="50" t="s">
        <v>636</v>
      </c>
      <c r="D7061" s="50" t="s">
        <v>259</v>
      </c>
      <c r="E7061" s="50">
        <v>0</v>
      </c>
      <c r="F7061" s="51">
        <v>0.31395719773073938</v>
      </c>
      <c r="G7061" s="51" t="str">
        <v>竹藤 2023/01/27 (金)
平日夜間</v>
      </c>
    </row>
    <row r="7062" spans="1:7" ht="16.149999999999999" x14ac:dyDescent="0.7">
      <c r="A7062" s="49">
        <v>44908.441254594909</v>
      </c>
      <c r="B7062" s="50" t="s">
        <v>7</v>
      </c>
      <c r="C7062" s="50" t="s">
        <v>637</v>
      </c>
      <c r="D7062" s="50" t="s">
        <v>263</v>
      </c>
      <c r="E7062" s="50">
        <v>-1</v>
      </c>
      <c r="F7062" s="51">
        <v>-0.17007260621505971</v>
      </c>
      <c r="G7062" s="51" t="str">
        <v>竹藤 2023/01/28 (土)
休日午前</v>
      </c>
    </row>
    <row r="7063" spans="1:7" ht="16.149999999999999" x14ac:dyDescent="0.7">
      <c r="A7063" s="49">
        <v>44908.441254594909</v>
      </c>
      <c r="B7063" s="50" t="s">
        <v>7</v>
      </c>
      <c r="C7063" s="50" t="s">
        <v>638</v>
      </c>
      <c r="D7063" s="50" t="s">
        <v>261</v>
      </c>
      <c r="E7063" s="50">
        <v>-1</v>
      </c>
      <c r="F7063" s="51">
        <v>-0.45093798234581572</v>
      </c>
      <c r="G7063" s="51" t="str">
        <v>竹藤 2023/01/28 (土)
休日午後</v>
      </c>
    </row>
    <row r="7064" spans="1:7" ht="16.149999999999999" x14ac:dyDescent="0.7">
      <c r="A7064" s="49">
        <v>44908.441254594909</v>
      </c>
      <c r="B7064" s="50" t="s">
        <v>7</v>
      </c>
      <c r="C7064" s="50" t="s">
        <v>639</v>
      </c>
      <c r="D7064" s="50" t="s">
        <v>263</v>
      </c>
      <c r="E7064" s="50">
        <v>-1</v>
      </c>
      <c r="F7064" s="51">
        <v>-0.96437366963134408</v>
      </c>
      <c r="G7064" s="51" t="str">
        <v>竹藤 2023/01/29 (日)
休日午前</v>
      </c>
    </row>
    <row r="7065" spans="1:7" ht="16.149999999999999" x14ac:dyDescent="0.7">
      <c r="A7065" s="49">
        <v>44908.441254594909</v>
      </c>
      <c r="B7065" s="50" t="s">
        <v>7</v>
      </c>
      <c r="C7065" s="50" t="s">
        <v>640</v>
      </c>
      <c r="D7065" s="50" t="s">
        <v>261</v>
      </c>
      <c r="E7065" s="50">
        <v>-1</v>
      </c>
      <c r="F7065" s="51">
        <v>-0.10897059666722897</v>
      </c>
      <c r="G7065" s="51" t="str">
        <v>竹藤 2023/01/29 (日)
休日午後</v>
      </c>
    </row>
    <row r="7066" spans="1:7" ht="16.149999999999999" x14ac:dyDescent="0.7">
      <c r="A7066" s="49">
        <v>44908.441254594909</v>
      </c>
      <c r="B7066" s="50" t="s">
        <v>7</v>
      </c>
      <c r="C7066" s="50" t="s">
        <v>641</v>
      </c>
      <c r="D7066" s="50" t="s">
        <v>259</v>
      </c>
      <c r="E7066" s="50">
        <v>0</v>
      </c>
      <c r="F7066" s="51">
        <v>0.29897590053877532</v>
      </c>
      <c r="G7066" s="51" t="str">
        <v>竹藤 2023/01/30 (月)
平日夜間</v>
      </c>
    </row>
    <row r="7067" spans="1:7" ht="16.149999999999999" x14ac:dyDescent="0.7">
      <c r="A7067" s="49">
        <v>44908.441254594909</v>
      </c>
      <c r="B7067" s="50" t="s">
        <v>7</v>
      </c>
      <c r="C7067" s="50" t="s">
        <v>642</v>
      </c>
      <c r="D7067" s="50" t="s">
        <v>259</v>
      </c>
      <c r="E7067" s="50">
        <v>-1</v>
      </c>
      <c r="F7067" s="51">
        <v>-0.55328800027055247</v>
      </c>
      <c r="G7067" s="51" t="str">
        <v>竹藤 2023/01/31 (火)
平日夜間</v>
      </c>
    </row>
    <row r="7068" spans="1:7" ht="16.149999999999999" x14ac:dyDescent="0.7">
      <c r="A7068" s="49">
        <v>44908.523592476849</v>
      </c>
      <c r="B7068" s="50" t="s">
        <v>4</v>
      </c>
      <c r="C7068" s="50" t="s">
        <v>606</v>
      </c>
      <c r="D7068" s="50" t="s">
        <v>259</v>
      </c>
      <c r="E7068" s="50">
        <v>-1</v>
      </c>
      <c r="F7068" s="51">
        <v>-0.42055087083072484</v>
      </c>
      <c r="G7068" s="51" t="str">
        <v>井上 2023/01/04 (水)
平日夜間</v>
      </c>
    </row>
    <row r="7069" spans="1:7" ht="16.149999999999999" x14ac:dyDescent="0.7">
      <c r="A7069" s="49">
        <v>44908.523592476849</v>
      </c>
      <c r="B7069" s="50" t="s">
        <v>4</v>
      </c>
      <c r="C7069" s="50" t="s">
        <v>607</v>
      </c>
      <c r="D7069" s="50" t="s">
        <v>259</v>
      </c>
      <c r="E7069" s="50">
        <v>0</v>
      </c>
      <c r="F7069" s="51">
        <v>0.24999016000428798</v>
      </c>
      <c r="G7069" s="51" t="str">
        <v>井上 2023/01/05 (木)
平日夜間</v>
      </c>
    </row>
    <row r="7070" spans="1:7" ht="16.149999999999999" x14ac:dyDescent="0.7">
      <c r="A7070" s="49">
        <v>44908.523592476849</v>
      </c>
      <c r="B7070" s="50" t="s">
        <v>4</v>
      </c>
      <c r="C7070" s="50" t="s">
        <v>608</v>
      </c>
      <c r="D7070" s="50" t="s">
        <v>259</v>
      </c>
      <c r="E7070" s="50">
        <v>0</v>
      </c>
      <c r="F7070" s="51">
        <v>0.85720258245493763</v>
      </c>
      <c r="G7070" s="51" t="str">
        <v>井上 2023/01/06 (金)
平日夜間</v>
      </c>
    </row>
    <row r="7071" spans="1:7" ht="16.149999999999999" x14ac:dyDescent="0.7">
      <c r="A7071" s="49">
        <v>44908.523592476849</v>
      </c>
      <c r="B7071" s="50" t="s">
        <v>4</v>
      </c>
      <c r="C7071" s="50" t="s">
        <v>609</v>
      </c>
      <c r="D7071" s="50" t="s">
        <v>263</v>
      </c>
      <c r="E7071" s="50">
        <v>0</v>
      </c>
      <c r="F7071" s="51">
        <v>0.59609871920727997</v>
      </c>
      <c r="G7071" s="51" t="str">
        <v>井上 2023/01/07 (土)
休日午前</v>
      </c>
    </row>
    <row r="7072" spans="1:7" ht="16.149999999999999" x14ac:dyDescent="0.7">
      <c r="A7072" s="49">
        <v>44908.523592476849</v>
      </c>
      <c r="B7072" s="50" t="s">
        <v>4</v>
      </c>
      <c r="C7072" s="50" t="s">
        <v>610</v>
      </c>
      <c r="D7072" s="50" t="s">
        <v>261</v>
      </c>
      <c r="E7072" s="50">
        <v>-1</v>
      </c>
      <c r="F7072" s="51">
        <v>-0.84145076037609745</v>
      </c>
      <c r="G7072" s="51" t="str">
        <v>井上 2023/01/07 (土)
休日午後</v>
      </c>
    </row>
    <row r="7073" spans="1:7" ht="16.149999999999999" x14ac:dyDescent="0.7">
      <c r="A7073" s="49">
        <v>44908.523592476849</v>
      </c>
      <c r="B7073" s="50" t="s">
        <v>4</v>
      </c>
      <c r="C7073" s="50" t="s">
        <v>611</v>
      </c>
      <c r="D7073" s="50" t="s">
        <v>263</v>
      </c>
      <c r="E7073" s="50">
        <v>0</v>
      </c>
      <c r="F7073" s="51">
        <v>0.92914013463310563</v>
      </c>
      <c r="G7073" s="51" t="str">
        <v>井上 2023/01/08 (日)
休日午前</v>
      </c>
    </row>
    <row r="7074" spans="1:7" ht="16.149999999999999" x14ac:dyDescent="0.7">
      <c r="A7074" s="49">
        <v>44908.523592476849</v>
      </c>
      <c r="B7074" s="50" t="s">
        <v>4</v>
      </c>
      <c r="C7074" s="50" t="s">
        <v>612</v>
      </c>
      <c r="D7074" s="50" t="s">
        <v>261</v>
      </c>
      <c r="E7074" s="50">
        <v>-1</v>
      </c>
      <c r="F7074" s="51">
        <v>-0.87947191504644273</v>
      </c>
      <c r="G7074" s="51" t="str">
        <v>井上 2023/01/08 (日)
休日午後</v>
      </c>
    </row>
    <row r="7075" spans="1:7" ht="16.149999999999999" x14ac:dyDescent="0.7">
      <c r="A7075" s="49">
        <v>44908.523592476849</v>
      </c>
      <c r="B7075" s="50" t="s">
        <v>4</v>
      </c>
      <c r="C7075" s="50" t="s">
        <v>613</v>
      </c>
      <c r="D7075" s="50" t="s">
        <v>263</v>
      </c>
      <c r="E7075" s="50">
        <v>-1</v>
      </c>
      <c r="F7075" s="51">
        <v>-0.44037717754369199</v>
      </c>
      <c r="G7075" s="51" t="str">
        <v>井上 2023/01/09 (月)
休日午前</v>
      </c>
    </row>
    <row r="7076" spans="1:7" ht="16.149999999999999" x14ac:dyDescent="0.7">
      <c r="A7076" s="49">
        <v>44908.523592476849</v>
      </c>
      <c r="B7076" s="50" t="s">
        <v>4</v>
      </c>
      <c r="C7076" s="50" t="s">
        <v>614</v>
      </c>
      <c r="D7076" s="50" t="s">
        <v>261</v>
      </c>
      <c r="E7076" s="50">
        <v>-1</v>
      </c>
      <c r="F7076" s="51">
        <v>-0.22600420204023641</v>
      </c>
      <c r="G7076" s="51" t="str">
        <v>井上 2023/01/09 (月)
休日午後</v>
      </c>
    </row>
    <row r="7077" spans="1:7" ht="16.149999999999999" x14ac:dyDescent="0.7">
      <c r="A7077" s="49">
        <v>44908.523592476849</v>
      </c>
      <c r="B7077" s="50" t="s">
        <v>4</v>
      </c>
      <c r="C7077" s="50" t="s">
        <v>615</v>
      </c>
      <c r="D7077" s="50" t="s">
        <v>259</v>
      </c>
      <c r="E7077" s="50">
        <v>0</v>
      </c>
      <c r="F7077" s="51">
        <v>0.27322209467479852</v>
      </c>
      <c r="G7077" s="51" t="str">
        <v>井上 2023/01/10 (火)
平日夜間</v>
      </c>
    </row>
    <row r="7078" spans="1:7" ht="16.149999999999999" x14ac:dyDescent="0.7">
      <c r="A7078" s="49">
        <v>44908.523592476849</v>
      </c>
      <c r="B7078" s="50" t="s">
        <v>4</v>
      </c>
      <c r="C7078" s="50" t="s">
        <v>616</v>
      </c>
      <c r="D7078" s="50" t="s">
        <v>259</v>
      </c>
      <c r="E7078" s="50">
        <v>0</v>
      </c>
      <c r="F7078" s="51">
        <v>0.32501182747146307</v>
      </c>
      <c r="G7078" s="51" t="str">
        <v>井上 2023/01/11 (水)
平日夜間</v>
      </c>
    </row>
    <row r="7079" spans="1:7" ht="16.149999999999999" x14ac:dyDescent="0.7">
      <c r="A7079" s="49">
        <v>44908.523592476849</v>
      </c>
      <c r="B7079" s="50" t="s">
        <v>4</v>
      </c>
      <c r="C7079" s="50" t="s">
        <v>617</v>
      </c>
      <c r="D7079" s="50" t="s">
        <v>259</v>
      </c>
      <c r="E7079" s="50">
        <v>-1</v>
      </c>
      <c r="F7079" s="51">
        <v>-0.63085648032915498</v>
      </c>
      <c r="G7079" s="51" t="str">
        <v>井上 2023/01/12 (木)
平日夜間</v>
      </c>
    </row>
    <row r="7080" spans="1:7" ht="16.149999999999999" x14ac:dyDescent="0.7">
      <c r="A7080" s="49">
        <v>44908.523592476849</v>
      </c>
      <c r="B7080" s="50" t="s">
        <v>4</v>
      </c>
      <c r="C7080" s="50" t="s">
        <v>618</v>
      </c>
      <c r="D7080" s="50" t="s">
        <v>259</v>
      </c>
      <c r="E7080" s="50">
        <v>2</v>
      </c>
      <c r="F7080" s="51">
        <v>2.2581726683498955</v>
      </c>
      <c r="G7080" s="51" t="str">
        <v>井上 2023/01/13 (金)
平日夜間</v>
      </c>
    </row>
    <row r="7081" spans="1:7" ht="16.149999999999999" x14ac:dyDescent="0.7">
      <c r="A7081" s="49">
        <v>44908.523592476849</v>
      </c>
      <c r="B7081" s="50" t="s">
        <v>4</v>
      </c>
      <c r="C7081" s="50" t="s">
        <v>619</v>
      </c>
      <c r="D7081" s="50" t="s">
        <v>263</v>
      </c>
      <c r="E7081" s="50">
        <v>-1</v>
      </c>
      <c r="F7081" s="51">
        <v>-0.42685370977037507</v>
      </c>
      <c r="G7081" s="51" t="str">
        <v>井上 2023/01/14 (土)
休日午前</v>
      </c>
    </row>
    <row r="7082" spans="1:7" ht="16.149999999999999" x14ac:dyDescent="0.7">
      <c r="A7082" s="49">
        <v>44908.523592476849</v>
      </c>
      <c r="B7082" s="50" t="s">
        <v>4</v>
      </c>
      <c r="C7082" s="50" t="s">
        <v>620</v>
      </c>
      <c r="D7082" s="50" t="s">
        <v>261</v>
      </c>
      <c r="E7082" s="50">
        <v>-1</v>
      </c>
      <c r="F7082" s="51">
        <v>-0.63128226306789581</v>
      </c>
      <c r="G7082" s="51" t="str">
        <v>井上 2023/01/14 (土)
休日午後</v>
      </c>
    </row>
    <row r="7083" spans="1:7" ht="16.149999999999999" x14ac:dyDescent="0.7">
      <c r="A7083" s="49">
        <v>44908.523592476849</v>
      </c>
      <c r="B7083" s="50" t="s">
        <v>4</v>
      </c>
      <c r="C7083" s="50" t="s">
        <v>621</v>
      </c>
      <c r="D7083" s="50" t="s">
        <v>263</v>
      </c>
      <c r="E7083" s="50">
        <v>-1</v>
      </c>
      <c r="F7083" s="51">
        <v>-0.37478918730578936</v>
      </c>
      <c r="G7083" s="51" t="str">
        <v>井上 2023/01/15 (日)
休日午前</v>
      </c>
    </row>
    <row r="7084" spans="1:7" ht="16.149999999999999" x14ac:dyDescent="0.7">
      <c r="A7084" s="49">
        <v>44908.523592476849</v>
      </c>
      <c r="B7084" s="50" t="s">
        <v>4</v>
      </c>
      <c r="C7084" s="50" t="s">
        <v>622</v>
      </c>
      <c r="D7084" s="50" t="s">
        <v>261</v>
      </c>
      <c r="E7084" s="50">
        <v>-1</v>
      </c>
      <c r="F7084" s="51">
        <v>-0.37067516173823112</v>
      </c>
      <c r="G7084" s="51" t="str">
        <v>井上 2023/01/15 (日)
休日午後</v>
      </c>
    </row>
    <row r="7085" spans="1:7" ht="16.149999999999999" x14ac:dyDescent="0.7">
      <c r="A7085" s="49">
        <v>44908.523592476849</v>
      </c>
      <c r="B7085" s="50" t="s">
        <v>4</v>
      </c>
      <c r="C7085" s="50" t="s">
        <v>623</v>
      </c>
      <c r="D7085" s="50" t="s">
        <v>259</v>
      </c>
      <c r="E7085" s="50">
        <v>0</v>
      </c>
      <c r="F7085" s="51">
        <v>0.37841622614607218</v>
      </c>
      <c r="G7085" s="51" t="str">
        <v>井上 2023/01/16 (月)
平日夜間</v>
      </c>
    </row>
    <row r="7086" spans="1:7" ht="16.149999999999999" x14ac:dyDescent="0.7">
      <c r="A7086" s="49">
        <v>44908.523592476849</v>
      </c>
      <c r="B7086" s="50" t="s">
        <v>4</v>
      </c>
      <c r="C7086" s="50" t="s">
        <v>624</v>
      </c>
      <c r="D7086" s="50" t="s">
        <v>259</v>
      </c>
      <c r="E7086" s="50">
        <v>0</v>
      </c>
      <c r="F7086" s="51">
        <v>0.47001871168283982</v>
      </c>
      <c r="G7086" s="51" t="str">
        <v>井上 2023/01/17 (火)
平日夜間</v>
      </c>
    </row>
    <row r="7087" spans="1:7" ht="16.149999999999999" x14ac:dyDescent="0.7">
      <c r="A7087" s="49">
        <v>44908.523592476849</v>
      </c>
      <c r="B7087" s="50" t="s">
        <v>4</v>
      </c>
      <c r="C7087" s="50" t="s">
        <v>625</v>
      </c>
      <c r="D7087" s="50" t="s">
        <v>259</v>
      </c>
      <c r="E7087" s="50">
        <v>0</v>
      </c>
      <c r="F7087" s="51">
        <v>0.35817340167258327</v>
      </c>
      <c r="G7087" s="51" t="str">
        <v>井上 2023/01/18 (水)
平日夜間</v>
      </c>
    </row>
    <row r="7088" spans="1:7" ht="16.149999999999999" x14ac:dyDescent="0.7">
      <c r="A7088" s="49">
        <v>44908.523592476849</v>
      </c>
      <c r="B7088" s="50" t="s">
        <v>4</v>
      </c>
      <c r="C7088" s="50" t="s">
        <v>626</v>
      </c>
      <c r="D7088" s="50" t="s">
        <v>259</v>
      </c>
      <c r="E7088" s="50">
        <v>-1</v>
      </c>
      <c r="F7088" s="51">
        <v>-0.75084911465422866</v>
      </c>
      <c r="G7088" s="51" t="str">
        <v>井上 2023/01/19 (木)
平日夜間</v>
      </c>
    </row>
    <row r="7089" spans="1:7" ht="16.149999999999999" x14ac:dyDescent="0.7">
      <c r="A7089" s="49">
        <v>44908.523592476849</v>
      </c>
      <c r="B7089" s="50" t="s">
        <v>4</v>
      </c>
      <c r="C7089" s="50" t="s">
        <v>627</v>
      </c>
      <c r="D7089" s="50" t="s">
        <v>259</v>
      </c>
      <c r="E7089" s="50">
        <v>0</v>
      </c>
      <c r="F7089" s="51">
        <v>0.54021298056305023</v>
      </c>
      <c r="G7089" s="51" t="str">
        <v>井上 2023/01/20 (金)
平日夜間</v>
      </c>
    </row>
    <row r="7090" spans="1:7" ht="16.149999999999999" x14ac:dyDescent="0.7">
      <c r="A7090" s="49">
        <v>44908.523592476849</v>
      </c>
      <c r="B7090" s="50" t="s">
        <v>4</v>
      </c>
      <c r="C7090" s="50" t="s">
        <v>628</v>
      </c>
      <c r="D7090" s="50" t="s">
        <v>263</v>
      </c>
      <c r="E7090" s="50">
        <v>0</v>
      </c>
      <c r="F7090" s="51">
        <v>0.20366543607097753</v>
      </c>
      <c r="G7090" s="51" t="str">
        <v>井上 2023/01/21 (土)
休日午前</v>
      </c>
    </row>
    <row r="7091" spans="1:7" ht="16.149999999999999" x14ac:dyDescent="0.7">
      <c r="A7091" s="49">
        <v>44908.523592476849</v>
      </c>
      <c r="B7091" s="50" t="s">
        <v>4</v>
      </c>
      <c r="C7091" s="50" t="s">
        <v>629</v>
      </c>
      <c r="D7091" s="50" t="s">
        <v>261</v>
      </c>
      <c r="E7091" s="50">
        <v>0</v>
      </c>
      <c r="F7091" s="51">
        <v>0.59163321979047856</v>
      </c>
      <c r="G7091" s="51" t="str">
        <v>井上 2023/01/21 (土)
休日午後</v>
      </c>
    </row>
    <row r="7092" spans="1:7" ht="16.149999999999999" x14ac:dyDescent="0.7">
      <c r="A7092" s="49">
        <v>44908.523592476849</v>
      </c>
      <c r="B7092" s="50" t="s">
        <v>4</v>
      </c>
      <c r="C7092" s="50" t="s">
        <v>630</v>
      </c>
      <c r="D7092" s="50" t="s">
        <v>263</v>
      </c>
      <c r="E7092" s="50">
        <v>0</v>
      </c>
      <c r="F7092" s="51">
        <v>0.51049770506783854</v>
      </c>
      <c r="G7092" s="51" t="str">
        <v>井上 2023/01/22 (日)
休日午前</v>
      </c>
    </row>
    <row r="7093" spans="1:7" ht="16.149999999999999" x14ac:dyDescent="0.7">
      <c r="A7093" s="49">
        <v>44908.523592476849</v>
      </c>
      <c r="B7093" s="50" t="s">
        <v>4</v>
      </c>
      <c r="C7093" s="50" t="s">
        <v>631</v>
      </c>
      <c r="D7093" s="50" t="s">
        <v>261</v>
      </c>
      <c r="E7093" s="50">
        <v>-1</v>
      </c>
      <c r="F7093" s="51">
        <v>-0.19962407962912176</v>
      </c>
      <c r="G7093" s="51" t="str">
        <v>井上 2023/01/22 (日)
休日午後</v>
      </c>
    </row>
    <row r="7094" spans="1:7" ht="16.149999999999999" x14ac:dyDescent="0.7">
      <c r="A7094" s="49">
        <v>44908.523592476849</v>
      </c>
      <c r="B7094" s="50" t="s">
        <v>4</v>
      </c>
      <c r="C7094" s="50" t="s">
        <v>632</v>
      </c>
      <c r="D7094" s="50" t="s">
        <v>259</v>
      </c>
      <c r="E7094" s="50">
        <v>-1</v>
      </c>
      <c r="F7094" s="51">
        <v>-0.24169963023942409</v>
      </c>
      <c r="G7094" s="51" t="str">
        <v>井上 2023/01/23 (月)
平日夜間</v>
      </c>
    </row>
    <row r="7095" spans="1:7" ht="16.149999999999999" x14ac:dyDescent="0.7">
      <c r="A7095" s="49">
        <v>44908.523592476849</v>
      </c>
      <c r="B7095" s="50" t="s">
        <v>4</v>
      </c>
      <c r="C7095" s="50" t="s">
        <v>633</v>
      </c>
      <c r="D7095" s="50" t="s">
        <v>259</v>
      </c>
      <c r="E7095" s="50">
        <v>-1</v>
      </c>
      <c r="F7095" s="51">
        <v>-0.22180142544206349</v>
      </c>
      <c r="G7095" s="51" t="str">
        <v>井上 2023/01/24 (火)
平日夜間</v>
      </c>
    </row>
    <row r="7096" spans="1:7" ht="16.149999999999999" x14ac:dyDescent="0.7">
      <c r="A7096" s="49">
        <v>44908.523592476849</v>
      </c>
      <c r="B7096" s="50" t="s">
        <v>4</v>
      </c>
      <c r="C7096" s="50" t="s">
        <v>634</v>
      </c>
      <c r="D7096" s="50" t="s">
        <v>259</v>
      </c>
      <c r="E7096" s="50">
        <v>-1</v>
      </c>
      <c r="F7096" s="51">
        <v>-0.31773118136546352</v>
      </c>
      <c r="G7096" s="51" t="str">
        <v>井上 2023/01/25 (水)
平日夜間</v>
      </c>
    </row>
    <row r="7097" spans="1:7" ht="16.149999999999999" x14ac:dyDescent="0.7">
      <c r="A7097" s="49">
        <v>44908.523592476849</v>
      </c>
      <c r="B7097" s="50" t="s">
        <v>4</v>
      </c>
      <c r="C7097" s="50" t="s">
        <v>635</v>
      </c>
      <c r="D7097" s="50" t="s">
        <v>259</v>
      </c>
      <c r="E7097" s="50">
        <v>0</v>
      </c>
      <c r="F7097" s="51">
        <v>0.74039409500879239</v>
      </c>
      <c r="G7097" s="51" t="str">
        <v>井上 2023/01/26 (木)
平日夜間</v>
      </c>
    </row>
    <row r="7098" spans="1:7" ht="16.149999999999999" x14ac:dyDescent="0.7">
      <c r="A7098" s="49">
        <v>44908.523592476849</v>
      </c>
      <c r="B7098" s="50" t="s">
        <v>4</v>
      </c>
      <c r="C7098" s="50" t="s">
        <v>636</v>
      </c>
      <c r="D7098" s="50" t="s">
        <v>259</v>
      </c>
      <c r="E7098" s="50">
        <v>0</v>
      </c>
      <c r="F7098" s="51">
        <v>0.5546447778440784</v>
      </c>
      <c r="G7098" s="51" t="str">
        <v>井上 2023/01/27 (金)
平日夜間</v>
      </c>
    </row>
    <row r="7099" spans="1:7" ht="16.149999999999999" x14ac:dyDescent="0.7">
      <c r="A7099" s="49">
        <v>44908.523592476849</v>
      </c>
      <c r="B7099" s="50" t="s">
        <v>4</v>
      </c>
      <c r="C7099" s="50" t="s">
        <v>637</v>
      </c>
      <c r="D7099" s="50" t="s">
        <v>263</v>
      </c>
      <c r="E7099" s="50">
        <v>0</v>
      </c>
      <c r="F7099" s="51">
        <v>9.1946739700793145E-2</v>
      </c>
      <c r="G7099" s="51" t="str">
        <v>井上 2023/01/28 (土)
休日午前</v>
      </c>
    </row>
    <row r="7100" spans="1:7" ht="16.149999999999999" x14ac:dyDescent="0.7">
      <c r="A7100" s="49">
        <v>44908.523592476849</v>
      </c>
      <c r="B7100" s="50" t="s">
        <v>4</v>
      </c>
      <c r="C7100" s="50" t="s">
        <v>638</v>
      </c>
      <c r="D7100" s="50" t="s">
        <v>261</v>
      </c>
      <c r="E7100" s="50">
        <v>-1</v>
      </c>
      <c r="F7100" s="51">
        <v>-0.52445711019116792</v>
      </c>
      <c r="G7100" s="51" t="str">
        <v>井上 2023/01/28 (土)
休日午後</v>
      </c>
    </row>
    <row r="7101" spans="1:7" ht="16.149999999999999" x14ac:dyDescent="0.7">
      <c r="A7101" s="49">
        <v>44908.523592476849</v>
      </c>
      <c r="B7101" s="50" t="s">
        <v>4</v>
      </c>
      <c r="C7101" s="50" t="s">
        <v>639</v>
      </c>
      <c r="D7101" s="50" t="s">
        <v>263</v>
      </c>
      <c r="E7101" s="50">
        <v>-1</v>
      </c>
      <c r="F7101" s="51">
        <v>-0.1377371910320313</v>
      </c>
      <c r="G7101" s="51" t="str">
        <v>井上 2023/01/29 (日)
休日午前</v>
      </c>
    </row>
    <row r="7102" spans="1:7" ht="16.149999999999999" x14ac:dyDescent="0.7">
      <c r="A7102" s="49">
        <v>44908.523592476849</v>
      </c>
      <c r="B7102" s="50" t="s">
        <v>4</v>
      </c>
      <c r="C7102" s="50" t="s">
        <v>640</v>
      </c>
      <c r="D7102" s="50" t="s">
        <v>261</v>
      </c>
      <c r="E7102" s="50">
        <v>-1</v>
      </c>
      <c r="F7102" s="51">
        <v>-0.7576888077744206</v>
      </c>
      <c r="G7102" s="51" t="str">
        <v>井上 2023/01/29 (日)
休日午後</v>
      </c>
    </row>
    <row r="7103" spans="1:7" ht="16.149999999999999" x14ac:dyDescent="0.7">
      <c r="A7103" s="49">
        <v>44908.523592476849</v>
      </c>
      <c r="B7103" s="50" t="s">
        <v>4</v>
      </c>
      <c r="C7103" s="50" t="s">
        <v>641</v>
      </c>
      <c r="D7103" s="50" t="s">
        <v>259</v>
      </c>
      <c r="E7103" s="50">
        <v>0</v>
      </c>
      <c r="F7103" s="51">
        <v>0.45774490740574092</v>
      </c>
      <c r="G7103" s="51" t="str">
        <v>井上 2023/01/30 (月)
平日夜間</v>
      </c>
    </row>
    <row r="7104" spans="1:7" ht="16.149999999999999" x14ac:dyDescent="0.7">
      <c r="A7104" s="49">
        <v>44908.523592476849</v>
      </c>
      <c r="B7104" s="50" t="s">
        <v>4</v>
      </c>
      <c r="C7104" s="50" t="s">
        <v>642</v>
      </c>
      <c r="D7104" s="50" t="s">
        <v>259</v>
      </c>
      <c r="E7104" s="50">
        <v>0</v>
      </c>
      <c r="F7104" s="51">
        <v>0.70753943828406141</v>
      </c>
      <c r="G7104" s="51" t="str">
        <v>井上 2023/01/31 (火)
平日夜間</v>
      </c>
    </row>
    <row r="7105" spans="1:7" ht="16.149999999999999" x14ac:dyDescent="0.7">
      <c r="A7105" s="49">
        <v>44908.916885636572</v>
      </c>
      <c r="B7105" s="50" t="s">
        <v>17</v>
      </c>
      <c r="C7105" s="50" t="s">
        <v>606</v>
      </c>
      <c r="D7105" s="50" t="s">
        <v>259</v>
      </c>
      <c r="E7105" s="50">
        <v>0</v>
      </c>
      <c r="F7105" s="51">
        <v>0.38633132745206389</v>
      </c>
      <c r="G7105" s="51" t="str">
        <v>尾田 2023/01/04 (水)
平日夜間</v>
      </c>
    </row>
    <row r="7106" spans="1:7" ht="16.149999999999999" x14ac:dyDescent="0.7">
      <c r="A7106" s="49">
        <v>44908.916885636572</v>
      </c>
      <c r="B7106" s="50" t="s">
        <v>17</v>
      </c>
      <c r="C7106" s="50" t="s">
        <v>607</v>
      </c>
      <c r="D7106" s="50" t="s">
        <v>259</v>
      </c>
      <c r="E7106" s="50">
        <v>-1</v>
      </c>
      <c r="F7106" s="51">
        <v>-0.55172756315975113</v>
      </c>
      <c r="G7106" s="51" t="str">
        <v>尾田 2023/01/05 (木)
平日夜間</v>
      </c>
    </row>
    <row r="7107" spans="1:7" ht="16.149999999999999" x14ac:dyDescent="0.7">
      <c r="A7107" s="49">
        <v>44908.916885636572</v>
      </c>
      <c r="B7107" s="50" t="s">
        <v>17</v>
      </c>
      <c r="C7107" s="50" t="s">
        <v>608</v>
      </c>
      <c r="D7107" s="50" t="s">
        <v>259</v>
      </c>
      <c r="E7107" s="50">
        <v>-1</v>
      </c>
      <c r="F7107" s="51">
        <v>-0.82722136559397685</v>
      </c>
      <c r="G7107" s="51" t="str">
        <v>尾田 2023/01/06 (金)
平日夜間</v>
      </c>
    </row>
    <row r="7108" spans="1:7" ht="16.149999999999999" x14ac:dyDescent="0.7">
      <c r="A7108" s="49">
        <v>44908.916885636572</v>
      </c>
      <c r="B7108" s="50" t="s">
        <v>17</v>
      </c>
      <c r="C7108" s="50" t="s">
        <v>609</v>
      </c>
      <c r="D7108" s="50" t="s">
        <v>263</v>
      </c>
      <c r="E7108" s="50">
        <v>-1</v>
      </c>
      <c r="F7108" s="51">
        <v>-0.22592668569399699</v>
      </c>
      <c r="G7108" s="51" t="str">
        <v>尾田 2023/01/07 (土)
休日午前</v>
      </c>
    </row>
    <row r="7109" spans="1:7" ht="16.149999999999999" x14ac:dyDescent="0.7">
      <c r="A7109" s="49">
        <v>44908.916885636572</v>
      </c>
      <c r="B7109" s="50" t="s">
        <v>17</v>
      </c>
      <c r="C7109" s="50" t="s">
        <v>610</v>
      </c>
      <c r="D7109" s="50" t="s">
        <v>261</v>
      </c>
      <c r="E7109" s="50">
        <v>-1</v>
      </c>
      <c r="F7109" s="51">
        <v>-0.52611737546481185</v>
      </c>
      <c r="G7109" s="51" t="str">
        <v>尾田 2023/01/07 (土)
休日午後</v>
      </c>
    </row>
    <row r="7110" spans="1:7" ht="16.149999999999999" x14ac:dyDescent="0.7">
      <c r="A7110" s="49">
        <v>44908.916885636572</v>
      </c>
      <c r="B7110" s="50" t="s">
        <v>17</v>
      </c>
      <c r="C7110" s="50" t="s">
        <v>611</v>
      </c>
      <c r="D7110" s="50" t="s">
        <v>263</v>
      </c>
      <c r="E7110" s="50">
        <v>-1</v>
      </c>
      <c r="F7110" s="51">
        <v>-0.84200744747868872</v>
      </c>
      <c r="G7110" s="51" t="str">
        <v>尾田 2023/01/08 (日)
休日午前</v>
      </c>
    </row>
    <row r="7111" spans="1:7" ht="16.149999999999999" x14ac:dyDescent="0.7">
      <c r="A7111" s="49">
        <v>44908.916885636572</v>
      </c>
      <c r="B7111" s="50" t="s">
        <v>17</v>
      </c>
      <c r="C7111" s="50" t="s">
        <v>612</v>
      </c>
      <c r="D7111" s="50" t="s">
        <v>261</v>
      </c>
      <c r="E7111" s="50">
        <v>-1</v>
      </c>
      <c r="F7111" s="51">
        <v>-0.27468825478670134</v>
      </c>
      <c r="G7111" s="51" t="str">
        <v>尾田 2023/01/08 (日)
休日午後</v>
      </c>
    </row>
    <row r="7112" spans="1:7" ht="16.149999999999999" x14ac:dyDescent="0.7">
      <c r="A7112" s="49">
        <v>44908.916885636572</v>
      </c>
      <c r="B7112" s="50" t="s">
        <v>17</v>
      </c>
      <c r="C7112" s="50" t="s">
        <v>613</v>
      </c>
      <c r="D7112" s="50" t="s">
        <v>263</v>
      </c>
      <c r="E7112" s="50">
        <v>-1</v>
      </c>
      <c r="F7112" s="51">
        <v>-4.4351053669594354E-2</v>
      </c>
      <c r="G7112" s="51" t="str">
        <v>尾田 2023/01/09 (月)
休日午前</v>
      </c>
    </row>
    <row r="7113" spans="1:7" ht="16.149999999999999" x14ac:dyDescent="0.7">
      <c r="A7113" s="49">
        <v>44908.916885636572</v>
      </c>
      <c r="B7113" s="50" t="s">
        <v>17</v>
      </c>
      <c r="C7113" s="50" t="s">
        <v>614</v>
      </c>
      <c r="D7113" s="50" t="s">
        <v>261</v>
      </c>
      <c r="E7113" s="50">
        <v>-1</v>
      </c>
      <c r="F7113" s="51">
        <v>-0.34574342776964473</v>
      </c>
      <c r="G7113" s="51" t="str">
        <v>尾田 2023/01/09 (月)
休日午後</v>
      </c>
    </row>
    <row r="7114" spans="1:7" ht="16.149999999999999" x14ac:dyDescent="0.7">
      <c r="A7114" s="49">
        <v>44908.916885636572</v>
      </c>
      <c r="B7114" s="50" t="s">
        <v>17</v>
      </c>
      <c r="C7114" s="50" t="s">
        <v>615</v>
      </c>
      <c r="D7114" s="50" t="s">
        <v>259</v>
      </c>
      <c r="E7114" s="50">
        <v>-1</v>
      </c>
      <c r="F7114" s="51">
        <v>-0.2659987321829147</v>
      </c>
      <c r="G7114" s="51" t="str">
        <v>尾田 2023/01/10 (火)
平日夜間</v>
      </c>
    </row>
    <row r="7115" spans="1:7" ht="16.149999999999999" x14ac:dyDescent="0.7">
      <c r="A7115" s="49">
        <v>44908.916885636572</v>
      </c>
      <c r="B7115" s="50" t="s">
        <v>17</v>
      </c>
      <c r="C7115" s="50" t="s">
        <v>616</v>
      </c>
      <c r="D7115" s="50" t="s">
        <v>259</v>
      </c>
      <c r="E7115" s="50">
        <v>0</v>
      </c>
      <c r="F7115" s="51">
        <v>0.42226343625884866</v>
      </c>
      <c r="G7115" s="51" t="str">
        <v>尾田 2023/01/11 (水)
平日夜間</v>
      </c>
    </row>
    <row r="7116" spans="1:7" ht="16.149999999999999" x14ac:dyDescent="0.7">
      <c r="A7116" s="49">
        <v>44908.916885636572</v>
      </c>
      <c r="B7116" s="50" t="s">
        <v>17</v>
      </c>
      <c r="C7116" s="50" t="s">
        <v>617</v>
      </c>
      <c r="D7116" s="50" t="s">
        <v>259</v>
      </c>
      <c r="E7116" s="50">
        <v>-1</v>
      </c>
      <c r="F7116" s="51">
        <v>-0.42376336246775037</v>
      </c>
      <c r="G7116" s="51" t="str">
        <v>尾田 2023/01/12 (木)
平日夜間</v>
      </c>
    </row>
    <row r="7117" spans="1:7" ht="16.149999999999999" x14ac:dyDescent="0.7">
      <c r="A7117" s="49">
        <v>44908.916885636572</v>
      </c>
      <c r="B7117" s="50" t="s">
        <v>17</v>
      </c>
      <c r="C7117" s="50" t="s">
        <v>618</v>
      </c>
      <c r="D7117" s="50" t="s">
        <v>259</v>
      </c>
      <c r="E7117" s="50">
        <v>-1</v>
      </c>
      <c r="F7117" s="51">
        <v>-0.21071514972635508</v>
      </c>
      <c r="G7117" s="51" t="str">
        <v>尾田 2023/01/13 (金)
平日夜間</v>
      </c>
    </row>
    <row r="7118" spans="1:7" ht="16.149999999999999" x14ac:dyDescent="0.7">
      <c r="A7118" s="49">
        <v>44908.916885636572</v>
      </c>
      <c r="B7118" s="50" t="s">
        <v>17</v>
      </c>
      <c r="C7118" s="50" t="s">
        <v>619</v>
      </c>
      <c r="D7118" s="50" t="s">
        <v>263</v>
      </c>
      <c r="E7118" s="50">
        <v>-1</v>
      </c>
      <c r="F7118" s="51">
        <v>-0.82151312183884095</v>
      </c>
      <c r="G7118" s="51" t="str">
        <v>尾田 2023/01/14 (土)
休日午前</v>
      </c>
    </row>
    <row r="7119" spans="1:7" ht="16.149999999999999" x14ac:dyDescent="0.7">
      <c r="A7119" s="49">
        <v>44908.916885636572</v>
      </c>
      <c r="B7119" s="50" t="s">
        <v>17</v>
      </c>
      <c r="C7119" s="50" t="s">
        <v>620</v>
      </c>
      <c r="D7119" s="50" t="s">
        <v>261</v>
      </c>
      <c r="E7119" s="50">
        <v>-1</v>
      </c>
      <c r="F7119" s="51">
        <v>-0.79619254750462476</v>
      </c>
      <c r="G7119" s="51" t="str">
        <v>尾田 2023/01/14 (土)
休日午後</v>
      </c>
    </row>
    <row r="7120" spans="1:7" ht="16.149999999999999" x14ac:dyDescent="0.7">
      <c r="A7120" s="49">
        <v>44908.916885636572</v>
      </c>
      <c r="B7120" s="50" t="s">
        <v>17</v>
      </c>
      <c r="C7120" s="50" t="s">
        <v>621</v>
      </c>
      <c r="D7120" s="50" t="s">
        <v>263</v>
      </c>
      <c r="E7120" s="50">
        <v>-1</v>
      </c>
      <c r="F7120" s="51">
        <v>-0.16060581081651959</v>
      </c>
      <c r="G7120" s="51" t="str">
        <v>尾田 2023/01/15 (日)
休日午前</v>
      </c>
    </row>
    <row r="7121" spans="1:7" ht="16.149999999999999" x14ac:dyDescent="0.7">
      <c r="A7121" s="49">
        <v>44908.916885636572</v>
      </c>
      <c r="B7121" s="50" t="s">
        <v>17</v>
      </c>
      <c r="C7121" s="50" t="s">
        <v>622</v>
      </c>
      <c r="D7121" s="50" t="s">
        <v>261</v>
      </c>
      <c r="E7121" s="50">
        <v>-1</v>
      </c>
      <c r="F7121" s="51">
        <v>-0.15697584062912284</v>
      </c>
      <c r="G7121" s="51" t="str">
        <v>尾田 2023/01/15 (日)
休日午後</v>
      </c>
    </row>
    <row r="7122" spans="1:7" ht="16.149999999999999" x14ac:dyDescent="0.7">
      <c r="A7122" s="49">
        <v>44908.916885636572</v>
      </c>
      <c r="B7122" s="50" t="s">
        <v>17</v>
      </c>
      <c r="C7122" s="50" t="s">
        <v>623</v>
      </c>
      <c r="D7122" s="50" t="s">
        <v>259</v>
      </c>
      <c r="E7122" s="50">
        <v>-1</v>
      </c>
      <c r="F7122" s="51">
        <v>-0.20897295526384041</v>
      </c>
      <c r="G7122" s="51" t="str">
        <v>尾田 2023/01/16 (月)
平日夜間</v>
      </c>
    </row>
    <row r="7123" spans="1:7" ht="16.149999999999999" x14ac:dyDescent="0.7">
      <c r="A7123" s="49">
        <v>44908.916885636572</v>
      </c>
      <c r="B7123" s="50" t="s">
        <v>17</v>
      </c>
      <c r="C7123" s="50" t="s">
        <v>624</v>
      </c>
      <c r="D7123" s="50" t="s">
        <v>259</v>
      </c>
      <c r="E7123" s="50">
        <v>0</v>
      </c>
      <c r="F7123" s="51">
        <v>0.25851289904171781</v>
      </c>
      <c r="G7123" s="51" t="str">
        <v>尾田 2023/01/17 (火)
平日夜間</v>
      </c>
    </row>
    <row r="7124" spans="1:7" ht="16.149999999999999" x14ac:dyDescent="0.7">
      <c r="A7124" s="49">
        <v>44908.916885636572</v>
      </c>
      <c r="B7124" s="50" t="s">
        <v>17</v>
      </c>
      <c r="C7124" s="50" t="s">
        <v>625</v>
      </c>
      <c r="D7124" s="50" t="s">
        <v>259</v>
      </c>
      <c r="E7124" s="50">
        <v>0</v>
      </c>
      <c r="F7124" s="51">
        <v>0.17493982817863785</v>
      </c>
      <c r="G7124" s="51" t="str">
        <v>尾田 2023/01/18 (水)
平日夜間</v>
      </c>
    </row>
    <row r="7125" spans="1:7" ht="16.149999999999999" x14ac:dyDescent="0.7">
      <c r="A7125" s="49">
        <v>44908.916885636572</v>
      </c>
      <c r="B7125" s="50" t="s">
        <v>17</v>
      </c>
      <c r="C7125" s="50" t="s">
        <v>626</v>
      </c>
      <c r="D7125" s="50" t="s">
        <v>259</v>
      </c>
      <c r="E7125" s="50">
        <v>-1</v>
      </c>
      <c r="F7125" s="51">
        <v>-0.42813408537626119</v>
      </c>
      <c r="G7125" s="51" t="str">
        <v>尾田 2023/01/19 (木)
平日夜間</v>
      </c>
    </row>
    <row r="7126" spans="1:7" ht="16.149999999999999" x14ac:dyDescent="0.7">
      <c r="A7126" s="49">
        <v>44908.916885636572</v>
      </c>
      <c r="B7126" s="50" t="s">
        <v>17</v>
      </c>
      <c r="C7126" s="50" t="s">
        <v>627</v>
      </c>
      <c r="D7126" s="50" t="s">
        <v>259</v>
      </c>
      <c r="E7126" s="50">
        <v>-1</v>
      </c>
      <c r="F7126" s="51">
        <v>-0.66065586710095614</v>
      </c>
      <c r="G7126" s="51" t="str">
        <v>尾田 2023/01/20 (金)
平日夜間</v>
      </c>
    </row>
    <row r="7127" spans="1:7" ht="16.149999999999999" x14ac:dyDescent="0.7">
      <c r="A7127" s="49">
        <v>44908.916885636572</v>
      </c>
      <c r="B7127" s="50" t="s">
        <v>17</v>
      </c>
      <c r="C7127" s="50" t="s">
        <v>628</v>
      </c>
      <c r="D7127" s="50" t="s">
        <v>263</v>
      </c>
      <c r="E7127" s="50">
        <v>-1</v>
      </c>
      <c r="F7127" s="51">
        <v>-0.50287524053147292</v>
      </c>
      <c r="G7127" s="51" t="str">
        <v>尾田 2023/01/21 (土)
休日午前</v>
      </c>
    </row>
    <row r="7128" spans="1:7" ht="16.149999999999999" x14ac:dyDescent="0.7">
      <c r="A7128" s="49">
        <v>44908.916885636572</v>
      </c>
      <c r="B7128" s="50" t="s">
        <v>17</v>
      </c>
      <c r="C7128" s="50" t="s">
        <v>629</v>
      </c>
      <c r="D7128" s="50" t="s">
        <v>261</v>
      </c>
      <c r="E7128" s="50">
        <v>-1</v>
      </c>
      <c r="F7128" s="51">
        <v>-0.67251795796419955</v>
      </c>
      <c r="G7128" s="51" t="str">
        <v>尾田 2023/01/21 (土)
休日午後</v>
      </c>
    </row>
    <row r="7129" spans="1:7" ht="16.149999999999999" x14ac:dyDescent="0.7">
      <c r="A7129" s="49">
        <v>44908.916885636572</v>
      </c>
      <c r="B7129" s="50" t="s">
        <v>17</v>
      </c>
      <c r="C7129" s="50" t="s">
        <v>630</v>
      </c>
      <c r="D7129" s="50" t="s">
        <v>263</v>
      </c>
      <c r="E7129" s="50">
        <v>-1</v>
      </c>
      <c r="F7129" s="51">
        <v>-0.68369382785900878</v>
      </c>
      <c r="G7129" s="51" t="str">
        <v>尾田 2023/01/22 (日)
休日午前</v>
      </c>
    </row>
    <row r="7130" spans="1:7" ht="16.149999999999999" x14ac:dyDescent="0.7">
      <c r="A7130" s="49">
        <v>44908.916885636572</v>
      </c>
      <c r="B7130" s="50" t="s">
        <v>17</v>
      </c>
      <c r="C7130" s="50" t="s">
        <v>631</v>
      </c>
      <c r="D7130" s="50" t="s">
        <v>261</v>
      </c>
      <c r="E7130" s="50">
        <v>-1</v>
      </c>
      <c r="F7130" s="51">
        <v>-0.14055515864994428</v>
      </c>
      <c r="G7130" s="51" t="str">
        <v>尾田 2023/01/22 (日)
休日午後</v>
      </c>
    </row>
    <row r="7131" spans="1:7" ht="16.149999999999999" x14ac:dyDescent="0.7">
      <c r="A7131" s="49">
        <v>44908.916885636572</v>
      </c>
      <c r="B7131" s="50" t="s">
        <v>17</v>
      </c>
      <c r="C7131" s="50" t="s">
        <v>632</v>
      </c>
      <c r="D7131" s="50" t="s">
        <v>259</v>
      </c>
      <c r="E7131" s="50">
        <v>-1</v>
      </c>
      <c r="F7131" s="51">
        <v>-0.68337811625039047</v>
      </c>
      <c r="G7131" s="51" t="str">
        <v>尾田 2023/01/23 (月)
平日夜間</v>
      </c>
    </row>
    <row r="7132" spans="1:7" ht="16.149999999999999" x14ac:dyDescent="0.7">
      <c r="A7132" s="49">
        <v>44908.916885636572</v>
      </c>
      <c r="B7132" s="50" t="s">
        <v>17</v>
      </c>
      <c r="C7132" s="50" t="s">
        <v>633</v>
      </c>
      <c r="D7132" s="50" t="s">
        <v>259</v>
      </c>
      <c r="E7132" s="50">
        <v>0</v>
      </c>
      <c r="F7132" s="51">
        <v>5.960363256027934E-2</v>
      </c>
      <c r="G7132" s="51" t="str">
        <v>尾田 2023/01/24 (火)
平日夜間</v>
      </c>
    </row>
    <row r="7133" spans="1:7" ht="16.149999999999999" x14ac:dyDescent="0.7">
      <c r="A7133" s="49">
        <v>44908.916885636572</v>
      </c>
      <c r="B7133" s="50" t="s">
        <v>17</v>
      </c>
      <c r="C7133" s="50" t="s">
        <v>634</v>
      </c>
      <c r="D7133" s="50" t="s">
        <v>259</v>
      </c>
      <c r="E7133" s="50">
        <v>0</v>
      </c>
      <c r="F7133" s="51">
        <v>0.65557276905699102</v>
      </c>
      <c r="G7133" s="51" t="str">
        <v>尾田 2023/01/25 (水)
平日夜間</v>
      </c>
    </row>
    <row r="7134" spans="1:7" ht="16.149999999999999" x14ac:dyDescent="0.7">
      <c r="A7134" s="49">
        <v>44908.916885636572</v>
      </c>
      <c r="B7134" s="50" t="s">
        <v>17</v>
      </c>
      <c r="C7134" s="50" t="s">
        <v>635</v>
      </c>
      <c r="D7134" s="50" t="s">
        <v>259</v>
      </c>
      <c r="E7134" s="50">
        <v>-1</v>
      </c>
      <c r="F7134" s="51">
        <v>-0.91770032164559789</v>
      </c>
      <c r="G7134" s="51" t="str">
        <v>尾田 2023/01/26 (木)
平日夜間</v>
      </c>
    </row>
    <row r="7135" spans="1:7" ht="16.149999999999999" x14ac:dyDescent="0.7">
      <c r="A7135" s="49">
        <v>44908.916885636572</v>
      </c>
      <c r="B7135" s="50" t="s">
        <v>17</v>
      </c>
      <c r="C7135" s="50" t="s">
        <v>636</v>
      </c>
      <c r="D7135" s="50" t="s">
        <v>259</v>
      </c>
      <c r="E7135" s="50">
        <v>-1</v>
      </c>
      <c r="F7135" s="51">
        <v>-0.51937344214817593</v>
      </c>
      <c r="G7135" s="51" t="str">
        <v>尾田 2023/01/27 (金)
平日夜間</v>
      </c>
    </row>
    <row r="7136" spans="1:7" ht="16.149999999999999" x14ac:dyDescent="0.7">
      <c r="A7136" s="49">
        <v>44908.916885636572</v>
      </c>
      <c r="B7136" s="50" t="s">
        <v>17</v>
      </c>
      <c r="C7136" s="50" t="s">
        <v>637</v>
      </c>
      <c r="D7136" s="50" t="s">
        <v>263</v>
      </c>
      <c r="E7136" s="50">
        <v>-1</v>
      </c>
      <c r="F7136" s="51">
        <v>-0.66034373971296012</v>
      </c>
      <c r="G7136" s="51" t="str">
        <v>尾田 2023/01/28 (土)
休日午前</v>
      </c>
    </row>
    <row r="7137" spans="1:7" ht="16.149999999999999" x14ac:dyDescent="0.7">
      <c r="A7137" s="49">
        <v>44908.916885636572</v>
      </c>
      <c r="B7137" s="50" t="s">
        <v>17</v>
      </c>
      <c r="C7137" s="50" t="s">
        <v>638</v>
      </c>
      <c r="D7137" s="50" t="s">
        <v>261</v>
      </c>
      <c r="E7137" s="50">
        <v>-1</v>
      </c>
      <c r="F7137" s="51">
        <v>-0.66688877681882297</v>
      </c>
      <c r="G7137" s="51" t="str">
        <v>尾田 2023/01/28 (土)
休日午後</v>
      </c>
    </row>
    <row r="7138" spans="1:7" ht="16.149999999999999" x14ac:dyDescent="0.7">
      <c r="A7138" s="49">
        <v>44908.916885636572</v>
      </c>
      <c r="B7138" s="50" t="s">
        <v>17</v>
      </c>
      <c r="C7138" s="50" t="s">
        <v>639</v>
      </c>
      <c r="D7138" s="50" t="s">
        <v>263</v>
      </c>
      <c r="E7138" s="50">
        <v>-1</v>
      </c>
      <c r="F7138" s="51">
        <v>-0.89062820733900971</v>
      </c>
      <c r="G7138" s="51" t="str">
        <v>尾田 2023/01/29 (日)
休日午前</v>
      </c>
    </row>
    <row r="7139" spans="1:7" ht="16.149999999999999" x14ac:dyDescent="0.7">
      <c r="A7139" s="49">
        <v>44908.916885636572</v>
      </c>
      <c r="B7139" s="50" t="s">
        <v>17</v>
      </c>
      <c r="C7139" s="50" t="s">
        <v>640</v>
      </c>
      <c r="D7139" s="50" t="s">
        <v>261</v>
      </c>
      <c r="E7139" s="50">
        <v>-1</v>
      </c>
      <c r="F7139" s="51">
        <v>-0.927730636567353</v>
      </c>
      <c r="G7139" s="51" t="str">
        <v>尾田 2023/01/29 (日)
休日午後</v>
      </c>
    </row>
    <row r="7140" spans="1:7" ht="16.149999999999999" x14ac:dyDescent="0.7">
      <c r="A7140" s="49">
        <v>44908.916885636572</v>
      </c>
      <c r="B7140" s="50" t="s">
        <v>17</v>
      </c>
      <c r="C7140" s="50" t="s">
        <v>641</v>
      </c>
      <c r="D7140" s="50" t="s">
        <v>259</v>
      </c>
      <c r="E7140" s="50">
        <v>-1</v>
      </c>
      <c r="F7140" s="51">
        <v>-0.36378733272222963</v>
      </c>
      <c r="G7140" s="51" t="str">
        <v>尾田 2023/01/30 (月)
平日夜間</v>
      </c>
    </row>
    <row r="7141" spans="1:7" ht="16.149999999999999" x14ac:dyDescent="0.7">
      <c r="A7141" s="49">
        <v>44908.916885636572</v>
      </c>
      <c r="B7141" s="50" t="s">
        <v>17</v>
      </c>
      <c r="C7141" s="50" t="s">
        <v>642</v>
      </c>
      <c r="D7141" s="50" t="s">
        <v>259</v>
      </c>
      <c r="E7141" s="50">
        <v>0</v>
      </c>
      <c r="F7141" s="51">
        <v>0.16025753009319632</v>
      </c>
      <c r="G7141" s="51" t="str">
        <v>尾田 2023/01/31 (火)
平日夜間</v>
      </c>
    </row>
    <row r="7142" spans="1:7" ht="16.149999999999999" x14ac:dyDescent="0.7">
      <c r="A7142" s="49">
        <v>44910.448562129634</v>
      </c>
      <c r="B7142" s="50" t="s">
        <v>14</v>
      </c>
      <c r="C7142" s="50" t="s">
        <v>606</v>
      </c>
      <c r="D7142" s="50" t="s">
        <v>259</v>
      </c>
      <c r="E7142" s="50">
        <v>0</v>
      </c>
      <c r="F7142" s="51">
        <v>0.14729912121094335</v>
      </c>
      <c r="G7142" s="51" t="str">
        <v>林智 2023/01/04 (水)
平日夜間</v>
      </c>
    </row>
    <row r="7143" spans="1:7" ht="16.149999999999999" x14ac:dyDescent="0.7">
      <c r="A7143" s="49">
        <v>44910.448562129634</v>
      </c>
      <c r="B7143" s="50" t="s">
        <v>14</v>
      </c>
      <c r="C7143" s="50" t="s">
        <v>607</v>
      </c>
      <c r="D7143" s="50" t="s">
        <v>259</v>
      </c>
      <c r="E7143" s="50">
        <v>0</v>
      </c>
      <c r="F7143" s="51">
        <v>0.93134571509598962</v>
      </c>
      <c r="G7143" s="51" t="str">
        <v>林智 2023/01/05 (木)
平日夜間</v>
      </c>
    </row>
    <row r="7144" spans="1:7" ht="16.149999999999999" x14ac:dyDescent="0.7">
      <c r="A7144" s="49">
        <v>44910.448562129634</v>
      </c>
      <c r="B7144" s="50" t="s">
        <v>14</v>
      </c>
      <c r="C7144" s="50" t="s">
        <v>608</v>
      </c>
      <c r="D7144" s="50" t="s">
        <v>259</v>
      </c>
      <c r="E7144" s="50">
        <v>0</v>
      </c>
      <c r="F7144" s="51">
        <v>0.86101080090629201</v>
      </c>
      <c r="G7144" s="51" t="str">
        <v>林智 2023/01/06 (金)
平日夜間</v>
      </c>
    </row>
    <row r="7145" spans="1:7" ht="16.149999999999999" x14ac:dyDescent="0.7">
      <c r="A7145" s="49">
        <v>44910.448562129634</v>
      </c>
      <c r="B7145" s="50" t="s">
        <v>14</v>
      </c>
      <c r="C7145" s="50" t="s">
        <v>609</v>
      </c>
      <c r="D7145" s="50" t="s">
        <v>263</v>
      </c>
      <c r="E7145" s="50">
        <v>-1</v>
      </c>
      <c r="F7145" s="51">
        <v>-0.31988112809673841</v>
      </c>
      <c r="G7145" s="51" t="str">
        <v>林智 2023/01/07 (土)
休日午前</v>
      </c>
    </row>
    <row r="7146" spans="1:7" ht="16.149999999999999" x14ac:dyDescent="0.7">
      <c r="A7146" s="49">
        <v>44910.448562129634</v>
      </c>
      <c r="B7146" s="50" t="s">
        <v>14</v>
      </c>
      <c r="C7146" s="50" t="s">
        <v>610</v>
      </c>
      <c r="D7146" s="50" t="s">
        <v>261</v>
      </c>
      <c r="E7146" s="50">
        <v>-1</v>
      </c>
      <c r="F7146" s="51">
        <v>-0.28314795812760329</v>
      </c>
      <c r="G7146" s="51" t="str">
        <v>林智 2023/01/07 (土)
休日午後</v>
      </c>
    </row>
    <row r="7147" spans="1:7" ht="16.149999999999999" x14ac:dyDescent="0.7">
      <c r="A7147" s="49">
        <v>44910.448562129634</v>
      </c>
      <c r="B7147" s="50" t="s">
        <v>14</v>
      </c>
      <c r="C7147" s="50" t="s">
        <v>611</v>
      </c>
      <c r="D7147" s="50" t="s">
        <v>263</v>
      </c>
      <c r="E7147" s="50">
        <v>-1</v>
      </c>
      <c r="F7147" s="51">
        <v>-0.90204799149667059</v>
      </c>
      <c r="G7147" s="51" t="str">
        <v>林智 2023/01/08 (日)
休日午前</v>
      </c>
    </row>
    <row r="7148" spans="1:7" ht="16.149999999999999" x14ac:dyDescent="0.7">
      <c r="A7148" s="49">
        <v>44910.448562129634</v>
      </c>
      <c r="B7148" s="50" t="s">
        <v>14</v>
      </c>
      <c r="C7148" s="50" t="s">
        <v>612</v>
      </c>
      <c r="D7148" s="50" t="s">
        <v>261</v>
      </c>
      <c r="E7148" s="50">
        <v>-1</v>
      </c>
      <c r="F7148" s="51">
        <v>-0.37957248824205703</v>
      </c>
      <c r="G7148" s="51" t="str">
        <v>林智 2023/01/08 (日)
休日午後</v>
      </c>
    </row>
    <row r="7149" spans="1:7" ht="16.149999999999999" x14ac:dyDescent="0.7">
      <c r="A7149" s="49">
        <v>44910.448562129634</v>
      </c>
      <c r="B7149" s="50" t="s">
        <v>14</v>
      </c>
      <c r="C7149" s="50" t="s">
        <v>613</v>
      </c>
      <c r="D7149" s="50" t="s">
        <v>263</v>
      </c>
      <c r="E7149" s="50">
        <v>0</v>
      </c>
      <c r="F7149" s="51">
        <v>0.97888356324878134</v>
      </c>
      <c r="G7149" s="51" t="str">
        <v>林智 2023/01/09 (月)
休日午前</v>
      </c>
    </row>
    <row r="7150" spans="1:7" ht="16.149999999999999" x14ac:dyDescent="0.7">
      <c r="A7150" s="49">
        <v>44910.448562129634</v>
      </c>
      <c r="B7150" s="50" t="s">
        <v>14</v>
      </c>
      <c r="C7150" s="50" t="s">
        <v>614</v>
      </c>
      <c r="D7150" s="50" t="s">
        <v>261</v>
      </c>
      <c r="E7150" s="50">
        <v>0</v>
      </c>
      <c r="F7150" s="51">
        <v>0.26062096979233318</v>
      </c>
      <c r="G7150" s="51" t="str">
        <v>林智 2023/01/09 (月)
休日午後</v>
      </c>
    </row>
    <row r="7151" spans="1:7" ht="16.149999999999999" x14ac:dyDescent="0.7">
      <c r="A7151" s="49">
        <v>44910.448562129634</v>
      </c>
      <c r="B7151" s="50" t="s">
        <v>14</v>
      </c>
      <c r="C7151" s="50" t="s">
        <v>615</v>
      </c>
      <c r="D7151" s="50" t="s">
        <v>259</v>
      </c>
      <c r="E7151" s="50">
        <v>0</v>
      </c>
      <c r="F7151" s="51">
        <v>0.20629495984748059</v>
      </c>
      <c r="G7151" s="51" t="str">
        <v>林智 2023/01/10 (火)
平日夜間</v>
      </c>
    </row>
    <row r="7152" spans="1:7" ht="16.149999999999999" x14ac:dyDescent="0.7">
      <c r="A7152" s="49">
        <v>44910.448562129634</v>
      </c>
      <c r="B7152" s="50" t="s">
        <v>14</v>
      </c>
      <c r="C7152" s="50" t="s">
        <v>616</v>
      </c>
      <c r="D7152" s="50" t="s">
        <v>259</v>
      </c>
      <c r="E7152" s="50">
        <v>0</v>
      </c>
      <c r="F7152" s="51">
        <v>0.36746420357241183</v>
      </c>
      <c r="G7152" s="51" t="str">
        <v>林智 2023/01/11 (水)
平日夜間</v>
      </c>
    </row>
    <row r="7153" spans="1:7" ht="16.149999999999999" x14ac:dyDescent="0.7">
      <c r="A7153" s="49">
        <v>44910.448562129634</v>
      </c>
      <c r="B7153" s="50" t="s">
        <v>14</v>
      </c>
      <c r="C7153" s="50" t="s">
        <v>617</v>
      </c>
      <c r="D7153" s="50" t="s">
        <v>259</v>
      </c>
      <c r="E7153" s="50">
        <v>0</v>
      </c>
      <c r="F7153" s="51">
        <v>0.56815302171129467</v>
      </c>
      <c r="G7153" s="51" t="str">
        <v>林智 2023/01/12 (木)
平日夜間</v>
      </c>
    </row>
    <row r="7154" spans="1:7" ht="16.149999999999999" x14ac:dyDescent="0.7">
      <c r="A7154" s="49">
        <v>44910.448562129634</v>
      </c>
      <c r="B7154" s="50" t="s">
        <v>14</v>
      </c>
      <c r="C7154" s="50" t="s">
        <v>618</v>
      </c>
      <c r="D7154" s="50" t="s">
        <v>259</v>
      </c>
      <c r="E7154" s="50">
        <v>0</v>
      </c>
      <c r="F7154" s="51">
        <v>0.78797567209581287</v>
      </c>
      <c r="G7154" s="51" t="str">
        <v>林智 2023/01/13 (金)
平日夜間</v>
      </c>
    </row>
    <row r="7155" spans="1:7" ht="16.149999999999999" x14ac:dyDescent="0.7">
      <c r="A7155" s="49">
        <v>44910.448562129634</v>
      </c>
      <c r="B7155" s="50" t="s">
        <v>14</v>
      </c>
      <c r="C7155" s="50" t="s">
        <v>619</v>
      </c>
      <c r="D7155" s="50" t="s">
        <v>263</v>
      </c>
      <c r="E7155" s="50">
        <v>-1</v>
      </c>
      <c r="F7155" s="51">
        <v>-0.33011937713336947</v>
      </c>
      <c r="G7155" s="51" t="str">
        <v>林智 2023/01/14 (土)
休日午前</v>
      </c>
    </row>
    <row r="7156" spans="1:7" ht="16.149999999999999" x14ac:dyDescent="0.7">
      <c r="A7156" s="49">
        <v>44910.448562129634</v>
      </c>
      <c r="B7156" s="50" t="s">
        <v>14</v>
      </c>
      <c r="C7156" s="50" t="s">
        <v>620</v>
      </c>
      <c r="D7156" s="50" t="s">
        <v>261</v>
      </c>
      <c r="E7156" s="50">
        <v>-1</v>
      </c>
      <c r="F7156" s="51">
        <v>-7.6829963099245058E-2</v>
      </c>
      <c r="G7156" s="51" t="str">
        <v>林智 2023/01/14 (土)
休日午後</v>
      </c>
    </row>
    <row r="7157" spans="1:7" ht="16.149999999999999" x14ac:dyDescent="0.7">
      <c r="A7157" s="49">
        <v>44910.448562129634</v>
      </c>
      <c r="B7157" s="50" t="s">
        <v>14</v>
      </c>
      <c r="C7157" s="50" t="s">
        <v>621</v>
      </c>
      <c r="D7157" s="50" t="s">
        <v>263</v>
      </c>
      <c r="E7157" s="50">
        <v>1</v>
      </c>
      <c r="F7157" s="51">
        <v>1.3395196282134907</v>
      </c>
      <c r="G7157" s="51" t="str">
        <v>林智 2023/01/15 (日)
休日午前</v>
      </c>
    </row>
    <row r="7158" spans="1:7" ht="16.149999999999999" x14ac:dyDescent="0.7">
      <c r="A7158" s="49">
        <v>44910.448562129634</v>
      </c>
      <c r="B7158" s="50" t="s">
        <v>14</v>
      </c>
      <c r="C7158" s="50" t="s">
        <v>622</v>
      </c>
      <c r="D7158" s="50" t="s">
        <v>261</v>
      </c>
      <c r="E7158" s="50">
        <v>1</v>
      </c>
      <c r="F7158" s="51">
        <v>1.2566196895487813</v>
      </c>
      <c r="G7158" s="51" t="str">
        <v>林智 2023/01/15 (日)
休日午後</v>
      </c>
    </row>
    <row r="7159" spans="1:7" ht="16.149999999999999" x14ac:dyDescent="0.7">
      <c r="A7159" s="49">
        <v>44910.448562129634</v>
      </c>
      <c r="B7159" s="50" t="s">
        <v>14</v>
      </c>
      <c r="C7159" s="50" t="s">
        <v>623</v>
      </c>
      <c r="D7159" s="50" t="s">
        <v>259</v>
      </c>
      <c r="E7159" s="50">
        <v>0</v>
      </c>
      <c r="F7159" s="51">
        <v>0.41023808641744042</v>
      </c>
      <c r="G7159" s="51" t="str">
        <v>林智 2023/01/16 (月)
平日夜間</v>
      </c>
    </row>
    <row r="7160" spans="1:7" ht="16.149999999999999" x14ac:dyDescent="0.7">
      <c r="A7160" s="49">
        <v>44910.448562129634</v>
      </c>
      <c r="B7160" s="50" t="s">
        <v>14</v>
      </c>
      <c r="C7160" s="50" t="s">
        <v>624</v>
      </c>
      <c r="D7160" s="50" t="s">
        <v>259</v>
      </c>
      <c r="E7160" s="50">
        <v>0</v>
      </c>
      <c r="F7160" s="51">
        <v>0.61207910814423006</v>
      </c>
      <c r="G7160" s="51" t="str">
        <v>林智 2023/01/17 (火)
平日夜間</v>
      </c>
    </row>
    <row r="7161" spans="1:7" ht="16.149999999999999" x14ac:dyDescent="0.7">
      <c r="A7161" s="49">
        <v>44910.448562129634</v>
      </c>
      <c r="B7161" s="50" t="s">
        <v>14</v>
      </c>
      <c r="C7161" s="50" t="s">
        <v>625</v>
      </c>
      <c r="D7161" s="50" t="s">
        <v>259</v>
      </c>
      <c r="E7161" s="50">
        <v>0</v>
      </c>
      <c r="F7161" s="51">
        <v>0.3697590432649791</v>
      </c>
      <c r="G7161" s="51" t="str">
        <v>林智 2023/01/18 (水)
平日夜間</v>
      </c>
    </row>
    <row r="7162" spans="1:7" ht="16.149999999999999" x14ac:dyDescent="0.7">
      <c r="A7162" s="49">
        <v>44910.448562129634</v>
      </c>
      <c r="B7162" s="50" t="s">
        <v>14</v>
      </c>
      <c r="C7162" s="50" t="s">
        <v>626</v>
      </c>
      <c r="D7162" s="50" t="s">
        <v>259</v>
      </c>
      <c r="E7162" s="50">
        <v>0</v>
      </c>
      <c r="F7162" s="51">
        <v>0.52096477489274418</v>
      </c>
      <c r="G7162" s="51" t="str">
        <v>林智 2023/01/19 (木)
平日夜間</v>
      </c>
    </row>
    <row r="7163" spans="1:7" ht="16.149999999999999" x14ac:dyDescent="0.7">
      <c r="A7163" s="49">
        <v>44910.448562129634</v>
      </c>
      <c r="B7163" s="50" t="s">
        <v>14</v>
      </c>
      <c r="C7163" s="50" t="s">
        <v>627</v>
      </c>
      <c r="D7163" s="50" t="s">
        <v>259</v>
      </c>
      <c r="E7163" s="50">
        <v>0</v>
      </c>
      <c r="F7163" s="51">
        <v>0.33500785297300051</v>
      </c>
      <c r="G7163" s="51" t="str">
        <v>林智 2023/01/20 (金)
平日夜間</v>
      </c>
    </row>
    <row r="7164" spans="1:7" ht="16.149999999999999" x14ac:dyDescent="0.7">
      <c r="A7164" s="49">
        <v>44910.448562129634</v>
      </c>
      <c r="B7164" s="50" t="s">
        <v>14</v>
      </c>
      <c r="C7164" s="50" t="s">
        <v>628</v>
      </c>
      <c r="D7164" s="50" t="s">
        <v>263</v>
      </c>
      <c r="E7164" s="50">
        <v>-1</v>
      </c>
      <c r="F7164" s="51">
        <v>-0.72947399789750822</v>
      </c>
      <c r="G7164" s="51" t="str">
        <v>林智 2023/01/21 (土)
休日午前</v>
      </c>
    </row>
    <row r="7165" spans="1:7" ht="16.149999999999999" x14ac:dyDescent="0.7">
      <c r="A7165" s="49">
        <v>44910.448562129634</v>
      </c>
      <c r="B7165" s="50" t="s">
        <v>14</v>
      </c>
      <c r="C7165" s="50" t="s">
        <v>629</v>
      </c>
      <c r="D7165" s="50" t="s">
        <v>261</v>
      </c>
      <c r="E7165" s="50">
        <v>-1</v>
      </c>
      <c r="F7165" s="51">
        <v>-0.76163635518005735</v>
      </c>
      <c r="G7165" s="51" t="str">
        <v>林智 2023/01/21 (土)
休日午後</v>
      </c>
    </row>
    <row r="7166" spans="1:7" ht="16.149999999999999" x14ac:dyDescent="0.7">
      <c r="A7166" s="49">
        <v>44910.448562129634</v>
      </c>
      <c r="B7166" s="50" t="s">
        <v>14</v>
      </c>
      <c r="C7166" s="50" t="s">
        <v>630</v>
      </c>
      <c r="D7166" s="50" t="s">
        <v>263</v>
      </c>
      <c r="E7166" s="50">
        <v>0</v>
      </c>
      <c r="F7166" s="51">
        <v>0.39181734437135685</v>
      </c>
      <c r="G7166" s="51" t="str">
        <v>林智 2023/01/22 (日)
休日午前</v>
      </c>
    </row>
    <row r="7167" spans="1:7" ht="16.149999999999999" x14ac:dyDescent="0.7">
      <c r="A7167" s="49">
        <v>44910.448562129634</v>
      </c>
      <c r="B7167" s="50" t="s">
        <v>14</v>
      </c>
      <c r="C7167" s="50" t="s">
        <v>631</v>
      </c>
      <c r="D7167" s="50" t="s">
        <v>261</v>
      </c>
      <c r="E7167" s="50">
        <v>0</v>
      </c>
      <c r="F7167" s="51">
        <v>0.18136399572301931</v>
      </c>
      <c r="G7167" s="51" t="str">
        <v>林智 2023/01/22 (日)
休日午後</v>
      </c>
    </row>
    <row r="7168" spans="1:7" ht="16.149999999999999" x14ac:dyDescent="0.7">
      <c r="A7168" s="49">
        <v>44910.448562129634</v>
      </c>
      <c r="B7168" s="50" t="s">
        <v>14</v>
      </c>
      <c r="C7168" s="50" t="s">
        <v>632</v>
      </c>
      <c r="D7168" s="50" t="s">
        <v>259</v>
      </c>
      <c r="E7168" s="50">
        <v>0</v>
      </c>
      <c r="F7168" s="51">
        <v>0.42745067519484437</v>
      </c>
      <c r="G7168" s="51" t="str">
        <v>林智 2023/01/23 (月)
平日夜間</v>
      </c>
    </row>
    <row r="7169" spans="1:7" ht="16.149999999999999" x14ac:dyDescent="0.7">
      <c r="A7169" s="49">
        <v>44910.448562129634</v>
      </c>
      <c r="B7169" s="50" t="s">
        <v>14</v>
      </c>
      <c r="C7169" s="50" t="s">
        <v>633</v>
      </c>
      <c r="D7169" s="50" t="s">
        <v>259</v>
      </c>
      <c r="E7169" s="50">
        <v>0</v>
      </c>
      <c r="F7169" s="51">
        <v>0.98318406599244867</v>
      </c>
      <c r="G7169" s="51" t="str">
        <v>林智 2023/01/24 (火)
平日夜間</v>
      </c>
    </row>
    <row r="7170" spans="1:7" ht="16.149999999999999" x14ac:dyDescent="0.7">
      <c r="A7170" s="49">
        <v>44910.448562129634</v>
      </c>
      <c r="B7170" s="50" t="s">
        <v>14</v>
      </c>
      <c r="C7170" s="50" t="s">
        <v>634</v>
      </c>
      <c r="D7170" s="50" t="s">
        <v>259</v>
      </c>
      <c r="E7170" s="50">
        <v>0</v>
      </c>
      <c r="F7170" s="51">
        <v>0.61333692626697078</v>
      </c>
      <c r="G7170" s="51" t="str">
        <v>林智 2023/01/25 (水)
平日夜間</v>
      </c>
    </row>
    <row r="7171" spans="1:7" ht="16.149999999999999" x14ac:dyDescent="0.7">
      <c r="A7171" s="49">
        <v>44910.448562129634</v>
      </c>
      <c r="B7171" s="50" t="s">
        <v>14</v>
      </c>
      <c r="C7171" s="50" t="s">
        <v>635</v>
      </c>
      <c r="D7171" s="50" t="s">
        <v>259</v>
      </c>
      <c r="E7171" s="50">
        <v>0</v>
      </c>
      <c r="F7171" s="51">
        <v>2.8652594380452312E-2</v>
      </c>
      <c r="G7171" s="51" t="str">
        <v>林智 2023/01/26 (木)
平日夜間</v>
      </c>
    </row>
    <row r="7172" spans="1:7" ht="16.149999999999999" x14ac:dyDescent="0.7">
      <c r="A7172" s="49">
        <v>44910.448562129634</v>
      </c>
      <c r="B7172" s="50" t="s">
        <v>14</v>
      </c>
      <c r="C7172" s="50" t="s">
        <v>636</v>
      </c>
      <c r="D7172" s="50" t="s">
        <v>259</v>
      </c>
      <c r="E7172" s="50">
        <v>0</v>
      </c>
      <c r="F7172" s="51">
        <v>0.55721260092708613</v>
      </c>
      <c r="G7172" s="51" t="str">
        <v>林智 2023/01/27 (金)
平日夜間</v>
      </c>
    </row>
    <row r="7173" spans="1:7" ht="16.149999999999999" x14ac:dyDescent="0.7">
      <c r="A7173" s="49">
        <v>44910.448562129634</v>
      </c>
      <c r="B7173" s="50" t="s">
        <v>14</v>
      </c>
      <c r="C7173" s="50" t="s">
        <v>637</v>
      </c>
      <c r="D7173" s="50" t="s">
        <v>263</v>
      </c>
      <c r="E7173" s="50">
        <v>-1</v>
      </c>
      <c r="F7173" s="51">
        <v>-8.3985520732178021E-2</v>
      </c>
      <c r="G7173" s="51" t="str">
        <v>林智 2023/01/28 (土)
休日午前</v>
      </c>
    </row>
    <row r="7174" spans="1:7" ht="16.149999999999999" x14ac:dyDescent="0.7">
      <c r="A7174" s="49">
        <v>44910.448562129634</v>
      </c>
      <c r="B7174" s="50" t="s">
        <v>14</v>
      </c>
      <c r="C7174" s="50" t="s">
        <v>638</v>
      </c>
      <c r="D7174" s="50" t="s">
        <v>261</v>
      </c>
      <c r="E7174" s="50">
        <v>-1</v>
      </c>
      <c r="F7174" s="51">
        <v>-0.74147115323955193</v>
      </c>
      <c r="G7174" s="51" t="str">
        <v>林智 2023/01/28 (土)
休日午後</v>
      </c>
    </row>
    <row r="7175" spans="1:7" ht="16.149999999999999" x14ac:dyDescent="0.7">
      <c r="A7175" s="49">
        <v>44910.448562129634</v>
      </c>
      <c r="B7175" s="50" t="s">
        <v>14</v>
      </c>
      <c r="C7175" s="50" t="s">
        <v>639</v>
      </c>
      <c r="D7175" s="50" t="s">
        <v>263</v>
      </c>
      <c r="E7175" s="50">
        <v>0</v>
      </c>
      <c r="F7175" s="51">
        <v>0.56226314959565804</v>
      </c>
      <c r="G7175" s="51" t="str">
        <v>林智 2023/01/29 (日)
休日午前</v>
      </c>
    </row>
    <row r="7176" spans="1:7" ht="16.149999999999999" x14ac:dyDescent="0.7">
      <c r="A7176" s="49">
        <v>44910.448562129634</v>
      </c>
      <c r="B7176" s="50" t="s">
        <v>14</v>
      </c>
      <c r="C7176" s="50" t="s">
        <v>640</v>
      </c>
      <c r="D7176" s="50" t="s">
        <v>261</v>
      </c>
      <c r="E7176" s="50">
        <v>0</v>
      </c>
      <c r="F7176" s="51">
        <v>0.80736458461908556</v>
      </c>
      <c r="G7176" s="51" t="str">
        <v>林智 2023/01/29 (日)
休日午後</v>
      </c>
    </row>
    <row r="7177" spans="1:7" ht="16.149999999999999" x14ac:dyDescent="0.7">
      <c r="A7177" s="49">
        <v>44910.448562129634</v>
      </c>
      <c r="B7177" s="50" t="s">
        <v>14</v>
      </c>
      <c r="C7177" s="50" t="s">
        <v>641</v>
      </c>
      <c r="D7177" s="50" t="s">
        <v>259</v>
      </c>
      <c r="E7177" s="50">
        <v>0</v>
      </c>
      <c r="F7177" s="51">
        <v>0.63500784515229514</v>
      </c>
      <c r="G7177" s="51" t="str">
        <v>林智 2023/01/30 (月)
平日夜間</v>
      </c>
    </row>
    <row r="7178" spans="1:7" ht="16.149999999999999" x14ac:dyDescent="0.7">
      <c r="A7178" s="49">
        <v>44910.448562129634</v>
      </c>
      <c r="B7178" s="50" t="s">
        <v>14</v>
      </c>
      <c r="C7178" s="50" t="s">
        <v>642</v>
      </c>
      <c r="D7178" s="50" t="s">
        <v>259</v>
      </c>
      <c r="E7178" s="50">
        <v>0</v>
      </c>
      <c r="F7178" s="51">
        <v>0.7047380024035752</v>
      </c>
      <c r="G7178" s="51" t="str">
        <v>林智 2023/01/31 (火)
平日夜間</v>
      </c>
    </row>
    <row r="7179" spans="1:7" ht="16.149999999999999" x14ac:dyDescent="0.7">
      <c r="A7179" s="49">
        <v>44910.450886493054</v>
      </c>
      <c r="B7179" s="50" t="s">
        <v>10</v>
      </c>
      <c r="C7179" s="50" t="s">
        <v>606</v>
      </c>
      <c r="D7179" s="50" t="s">
        <v>259</v>
      </c>
      <c r="E7179" s="50">
        <v>-1</v>
      </c>
      <c r="F7179" s="51">
        <v>-0.8946361967041534</v>
      </c>
      <c r="G7179" s="51" t="str">
        <v>福井 2023/01/04 (水)
平日夜間</v>
      </c>
    </row>
    <row r="7180" spans="1:7" ht="16.149999999999999" x14ac:dyDescent="0.7">
      <c r="A7180" s="49">
        <v>44910.450886493054</v>
      </c>
      <c r="B7180" s="50" t="s">
        <v>10</v>
      </c>
      <c r="C7180" s="50" t="s">
        <v>607</v>
      </c>
      <c r="D7180" s="50" t="s">
        <v>259</v>
      </c>
      <c r="E7180" s="50">
        <v>-1</v>
      </c>
      <c r="F7180" s="51">
        <v>-0.31795232579556054</v>
      </c>
      <c r="G7180" s="51" t="str">
        <v>福井 2023/01/05 (木)
平日夜間</v>
      </c>
    </row>
    <row r="7181" spans="1:7" ht="16.149999999999999" x14ac:dyDescent="0.7">
      <c r="A7181" s="49">
        <v>44910.450886493054</v>
      </c>
      <c r="B7181" s="50" t="s">
        <v>10</v>
      </c>
      <c r="C7181" s="50" t="s">
        <v>608</v>
      </c>
      <c r="D7181" s="50" t="s">
        <v>259</v>
      </c>
      <c r="E7181" s="50">
        <v>0</v>
      </c>
      <c r="F7181" s="51">
        <v>7.842178663232735E-2</v>
      </c>
      <c r="G7181" s="51" t="str">
        <v>福井 2023/01/06 (金)
平日夜間</v>
      </c>
    </row>
    <row r="7182" spans="1:7" ht="16.149999999999999" x14ac:dyDescent="0.7">
      <c r="A7182" s="49">
        <v>44910.450886493054</v>
      </c>
      <c r="B7182" s="50" t="s">
        <v>10</v>
      </c>
      <c r="C7182" s="50" t="s">
        <v>609</v>
      </c>
      <c r="D7182" s="50" t="s">
        <v>263</v>
      </c>
      <c r="E7182" s="50">
        <v>0</v>
      </c>
      <c r="F7182" s="51">
        <v>0.68123353502017658</v>
      </c>
      <c r="G7182" s="51" t="str">
        <v>福井 2023/01/07 (土)
休日午前</v>
      </c>
    </row>
    <row r="7183" spans="1:7" ht="16.149999999999999" x14ac:dyDescent="0.7">
      <c r="A7183" s="49">
        <v>44910.450886493054</v>
      </c>
      <c r="B7183" s="50" t="s">
        <v>10</v>
      </c>
      <c r="C7183" s="50" t="s">
        <v>610</v>
      </c>
      <c r="D7183" s="50" t="s">
        <v>261</v>
      </c>
      <c r="E7183" s="50">
        <v>0</v>
      </c>
      <c r="F7183" s="51">
        <v>0.54039778566583219</v>
      </c>
      <c r="G7183" s="51" t="str">
        <v>福井 2023/01/07 (土)
休日午後</v>
      </c>
    </row>
    <row r="7184" spans="1:7" ht="16.149999999999999" x14ac:dyDescent="0.7">
      <c r="A7184" s="49">
        <v>44910.450886493054</v>
      </c>
      <c r="B7184" s="50" t="s">
        <v>10</v>
      </c>
      <c r="C7184" s="50" t="s">
        <v>611</v>
      </c>
      <c r="D7184" s="50" t="s">
        <v>263</v>
      </c>
      <c r="E7184" s="50">
        <v>1</v>
      </c>
      <c r="F7184" s="51">
        <v>1.9912568153554542</v>
      </c>
      <c r="G7184" s="51" t="str">
        <v>福井 2023/01/08 (日)
休日午前</v>
      </c>
    </row>
    <row r="7185" spans="1:7" ht="16.149999999999999" x14ac:dyDescent="0.7">
      <c r="A7185" s="49">
        <v>44910.450886493054</v>
      </c>
      <c r="B7185" s="50" t="s">
        <v>10</v>
      </c>
      <c r="C7185" s="50" t="s">
        <v>612</v>
      </c>
      <c r="D7185" s="50" t="s">
        <v>261</v>
      </c>
      <c r="E7185" s="50">
        <v>-1</v>
      </c>
      <c r="F7185" s="51">
        <v>-0.74094507574440427</v>
      </c>
      <c r="G7185" s="51" t="str">
        <v>福井 2023/01/08 (日)
休日午後</v>
      </c>
    </row>
    <row r="7186" spans="1:7" ht="16.149999999999999" x14ac:dyDescent="0.7">
      <c r="A7186" s="49">
        <v>44910.450886493054</v>
      </c>
      <c r="B7186" s="50" t="s">
        <v>10</v>
      </c>
      <c r="C7186" s="50" t="s">
        <v>613</v>
      </c>
      <c r="D7186" s="50" t="s">
        <v>263</v>
      </c>
      <c r="E7186" s="50">
        <v>0</v>
      </c>
      <c r="F7186" s="51">
        <v>0.51250508270773643</v>
      </c>
      <c r="G7186" s="51" t="str">
        <v>福井 2023/01/09 (月)
休日午前</v>
      </c>
    </row>
    <row r="7187" spans="1:7" ht="16.149999999999999" x14ac:dyDescent="0.7">
      <c r="A7187" s="49">
        <v>44910.450886493054</v>
      </c>
      <c r="B7187" s="50" t="s">
        <v>10</v>
      </c>
      <c r="C7187" s="50" t="s">
        <v>614</v>
      </c>
      <c r="D7187" s="50" t="s">
        <v>261</v>
      </c>
      <c r="E7187" s="50">
        <v>-1</v>
      </c>
      <c r="F7187" s="51">
        <v>-0.54182461455548103</v>
      </c>
      <c r="G7187" s="51" t="str">
        <v>福井 2023/01/09 (月)
休日午後</v>
      </c>
    </row>
    <row r="7188" spans="1:7" ht="16.149999999999999" x14ac:dyDescent="0.7">
      <c r="A7188" s="49">
        <v>44910.450886493054</v>
      </c>
      <c r="B7188" s="50" t="s">
        <v>10</v>
      </c>
      <c r="C7188" s="50" t="s">
        <v>615</v>
      </c>
      <c r="D7188" s="50" t="s">
        <v>259</v>
      </c>
      <c r="E7188" s="50">
        <v>-1</v>
      </c>
      <c r="F7188" s="51">
        <v>-0.46137434262647914</v>
      </c>
      <c r="G7188" s="51" t="str">
        <v>福井 2023/01/10 (火)
平日夜間</v>
      </c>
    </row>
    <row r="7189" spans="1:7" ht="16.149999999999999" x14ac:dyDescent="0.7">
      <c r="A7189" s="49">
        <v>44910.450886493054</v>
      </c>
      <c r="B7189" s="50" t="s">
        <v>10</v>
      </c>
      <c r="C7189" s="50" t="s">
        <v>616</v>
      </c>
      <c r="D7189" s="50" t="s">
        <v>259</v>
      </c>
      <c r="E7189" s="50">
        <v>0</v>
      </c>
      <c r="F7189" s="51">
        <v>0.31248673207115374</v>
      </c>
      <c r="G7189" s="51" t="str">
        <v>福井 2023/01/11 (水)
平日夜間</v>
      </c>
    </row>
    <row r="7190" spans="1:7" ht="16.149999999999999" x14ac:dyDescent="0.7">
      <c r="A7190" s="49">
        <v>44910.450886493054</v>
      </c>
      <c r="B7190" s="50" t="s">
        <v>10</v>
      </c>
      <c r="C7190" s="50" t="s">
        <v>617</v>
      </c>
      <c r="D7190" s="50" t="s">
        <v>259</v>
      </c>
      <c r="E7190" s="50">
        <v>0</v>
      </c>
      <c r="F7190" s="51">
        <v>0.23068940503146584</v>
      </c>
      <c r="G7190" s="51" t="str">
        <v>福井 2023/01/12 (木)
平日夜間</v>
      </c>
    </row>
    <row r="7191" spans="1:7" ht="16.149999999999999" x14ac:dyDescent="0.7">
      <c r="A7191" s="49">
        <v>44910.450886493054</v>
      </c>
      <c r="B7191" s="50" t="s">
        <v>10</v>
      </c>
      <c r="C7191" s="50" t="s">
        <v>618</v>
      </c>
      <c r="D7191" s="50" t="s">
        <v>259</v>
      </c>
      <c r="E7191" s="50">
        <v>0</v>
      </c>
      <c r="F7191" s="51">
        <v>0.98871285185515467</v>
      </c>
      <c r="G7191" s="51" t="str">
        <v>福井 2023/01/13 (金)
平日夜間</v>
      </c>
    </row>
    <row r="7192" spans="1:7" ht="16.149999999999999" x14ac:dyDescent="0.7">
      <c r="A7192" s="49">
        <v>44910.450886493054</v>
      </c>
      <c r="B7192" s="50" t="s">
        <v>10</v>
      </c>
      <c r="C7192" s="50" t="s">
        <v>619</v>
      </c>
      <c r="D7192" s="50" t="s">
        <v>263</v>
      </c>
      <c r="E7192" s="50">
        <v>0</v>
      </c>
      <c r="F7192" s="51">
        <v>3.755471834927171E-2</v>
      </c>
      <c r="G7192" s="51" t="str">
        <v>福井 2023/01/14 (土)
休日午前</v>
      </c>
    </row>
    <row r="7193" spans="1:7" ht="16.149999999999999" x14ac:dyDescent="0.7">
      <c r="A7193" s="49">
        <v>44910.450886493054</v>
      </c>
      <c r="B7193" s="50" t="s">
        <v>10</v>
      </c>
      <c r="C7193" s="50" t="s">
        <v>620</v>
      </c>
      <c r="D7193" s="50" t="s">
        <v>261</v>
      </c>
      <c r="E7193" s="50">
        <v>0</v>
      </c>
      <c r="F7193" s="51">
        <v>0.44924718490939419</v>
      </c>
      <c r="G7193" s="51" t="str">
        <v>福井 2023/01/14 (土)
休日午後</v>
      </c>
    </row>
    <row r="7194" spans="1:7" ht="16.149999999999999" x14ac:dyDescent="0.7">
      <c r="A7194" s="49">
        <v>44910.450886493054</v>
      </c>
      <c r="B7194" s="50" t="s">
        <v>10</v>
      </c>
      <c r="C7194" s="50" t="s">
        <v>621</v>
      </c>
      <c r="D7194" s="50" t="s">
        <v>263</v>
      </c>
      <c r="E7194" s="50">
        <v>0</v>
      </c>
      <c r="F7194" s="51">
        <v>0.86322720645826601</v>
      </c>
      <c r="G7194" s="51" t="str">
        <v>福井 2023/01/15 (日)
休日午前</v>
      </c>
    </row>
    <row r="7195" spans="1:7" ht="16.149999999999999" x14ac:dyDescent="0.7">
      <c r="A7195" s="49">
        <v>44910.450886493054</v>
      </c>
      <c r="B7195" s="50" t="s">
        <v>10</v>
      </c>
      <c r="C7195" s="50" t="s">
        <v>622</v>
      </c>
      <c r="D7195" s="50" t="s">
        <v>261</v>
      </c>
      <c r="E7195" s="50">
        <v>0</v>
      </c>
      <c r="F7195" s="51">
        <v>0.85008102207774083</v>
      </c>
      <c r="G7195" s="51" t="str">
        <v>福井 2023/01/15 (日)
休日午後</v>
      </c>
    </row>
    <row r="7196" spans="1:7" ht="16.149999999999999" x14ac:dyDescent="0.7">
      <c r="A7196" s="49">
        <v>44910.450886493054</v>
      </c>
      <c r="B7196" s="50" t="s">
        <v>10</v>
      </c>
      <c r="C7196" s="50" t="s">
        <v>623</v>
      </c>
      <c r="D7196" s="50" t="s">
        <v>259</v>
      </c>
      <c r="E7196" s="50">
        <v>0</v>
      </c>
      <c r="F7196" s="51">
        <v>3.7245160395238619E-2</v>
      </c>
      <c r="G7196" s="51" t="str">
        <v>福井 2023/01/16 (月)
平日夜間</v>
      </c>
    </row>
    <row r="7197" spans="1:7" ht="16.149999999999999" x14ac:dyDescent="0.7">
      <c r="A7197" s="49">
        <v>44910.450886493054</v>
      </c>
      <c r="B7197" s="50" t="s">
        <v>10</v>
      </c>
      <c r="C7197" s="50" t="s">
        <v>624</v>
      </c>
      <c r="D7197" s="50" t="s">
        <v>259</v>
      </c>
      <c r="E7197" s="50">
        <v>-1</v>
      </c>
      <c r="F7197" s="51">
        <v>-0.57898834542529065</v>
      </c>
      <c r="G7197" s="51" t="str">
        <v>福井 2023/01/17 (火)
平日夜間</v>
      </c>
    </row>
    <row r="7198" spans="1:7" ht="16.149999999999999" x14ac:dyDescent="0.7">
      <c r="A7198" s="49">
        <v>44910.450886493054</v>
      </c>
      <c r="B7198" s="50" t="s">
        <v>10</v>
      </c>
      <c r="C7198" s="50" t="s">
        <v>625</v>
      </c>
      <c r="D7198" s="50" t="s">
        <v>259</v>
      </c>
      <c r="E7198" s="50">
        <v>0</v>
      </c>
      <c r="F7198" s="51">
        <v>0.80162724082911319</v>
      </c>
      <c r="G7198" s="51" t="str">
        <v>福井 2023/01/18 (水)
平日夜間</v>
      </c>
    </row>
    <row r="7199" spans="1:7" ht="16.149999999999999" x14ac:dyDescent="0.7">
      <c r="A7199" s="49">
        <v>44910.450886493054</v>
      </c>
      <c r="B7199" s="50" t="s">
        <v>10</v>
      </c>
      <c r="C7199" s="50" t="s">
        <v>626</v>
      </c>
      <c r="D7199" s="50" t="s">
        <v>259</v>
      </c>
      <c r="E7199" s="50">
        <v>0</v>
      </c>
      <c r="F7199" s="51">
        <v>2.5318101302148399E-2</v>
      </c>
      <c r="G7199" s="51" t="str">
        <v>福井 2023/01/19 (木)
平日夜間</v>
      </c>
    </row>
    <row r="7200" spans="1:7" ht="16.149999999999999" x14ac:dyDescent="0.7">
      <c r="A7200" s="49">
        <v>44910.450886493054</v>
      </c>
      <c r="B7200" s="50" t="s">
        <v>10</v>
      </c>
      <c r="C7200" s="50" t="s">
        <v>627</v>
      </c>
      <c r="D7200" s="50" t="s">
        <v>259</v>
      </c>
      <c r="E7200" s="50">
        <v>-1</v>
      </c>
      <c r="F7200" s="51">
        <v>-0.52481690658587721</v>
      </c>
      <c r="G7200" s="51" t="str">
        <v>福井 2023/01/20 (金)
平日夜間</v>
      </c>
    </row>
    <row r="7201" spans="1:7" ht="16.149999999999999" x14ac:dyDescent="0.7">
      <c r="A7201" s="49">
        <v>44910.450886493054</v>
      </c>
      <c r="B7201" s="50" t="s">
        <v>10</v>
      </c>
      <c r="C7201" s="50" t="s">
        <v>628</v>
      </c>
      <c r="D7201" s="50" t="s">
        <v>263</v>
      </c>
      <c r="E7201" s="50">
        <v>-1</v>
      </c>
      <c r="F7201" s="51">
        <v>-0.24910572176302526</v>
      </c>
      <c r="G7201" s="51" t="str">
        <v>福井 2023/01/21 (土)
休日午前</v>
      </c>
    </row>
    <row r="7202" spans="1:7" ht="16.149999999999999" x14ac:dyDescent="0.7">
      <c r="A7202" s="49">
        <v>44910.450886493054</v>
      </c>
      <c r="B7202" s="50" t="s">
        <v>10</v>
      </c>
      <c r="C7202" s="50" t="s">
        <v>629</v>
      </c>
      <c r="D7202" s="50" t="s">
        <v>261</v>
      </c>
      <c r="E7202" s="50">
        <v>-1</v>
      </c>
      <c r="F7202" s="51">
        <v>-6.1958040232906075E-2</v>
      </c>
      <c r="G7202" s="51" t="str">
        <v>福井 2023/01/21 (土)
休日午後</v>
      </c>
    </row>
    <row r="7203" spans="1:7" ht="16.149999999999999" x14ac:dyDescent="0.7">
      <c r="A7203" s="49">
        <v>44910.450886493054</v>
      </c>
      <c r="B7203" s="50" t="s">
        <v>10</v>
      </c>
      <c r="C7203" s="50" t="s">
        <v>630</v>
      </c>
      <c r="D7203" s="50" t="s">
        <v>263</v>
      </c>
      <c r="E7203" s="50">
        <v>-1</v>
      </c>
      <c r="F7203" s="51">
        <v>-0.50754400434266778</v>
      </c>
      <c r="G7203" s="51" t="str">
        <v>福井 2023/01/22 (日)
休日午前</v>
      </c>
    </row>
    <row r="7204" spans="1:7" ht="16.149999999999999" x14ac:dyDescent="0.7">
      <c r="A7204" s="49">
        <v>44910.450886493054</v>
      </c>
      <c r="B7204" s="50" t="s">
        <v>10</v>
      </c>
      <c r="C7204" s="50" t="s">
        <v>631</v>
      </c>
      <c r="D7204" s="50" t="s">
        <v>261</v>
      </c>
      <c r="E7204" s="50">
        <v>-1</v>
      </c>
      <c r="F7204" s="51">
        <v>-0.87386039715610542</v>
      </c>
      <c r="G7204" s="51" t="str">
        <v>福井 2023/01/22 (日)
休日午後</v>
      </c>
    </row>
    <row r="7205" spans="1:7" ht="16.149999999999999" x14ac:dyDescent="0.7">
      <c r="A7205" s="49">
        <v>44910.450886493054</v>
      </c>
      <c r="B7205" s="50" t="s">
        <v>10</v>
      </c>
      <c r="C7205" s="50" t="s">
        <v>632</v>
      </c>
      <c r="D7205" s="50" t="s">
        <v>259</v>
      </c>
      <c r="E7205" s="50">
        <v>0</v>
      </c>
      <c r="F7205" s="51">
        <v>0.98595233365682322</v>
      </c>
      <c r="G7205" s="51" t="str">
        <v>福井 2023/01/23 (月)
平日夜間</v>
      </c>
    </row>
    <row r="7206" spans="1:7" ht="16.149999999999999" x14ac:dyDescent="0.7">
      <c r="A7206" s="49">
        <v>44910.450886493054</v>
      </c>
      <c r="B7206" s="50" t="s">
        <v>10</v>
      </c>
      <c r="C7206" s="50" t="s">
        <v>633</v>
      </c>
      <c r="D7206" s="50" t="s">
        <v>259</v>
      </c>
      <c r="E7206" s="50">
        <v>-1</v>
      </c>
      <c r="F7206" s="51">
        <v>-0.12042555351521655</v>
      </c>
      <c r="G7206" s="51" t="str">
        <v>福井 2023/01/24 (火)
平日夜間</v>
      </c>
    </row>
    <row r="7207" spans="1:7" ht="16.149999999999999" x14ac:dyDescent="0.7">
      <c r="A7207" s="49">
        <v>44910.450886493054</v>
      </c>
      <c r="B7207" s="50" t="s">
        <v>10</v>
      </c>
      <c r="C7207" s="50" t="s">
        <v>634</v>
      </c>
      <c r="D7207" s="50" t="s">
        <v>259</v>
      </c>
      <c r="E7207" s="50">
        <v>2</v>
      </c>
      <c r="F7207" s="51">
        <v>2.5688415229433499</v>
      </c>
      <c r="G7207" s="51" t="str">
        <v>福井 2023/01/25 (水)
平日夜間</v>
      </c>
    </row>
    <row r="7208" spans="1:7" ht="16.149999999999999" x14ac:dyDescent="0.7">
      <c r="A7208" s="49">
        <v>44910.450886493054</v>
      </c>
      <c r="B7208" s="50" t="s">
        <v>10</v>
      </c>
      <c r="C7208" s="50" t="s">
        <v>635</v>
      </c>
      <c r="D7208" s="50" t="s">
        <v>259</v>
      </c>
      <c r="E7208" s="50">
        <v>0</v>
      </c>
      <c r="F7208" s="51">
        <v>0.66225872619113102</v>
      </c>
      <c r="G7208" s="51" t="str">
        <v>福井 2023/01/26 (木)
平日夜間</v>
      </c>
    </row>
    <row r="7209" spans="1:7" ht="16.149999999999999" x14ac:dyDescent="0.7">
      <c r="A7209" s="49">
        <v>44910.450886493054</v>
      </c>
      <c r="B7209" s="50" t="s">
        <v>10</v>
      </c>
      <c r="C7209" s="50" t="s">
        <v>636</v>
      </c>
      <c r="D7209" s="50" t="s">
        <v>259</v>
      </c>
      <c r="E7209" s="50">
        <v>-1</v>
      </c>
      <c r="F7209" s="51">
        <v>-0.25596671996985165</v>
      </c>
      <c r="G7209" s="51" t="str">
        <v>福井 2023/01/27 (金)
平日夜間</v>
      </c>
    </row>
    <row r="7210" spans="1:7" ht="16.149999999999999" x14ac:dyDescent="0.7">
      <c r="A7210" s="49">
        <v>44910.450886493054</v>
      </c>
      <c r="B7210" s="50" t="s">
        <v>10</v>
      </c>
      <c r="C7210" s="50" t="s">
        <v>637</v>
      </c>
      <c r="D7210" s="50" t="s">
        <v>263</v>
      </c>
      <c r="E7210" s="50">
        <v>0</v>
      </c>
      <c r="F7210" s="51">
        <v>0.45057921328428296</v>
      </c>
      <c r="G7210" s="51" t="str">
        <v>福井 2023/01/28 (土)
休日午前</v>
      </c>
    </row>
    <row r="7211" spans="1:7" ht="16.149999999999999" x14ac:dyDescent="0.7">
      <c r="A7211" s="49">
        <v>44910.450886493054</v>
      </c>
      <c r="B7211" s="50" t="s">
        <v>10</v>
      </c>
      <c r="C7211" s="50" t="s">
        <v>638</v>
      </c>
      <c r="D7211" s="50" t="s">
        <v>261</v>
      </c>
      <c r="E7211" s="50">
        <v>0</v>
      </c>
      <c r="F7211" s="51">
        <v>0.77673960289724664</v>
      </c>
      <c r="G7211" s="51" t="str">
        <v>福井 2023/01/28 (土)
休日午後</v>
      </c>
    </row>
    <row r="7212" spans="1:7" ht="16.149999999999999" x14ac:dyDescent="0.7">
      <c r="A7212" s="49">
        <v>44910.450886493054</v>
      </c>
      <c r="B7212" s="50" t="s">
        <v>10</v>
      </c>
      <c r="C7212" s="50" t="s">
        <v>639</v>
      </c>
      <c r="D7212" s="50" t="s">
        <v>263</v>
      </c>
      <c r="E7212" s="50">
        <v>0</v>
      </c>
      <c r="F7212" s="51">
        <v>0.68511296570530145</v>
      </c>
      <c r="G7212" s="51" t="str">
        <v>福井 2023/01/29 (日)
休日午前</v>
      </c>
    </row>
    <row r="7213" spans="1:7" ht="16.149999999999999" x14ac:dyDescent="0.7">
      <c r="A7213" s="49">
        <v>44910.450886493054</v>
      </c>
      <c r="B7213" s="50" t="s">
        <v>10</v>
      </c>
      <c r="C7213" s="50" t="s">
        <v>640</v>
      </c>
      <c r="D7213" s="50" t="s">
        <v>261</v>
      </c>
      <c r="E7213" s="50">
        <v>0</v>
      </c>
      <c r="F7213" s="51">
        <v>0.14038566234305172</v>
      </c>
      <c r="G7213" s="51" t="str">
        <v>福井 2023/01/29 (日)
休日午後</v>
      </c>
    </row>
    <row r="7214" spans="1:7" ht="16.149999999999999" x14ac:dyDescent="0.7">
      <c r="A7214" s="49">
        <v>44910.450886493054</v>
      </c>
      <c r="B7214" s="50" t="s">
        <v>10</v>
      </c>
      <c r="C7214" s="50" t="s">
        <v>641</v>
      </c>
      <c r="D7214" s="50" t="s">
        <v>259</v>
      </c>
      <c r="E7214" s="50">
        <v>2</v>
      </c>
      <c r="F7214" s="51">
        <v>2.8325826347420695</v>
      </c>
      <c r="G7214" s="51" t="str">
        <v>福井 2023/01/30 (月)
平日夜間</v>
      </c>
    </row>
    <row r="7215" spans="1:7" ht="16.149999999999999" x14ac:dyDescent="0.7">
      <c r="A7215" s="49">
        <v>44910.450886493054</v>
      </c>
      <c r="B7215" s="50" t="s">
        <v>10</v>
      </c>
      <c r="C7215" s="50" t="s">
        <v>642</v>
      </c>
      <c r="D7215" s="50" t="s">
        <v>259</v>
      </c>
      <c r="E7215" s="50">
        <v>-1</v>
      </c>
      <c r="F7215" s="51">
        <v>-0.50466662268057116</v>
      </c>
      <c r="G7215" s="51" t="str">
        <v>福井 2023/01/31 (火)
平日夜間</v>
      </c>
    </row>
    <row r="7216" spans="1:7" ht="16.149999999999999" x14ac:dyDescent="0.7">
      <c r="A7216" s="49">
        <v>44910.461202777777</v>
      </c>
      <c r="B7216" s="50" t="s">
        <v>2</v>
      </c>
      <c r="C7216" s="50" t="s">
        <v>606</v>
      </c>
      <c r="D7216" s="50" t="s">
        <v>259</v>
      </c>
      <c r="E7216" s="50">
        <v>0</v>
      </c>
      <c r="F7216" s="51">
        <v>0.22369750009376843</v>
      </c>
      <c r="G7216" s="51" t="str">
        <v>伊藤 2023/01/04 (水)
平日夜間</v>
      </c>
    </row>
    <row r="7217" spans="1:7" ht="16.149999999999999" x14ac:dyDescent="0.7">
      <c r="A7217" s="49">
        <v>44910.461202777777</v>
      </c>
      <c r="B7217" s="50" t="s">
        <v>2</v>
      </c>
      <c r="C7217" s="50" t="s">
        <v>607</v>
      </c>
      <c r="D7217" s="50" t="s">
        <v>259</v>
      </c>
      <c r="E7217" s="50">
        <v>0</v>
      </c>
      <c r="F7217" s="51">
        <v>0.96336783958715166</v>
      </c>
      <c r="G7217" s="51" t="str">
        <v>伊藤 2023/01/05 (木)
平日夜間</v>
      </c>
    </row>
    <row r="7218" spans="1:7" ht="16.149999999999999" x14ac:dyDescent="0.7">
      <c r="A7218" s="49">
        <v>44910.461202777777</v>
      </c>
      <c r="B7218" s="50" t="s">
        <v>2</v>
      </c>
      <c r="C7218" s="50" t="s">
        <v>608</v>
      </c>
      <c r="D7218" s="50" t="s">
        <v>259</v>
      </c>
      <c r="E7218" s="50">
        <v>-1</v>
      </c>
      <c r="F7218" s="51">
        <v>-5.6876868628757515E-2</v>
      </c>
      <c r="G7218" s="51" t="str">
        <v>伊藤 2023/01/06 (金)
平日夜間</v>
      </c>
    </row>
    <row r="7219" spans="1:7" ht="16.149999999999999" x14ac:dyDescent="0.7">
      <c r="A7219" s="49">
        <v>44910.461202777777</v>
      </c>
      <c r="B7219" s="50" t="s">
        <v>2</v>
      </c>
      <c r="C7219" s="50" t="s">
        <v>609</v>
      </c>
      <c r="D7219" s="50" t="s">
        <v>263</v>
      </c>
      <c r="E7219" s="50">
        <v>-1</v>
      </c>
      <c r="F7219" s="51">
        <v>-0.31244352835993161</v>
      </c>
      <c r="G7219" s="51" t="str">
        <v>伊藤 2023/01/07 (土)
休日午前</v>
      </c>
    </row>
    <row r="7220" spans="1:7" ht="16.149999999999999" x14ac:dyDescent="0.7">
      <c r="A7220" s="49">
        <v>44910.461202777777</v>
      </c>
      <c r="B7220" s="50" t="s">
        <v>2</v>
      </c>
      <c r="C7220" s="50" t="s">
        <v>610</v>
      </c>
      <c r="D7220" s="50" t="s">
        <v>261</v>
      </c>
      <c r="E7220" s="50">
        <v>-1</v>
      </c>
      <c r="F7220" s="51">
        <v>-0.69833886050993788</v>
      </c>
      <c r="G7220" s="51" t="str">
        <v>伊藤 2023/01/07 (土)
休日午後</v>
      </c>
    </row>
    <row r="7221" spans="1:7" ht="16.149999999999999" x14ac:dyDescent="0.7">
      <c r="A7221" s="49">
        <v>44910.461202777777</v>
      </c>
      <c r="B7221" s="50" t="s">
        <v>2</v>
      </c>
      <c r="C7221" s="50" t="s">
        <v>611</v>
      </c>
      <c r="D7221" s="50" t="s">
        <v>263</v>
      </c>
      <c r="E7221" s="50">
        <v>0</v>
      </c>
      <c r="F7221" s="51">
        <v>6.2479251422275395E-2</v>
      </c>
      <c r="G7221" s="51" t="str">
        <v>伊藤 2023/01/08 (日)
休日午前</v>
      </c>
    </row>
    <row r="7222" spans="1:7" ht="16.149999999999999" x14ac:dyDescent="0.7">
      <c r="A7222" s="49">
        <v>44910.461202777777</v>
      </c>
      <c r="B7222" s="50" t="s">
        <v>2</v>
      </c>
      <c r="C7222" s="50" t="s">
        <v>612</v>
      </c>
      <c r="D7222" s="50" t="s">
        <v>261</v>
      </c>
      <c r="E7222" s="50">
        <v>0</v>
      </c>
      <c r="F7222" s="51">
        <v>0.36454214136309293</v>
      </c>
      <c r="G7222" s="51" t="str">
        <v>伊藤 2023/01/08 (日)
休日午後</v>
      </c>
    </row>
    <row r="7223" spans="1:7" ht="16.149999999999999" x14ac:dyDescent="0.7">
      <c r="A7223" s="49">
        <v>44910.461202777777</v>
      </c>
      <c r="B7223" s="50" t="s">
        <v>2</v>
      </c>
      <c r="C7223" s="50" t="s">
        <v>613</v>
      </c>
      <c r="D7223" s="50" t="s">
        <v>263</v>
      </c>
      <c r="E7223" s="50">
        <v>0</v>
      </c>
      <c r="F7223" s="51">
        <v>0.12332657596286367</v>
      </c>
      <c r="G7223" s="51" t="str">
        <v>伊藤 2023/01/09 (月)
休日午前</v>
      </c>
    </row>
    <row r="7224" spans="1:7" ht="16.149999999999999" x14ac:dyDescent="0.7">
      <c r="A7224" s="49">
        <v>44910.461202777777</v>
      </c>
      <c r="B7224" s="50" t="s">
        <v>2</v>
      </c>
      <c r="C7224" s="50" t="s">
        <v>614</v>
      </c>
      <c r="D7224" s="50" t="s">
        <v>261</v>
      </c>
      <c r="E7224" s="50">
        <v>0</v>
      </c>
      <c r="F7224" s="51">
        <v>0.87880106373959066</v>
      </c>
      <c r="G7224" s="51" t="str">
        <v>伊藤 2023/01/09 (月)
休日午後</v>
      </c>
    </row>
    <row r="7225" spans="1:7" ht="16.149999999999999" x14ac:dyDescent="0.7">
      <c r="A7225" s="49">
        <v>44910.461202777777</v>
      </c>
      <c r="B7225" s="50" t="s">
        <v>2</v>
      </c>
      <c r="C7225" s="50" t="s">
        <v>615</v>
      </c>
      <c r="D7225" s="50" t="s">
        <v>259</v>
      </c>
      <c r="E7225" s="50">
        <v>0</v>
      </c>
      <c r="F7225" s="51">
        <v>0.32915826661433556</v>
      </c>
      <c r="G7225" s="51" t="str">
        <v>伊藤 2023/01/10 (火)
平日夜間</v>
      </c>
    </row>
    <row r="7226" spans="1:7" ht="16.149999999999999" x14ac:dyDescent="0.7">
      <c r="A7226" s="49">
        <v>44910.461202777777</v>
      </c>
      <c r="B7226" s="50" t="s">
        <v>2</v>
      </c>
      <c r="C7226" s="50" t="s">
        <v>616</v>
      </c>
      <c r="D7226" s="50" t="s">
        <v>259</v>
      </c>
      <c r="E7226" s="50">
        <v>0</v>
      </c>
      <c r="F7226" s="51">
        <v>0.39245782082966207</v>
      </c>
      <c r="G7226" s="51" t="str">
        <v>伊藤 2023/01/11 (水)
平日夜間</v>
      </c>
    </row>
    <row r="7227" spans="1:7" ht="16.149999999999999" x14ac:dyDescent="0.7">
      <c r="A7227" s="49">
        <v>44910.461202777777</v>
      </c>
      <c r="B7227" s="50" t="s">
        <v>2</v>
      </c>
      <c r="C7227" s="50" t="s">
        <v>617</v>
      </c>
      <c r="D7227" s="50" t="s">
        <v>259</v>
      </c>
      <c r="E7227" s="50">
        <v>0</v>
      </c>
      <c r="F7227" s="51">
        <v>0.55768784833903973</v>
      </c>
      <c r="G7227" s="51" t="str">
        <v>伊藤 2023/01/12 (木)
平日夜間</v>
      </c>
    </row>
    <row r="7228" spans="1:7" ht="16.149999999999999" x14ac:dyDescent="0.7">
      <c r="A7228" s="49">
        <v>44910.461202777777</v>
      </c>
      <c r="B7228" s="50" t="s">
        <v>2</v>
      </c>
      <c r="C7228" s="50" t="s">
        <v>618</v>
      </c>
      <c r="D7228" s="50" t="s">
        <v>259</v>
      </c>
      <c r="E7228" s="50">
        <v>-1</v>
      </c>
      <c r="F7228" s="51">
        <v>-0.86368479935978693</v>
      </c>
      <c r="G7228" s="51" t="str">
        <v>伊藤 2023/01/13 (金)
平日夜間</v>
      </c>
    </row>
    <row r="7229" spans="1:7" ht="16.149999999999999" x14ac:dyDescent="0.7">
      <c r="A7229" s="49">
        <v>44910.461202777777</v>
      </c>
      <c r="B7229" s="50" t="s">
        <v>2</v>
      </c>
      <c r="C7229" s="50" t="s">
        <v>619</v>
      </c>
      <c r="D7229" s="50" t="s">
        <v>263</v>
      </c>
      <c r="E7229" s="50">
        <v>-1</v>
      </c>
      <c r="F7229" s="51">
        <v>-0.52587308489981877</v>
      </c>
      <c r="G7229" s="51" t="str">
        <v>伊藤 2023/01/14 (土)
休日午前</v>
      </c>
    </row>
    <row r="7230" spans="1:7" ht="16.149999999999999" x14ac:dyDescent="0.7">
      <c r="A7230" s="49">
        <v>44910.461202777777</v>
      </c>
      <c r="B7230" s="50" t="s">
        <v>2</v>
      </c>
      <c r="C7230" s="50" t="s">
        <v>620</v>
      </c>
      <c r="D7230" s="50" t="s">
        <v>261</v>
      </c>
      <c r="E7230" s="50">
        <v>-1</v>
      </c>
      <c r="F7230" s="51">
        <v>-0.17174654474789741</v>
      </c>
      <c r="G7230" s="51" t="str">
        <v>伊藤 2023/01/14 (土)
休日午後</v>
      </c>
    </row>
    <row r="7231" spans="1:7" ht="16.149999999999999" x14ac:dyDescent="0.7">
      <c r="A7231" s="49">
        <v>44910.461202777777</v>
      </c>
      <c r="B7231" s="50" t="s">
        <v>2</v>
      </c>
      <c r="C7231" s="50" t="s">
        <v>621</v>
      </c>
      <c r="D7231" s="50" t="s">
        <v>263</v>
      </c>
      <c r="E7231" s="50">
        <v>2</v>
      </c>
      <c r="F7231" s="51">
        <v>2.2627552664702213</v>
      </c>
      <c r="G7231" s="51" t="str">
        <v>伊藤 2023/01/15 (日)
休日午前</v>
      </c>
    </row>
    <row r="7232" spans="1:7" ht="16.149999999999999" x14ac:dyDescent="0.7">
      <c r="A7232" s="49">
        <v>44910.461202777777</v>
      </c>
      <c r="B7232" s="50" t="s">
        <v>2</v>
      </c>
      <c r="C7232" s="50" t="s">
        <v>622</v>
      </c>
      <c r="D7232" s="50" t="s">
        <v>261</v>
      </c>
      <c r="E7232" s="50">
        <v>2</v>
      </c>
      <c r="F7232" s="51">
        <v>2.7120050345806361</v>
      </c>
      <c r="G7232" s="51" t="str">
        <v>伊藤 2023/01/15 (日)
休日午後</v>
      </c>
    </row>
    <row r="7233" spans="1:7" ht="16.149999999999999" x14ac:dyDescent="0.7">
      <c r="A7233" s="49">
        <v>44910.461202777777</v>
      </c>
      <c r="B7233" s="50" t="s">
        <v>2</v>
      </c>
      <c r="C7233" s="50" t="s">
        <v>623</v>
      </c>
      <c r="D7233" s="50" t="s">
        <v>259</v>
      </c>
      <c r="E7233" s="50">
        <v>0</v>
      </c>
      <c r="F7233" s="51">
        <v>0.47776562687198632</v>
      </c>
      <c r="G7233" s="51" t="str">
        <v>伊藤 2023/01/16 (月)
平日夜間</v>
      </c>
    </row>
    <row r="7234" spans="1:7" ht="16.149999999999999" x14ac:dyDescent="0.7">
      <c r="A7234" s="49">
        <v>44910.461202777777</v>
      </c>
      <c r="B7234" s="50" t="s">
        <v>2</v>
      </c>
      <c r="C7234" s="50" t="s">
        <v>624</v>
      </c>
      <c r="D7234" s="50" t="s">
        <v>259</v>
      </c>
      <c r="E7234" s="50">
        <v>0</v>
      </c>
      <c r="F7234" s="51">
        <v>0.51739123858085501</v>
      </c>
      <c r="G7234" s="51" t="str">
        <v>伊藤 2023/01/17 (火)
平日夜間</v>
      </c>
    </row>
    <row r="7235" spans="1:7" ht="16.149999999999999" x14ac:dyDescent="0.7">
      <c r="A7235" s="49">
        <v>44910.461202777777</v>
      </c>
      <c r="B7235" s="50" t="s">
        <v>2</v>
      </c>
      <c r="C7235" s="50" t="s">
        <v>625</v>
      </c>
      <c r="D7235" s="50" t="s">
        <v>259</v>
      </c>
      <c r="E7235" s="50">
        <v>0</v>
      </c>
      <c r="F7235" s="51">
        <v>0.41681689980377423</v>
      </c>
      <c r="G7235" s="51" t="str">
        <v>伊藤 2023/01/18 (水)
平日夜間</v>
      </c>
    </row>
    <row r="7236" spans="1:7" ht="16.149999999999999" x14ac:dyDescent="0.7">
      <c r="A7236" s="49">
        <v>44910.461202777777</v>
      </c>
      <c r="B7236" s="50" t="s">
        <v>2</v>
      </c>
      <c r="C7236" s="50" t="s">
        <v>626</v>
      </c>
      <c r="D7236" s="50" t="s">
        <v>259</v>
      </c>
      <c r="E7236" s="50">
        <v>0</v>
      </c>
      <c r="F7236" s="51">
        <v>0.50495105214085423</v>
      </c>
      <c r="G7236" s="51" t="str">
        <v>伊藤 2023/01/19 (木)
平日夜間</v>
      </c>
    </row>
    <row r="7237" spans="1:7" ht="16.149999999999999" x14ac:dyDescent="0.7">
      <c r="A7237" s="49">
        <v>44910.461202777777</v>
      </c>
      <c r="B7237" s="50" t="s">
        <v>2</v>
      </c>
      <c r="C7237" s="50" t="s">
        <v>627</v>
      </c>
      <c r="D7237" s="50" t="s">
        <v>259</v>
      </c>
      <c r="E7237" s="50">
        <v>-1</v>
      </c>
      <c r="F7237" s="51">
        <v>-0.55106143974048583</v>
      </c>
      <c r="G7237" s="51" t="str">
        <v>伊藤 2023/01/20 (金)
平日夜間</v>
      </c>
    </row>
    <row r="7238" spans="1:7" ht="16.149999999999999" x14ac:dyDescent="0.7">
      <c r="A7238" s="49">
        <v>44910.461202777777</v>
      </c>
      <c r="B7238" s="50" t="s">
        <v>2</v>
      </c>
      <c r="C7238" s="50" t="s">
        <v>628</v>
      </c>
      <c r="D7238" s="50" t="s">
        <v>263</v>
      </c>
      <c r="E7238" s="50">
        <v>-1</v>
      </c>
      <c r="F7238" s="51">
        <v>-2.7290458480165203E-2</v>
      </c>
      <c r="G7238" s="51" t="str">
        <v>伊藤 2023/01/21 (土)
休日午前</v>
      </c>
    </row>
    <row r="7239" spans="1:7" ht="16.149999999999999" x14ac:dyDescent="0.7">
      <c r="A7239" s="49">
        <v>44910.461202777777</v>
      </c>
      <c r="B7239" s="50" t="s">
        <v>2</v>
      </c>
      <c r="C7239" s="50" t="s">
        <v>629</v>
      </c>
      <c r="D7239" s="50" t="s">
        <v>261</v>
      </c>
      <c r="E7239" s="50">
        <v>-1</v>
      </c>
      <c r="F7239" s="51">
        <v>-0.71877684627425653</v>
      </c>
      <c r="G7239" s="51" t="str">
        <v>伊藤 2023/01/21 (土)
休日午後</v>
      </c>
    </row>
    <row r="7240" spans="1:7" ht="16.149999999999999" x14ac:dyDescent="0.7">
      <c r="A7240" s="49">
        <v>44910.461202777777</v>
      </c>
      <c r="B7240" s="50" t="s">
        <v>2</v>
      </c>
      <c r="C7240" s="50" t="s">
        <v>630</v>
      </c>
      <c r="D7240" s="50" t="s">
        <v>263</v>
      </c>
      <c r="E7240" s="50">
        <v>0</v>
      </c>
      <c r="F7240" s="51">
        <v>0.96088567888641618</v>
      </c>
      <c r="G7240" s="51" t="str">
        <v>伊藤 2023/01/22 (日)
休日午前</v>
      </c>
    </row>
    <row r="7241" spans="1:7" ht="16.149999999999999" x14ac:dyDescent="0.7">
      <c r="A7241" s="49">
        <v>44910.461202777777</v>
      </c>
      <c r="B7241" s="50" t="s">
        <v>2</v>
      </c>
      <c r="C7241" s="50" t="s">
        <v>631</v>
      </c>
      <c r="D7241" s="50" t="s">
        <v>261</v>
      </c>
      <c r="E7241" s="50">
        <v>0</v>
      </c>
      <c r="F7241" s="51">
        <v>0.77781313150669606</v>
      </c>
      <c r="G7241" s="51" t="str">
        <v>伊藤 2023/01/22 (日)
休日午後</v>
      </c>
    </row>
    <row r="7242" spans="1:7" ht="16.149999999999999" x14ac:dyDescent="0.7">
      <c r="A7242" s="49">
        <v>44910.461202777777</v>
      </c>
      <c r="B7242" s="50" t="s">
        <v>2</v>
      </c>
      <c r="C7242" s="50" t="s">
        <v>632</v>
      </c>
      <c r="D7242" s="50" t="s">
        <v>259</v>
      </c>
      <c r="E7242" s="50">
        <v>0</v>
      </c>
      <c r="F7242" s="51">
        <v>0.31119805447984383</v>
      </c>
      <c r="G7242" s="51" t="str">
        <v>伊藤 2023/01/23 (月)
平日夜間</v>
      </c>
    </row>
    <row r="7243" spans="1:7" ht="16.149999999999999" x14ac:dyDescent="0.7">
      <c r="A7243" s="49">
        <v>44910.461202777777</v>
      </c>
      <c r="B7243" s="50" t="s">
        <v>2</v>
      </c>
      <c r="C7243" s="50" t="s">
        <v>633</v>
      </c>
      <c r="D7243" s="50" t="s">
        <v>259</v>
      </c>
      <c r="E7243" s="50">
        <v>0</v>
      </c>
      <c r="F7243" s="51">
        <v>0.80605271781191457</v>
      </c>
      <c r="G7243" s="51" t="str">
        <v>伊藤 2023/01/24 (火)
平日夜間</v>
      </c>
    </row>
    <row r="7244" spans="1:7" ht="16.149999999999999" x14ac:dyDescent="0.7">
      <c r="A7244" s="49">
        <v>44910.461202777777</v>
      </c>
      <c r="B7244" s="50" t="s">
        <v>2</v>
      </c>
      <c r="C7244" s="50" t="s">
        <v>634</v>
      </c>
      <c r="D7244" s="50" t="s">
        <v>259</v>
      </c>
      <c r="E7244" s="50">
        <v>0</v>
      </c>
      <c r="F7244" s="51">
        <v>0.485029934835433</v>
      </c>
      <c r="G7244" s="51" t="str">
        <v>伊藤 2023/01/25 (水)
平日夜間</v>
      </c>
    </row>
    <row r="7245" spans="1:7" ht="16.149999999999999" x14ac:dyDescent="0.7">
      <c r="A7245" s="49">
        <v>44910.461202777777</v>
      </c>
      <c r="B7245" s="50" t="s">
        <v>2</v>
      </c>
      <c r="C7245" s="50" t="s">
        <v>635</v>
      </c>
      <c r="D7245" s="50" t="s">
        <v>259</v>
      </c>
      <c r="E7245" s="50">
        <v>0</v>
      </c>
      <c r="F7245" s="51">
        <v>0.9859418040530612</v>
      </c>
      <c r="G7245" s="51" t="str">
        <v>伊藤 2023/01/26 (木)
平日夜間</v>
      </c>
    </row>
    <row r="7246" spans="1:7" ht="16.149999999999999" x14ac:dyDescent="0.7">
      <c r="A7246" s="49">
        <v>44910.461202777777</v>
      </c>
      <c r="B7246" s="50" t="s">
        <v>2</v>
      </c>
      <c r="C7246" s="50" t="s">
        <v>636</v>
      </c>
      <c r="D7246" s="50" t="s">
        <v>259</v>
      </c>
      <c r="E7246" s="50">
        <v>-1</v>
      </c>
      <c r="F7246" s="51">
        <v>-0.23560973820882247</v>
      </c>
      <c r="G7246" s="51" t="str">
        <v>伊藤 2023/01/27 (金)
平日夜間</v>
      </c>
    </row>
    <row r="7247" spans="1:7" ht="16.149999999999999" x14ac:dyDescent="0.7">
      <c r="A7247" s="49">
        <v>44910.461202777777</v>
      </c>
      <c r="B7247" s="50" t="s">
        <v>2</v>
      </c>
      <c r="C7247" s="50" t="s">
        <v>637</v>
      </c>
      <c r="D7247" s="50" t="s">
        <v>263</v>
      </c>
      <c r="E7247" s="50">
        <v>-1</v>
      </c>
      <c r="F7247" s="51">
        <v>-6.2225245005462337E-2</v>
      </c>
      <c r="G7247" s="51" t="str">
        <v>伊藤 2023/01/28 (土)
休日午前</v>
      </c>
    </row>
    <row r="7248" spans="1:7" ht="16.149999999999999" x14ac:dyDescent="0.7">
      <c r="A7248" s="49">
        <v>44910.461202777777</v>
      </c>
      <c r="B7248" s="50" t="s">
        <v>2</v>
      </c>
      <c r="C7248" s="50" t="s">
        <v>638</v>
      </c>
      <c r="D7248" s="50" t="s">
        <v>261</v>
      </c>
      <c r="E7248" s="50">
        <v>-1</v>
      </c>
      <c r="F7248" s="51">
        <v>-0.13332320079727022</v>
      </c>
      <c r="G7248" s="51" t="str">
        <v>伊藤 2023/01/28 (土)
休日午後</v>
      </c>
    </row>
    <row r="7249" spans="1:7" ht="16.149999999999999" x14ac:dyDescent="0.7">
      <c r="A7249" s="49">
        <v>44910.461202777777</v>
      </c>
      <c r="B7249" s="50" t="s">
        <v>2</v>
      </c>
      <c r="C7249" s="50" t="s">
        <v>639</v>
      </c>
      <c r="D7249" s="50" t="s">
        <v>263</v>
      </c>
      <c r="E7249" s="50">
        <v>0</v>
      </c>
      <c r="F7249" s="51">
        <v>0.9217955797036772</v>
      </c>
      <c r="G7249" s="51" t="str">
        <v>伊藤 2023/01/29 (日)
休日午前</v>
      </c>
    </row>
    <row r="7250" spans="1:7" ht="16.149999999999999" x14ac:dyDescent="0.7">
      <c r="A7250" s="49">
        <v>44910.461202777777</v>
      </c>
      <c r="B7250" s="50" t="s">
        <v>2</v>
      </c>
      <c r="C7250" s="50" t="s">
        <v>640</v>
      </c>
      <c r="D7250" s="50" t="s">
        <v>261</v>
      </c>
      <c r="E7250" s="50">
        <v>0</v>
      </c>
      <c r="F7250" s="51">
        <v>0.12896348124120971</v>
      </c>
      <c r="G7250" s="51" t="str">
        <v>伊藤 2023/01/29 (日)
休日午後</v>
      </c>
    </row>
    <row r="7251" spans="1:7" ht="16.149999999999999" x14ac:dyDescent="0.7">
      <c r="A7251" s="49">
        <v>44910.461202777777</v>
      </c>
      <c r="B7251" s="50" t="s">
        <v>2</v>
      </c>
      <c r="C7251" s="50" t="s">
        <v>641</v>
      </c>
      <c r="D7251" s="50" t="s">
        <v>259</v>
      </c>
      <c r="E7251" s="50">
        <v>0</v>
      </c>
      <c r="F7251" s="51">
        <v>0.36716742395903146</v>
      </c>
      <c r="G7251" s="51" t="str">
        <v>伊藤 2023/01/30 (月)
平日夜間</v>
      </c>
    </row>
    <row r="7252" spans="1:7" ht="16.149999999999999" x14ac:dyDescent="0.7">
      <c r="A7252" s="49">
        <v>44910.461202777777</v>
      </c>
      <c r="B7252" s="50" t="s">
        <v>2</v>
      </c>
      <c r="C7252" s="50" t="s">
        <v>642</v>
      </c>
      <c r="D7252" s="50" t="s">
        <v>259</v>
      </c>
      <c r="E7252" s="50">
        <v>0</v>
      </c>
      <c r="F7252" s="51">
        <v>0.37239124051183947</v>
      </c>
      <c r="G7252" s="51" t="str">
        <v>伊藤 2023/01/31 (火)
平日夜間</v>
      </c>
    </row>
    <row r="7253" spans="1:7" ht="16.149999999999999" x14ac:dyDescent="0.7">
      <c r="A7253" s="49">
        <v>44910.476699259263</v>
      </c>
      <c r="B7253" s="50" t="s">
        <v>6</v>
      </c>
      <c r="C7253" s="50" t="s">
        <v>606</v>
      </c>
      <c r="D7253" s="50" t="s">
        <v>259</v>
      </c>
      <c r="E7253" s="50">
        <v>-1</v>
      </c>
      <c r="F7253" s="51">
        <v>-0.83047319947926002</v>
      </c>
      <c r="G7253" s="51" t="str">
        <v>西谷 2023/01/04 (水)
平日夜間</v>
      </c>
    </row>
    <row r="7254" spans="1:7" ht="16.149999999999999" x14ac:dyDescent="0.7">
      <c r="A7254" s="49">
        <v>44910.476699259263</v>
      </c>
      <c r="B7254" s="50" t="s">
        <v>6</v>
      </c>
      <c r="C7254" s="50" t="s">
        <v>607</v>
      </c>
      <c r="D7254" s="50" t="s">
        <v>259</v>
      </c>
      <c r="E7254" s="50">
        <v>0</v>
      </c>
      <c r="F7254" s="51">
        <v>0.56116935522771993</v>
      </c>
      <c r="G7254" s="51" t="str">
        <v>西谷 2023/01/05 (木)
平日夜間</v>
      </c>
    </row>
    <row r="7255" spans="1:7" ht="16.149999999999999" x14ac:dyDescent="0.7">
      <c r="A7255" s="49">
        <v>44910.476699259263</v>
      </c>
      <c r="B7255" s="50" t="s">
        <v>6</v>
      </c>
      <c r="C7255" s="50" t="s">
        <v>608</v>
      </c>
      <c r="D7255" s="50" t="s">
        <v>259</v>
      </c>
      <c r="E7255" s="50">
        <v>0</v>
      </c>
      <c r="F7255" s="51">
        <v>0.74636496411270614</v>
      </c>
      <c r="G7255" s="51" t="str">
        <v>西谷 2023/01/06 (金)
平日夜間</v>
      </c>
    </row>
    <row r="7256" spans="1:7" ht="16.149999999999999" x14ac:dyDescent="0.7">
      <c r="A7256" s="49">
        <v>44910.476699259263</v>
      </c>
      <c r="B7256" s="50" t="s">
        <v>6</v>
      </c>
      <c r="C7256" s="50" t="s">
        <v>609</v>
      </c>
      <c r="D7256" s="50" t="s">
        <v>263</v>
      </c>
      <c r="E7256" s="50">
        <v>-1</v>
      </c>
      <c r="F7256" s="51">
        <v>-0.34680752849355612</v>
      </c>
      <c r="G7256" s="51" t="str">
        <v>西谷 2023/01/07 (土)
休日午前</v>
      </c>
    </row>
    <row r="7257" spans="1:7" ht="16.149999999999999" x14ac:dyDescent="0.7">
      <c r="A7257" s="49">
        <v>44910.476699259263</v>
      </c>
      <c r="B7257" s="50" t="s">
        <v>6</v>
      </c>
      <c r="C7257" s="50" t="s">
        <v>610</v>
      </c>
      <c r="D7257" s="50" t="s">
        <v>261</v>
      </c>
      <c r="E7257" s="50">
        <v>-1</v>
      </c>
      <c r="F7257" s="51">
        <v>-0.62864872477310274</v>
      </c>
      <c r="G7257" s="51" t="str">
        <v>西谷 2023/01/07 (土)
休日午後</v>
      </c>
    </row>
    <row r="7258" spans="1:7" ht="16.149999999999999" x14ac:dyDescent="0.7">
      <c r="A7258" s="49">
        <v>44910.476699259263</v>
      </c>
      <c r="B7258" s="50" t="s">
        <v>6</v>
      </c>
      <c r="C7258" s="50" t="s">
        <v>611</v>
      </c>
      <c r="D7258" s="50" t="s">
        <v>263</v>
      </c>
      <c r="E7258" s="50">
        <v>-1</v>
      </c>
      <c r="F7258" s="51">
        <v>-0.65198080186238716</v>
      </c>
      <c r="G7258" s="51" t="str">
        <v>西谷 2023/01/08 (日)
休日午前</v>
      </c>
    </row>
    <row r="7259" spans="1:7" ht="16.149999999999999" x14ac:dyDescent="0.7">
      <c r="A7259" s="49">
        <v>44910.476699259263</v>
      </c>
      <c r="B7259" s="50" t="s">
        <v>6</v>
      </c>
      <c r="C7259" s="50" t="s">
        <v>612</v>
      </c>
      <c r="D7259" s="50" t="s">
        <v>261</v>
      </c>
      <c r="E7259" s="50">
        <v>-1</v>
      </c>
      <c r="F7259" s="51">
        <v>-0.62112648460072206</v>
      </c>
      <c r="G7259" s="51" t="str">
        <v>西谷 2023/01/08 (日)
休日午後</v>
      </c>
    </row>
    <row r="7260" spans="1:7" ht="16.149999999999999" x14ac:dyDescent="0.7">
      <c r="A7260" s="49">
        <v>44910.476699259263</v>
      </c>
      <c r="B7260" s="50" t="s">
        <v>6</v>
      </c>
      <c r="C7260" s="50" t="s">
        <v>613</v>
      </c>
      <c r="D7260" s="50" t="s">
        <v>263</v>
      </c>
      <c r="E7260" s="50">
        <v>0</v>
      </c>
      <c r="F7260" s="51">
        <v>3.2403372987751311E-2</v>
      </c>
      <c r="G7260" s="51" t="str">
        <v>西谷 2023/01/09 (月)
休日午前</v>
      </c>
    </row>
    <row r="7261" spans="1:7" ht="16.149999999999999" x14ac:dyDescent="0.7">
      <c r="A7261" s="49">
        <v>44910.476699259263</v>
      </c>
      <c r="B7261" s="50" t="s">
        <v>6</v>
      </c>
      <c r="C7261" s="50" t="s">
        <v>614</v>
      </c>
      <c r="D7261" s="50" t="s">
        <v>261</v>
      </c>
      <c r="E7261" s="50">
        <v>0</v>
      </c>
      <c r="F7261" s="51">
        <v>4.9390720237441732E-2</v>
      </c>
      <c r="G7261" s="51" t="str">
        <v>西谷 2023/01/09 (月)
休日午後</v>
      </c>
    </row>
    <row r="7262" spans="1:7" ht="16.149999999999999" x14ac:dyDescent="0.7">
      <c r="A7262" s="49">
        <v>44910.476699259263</v>
      </c>
      <c r="B7262" s="50" t="s">
        <v>6</v>
      </c>
      <c r="C7262" s="50" t="s">
        <v>615</v>
      </c>
      <c r="D7262" s="50" t="s">
        <v>259</v>
      </c>
      <c r="E7262" s="50">
        <v>0</v>
      </c>
      <c r="F7262" s="51">
        <v>0.89827881804890164</v>
      </c>
      <c r="G7262" s="51" t="str">
        <v>西谷 2023/01/10 (火)
平日夜間</v>
      </c>
    </row>
    <row r="7263" spans="1:7" ht="16.149999999999999" x14ac:dyDescent="0.7">
      <c r="A7263" s="49">
        <v>44910.476699259263</v>
      </c>
      <c r="B7263" s="50" t="s">
        <v>6</v>
      </c>
      <c r="C7263" s="50" t="s">
        <v>616</v>
      </c>
      <c r="D7263" s="50" t="s">
        <v>259</v>
      </c>
      <c r="E7263" s="50">
        <v>0</v>
      </c>
      <c r="F7263" s="51">
        <v>0.34059259219816962</v>
      </c>
      <c r="G7263" s="51" t="str">
        <v>西谷 2023/01/11 (水)
平日夜間</v>
      </c>
    </row>
    <row r="7264" spans="1:7" ht="16.149999999999999" x14ac:dyDescent="0.7">
      <c r="A7264" s="49">
        <v>44910.476699259263</v>
      </c>
      <c r="B7264" s="50" t="s">
        <v>6</v>
      </c>
      <c r="C7264" s="50" t="s">
        <v>617</v>
      </c>
      <c r="D7264" s="50" t="s">
        <v>259</v>
      </c>
      <c r="E7264" s="50">
        <v>1</v>
      </c>
      <c r="F7264" s="51">
        <v>1.7143239994059325</v>
      </c>
      <c r="G7264" s="51" t="str">
        <v>西谷 2023/01/12 (木)
平日夜間</v>
      </c>
    </row>
    <row r="7265" spans="1:7" ht="16.149999999999999" x14ac:dyDescent="0.7">
      <c r="A7265" s="49">
        <v>44910.476699259263</v>
      </c>
      <c r="B7265" s="50" t="s">
        <v>6</v>
      </c>
      <c r="C7265" s="50" t="s">
        <v>618</v>
      </c>
      <c r="D7265" s="50" t="s">
        <v>259</v>
      </c>
      <c r="E7265" s="50">
        <v>-1</v>
      </c>
      <c r="F7265" s="51">
        <v>-0.73304335505992757</v>
      </c>
      <c r="G7265" s="51" t="str">
        <v>西谷 2023/01/13 (金)
平日夜間</v>
      </c>
    </row>
    <row r="7266" spans="1:7" ht="16.149999999999999" x14ac:dyDescent="0.7">
      <c r="A7266" s="49">
        <v>44910.476699259263</v>
      </c>
      <c r="B7266" s="50" t="s">
        <v>6</v>
      </c>
      <c r="C7266" s="50" t="s">
        <v>619</v>
      </c>
      <c r="D7266" s="50" t="s">
        <v>263</v>
      </c>
      <c r="E7266" s="50">
        <v>-1</v>
      </c>
      <c r="F7266" s="51">
        <v>-0.14874146347784567</v>
      </c>
      <c r="G7266" s="51" t="str">
        <v>西谷 2023/01/14 (土)
休日午前</v>
      </c>
    </row>
    <row r="7267" spans="1:7" ht="16.149999999999999" x14ac:dyDescent="0.7">
      <c r="A7267" s="49">
        <v>44910.476699259263</v>
      </c>
      <c r="B7267" s="50" t="s">
        <v>6</v>
      </c>
      <c r="C7267" s="50" t="s">
        <v>620</v>
      </c>
      <c r="D7267" s="50" t="s">
        <v>261</v>
      </c>
      <c r="E7267" s="50">
        <v>-1</v>
      </c>
      <c r="F7267" s="51">
        <v>-0.27763853718407661</v>
      </c>
      <c r="G7267" s="51" t="str">
        <v>西谷 2023/01/14 (土)
休日午後</v>
      </c>
    </row>
    <row r="7268" spans="1:7" ht="16.149999999999999" x14ac:dyDescent="0.7">
      <c r="A7268" s="49">
        <v>44910.476699259263</v>
      </c>
      <c r="B7268" s="50" t="s">
        <v>6</v>
      </c>
      <c r="C7268" s="50" t="s">
        <v>621</v>
      </c>
      <c r="D7268" s="50" t="s">
        <v>263</v>
      </c>
      <c r="E7268" s="50">
        <v>-1</v>
      </c>
      <c r="F7268" s="51">
        <v>-0.61820828880160628</v>
      </c>
      <c r="G7268" s="51" t="str">
        <v>西谷 2023/01/15 (日)
休日午前</v>
      </c>
    </row>
    <row r="7269" spans="1:7" ht="16.149999999999999" x14ac:dyDescent="0.7">
      <c r="A7269" s="49">
        <v>44910.476699259263</v>
      </c>
      <c r="B7269" s="50" t="s">
        <v>6</v>
      </c>
      <c r="C7269" s="50" t="s">
        <v>622</v>
      </c>
      <c r="D7269" s="50" t="s">
        <v>261</v>
      </c>
      <c r="E7269" s="50">
        <v>-1</v>
      </c>
      <c r="F7269" s="51">
        <v>-8.6885191237821902E-2</v>
      </c>
      <c r="G7269" s="51" t="str">
        <v>西谷 2023/01/15 (日)
休日午後</v>
      </c>
    </row>
    <row r="7270" spans="1:7" ht="16.149999999999999" x14ac:dyDescent="0.7">
      <c r="A7270" s="49">
        <v>44910.476699259263</v>
      </c>
      <c r="B7270" s="50" t="s">
        <v>6</v>
      </c>
      <c r="C7270" s="50" t="s">
        <v>623</v>
      </c>
      <c r="D7270" s="50" t="s">
        <v>259</v>
      </c>
      <c r="E7270" s="50">
        <v>0</v>
      </c>
      <c r="F7270" s="51">
        <v>0.39892124309524291</v>
      </c>
      <c r="G7270" s="51" t="str">
        <v>西谷 2023/01/16 (月)
平日夜間</v>
      </c>
    </row>
    <row r="7271" spans="1:7" ht="16.149999999999999" x14ac:dyDescent="0.7">
      <c r="A7271" s="49">
        <v>44910.476699259263</v>
      </c>
      <c r="B7271" s="50" t="s">
        <v>6</v>
      </c>
      <c r="C7271" s="50" t="s">
        <v>624</v>
      </c>
      <c r="D7271" s="50" t="s">
        <v>259</v>
      </c>
      <c r="E7271" s="50">
        <v>0</v>
      </c>
      <c r="F7271" s="51">
        <v>0.42165003911817323</v>
      </c>
      <c r="G7271" s="51" t="str">
        <v>西谷 2023/01/17 (火)
平日夜間</v>
      </c>
    </row>
    <row r="7272" spans="1:7" ht="16.149999999999999" x14ac:dyDescent="0.7">
      <c r="A7272" s="49">
        <v>44910.476699259263</v>
      </c>
      <c r="B7272" s="50" t="s">
        <v>6</v>
      </c>
      <c r="C7272" s="50" t="s">
        <v>625</v>
      </c>
      <c r="D7272" s="50" t="s">
        <v>259</v>
      </c>
      <c r="E7272" s="50">
        <v>1</v>
      </c>
      <c r="F7272" s="51">
        <v>1.3279492101183781</v>
      </c>
      <c r="G7272" s="51" t="str">
        <v>西谷 2023/01/18 (水)
平日夜間</v>
      </c>
    </row>
    <row r="7273" spans="1:7" ht="16.149999999999999" x14ac:dyDescent="0.7">
      <c r="A7273" s="49">
        <v>44910.476699259263</v>
      </c>
      <c r="B7273" s="50" t="s">
        <v>6</v>
      </c>
      <c r="C7273" s="50" t="s">
        <v>626</v>
      </c>
      <c r="D7273" s="50" t="s">
        <v>259</v>
      </c>
      <c r="E7273" s="50">
        <v>0</v>
      </c>
      <c r="F7273" s="51">
        <v>0.5055036216172657</v>
      </c>
      <c r="G7273" s="51" t="str">
        <v>西谷 2023/01/19 (木)
平日夜間</v>
      </c>
    </row>
    <row r="7274" spans="1:7" ht="16.149999999999999" x14ac:dyDescent="0.7">
      <c r="A7274" s="49">
        <v>44910.476699259263</v>
      </c>
      <c r="B7274" s="50" t="s">
        <v>6</v>
      </c>
      <c r="C7274" s="50" t="s">
        <v>627</v>
      </c>
      <c r="D7274" s="50" t="s">
        <v>259</v>
      </c>
      <c r="E7274" s="50">
        <v>-1</v>
      </c>
      <c r="F7274" s="51">
        <v>-0.74047809051129221</v>
      </c>
      <c r="G7274" s="51" t="str">
        <v>西谷 2023/01/20 (金)
平日夜間</v>
      </c>
    </row>
    <row r="7275" spans="1:7" ht="16.149999999999999" x14ac:dyDescent="0.7">
      <c r="A7275" s="49">
        <v>44910.476699259263</v>
      </c>
      <c r="B7275" s="50" t="s">
        <v>6</v>
      </c>
      <c r="C7275" s="50" t="s">
        <v>628</v>
      </c>
      <c r="D7275" s="50" t="s">
        <v>263</v>
      </c>
      <c r="E7275" s="50">
        <v>-1</v>
      </c>
      <c r="F7275" s="51">
        <v>-0.61965124203151922</v>
      </c>
      <c r="G7275" s="51" t="str">
        <v>西谷 2023/01/21 (土)
休日午前</v>
      </c>
    </row>
    <row r="7276" spans="1:7" ht="16.149999999999999" x14ac:dyDescent="0.7">
      <c r="A7276" s="49">
        <v>44910.476699259263</v>
      </c>
      <c r="B7276" s="50" t="s">
        <v>6</v>
      </c>
      <c r="C7276" s="50" t="s">
        <v>629</v>
      </c>
      <c r="D7276" s="50" t="s">
        <v>261</v>
      </c>
      <c r="E7276" s="50">
        <v>-1</v>
      </c>
      <c r="F7276" s="51">
        <v>-0.442046203664058</v>
      </c>
      <c r="G7276" s="51" t="str">
        <v>西谷 2023/01/21 (土)
休日午後</v>
      </c>
    </row>
    <row r="7277" spans="1:7" ht="16.149999999999999" x14ac:dyDescent="0.7">
      <c r="A7277" s="49">
        <v>44910.476699259263</v>
      </c>
      <c r="B7277" s="50" t="s">
        <v>6</v>
      </c>
      <c r="C7277" s="50" t="s">
        <v>630</v>
      </c>
      <c r="D7277" s="50" t="s">
        <v>263</v>
      </c>
      <c r="E7277" s="50">
        <v>-1</v>
      </c>
      <c r="F7277" s="51">
        <v>-7.3957561235261204E-2</v>
      </c>
      <c r="G7277" s="51" t="str">
        <v>西谷 2023/01/22 (日)
休日午前</v>
      </c>
    </row>
    <row r="7278" spans="1:7" ht="16.149999999999999" x14ac:dyDescent="0.7">
      <c r="A7278" s="49">
        <v>44910.476699259263</v>
      </c>
      <c r="B7278" s="50" t="s">
        <v>6</v>
      </c>
      <c r="C7278" s="50" t="s">
        <v>631</v>
      </c>
      <c r="D7278" s="50" t="s">
        <v>261</v>
      </c>
      <c r="E7278" s="50">
        <v>-1</v>
      </c>
      <c r="F7278" s="51">
        <v>-0.35791220907233146</v>
      </c>
      <c r="G7278" s="51" t="str">
        <v>西谷 2023/01/22 (日)
休日午後</v>
      </c>
    </row>
    <row r="7279" spans="1:7" ht="16.149999999999999" x14ac:dyDescent="0.7">
      <c r="A7279" s="49">
        <v>44910.476699259263</v>
      </c>
      <c r="B7279" s="50" t="s">
        <v>6</v>
      </c>
      <c r="C7279" s="50" t="s">
        <v>632</v>
      </c>
      <c r="D7279" s="50" t="s">
        <v>259</v>
      </c>
      <c r="E7279" s="50">
        <v>-1</v>
      </c>
      <c r="F7279" s="51">
        <v>-0.10512069782970213</v>
      </c>
      <c r="G7279" s="51" t="str">
        <v>西谷 2023/01/23 (月)
平日夜間</v>
      </c>
    </row>
    <row r="7280" spans="1:7" ht="16.149999999999999" x14ac:dyDescent="0.7">
      <c r="A7280" s="49">
        <v>44910.476699259263</v>
      </c>
      <c r="B7280" s="50" t="s">
        <v>6</v>
      </c>
      <c r="C7280" s="50" t="s">
        <v>633</v>
      </c>
      <c r="D7280" s="50" t="s">
        <v>259</v>
      </c>
      <c r="E7280" s="50">
        <v>-1</v>
      </c>
      <c r="F7280" s="51">
        <v>-0.55975840148563694</v>
      </c>
      <c r="G7280" s="51" t="str">
        <v>西谷 2023/01/24 (火)
平日夜間</v>
      </c>
    </row>
    <row r="7281" spans="1:7" ht="16.149999999999999" x14ac:dyDescent="0.7">
      <c r="A7281" s="49">
        <v>44910.476699259263</v>
      </c>
      <c r="B7281" s="50" t="s">
        <v>6</v>
      </c>
      <c r="C7281" s="50" t="s">
        <v>634</v>
      </c>
      <c r="D7281" s="50" t="s">
        <v>259</v>
      </c>
      <c r="E7281" s="50">
        <v>0</v>
      </c>
      <c r="F7281" s="51">
        <v>0.17365023205910646</v>
      </c>
      <c r="G7281" s="51" t="str">
        <v>西谷 2023/01/25 (水)
平日夜間</v>
      </c>
    </row>
    <row r="7282" spans="1:7" ht="16.149999999999999" x14ac:dyDescent="0.7">
      <c r="A7282" s="49">
        <v>44910.476699259263</v>
      </c>
      <c r="B7282" s="50" t="s">
        <v>6</v>
      </c>
      <c r="C7282" s="50" t="s">
        <v>635</v>
      </c>
      <c r="D7282" s="50" t="s">
        <v>259</v>
      </c>
      <c r="E7282" s="50">
        <v>0</v>
      </c>
      <c r="F7282" s="51">
        <v>0.82951552076875434</v>
      </c>
      <c r="G7282" s="51" t="str">
        <v>西谷 2023/01/26 (木)
平日夜間</v>
      </c>
    </row>
    <row r="7283" spans="1:7" ht="16.149999999999999" x14ac:dyDescent="0.7">
      <c r="A7283" s="49">
        <v>44910.476699259263</v>
      </c>
      <c r="B7283" s="50" t="s">
        <v>6</v>
      </c>
      <c r="C7283" s="50" t="s">
        <v>636</v>
      </c>
      <c r="D7283" s="50" t="s">
        <v>259</v>
      </c>
      <c r="E7283" s="50">
        <v>0</v>
      </c>
      <c r="F7283" s="51">
        <v>0.74909142028535869</v>
      </c>
      <c r="G7283" s="51" t="str">
        <v>西谷 2023/01/27 (金)
平日夜間</v>
      </c>
    </row>
    <row r="7284" spans="1:7" ht="16.149999999999999" x14ac:dyDescent="0.7">
      <c r="A7284" s="49">
        <v>44910.476699259263</v>
      </c>
      <c r="B7284" s="50" t="s">
        <v>6</v>
      </c>
      <c r="C7284" s="50" t="s">
        <v>637</v>
      </c>
      <c r="D7284" s="50" t="s">
        <v>263</v>
      </c>
      <c r="E7284" s="50">
        <v>0</v>
      </c>
      <c r="F7284" s="51">
        <v>0.60473989756311819</v>
      </c>
      <c r="G7284" s="51" t="str">
        <v>西谷 2023/01/28 (土)
休日午前</v>
      </c>
    </row>
    <row r="7285" spans="1:7" ht="16.149999999999999" x14ac:dyDescent="0.7">
      <c r="A7285" s="49">
        <v>44910.476699259263</v>
      </c>
      <c r="B7285" s="50" t="s">
        <v>6</v>
      </c>
      <c r="C7285" s="50" t="s">
        <v>638</v>
      </c>
      <c r="D7285" s="50" t="s">
        <v>261</v>
      </c>
      <c r="E7285" s="50">
        <v>-1</v>
      </c>
      <c r="F7285" s="51">
        <v>-9.1933273995306708E-2</v>
      </c>
      <c r="G7285" s="51" t="str">
        <v>西谷 2023/01/28 (土)
休日午後</v>
      </c>
    </row>
    <row r="7286" spans="1:7" ht="16.149999999999999" x14ac:dyDescent="0.7">
      <c r="A7286" s="49">
        <v>44910.476699259263</v>
      </c>
      <c r="B7286" s="50" t="s">
        <v>6</v>
      </c>
      <c r="C7286" s="50" t="s">
        <v>639</v>
      </c>
      <c r="D7286" s="50" t="s">
        <v>263</v>
      </c>
      <c r="E7286" s="50">
        <v>-1</v>
      </c>
      <c r="F7286" s="51">
        <v>-0.15595046677358759</v>
      </c>
      <c r="G7286" s="51" t="str">
        <v>西谷 2023/01/29 (日)
休日午前</v>
      </c>
    </row>
    <row r="7287" spans="1:7" ht="16.149999999999999" x14ac:dyDescent="0.7">
      <c r="A7287" s="49">
        <v>44910.476699259263</v>
      </c>
      <c r="B7287" s="50" t="s">
        <v>6</v>
      </c>
      <c r="C7287" s="50" t="s">
        <v>640</v>
      </c>
      <c r="D7287" s="50" t="s">
        <v>261</v>
      </c>
      <c r="E7287" s="50">
        <v>-1</v>
      </c>
      <c r="F7287" s="51">
        <v>-0.80818092753229975</v>
      </c>
      <c r="G7287" s="51" t="str">
        <v>西谷 2023/01/29 (日)
休日午後</v>
      </c>
    </row>
    <row r="7288" spans="1:7" ht="16.149999999999999" x14ac:dyDescent="0.7">
      <c r="A7288" s="49">
        <v>44910.476699259263</v>
      </c>
      <c r="B7288" s="50" t="s">
        <v>6</v>
      </c>
      <c r="C7288" s="50" t="s">
        <v>641</v>
      </c>
      <c r="D7288" s="50" t="s">
        <v>259</v>
      </c>
      <c r="E7288" s="50">
        <v>0</v>
      </c>
      <c r="F7288" s="51">
        <v>0.34197387030009896</v>
      </c>
      <c r="G7288" s="51" t="str">
        <v>西谷 2023/01/30 (月)
平日夜間</v>
      </c>
    </row>
    <row r="7289" spans="1:7" ht="16.149999999999999" x14ac:dyDescent="0.7">
      <c r="A7289" s="49">
        <v>44910.476699259263</v>
      </c>
      <c r="B7289" s="50" t="s">
        <v>6</v>
      </c>
      <c r="C7289" s="50" t="s">
        <v>642</v>
      </c>
      <c r="D7289" s="50" t="s">
        <v>259</v>
      </c>
      <c r="E7289" s="50">
        <v>0</v>
      </c>
      <c r="F7289" s="51">
        <v>0.61179196557851734</v>
      </c>
      <c r="G7289" s="51" t="str">
        <v>西谷 2023/01/31 (火)
平日夜間</v>
      </c>
    </row>
    <row r="7290" spans="1:7" ht="16.149999999999999" x14ac:dyDescent="0.7">
      <c r="A7290" s="49">
        <v>44911.284325532411</v>
      </c>
      <c r="B7290" s="50" t="s">
        <v>127</v>
      </c>
      <c r="C7290" s="50" t="s">
        <v>606</v>
      </c>
      <c r="D7290" s="50" t="s">
        <v>259</v>
      </c>
      <c r="E7290" s="50">
        <v>0</v>
      </c>
      <c r="F7290" s="51">
        <v>0.43705640849147542</v>
      </c>
      <c r="G7290" s="51" t="str">
        <v>稲葉 2023/01/04 (水)
平日夜間</v>
      </c>
    </row>
    <row r="7291" spans="1:7" ht="16.149999999999999" x14ac:dyDescent="0.7">
      <c r="A7291" s="49">
        <v>44911.284325532411</v>
      </c>
      <c r="B7291" s="50" t="s">
        <v>127</v>
      </c>
      <c r="C7291" s="50" t="s">
        <v>607</v>
      </c>
      <c r="D7291" s="50" t="s">
        <v>259</v>
      </c>
      <c r="E7291" s="50">
        <v>0</v>
      </c>
      <c r="F7291" s="51">
        <v>4.0028431905511086E-2</v>
      </c>
      <c r="G7291" s="51" t="str">
        <v>稲葉 2023/01/05 (木)
平日夜間</v>
      </c>
    </row>
    <row r="7292" spans="1:7" ht="16.149999999999999" x14ac:dyDescent="0.7">
      <c r="A7292" s="49">
        <v>44911.284325532411</v>
      </c>
      <c r="B7292" s="50" t="s">
        <v>127</v>
      </c>
      <c r="C7292" s="50" t="s">
        <v>608</v>
      </c>
      <c r="D7292" s="50" t="s">
        <v>259</v>
      </c>
      <c r="E7292" s="50">
        <v>0</v>
      </c>
      <c r="F7292" s="51">
        <v>0.90307933228478654</v>
      </c>
      <c r="G7292" s="51" t="str">
        <v>稲葉 2023/01/06 (金)
平日夜間</v>
      </c>
    </row>
    <row r="7293" spans="1:7" ht="16.149999999999999" x14ac:dyDescent="0.7">
      <c r="A7293" s="49">
        <v>44911.284325532411</v>
      </c>
      <c r="B7293" s="50" t="s">
        <v>127</v>
      </c>
      <c r="C7293" s="50" t="s">
        <v>609</v>
      </c>
      <c r="D7293" s="50" t="s">
        <v>263</v>
      </c>
      <c r="E7293" s="50">
        <v>0</v>
      </c>
      <c r="F7293" s="51">
        <v>0.29981179619694376</v>
      </c>
      <c r="G7293" s="51" t="str">
        <v>稲葉 2023/01/07 (土)
休日午前</v>
      </c>
    </row>
    <row r="7294" spans="1:7" ht="16.149999999999999" x14ac:dyDescent="0.7">
      <c r="A7294" s="49">
        <v>44911.284325532411</v>
      </c>
      <c r="B7294" s="50" t="s">
        <v>127</v>
      </c>
      <c r="C7294" s="50" t="s">
        <v>610</v>
      </c>
      <c r="D7294" s="50" t="s">
        <v>261</v>
      </c>
      <c r="E7294" s="50">
        <v>0</v>
      </c>
      <c r="F7294" s="51">
        <v>0.79706840589048067</v>
      </c>
      <c r="G7294" s="51" t="str">
        <v>稲葉 2023/01/07 (土)
休日午後</v>
      </c>
    </row>
    <row r="7295" spans="1:7" ht="16.149999999999999" x14ac:dyDescent="0.7">
      <c r="A7295" s="49">
        <v>44911.284325532411</v>
      </c>
      <c r="B7295" s="50" t="s">
        <v>127</v>
      </c>
      <c r="C7295" s="50" t="s">
        <v>611</v>
      </c>
      <c r="D7295" s="50" t="s">
        <v>263</v>
      </c>
      <c r="E7295" s="50">
        <v>0</v>
      </c>
      <c r="F7295" s="51">
        <v>0.60235561197511278</v>
      </c>
      <c r="G7295" s="51" t="str">
        <v>稲葉 2023/01/08 (日)
休日午前</v>
      </c>
    </row>
    <row r="7296" spans="1:7" ht="16.149999999999999" x14ac:dyDescent="0.7">
      <c r="A7296" s="49">
        <v>44911.284325532411</v>
      </c>
      <c r="B7296" s="50" t="s">
        <v>127</v>
      </c>
      <c r="C7296" s="50" t="s">
        <v>612</v>
      </c>
      <c r="D7296" s="50" t="s">
        <v>261</v>
      </c>
      <c r="E7296" s="50">
        <v>0</v>
      </c>
      <c r="F7296" s="51">
        <v>0.20860915041718187</v>
      </c>
      <c r="G7296" s="51" t="str">
        <v>稲葉 2023/01/08 (日)
休日午後</v>
      </c>
    </row>
    <row r="7297" spans="1:7" ht="16.149999999999999" x14ac:dyDescent="0.7">
      <c r="A7297" s="49">
        <v>44911.284325532411</v>
      </c>
      <c r="B7297" s="50" t="s">
        <v>127</v>
      </c>
      <c r="C7297" s="50" t="s">
        <v>613</v>
      </c>
      <c r="D7297" s="50" t="s">
        <v>263</v>
      </c>
      <c r="E7297" s="50">
        <v>0</v>
      </c>
      <c r="F7297" s="51">
        <v>0.44969235188145906</v>
      </c>
      <c r="G7297" s="51" t="str">
        <v>稲葉 2023/01/09 (月)
休日午前</v>
      </c>
    </row>
    <row r="7298" spans="1:7" ht="16.149999999999999" x14ac:dyDescent="0.7">
      <c r="A7298" s="49">
        <v>44911.284325532411</v>
      </c>
      <c r="B7298" s="50" t="s">
        <v>127</v>
      </c>
      <c r="C7298" s="50" t="s">
        <v>614</v>
      </c>
      <c r="D7298" s="50" t="s">
        <v>261</v>
      </c>
      <c r="E7298" s="50">
        <v>0</v>
      </c>
      <c r="F7298" s="51">
        <v>0.86733515208822642</v>
      </c>
      <c r="G7298" s="51" t="str">
        <v>稲葉 2023/01/09 (月)
休日午後</v>
      </c>
    </row>
    <row r="7299" spans="1:7" ht="16.149999999999999" x14ac:dyDescent="0.7">
      <c r="A7299" s="49">
        <v>44911.284325532411</v>
      </c>
      <c r="B7299" s="50" t="s">
        <v>127</v>
      </c>
      <c r="C7299" s="50" t="s">
        <v>615</v>
      </c>
      <c r="D7299" s="50" t="s">
        <v>259</v>
      </c>
      <c r="E7299" s="50">
        <v>0</v>
      </c>
      <c r="F7299" s="51">
        <v>0.20645005712705</v>
      </c>
      <c r="G7299" s="51" t="str">
        <v>稲葉 2023/01/10 (火)
平日夜間</v>
      </c>
    </row>
    <row r="7300" spans="1:7" ht="16.149999999999999" x14ac:dyDescent="0.7">
      <c r="A7300" s="49">
        <v>44911.284325532411</v>
      </c>
      <c r="B7300" s="50" t="s">
        <v>127</v>
      </c>
      <c r="C7300" s="50" t="s">
        <v>616</v>
      </c>
      <c r="D7300" s="50" t="s">
        <v>259</v>
      </c>
      <c r="E7300" s="50">
        <v>0</v>
      </c>
      <c r="F7300" s="51">
        <v>0.20406542668491201</v>
      </c>
      <c r="G7300" s="51" t="str">
        <v>稲葉 2023/01/11 (水)
平日夜間</v>
      </c>
    </row>
    <row r="7301" spans="1:7" ht="16.149999999999999" x14ac:dyDescent="0.7">
      <c r="A7301" s="49">
        <v>44911.284325532411</v>
      </c>
      <c r="B7301" s="50" t="s">
        <v>127</v>
      </c>
      <c r="C7301" s="50" t="s">
        <v>617</v>
      </c>
      <c r="D7301" s="50" t="s">
        <v>259</v>
      </c>
      <c r="E7301" s="50">
        <v>0</v>
      </c>
      <c r="F7301" s="51">
        <v>0.62503881794466798</v>
      </c>
      <c r="G7301" s="51" t="str">
        <v>稲葉 2023/01/12 (木)
平日夜間</v>
      </c>
    </row>
    <row r="7302" spans="1:7" ht="16.149999999999999" x14ac:dyDescent="0.7">
      <c r="A7302" s="49">
        <v>44911.284325532411</v>
      </c>
      <c r="B7302" s="50" t="s">
        <v>127</v>
      </c>
      <c r="C7302" s="50" t="s">
        <v>618</v>
      </c>
      <c r="D7302" s="50" t="s">
        <v>259</v>
      </c>
      <c r="E7302" s="50">
        <v>0</v>
      </c>
      <c r="F7302" s="51">
        <v>0.51820851144692104</v>
      </c>
      <c r="G7302" s="51" t="str">
        <v>稲葉 2023/01/13 (金)
平日夜間</v>
      </c>
    </row>
    <row r="7303" spans="1:7" ht="16.149999999999999" x14ac:dyDescent="0.7">
      <c r="A7303" s="49">
        <v>44911.284325532411</v>
      </c>
      <c r="B7303" s="50" t="s">
        <v>127</v>
      </c>
      <c r="C7303" s="50" t="s">
        <v>619</v>
      </c>
      <c r="D7303" s="50" t="s">
        <v>263</v>
      </c>
      <c r="E7303" s="50">
        <v>0</v>
      </c>
      <c r="F7303" s="51">
        <v>0.51704914912736166</v>
      </c>
      <c r="G7303" s="51" t="str">
        <v>稲葉 2023/01/14 (土)
休日午前</v>
      </c>
    </row>
    <row r="7304" spans="1:7" ht="16.149999999999999" x14ac:dyDescent="0.7">
      <c r="A7304" s="49">
        <v>44911.284325532411</v>
      </c>
      <c r="B7304" s="50" t="s">
        <v>127</v>
      </c>
      <c r="C7304" s="50" t="s">
        <v>620</v>
      </c>
      <c r="D7304" s="50" t="s">
        <v>261</v>
      </c>
      <c r="E7304" s="50">
        <v>0</v>
      </c>
      <c r="F7304" s="51">
        <v>0.92270742950956386</v>
      </c>
      <c r="G7304" s="51" t="str">
        <v>稲葉 2023/01/14 (土)
休日午後</v>
      </c>
    </row>
    <row r="7305" spans="1:7" ht="16.149999999999999" x14ac:dyDescent="0.7">
      <c r="A7305" s="49">
        <v>44911.284325532411</v>
      </c>
      <c r="B7305" s="50" t="s">
        <v>127</v>
      </c>
      <c r="C7305" s="50" t="s">
        <v>621</v>
      </c>
      <c r="D7305" s="50" t="s">
        <v>263</v>
      </c>
      <c r="E7305" s="50">
        <v>2</v>
      </c>
      <c r="F7305" s="51">
        <v>2.4650199559407655</v>
      </c>
      <c r="G7305" s="51" t="str">
        <v>稲葉 2023/01/15 (日)
休日午前</v>
      </c>
    </row>
    <row r="7306" spans="1:7" ht="16.149999999999999" x14ac:dyDescent="0.7">
      <c r="A7306" s="49">
        <v>44911.284325532411</v>
      </c>
      <c r="B7306" s="50" t="s">
        <v>127</v>
      </c>
      <c r="C7306" s="50" t="s">
        <v>622</v>
      </c>
      <c r="D7306" s="50" t="s">
        <v>261</v>
      </c>
      <c r="E7306" s="50">
        <v>2</v>
      </c>
      <c r="F7306" s="51">
        <v>2.7963951010565378</v>
      </c>
      <c r="G7306" s="51" t="str">
        <v>稲葉 2023/01/15 (日)
休日午後</v>
      </c>
    </row>
    <row r="7307" spans="1:7" ht="16.149999999999999" x14ac:dyDescent="0.7">
      <c r="A7307" s="49">
        <v>44911.284325532411</v>
      </c>
      <c r="B7307" s="50" t="s">
        <v>127</v>
      </c>
      <c r="C7307" s="50" t="s">
        <v>623</v>
      </c>
      <c r="D7307" s="50" t="s">
        <v>259</v>
      </c>
      <c r="E7307" s="50">
        <v>0</v>
      </c>
      <c r="F7307" s="51">
        <v>0.16216809554413159</v>
      </c>
      <c r="G7307" s="51" t="str">
        <v>稲葉 2023/01/16 (月)
平日夜間</v>
      </c>
    </row>
    <row r="7308" spans="1:7" ht="16.149999999999999" x14ac:dyDescent="0.7">
      <c r="A7308" s="49">
        <v>44911.284325532411</v>
      </c>
      <c r="B7308" s="50" t="s">
        <v>127</v>
      </c>
      <c r="C7308" s="50" t="s">
        <v>624</v>
      </c>
      <c r="D7308" s="50" t="s">
        <v>259</v>
      </c>
      <c r="E7308" s="50">
        <v>0</v>
      </c>
      <c r="F7308" s="51">
        <v>0.62582329024519501</v>
      </c>
      <c r="G7308" s="51" t="str">
        <v>稲葉 2023/01/17 (火)
平日夜間</v>
      </c>
    </row>
    <row r="7309" spans="1:7" ht="16.149999999999999" x14ac:dyDescent="0.7">
      <c r="A7309" s="49">
        <v>44911.284325532411</v>
      </c>
      <c r="B7309" s="50" t="s">
        <v>127</v>
      </c>
      <c r="C7309" s="50" t="s">
        <v>625</v>
      </c>
      <c r="D7309" s="50" t="s">
        <v>259</v>
      </c>
      <c r="E7309" s="50">
        <v>0</v>
      </c>
      <c r="F7309" s="51">
        <v>0.1429113955887118</v>
      </c>
      <c r="G7309" s="51" t="str">
        <v>稲葉 2023/01/18 (水)
平日夜間</v>
      </c>
    </row>
    <row r="7310" spans="1:7" ht="16.149999999999999" x14ac:dyDescent="0.7">
      <c r="A7310" s="49">
        <v>44911.284325532411</v>
      </c>
      <c r="B7310" s="50" t="s">
        <v>127</v>
      </c>
      <c r="C7310" s="50" t="s">
        <v>626</v>
      </c>
      <c r="D7310" s="50" t="s">
        <v>259</v>
      </c>
      <c r="E7310" s="50">
        <v>0</v>
      </c>
      <c r="F7310" s="51">
        <v>0.83027771868629774</v>
      </c>
      <c r="G7310" s="51" t="str">
        <v>稲葉 2023/01/19 (木)
平日夜間</v>
      </c>
    </row>
    <row r="7311" spans="1:7" ht="16.149999999999999" x14ac:dyDescent="0.7">
      <c r="A7311" s="49">
        <v>44911.284325532411</v>
      </c>
      <c r="B7311" s="50" t="s">
        <v>127</v>
      </c>
      <c r="C7311" s="50" t="s">
        <v>627</v>
      </c>
      <c r="D7311" s="50" t="s">
        <v>259</v>
      </c>
      <c r="E7311" s="50">
        <v>0</v>
      </c>
      <c r="F7311" s="51">
        <v>0.65468041203275651</v>
      </c>
      <c r="G7311" s="51" t="str">
        <v>稲葉 2023/01/20 (金)
平日夜間</v>
      </c>
    </row>
    <row r="7312" spans="1:7" ht="16.149999999999999" x14ac:dyDescent="0.7">
      <c r="A7312" s="49">
        <v>44911.284325532411</v>
      </c>
      <c r="B7312" s="50" t="s">
        <v>127</v>
      </c>
      <c r="C7312" s="50" t="s">
        <v>628</v>
      </c>
      <c r="D7312" s="50" t="s">
        <v>263</v>
      </c>
      <c r="E7312" s="50">
        <v>0</v>
      </c>
      <c r="F7312" s="51">
        <v>0.23953512975665481</v>
      </c>
      <c r="G7312" s="51" t="str">
        <v>稲葉 2023/01/21 (土)
休日午前</v>
      </c>
    </row>
    <row r="7313" spans="1:7" ht="16.149999999999999" x14ac:dyDescent="0.7">
      <c r="A7313" s="49">
        <v>44911.284325532411</v>
      </c>
      <c r="B7313" s="50" t="s">
        <v>127</v>
      </c>
      <c r="C7313" s="50" t="s">
        <v>629</v>
      </c>
      <c r="D7313" s="50" t="s">
        <v>261</v>
      </c>
      <c r="E7313" s="50">
        <v>0</v>
      </c>
      <c r="F7313" s="51">
        <v>0.99558894526428476</v>
      </c>
      <c r="G7313" s="51" t="str">
        <v>稲葉 2023/01/21 (土)
休日午後</v>
      </c>
    </row>
    <row r="7314" spans="1:7" ht="16.149999999999999" x14ac:dyDescent="0.7">
      <c r="A7314" s="49">
        <v>44911.284325532411</v>
      </c>
      <c r="B7314" s="50" t="s">
        <v>127</v>
      </c>
      <c r="C7314" s="50" t="s">
        <v>630</v>
      </c>
      <c r="D7314" s="50" t="s">
        <v>263</v>
      </c>
      <c r="E7314" s="50">
        <v>0</v>
      </c>
      <c r="F7314" s="51">
        <v>0.2556473626732203</v>
      </c>
      <c r="G7314" s="51" t="str">
        <v>稲葉 2023/01/22 (日)
休日午前</v>
      </c>
    </row>
    <row r="7315" spans="1:7" ht="16.149999999999999" x14ac:dyDescent="0.7">
      <c r="A7315" s="49">
        <v>44911.284325532411</v>
      </c>
      <c r="B7315" s="50" t="s">
        <v>127</v>
      </c>
      <c r="C7315" s="50" t="s">
        <v>631</v>
      </c>
      <c r="D7315" s="50" t="s">
        <v>261</v>
      </c>
      <c r="E7315" s="50">
        <v>0</v>
      </c>
      <c r="F7315" s="51">
        <v>0.92723433065763072</v>
      </c>
      <c r="G7315" s="51" t="str">
        <v>稲葉 2023/01/22 (日)
休日午後</v>
      </c>
    </row>
    <row r="7316" spans="1:7" ht="16.149999999999999" x14ac:dyDescent="0.7">
      <c r="A7316" s="49">
        <v>44911.284325532411</v>
      </c>
      <c r="B7316" s="50" t="s">
        <v>127</v>
      </c>
      <c r="C7316" s="50" t="s">
        <v>632</v>
      </c>
      <c r="D7316" s="50" t="s">
        <v>259</v>
      </c>
      <c r="E7316" s="50">
        <v>0</v>
      </c>
      <c r="F7316" s="51">
        <v>0.48830197061065062</v>
      </c>
      <c r="G7316" s="51" t="str">
        <v>稲葉 2023/01/23 (月)
平日夜間</v>
      </c>
    </row>
    <row r="7317" spans="1:7" ht="16.149999999999999" x14ac:dyDescent="0.7">
      <c r="A7317" s="49">
        <v>44911.284325532411</v>
      </c>
      <c r="B7317" s="50" t="s">
        <v>127</v>
      </c>
      <c r="C7317" s="50" t="s">
        <v>633</v>
      </c>
      <c r="D7317" s="50" t="s">
        <v>259</v>
      </c>
      <c r="E7317" s="50">
        <v>0</v>
      </c>
      <c r="F7317" s="51">
        <v>4.7664119130090166E-2</v>
      </c>
      <c r="G7317" s="51" t="str">
        <v>稲葉 2023/01/24 (火)
平日夜間</v>
      </c>
    </row>
    <row r="7318" spans="1:7" ht="16.149999999999999" x14ac:dyDescent="0.7">
      <c r="A7318" s="49">
        <v>44911.284325532411</v>
      </c>
      <c r="B7318" s="50" t="s">
        <v>127</v>
      </c>
      <c r="C7318" s="50" t="s">
        <v>634</v>
      </c>
      <c r="D7318" s="50" t="s">
        <v>259</v>
      </c>
      <c r="E7318" s="50">
        <v>0</v>
      </c>
      <c r="F7318" s="51">
        <v>5.5478155149138564E-2</v>
      </c>
      <c r="G7318" s="51" t="str">
        <v>稲葉 2023/01/25 (水)
平日夜間</v>
      </c>
    </row>
    <row r="7319" spans="1:7" ht="16.149999999999999" x14ac:dyDescent="0.7">
      <c r="A7319" s="49">
        <v>44911.284325532411</v>
      </c>
      <c r="B7319" s="50" t="s">
        <v>127</v>
      </c>
      <c r="C7319" s="50" t="s">
        <v>635</v>
      </c>
      <c r="D7319" s="50" t="s">
        <v>259</v>
      </c>
      <c r="E7319" s="50">
        <v>2</v>
      </c>
      <c r="F7319" s="51">
        <v>2.7321314483061889</v>
      </c>
      <c r="G7319" s="51" t="str">
        <v>稲葉 2023/01/26 (木)
平日夜間</v>
      </c>
    </row>
    <row r="7320" spans="1:7" ht="16.149999999999999" x14ac:dyDescent="0.7">
      <c r="A7320" s="49">
        <v>44911.284325532411</v>
      </c>
      <c r="B7320" s="50" t="s">
        <v>127</v>
      </c>
      <c r="C7320" s="50" t="s">
        <v>636</v>
      </c>
      <c r="D7320" s="50" t="s">
        <v>259</v>
      </c>
      <c r="E7320" s="50">
        <v>0</v>
      </c>
      <c r="F7320" s="51">
        <v>0.34307418882378315</v>
      </c>
      <c r="G7320" s="51" t="str">
        <v>稲葉 2023/01/27 (金)
平日夜間</v>
      </c>
    </row>
    <row r="7321" spans="1:7" ht="16.149999999999999" x14ac:dyDescent="0.7">
      <c r="A7321" s="49">
        <v>44911.284325532411</v>
      </c>
      <c r="B7321" s="50" t="s">
        <v>127</v>
      </c>
      <c r="C7321" s="50" t="s">
        <v>637</v>
      </c>
      <c r="D7321" s="50" t="s">
        <v>263</v>
      </c>
      <c r="E7321" s="50">
        <v>0</v>
      </c>
      <c r="F7321" s="51">
        <v>0.76736285202571719</v>
      </c>
      <c r="G7321" s="51" t="str">
        <v>稲葉 2023/01/28 (土)
休日午前</v>
      </c>
    </row>
    <row r="7322" spans="1:7" ht="16.149999999999999" x14ac:dyDescent="0.7">
      <c r="A7322" s="49">
        <v>44911.284325532411</v>
      </c>
      <c r="B7322" s="50" t="s">
        <v>127</v>
      </c>
      <c r="C7322" s="50" t="s">
        <v>638</v>
      </c>
      <c r="D7322" s="50" t="s">
        <v>261</v>
      </c>
      <c r="E7322" s="50">
        <v>0</v>
      </c>
      <c r="F7322" s="51">
        <v>0.29769717137965146</v>
      </c>
      <c r="G7322" s="51" t="str">
        <v>稲葉 2023/01/28 (土)
休日午後</v>
      </c>
    </row>
    <row r="7323" spans="1:7" ht="16.149999999999999" x14ac:dyDescent="0.7">
      <c r="A7323" s="49">
        <v>44911.284325532411</v>
      </c>
      <c r="B7323" s="50" t="s">
        <v>127</v>
      </c>
      <c r="C7323" s="50" t="s">
        <v>639</v>
      </c>
      <c r="D7323" s="50" t="s">
        <v>263</v>
      </c>
      <c r="E7323" s="50">
        <v>0</v>
      </c>
      <c r="F7323" s="51">
        <v>0.23544141091703841</v>
      </c>
      <c r="G7323" s="51" t="str">
        <v>稲葉 2023/01/29 (日)
休日午前</v>
      </c>
    </row>
    <row r="7324" spans="1:7" ht="16.149999999999999" x14ac:dyDescent="0.7">
      <c r="A7324" s="49">
        <v>44911.284325532411</v>
      </c>
      <c r="B7324" s="50" t="s">
        <v>127</v>
      </c>
      <c r="C7324" s="50" t="s">
        <v>640</v>
      </c>
      <c r="D7324" s="50" t="s">
        <v>261</v>
      </c>
      <c r="E7324" s="50">
        <v>0</v>
      </c>
      <c r="F7324" s="51">
        <v>0.55035626728953768</v>
      </c>
      <c r="G7324" s="51" t="str">
        <v>稲葉 2023/01/29 (日)
休日午後</v>
      </c>
    </row>
    <row r="7325" spans="1:7" ht="16.149999999999999" x14ac:dyDescent="0.7">
      <c r="A7325" s="49">
        <v>44911.284325532411</v>
      </c>
      <c r="B7325" s="50" t="s">
        <v>127</v>
      </c>
      <c r="C7325" s="50" t="s">
        <v>641</v>
      </c>
      <c r="D7325" s="50" t="s">
        <v>259</v>
      </c>
      <c r="E7325" s="50">
        <v>-1</v>
      </c>
      <c r="F7325" s="51">
        <v>-0.92688183389280976</v>
      </c>
      <c r="G7325" s="51" t="str">
        <v>稲葉 2023/01/30 (月)
平日夜間</v>
      </c>
    </row>
    <row r="7326" spans="1:7" ht="16.149999999999999" x14ac:dyDescent="0.7">
      <c r="A7326" s="49">
        <v>44911.284325532411</v>
      </c>
      <c r="B7326" s="50" t="s">
        <v>127</v>
      </c>
      <c r="C7326" s="50" t="s">
        <v>642</v>
      </c>
      <c r="D7326" s="50" t="s">
        <v>259</v>
      </c>
      <c r="E7326" s="50">
        <v>-1</v>
      </c>
      <c r="F7326" s="51">
        <v>-4.827184324721201E-2</v>
      </c>
      <c r="G7326" s="51" t="str">
        <v>稲葉 2023/01/31 (火)
平日夜間</v>
      </c>
    </row>
    <row r="7327" spans="1:7" ht="16.149999999999999" x14ac:dyDescent="0.7">
      <c r="A7327" s="49">
        <v>44913.439968437495</v>
      </c>
      <c r="B7327" s="50" t="s">
        <v>149</v>
      </c>
      <c r="C7327" s="50" t="s">
        <v>606</v>
      </c>
      <c r="D7327" s="50" t="s">
        <v>259</v>
      </c>
      <c r="E7327" s="50">
        <v>-1</v>
      </c>
      <c r="F7327" s="51">
        <v>-0.31256797688446802</v>
      </c>
      <c r="G7327" s="51" t="str">
        <v>中野 2023/01/04 (水)
平日夜間</v>
      </c>
    </row>
    <row r="7328" spans="1:7" ht="16.149999999999999" x14ac:dyDescent="0.7">
      <c r="A7328" s="49">
        <v>44913.439968437495</v>
      </c>
      <c r="B7328" s="50" t="s">
        <v>149</v>
      </c>
      <c r="C7328" s="50" t="s">
        <v>607</v>
      </c>
      <c r="D7328" s="50" t="s">
        <v>259</v>
      </c>
      <c r="E7328" s="50">
        <v>0</v>
      </c>
      <c r="F7328" s="51">
        <v>0.34261059448784348</v>
      </c>
      <c r="G7328" s="51" t="str">
        <v>中野 2023/01/05 (木)
平日夜間</v>
      </c>
    </row>
    <row r="7329" spans="1:7" ht="16.149999999999999" x14ac:dyDescent="0.7">
      <c r="A7329" s="49">
        <v>44913.439968437495</v>
      </c>
      <c r="B7329" s="50" t="s">
        <v>149</v>
      </c>
      <c r="C7329" s="50" t="s">
        <v>608</v>
      </c>
      <c r="D7329" s="50" t="s">
        <v>259</v>
      </c>
      <c r="E7329" s="50">
        <v>0</v>
      </c>
      <c r="F7329" s="51">
        <v>0.27404031083487146</v>
      </c>
      <c r="G7329" s="51" t="str">
        <v>中野 2023/01/06 (金)
平日夜間</v>
      </c>
    </row>
    <row r="7330" spans="1:7" ht="16.149999999999999" x14ac:dyDescent="0.7">
      <c r="A7330" s="49">
        <v>44913.439968437495</v>
      </c>
      <c r="B7330" s="50" t="s">
        <v>149</v>
      </c>
      <c r="C7330" s="50" t="s">
        <v>609</v>
      </c>
      <c r="D7330" s="50" t="s">
        <v>263</v>
      </c>
      <c r="E7330" s="50">
        <v>0</v>
      </c>
      <c r="F7330" s="51">
        <v>7.6939226187394016E-2</v>
      </c>
      <c r="G7330" s="51" t="str">
        <v>中野 2023/01/07 (土)
休日午前</v>
      </c>
    </row>
    <row r="7331" spans="1:7" ht="16.149999999999999" x14ac:dyDescent="0.7">
      <c r="A7331" s="49">
        <v>44913.439968437495</v>
      </c>
      <c r="B7331" s="50" t="s">
        <v>149</v>
      </c>
      <c r="C7331" s="50" t="s">
        <v>610</v>
      </c>
      <c r="D7331" s="50" t="s">
        <v>261</v>
      </c>
      <c r="E7331" s="50">
        <v>-1</v>
      </c>
      <c r="F7331" s="51">
        <v>-0.70019625445626232</v>
      </c>
      <c r="G7331" s="51" t="str">
        <v>中野 2023/01/07 (土)
休日午後</v>
      </c>
    </row>
    <row r="7332" spans="1:7" ht="16.149999999999999" x14ac:dyDescent="0.7">
      <c r="A7332" s="49">
        <v>44913.439968437495</v>
      </c>
      <c r="B7332" s="50" t="s">
        <v>149</v>
      </c>
      <c r="C7332" s="50" t="s">
        <v>611</v>
      </c>
      <c r="D7332" s="50" t="s">
        <v>263</v>
      </c>
      <c r="E7332" s="50">
        <v>-1</v>
      </c>
      <c r="F7332" s="51">
        <v>-0.90319808955684411</v>
      </c>
      <c r="G7332" s="51" t="str">
        <v>中野 2023/01/08 (日)
休日午前</v>
      </c>
    </row>
    <row r="7333" spans="1:7" ht="16.149999999999999" x14ac:dyDescent="0.7">
      <c r="A7333" s="49">
        <v>44913.439968437495</v>
      </c>
      <c r="B7333" s="50" t="s">
        <v>149</v>
      </c>
      <c r="C7333" s="50" t="s">
        <v>612</v>
      </c>
      <c r="D7333" s="50" t="s">
        <v>261</v>
      </c>
      <c r="E7333" s="50">
        <v>-1</v>
      </c>
      <c r="F7333" s="51">
        <v>-0.58998879952987004</v>
      </c>
      <c r="G7333" s="51" t="str">
        <v>中野 2023/01/08 (日)
休日午後</v>
      </c>
    </row>
    <row r="7334" spans="1:7" ht="16.149999999999999" x14ac:dyDescent="0.7">
      <c r="A7334" s="49">
        <v>44913.439968437495</v>
      </c>
      <c r="B7334" s="50" t="s">
        <v>149</v>
      </c>
      <c r="C7334" s="50" t="s">
        <v>613</v>
      </c>
      <c r="D7334" s="50" t="s">
        <v>263</v>
      </c>
      <c r="E7334" s="50">
        <v>-1</v>
      </c>
      <c r="F7334" s="51">
        <v>-0.53842889978884778</v>
      </c>
      <c r="G7334" s="51" t="str">
        <v>中野 2023/01/09 (月)
休日午前</v>
      </c>
    </row>
    <row r="7335" spans="1:7" ht="16.149999999999999" x14ac:dyDescent="0.7">
      <c r="A7335" s="49">
        <v>44913.439968437495</v>
      </c>
      <c r="B7335" s="50" t="s">
        <v>149</v>
      </c>
      <c r="C7335" s="50" t="s">
        <v>614</v>
      </c>
      <c r="D7335" s="50" t="s">
        <v>261</v>
      </c>
      <c r="E7335" s="50">
        <v>-1</v>
      </c>
      <c r="F7335" s="51">
        <v>-0.91681086477895901</v>
      </c>
      <c r="G7335" s="51" t="str">
        <v>中野 2023/01/09 (月)
休日午後</v>
      </c>
    </row>
    <row r="7336" spans="1:7" ht="16.149999999999999" x14ac:dyDescent="0.7">
      <c r="A7336" s="49">
        <v>44913.439968437495</v>
      </c>
      <c r="B7336" s="50" t="s">
        <v>149</v>
      </c>
      <c r="C7336" s="50" t="s">
        <v>615</v>
      </c>
      <c r="D7336" s="50" t="s">
        <v>259</v>
      </c>
      <c r="E7336" s="50">
        <v>0</v>
      </c>
      <c r="F7336" s="51">
        <v>0.55361305869110167</v>
      </c>
      <c r="G7336" s="51" t="str">
        <v>中野 2023/01/10 (火)
平日夜間</v>
      </c>
    </row>
    <row r="7337" spans="1:7" ht="16.149999999999999" x14ac:dyDescent="0.7">
      <c r="A7337" s="49">
        <v>44913.439968437495</v>
      </c>
      <c r="B7337" s="50" t="s">
        <v>149</v>
      </c>
      <c r="C7337" s="50" t="s">
        <v>616</v>
      </c>
      <c r="D7337" s="50" t="s">
        <v>259</v>
      </c>
      <c r="E7337" s="50">
        <v>0</v>
      </c>
      <c r="F7337" s="51">
        <v>0.63087799840107461</v>
      </c>
      <c r="G7337" s="51" t="str">
        <v>中野 2023/01/11 (水)
平日夜間</v>
      </c>
    </row>
    <row r="7338" spans="1:7" ht="16.149999999999999" x14ac:dyDescent="0.7">
      <c r="A7338" s="49">
        <v>44913.439968437495</v>
      </c>
      <c r="B7338" s="50" t="s">
        <v>149</v>
      </c>
      <c r="C7338" s="50" t="s">
        <v>617</v>
      </c>
      <c r="D7338" s="50" t="s">
        <v>259</v>
      </c>
      <c r="E7338" s="50">
        <v>0</v>
      </c>
      <c r="F7338" s="51">
        <v>0.76271783536096116</v>
      </c>
      <c r="G7338" s="51" t="str">
        <v>中野 2023/01/12 (木)
平日夜間</v>
      </c>
    </row>
    <row r="7339" spans="1:7" ht="16.149999999999999" x14ac:dyDescent="0.7">
      <c r="A7339" s="49">
        <v>44913.439968437495</v>
      </c>
      <c r="B7339" s="50" t="s">
        <v>149</v>
      </c>
      <c r="C7339" s="50" t="s">
        <v>618</v>
      </c>
      <c r="D7339" s="50" t="s">
        <v>259</v>
      </c>
      <c r="E7339" s="50">
        <v>0</v>
      </c>
      <c r="F7339" s="51">
        <v>0.80150040236061404</v>
      </c>
      <c r="G7339" s="51" t="str">
        <v>中野 2023/01/13 (金)
平日夜間</v>
      </c>
    </row>
    <row r="7340" spans="1:7" ht="16.149999999999999" x14ac:dyDescent="0.7">
      <c r="A7340" s="49">
        <v>44913.439968437495</v>
      </c>
      <c r="B7340" s="50" t="s">
        <v>149</v>
      </c>
      <c r="C7340" s="50" t="s">
        <v>619</v>
      </c>
      <c r="D7340" s="50" t="s">
        <v>263</v>
      </c>
      <c r="E7340" s="50">
        <v>0</v>
      </c>
      <c r="F7340" s="51">
        <v>0.51289040461886226</v>
      </c>
      <c r="G7340" s="51" t="str">
        <v>中野 2023/01/14 (土)
休日午前</v>
      </c>
    </row>
    <row r="7341" spans="1:7" ht="16.149999999999999" x14ac:dyDescent="0.7">
      <c r="A7341" s="49">
        <v>44913.439968437495</v>
      </c>
      <c r="B7341" s="50" t="s">
        <v>149</v>
      </c>
      <c r="C7341" s="50" t="s">
        <v>620</v>
      </c>
      <c r="D7341" s="50" t="s">
        <v>261</v>
      </c>
      <c r="E7341" s="50">
        <v>-1</v>
      </c>
      <c r="F7341" s="51">
        <v>-0.50626728682519806</v>
      </c>
      <c r="G7341" s="51" t="str">
        <v>中野 2023/01/14 (土)
休日午後</v>
      </c>
    </row>
    <row r="7342" spans="1:7" ht="16.149999999999999" x14ac:dyDescent="0.7">
      <c r="A7342" s="49">
        <v>44913.439968437495</v>
      </c>
      <c r="B7342" s="50" t="s">
        <v>149</v>
      </c>
      <c r="C7342" s="50" t="s">
        <v>621</v>
      </c>
      <c r="D7342" s="50" t="s">
        <v>263</v>
      </c>
      <c r="E7342" s="50">
        <v>-1</v>
      </c>
      <c r="F7342" s="51">
        <v>-0.2989467017727534</v>
      </c>
      <c r="G7342" s="51" t="str">
        <v>中野 2023/01/15 (日)
休日午前</v>
      </c>
    </row>
    <row r="7343" spans="1:7" ht="16.149999999999999" x14ac:dyDescent="0.7">
      <c r="A7343" s="49">
        <v>44913.439968437495</v>
      </c>
      <c r="B7343" s="50" t="s">
        <v>149</v>
      </c>
      <c r="C7343" s="50" t="s">
        <v>622</v>
      </c>
      <c r="D7343" s="50" t="s">
        <v>261</v>
      </c>
      <c r="E7343" s="50">
        <v>-1</v>
      </c>
      <c r="F7343" s="51">
        <v>-0.27866679909434788</v>
      </c>
      <c r="G7343" s="51" t="str">
        <v>中野 2023/01/15 (日)
休日午後</v>
      </c>
    </row>
    <row r="7344" spans="1:7" ht="16.149999999999999" x14ac:dyDescent="0.7">
      <c r="A7344" s="49">
        <v>44913.439968437495</v>
      </c>
      <c r="B7344" s="50" t="s">
        <v>149</v>
      </c>
      <c r="C7344" s="50" t="s">
        <v>623</v>
      </c>
      <c r="D7344" s="50" t="s">
        <v>259</v>
      </c>
      <c r="E7344" s="50">
        <v>-1</v>
      </c>
      <c r="F7344" s="51">
        <v>-0.27071884954899295</v>
      </c>
      <c r="G7344" s="51" t="str">
        <v>中野 2023/01/16 (月)
平日夜間</v>
      </c>
    </row>
    <row r="7345" spans="1:7" ht="16.149999999999999" x14ac:dyDescent="0.7">
      <c r="A7345" s="49">
        <v>44913.439968437495</v>
      </c>
      <c r="B7345" s="50" t="s">
        <v>149</v>
      </c>
      <c r="C7345" s="50" t="s">
        <v>624</v>
      </c>
      <c r="D7345" s="50" t="s">
        <v>259</v>
      </c>
      <c r="E7345" s="50">
        <v>-1</v>
      </c>
      <c r="F7345" s="51">
        <v>-0.48361187886368651</v>
      </c>
      <c r="G7345" s="51" t="str">
        <v>中野 2023/01/17 (火)
平日夜間</v>
      </c>
    </row>
    <row r="7346" spans="1:7" ht="16.149999999999999" x14ac:dyDescent="0.7">
      <c r="A7346" s="49">
        <v>44913.439968437495</v>
      </c>
      <c r="B7346" s="50" t="s">
        <v>149</v>
      </c>
      <c r="C7346" s="50" t="s">
        <v>625</v>
      </c>
      <c r="D7346" s="50" t="s">
        <v>259</v>
      </c>
      <c r="E7346" s="50">
        <v>-1</v>
      </c>
      <c r="F7346" s="51">
        <v>-0.23697602849689092</v>
      </c>
      <c r="G7346" s="51" t="str">
        <v>中野 2023/01/18 (水)
平日夜間</v>
      </c>
    </row>
    <row r="7347" spans="1:7" ht="16.149999999999999" x14ac:dyDescent="0.7">
      <c r="A7347" s="49">
        <v>44913.439968437495</v>
      </c>
      <c r="B7347" s="50" t="s">
        <v>149</v>
      </c>
      <c r="C7347" s="50" t="s">
        <v>626</v>
      </c>
      <c r="D7347" s="50" t="s">
        <v>259</v>
      </c>
      <c r="E7347" s="50">
        <v>0</v>
      </c>
      <c r="F7347" s="51">
        <v>0.33119727097608598</v>
      </c>
      <c r="G7347" s="51" t="str">
        <v>中野 2023/01/19 (木)
平日夜間</v>
      </c>
    </row>
    <row r="7348" spans="1:7" ht="16.149999999999999" x14ac:dyDescent="0.7">
      <c r="A7348" s="49">
        <v>44913.439968437495</v>
      </c>
      <c r="B7348" s="50" t="s">
        <v>149</v>
      </c>
      <c r="C7348" s="50" t="s">
        <v>627</v>
      </c>
      <c r="D7348" s="50" t="s">
        <v>259</v>
      </c>
      <c r="E7348" s="50">
        <v>-1</v>
      </c>
      <c r="F7348" s="51">
        <v>-0.79366688276305375</v>
      </c>
      <c r="G7348" s="51" t="str">
        <v>中野 2023/01/20 (金)
平日夜間</v>
      </c>
    </row>
    <row r="7349" spans="1:7" ht="16.149999999999999" x14ac:dyDescent="0.7">
      <c r="A7349" s="49">
        <v>44913.439968437495</v>
      </c>
      <c r="B7349" s="50" t="s">
        <v>149</v>
      </c>
      <c r="C7349" s="50" t="s">
        <v>628</v>
      </c>
      <c r="D7349" s="50" t="s">
        <v>263</v>
      </c>
      <c r="E7349" s="50">
        <v>-1</v>
      </c>
      <c r="F7349" s="51">
        <v>-0.97474498747706906</v>
      </c>
      <c r="G7349" s="51" t="str">
        <v>中野 2023/01/21 (土)
休日午前</v>
      </c>
    </row>
    <row r="7350" spans="1:7" ht="16.149999999999999" x14ac:dyDescent="0.7">
      <c r="A7350" s="49">
        <v>44913.439968437495</v>
      </c>
      <c r="B7350" s="50" t="s">
        <v>149</v>
      </c>
      <c r="C7350" s="50" t="s">
        <v>629</v>
      </c>
      <c r="D7350" s="50" t="s">
        <v>261</v>
      </c>
      <c r="E7350" s="50">
        <v>-1</v>
      </c>
      <c r="F7350" s="51">
        <v>-0.20243823596641786</v>
      </c>
      <c r="G7350" s="51" t="str">
        <v>中野 2023/01/21 (土)
休日午後</v>
      </c>
    </row>
    <row r="7351" spans="1:7" ht="16.149999999999999" x14ac:dyDescent="0.7">
      <c r="A7351" s="49">
        <v>44913.439968437495</v>
      </c>
      <c r="B7351" s="50" t="s">
        <v>149</v>
      </c>
      <c r="C7351" s="50" t="s">
        <v>630</v>
      </c>
      <c r="D7351" s="50" t="s">
        <v>263</v>
      </c>
      <c r="E7351" s="50">
        <v>-1</v>
      </c>
      <c r="F7351" s="51">
        <v>-0.52570513487242976</v>
      </c>
      <c r="G7351" s="51" t="str">
        <v>中野 2023/01/22 (日)
休日午前</v>
      </c>
    </row>
    <row r="7352" spans="1:7" ht="16.149999999999999" x14ac:dyDescent="0.7">
      <c r="A7352" s="49">
        <v>44913.439968437495</v>
      </c>
      <c r="B7352" s="50" t="s">
        <v>149</v>
      </c>
      <c r="C7352" s="50" t="s">
        <v>631</v>
      </c>
      <c r="D7352" s="50" t="s">
        <v>261</v>
      </c>
      <c r="E7352" s="50">
        <v>-1</v>
      </c>
      <c r="F7352" s="51">
        <v>-0.6237870654853912</v>
      </c>
      <c r="G7352" s="51" t="str">
        <v>中野 2023/01/22 (日)
休日午後</v>
      </c>
    </row>
    <row r="7353" spans="1:7" ht="16.149999999999999" x14ac:dyDescent="0.7">
      <c r="A7353" s="49">
        <v>44913.439968437495</v>
      </c>
      <c r="B7353" s="50" t="s">
        <v>149</v>
      </c>
      <c r="C7353" s="50" t="s">
        <v>632</v>
      </c>
      <c r="D7353" s="50" t="s">
        <v>259</v>
      </c>
      <c r="E7353" s="50">
        <v>2</v>
      </c>
      <c r="F7353" s="51">
        <v>2.3091727895696357</v>
      </c>
      <c r="G7353" s="51" t="str">
        <v>中野 2023/01/23 (月)
平日夜間</v>
      </c>
    </row>
    <row r="7354" spans="1:7" ht="16.149999999999999" x14ac:dyDescent="0.7">
      <c r="A7354" s="49">
        <v>44913.439968437495</v>
      </c>
      <c r="B7354" s="50" t="s">
        <v>149</v>
      </c>
      <c r="C7354" s="50" t="s">
        <v>633</v>
      </c>
      <c r="D7354" s="50" t="s">
        <v>259</v>
      </c>
      <c r="E7354" s="50">
        <v>-1</v>
      </c>
      <c r="F7354" s="51">
        <v>-4.5720355990489292E-2</v>
      </c>
      <c r="G7354" s="51" t="str">
        <v>中野 2023/01/24 (火)
平日夜間</v>
      </c>
    </row>
    <row r="7355" spans="1:7" ht="16.149999999999999" x14ac:dyDescent="0.7">
      <c r="A7355" s="49">
        <v>44913.439968437495</v>
      </c>
      <c r="B7355" s="50" t="s">
        <v>149</v>
      </c>
      <c r="C7355" s="50" t="s">
        <v>634</v>
      </c>
      <c r="D7355" s="50" t="s">
        <v>259</v>
      </c>
      <c r="E7355" s="50">
        <v>0</v>
      </c>
      <c r="F7355" s="51">
        <v>0.73580587245625817</v>
      </c>
      <c r="G7355" s="51" t="str">
        <v>中野 2023/01/25 (水)
平日夜間</v>
      </c>
    </row>
    <row r="7356" spans="1:7" ht="16.149999999999999" x14ac:dyDescent="0.7">
      <c r="A7356" s="49">
        <v>44913.439968437495</v>
      </c>
      <c r="B7356" s="50" t="s">
        <v>149</v>
      </c>
      <c r="C7356" s="50" t="s">
        <v>635</v>
      </c>
      <c r="D7356" s="50" t="s">
        <v>259</v>
      </c>
      <c r="E7356" s="50">
        <v>0</v>
      </c>
      <c r="F7356" s="51">
        <v>0.62599037975938843</v>
      </c>
      <c r="G7356" s="51" t="str">
        <v>中野 2023/01/26 (木)
平日夜間</v>
      </c>
    </row>
    <row r="7357" spans="1:7" ht="16.149999999999999" x14ac:dyDescent="0.7">
      <c r="A7357" s="49">
        <v>44913.439968437495</v>
      </c>
      <c r="B7357" s="50" t="s">
        <v>149</v>
      </c>
      <c r="C7357" s="50" t="s">
        <v>636</v>
      </c>
      <c r="D7357" s="50" t="s">
        <v>259</v>
      </c>
      <c r="E7357" s="50">
        <v>-1</v>
      </c>
      <c r="F7357" s="51">
        <v>-8.4818742306096429E-3</v>
      </c>
      <c r="G7357" s="51" t="str">
        <v>中野 2023/01/27 (金)
平日夜間</v>
      </c>
    </row>
    <row r="7358" spans="1:7" ht="16.149999999999999" x14ac:dyDescent="0.7">
      <c r="A7358" s="49">
        <v>44913.439968437495</v>
      </c>
      <c r="B7358" s="50" t="s">
        <v>149</v>
      </c>
      <c r="C7358" s="50" t="s">
        <v>637</v>
      </c>
      <c r="D7358" s="50" t="s">
        <v>263</v>
      </c>
      <c r="E7358" s="50">
        <v>-1</v>
      </c>
      <c r="F7358" s="51">
        <v>-0.19226520353665144</v>
      </c>
      <c r="G7358" s="51" t="str">
        <v>中野 2023/01/28 (土)
休日午前</v>
      </c>
    </row>
    <row r="7359" spans="1:7" ht="16.149999999999999" x14ac:dyDescent="0.7">
      <c r="A7359" s="49">
        <v>44913.439968437495</v>
      </c>
      <c r="B7359" s="50" t="s">
        <v>149</v>
      </c>
      <c r="C7359" s="50" t="s">
        <v>638</v>
      </c>
      <c r="D7359" s="50" t="s">
        <v>261</v>
      </c>
      <c r="E7359" s="50">
        <v>-1</v>
      </c>
      <c r="F7359" s="51">
        <v>-0.14441682021979907</v>
      </c>
      <c r="G7359" s="51" t="str">
        <v>中野 2023/01/28 (土)
休日午後</v>
      </c>
    </row>
    <row r="7360" spans="1:7" ht="16.149999999999999" x14ac:dyDescent="0.7">
      <c r="A7360" s="49">
        <v>44913.439968437495</v>
      </c>
      <c r="B7360" s="50" t="s">
        <v>149</v>
      </c>
      <c r="C7360" s="50" t="s">
        <v>639</v>
      </c>
      <c r="D7360" s="50" t="s">
        <v>263</v>
      </c>
      <c r="E7360" s="50">
        <v>-1</v>
      </c>
      <c r="F7360" s="51">
        <v>-0.64455743914271069</v>
      </c>
      <c r="G7360" s="51" t="str">
        <v>中野 2023/01/29 (日)
休日午前</v>
      </c>
    </row>
    <row r="7361" spans="1:7" ht="16.149999999999999" x14ac:dyDescent="0.7">
      <c r="A7361" s="49">
        <v>44913.439968437495</v>
      </c>
      <c r="B7361" s="50" t="s">
        <v>149</v>
      </c>
      <c r="C7361" s="50" t="s">
        <v>640</v>
      </c>
      <c r="D7361" s="50" t="s">
        <v>261</v>
      </c>
      <c r="E7361" s="50">
        <v>-1</v>
      </c>
      <c r="F7361" s="51">
        <v>-0.7158710019323693</v>
      </c>
      <c r="G7361" s="51" t="str">
        <v>中野 2023/01/29 (日)
休日午後</v>
      </c>
    </row>
    <row r="7362" spans="1:7" ht="16.149999999999999" x14ac:dyDescent="0.7">
      <c r="A7362" s="49">
        <v>44913.439968437495</v>
      </c>
      <c r="B7362" s="50" t="s">
        <v>149</v>
      </c>
      <c r="C7362" s="50" t="s">
        <v>641</v>
      </c>
      <c r="D7362" s="50" t="s">
        <v>259</v>
      </c>
      <c r="E7362" s="50">
        <v>2</v>
      </c>
      <c r="F7362" s="51">
        <v>2.3947127420852383</v>
      </c>
      <c r="G7362" s="51" t="str">
        <v>中野 2023/01/30 (月)
平日夜間</v>
      </c>
    </row>
    <row r="7363" spans="1:7" ht="16.149999999999999" x14ac:dyDescent="0.7">
      <c r="A7363" s="49">
        <v>44913.439968437495</v>
      </c>
      <c r="B7363" s="50" t="s">
        <v>149</v>
      </c>
      <c r="C7363" s="50" t="s">
        <v>642</v>
      </c>
      <c r="D7363" s="50" t="s">
        <v>259</v>
      </c>
      <c r="E7363" s="50">
        <v>-1</v>
      </c>
      <c r="F7363" s="51">
        <v>-0.93250855946051736</v>
      </c>
      <c r="G7363" s="51" t="str">
        <v>中野 2023/01/31 (火)
平日夜間</v>
      </c>
    </row>
    <row r="7364" spans="1:7" ht="16.149999999999999" x14ac:dyDescent="0.7">
      <c r="A7364" s="49">
        <v>44913.628838749995</v>
      </c>
      <c r="B7364" s="50" t="s">
        <v>19</v>
      </c>
      <c r="C7364" s="50" t="s">
        <v>606</v>
      </c>
      <c r="D7364" s="50" t="s">
        <v>259</v>
      </c>
      <c r="E7364" s="50">
        <v>-1</v>
      </c>
      <c r="F7364" s="51">
        <v>-0.74382808324165062</v>
      </c>
      <c r="G7364" s="51" t="str">
        <v>佐藤 2023/01/04 (水)
平日夜間</v>
      </c>
    </row>
    <row r="7365" spans="1:7" ht="16.149999999999999" x14ac:dyDescent="0.7">
      <c r="A7365" s="49">
        <v>44913.628838749995</v>
      </c>
      <c r="B7365" s="50" t="s">
        <v>19</v>
      </c>
      <c r="C7365" s="50" t="s">
        <v>607</v>
      </c>
      <c r="D7365" s="50" t="s">
        <v>259</v>
      </c>
      <c r="E7365" s="50">
        <v>0</v>
      </c>
      <c r="F7365" s="51">
        <v>0.6182627326473682</v>
      </c>
      <c r="G7365" s="51" t="str">
        <v>佐藤 2023/01/05 (木)
平日夜間</v>
      </c>
    </row>
    <row r="7366" spans="1:7" ht="16.149999999999999" x14ac:dyDescent="0.7">
      <c r="A7366" s="49">
        <v>44913.628838749995</v>
      </c>
      <c r="B7366" s="50" t="s">
        <v>19</v>
      </c>
      <c r="C7366" s="50" t="s">
        <v>608</v>
      </c>
      <c r="D7366" s="50" t="s">
        <v>259</v>
      </c>
      <c r="E7366" s="50">
        <v>-1</v>
      </c>
      <c r="F7366" s="51">
        <v>-0.68705075243074876</v>
      </c>
      <c r="G7366" s="51" t="str">
        <v>佐藤 2023/01/06 (金)
平日夜間</v>
      </c>
    </row>
    <row r="7367" spans="1:7" ht="16.149999999999999" x14ac:dyDescent="0.7">
      <c r="A7367" s="49">
        <v>44913.628838749995</v>
      </c>
      <c r="B7367" s="50" t="s">
        <v>19</v>
      </c>
      <c r="C7367" s="50" t="s">
        <v>609</v>
      </c>
      <c r="D7367" s="50" t="s">
        <v>263</v>
      </c>
      <c r="E7367" s="50">
        <v>0</v>
      </c>
      <c r="F7367" s="51">
        <v>0.65977685467126079</v>
      </c>
      <c r="G7367" s="51" t="str">
        <v>佐藤 2023/01/07 (土)
休日午前</v>
      </c>
    </row>
    <row r="7368" spans="1:7" ht="16.149999999999999" x14ac:dyDescent="0.7">
      <c r="A7368" s="49">
        <v>44913.628838749995</v>
      </c>
      <c r="B7368" s="50" t="s">
        <v>19</v>
      </c>
      <c r="C7368" s="50" t="s">
        <v>610</v>
      </c>
      <c r="D7368" s="50" t="s">
        <v>261</v>
      </c>
      <c r="E7368" s="50">
        <v>-1</v>
      </c>
      <c r="F7368" s="51">
        <v>-0.52838164555972966</v>
      </c>
      <c r="G7368" s="51" t="str">
        <v>佐藤 2023/01/07 (土)
休日午後</v>
      </c>
    </row>
    <row r="7369" spans="1:7" ht="16.149999999999999" x14ac:dyDescent="0.7">
      <c r="A7369" s="49">
        <v>44913.628838749995</v>
      </c>
      <c r="B7369" s="50" t="s">
        <v>19</v>
      </c>
      <c r="C7369" s="50" t="s">
        <v>611</v>
      </c>
      <c r="D7369" s="50" t="s">
        <v>263</v>
      </c>
      <c r="E7369" s="50">
        <v>-1</v>
      </c>
      <c r="F7369" s="51">
        <v>-0.32522732164699875</v>
      </c>
      <c r="G7369" s="51" t="str">
        <v>佐藤 2023/01/08 (日)
休日午前</v>
      </c>
    </row>
    <row r="7370" spans="1:7" ht="16.149999999999999" x14ac:dyDescent="0.7">
      <c r="A7370" s="49">
        <v>44913.628838749995</v>
      </c>
      <c r="B7370" s="50" t="s">
        <v>19</v>
      </c>
      <c r="C7370" s="50" t="s">
        <v>612</v>
      </c>
      <c r="D7370" s="50" t="s">
        <v>261</v>
      </c>
      <c r="E7370" s="50">
        <v>-1</v>
      </c>
      <c r="F7370" s="51">
        <v>-0.27734012295278609</v>
      </c>
      <c r="G7370" s="51" t="str">
        <v>佐藤 2023/01/08 (日)
休日午後</v>
      </c>
    </row>
    <row r="7371" spans="1:7" ht="16.149999999999999" x14ac:dyDescent="0.7">
      <c r="A7371" s="49">
        <v>44913.628838749995</v>
      </c>
      <c r="B7371" s="50" t="s">
        <v>19</v>
      </c>
      <c r="C7371" s="50" t="s">
        <v>613</v>
      </c>
      <c r="D7371" s="50" t="s">
        <v>263</v>
      </c>
      <c r="E7371" s="50">
        <v>-1</v>
      </c>
      <c r="F7371" s="51">
        <v>-0.14479448677696438</v>
      </c>
      <c r="G7371" s="51" t="str">
        <v>佐藤 2023/01/09 (月)
休日午前</v>
      </c>
    </row>
    <row r="7372" spans="1:7" ht="16.149999999999999" x14ac:dyDescent="0.7">
      <c r="A7372" s="49">
        <v>44913.628838749995</v>
      </c>
      <c r="B7372" s="50" t="s">
        <v>19</v>
      </c>
      <c r="C7372" s="50" t="s">
        <v>614</v>
      </c>
      <c r="D7372" s="50" t="s">
        <v>261</v>
      </c>
      <c r="E7372" s="50">
        <v>-1</v>
      </c>
      <c r="F7372" s="51">
        <v>-0.67588994601406061</v>
      </c>
      <c r="G7372" s="51" t="str">
        <v>佐藤 2023/01/09 (月)
休日午後</v>
      </c>
    </row>
    <row r="7373" spans="1:7" ht="16.149999999999999" x14ac:dyDescent="0.7">
      <c r="A7373" s="49">
        <v>44913.628838749995</v>
      </c>
      <c r="B7373" s="50" t="s">
        <v>19</v>
      </c>
      <c r="C7373" s="50" t="s">
        <v>615</v>
      </c>
      <c r="D7373" s="50" t="s">
        <v>259</v>
      </c>
      <c r="E7373" s="50">
        <v>-1</v>
      </c>
      <c r="F7373" s="51">
        <v>-0.19610580529461141</v>
      </c>
      <c r="G7373" s="51" t="str">
        <v>佐藤 2023/01/10 (火)
平日夜間</v>
      </c>
    </row>
    <row r="7374" spans="1:7" ht="16.149999999999999" x14ac:dyDescent="0.7">
      <c r="A7374" s="49">
        <v>44913.628838749995</v>
      </c>
      <c r="B7374" s="50" t="s">
        <v>19</v>
      </c>
      <c r="C7374" s="50" t="s">
        <v>616</v>
      </c>
      <c r="D7374" s="50" t="s">
        <v>259</v>
      </c>
      <c r="E7374" s="50">
        <v>0</v>
      </c>
      <c r="F7374" s="51">
        <v>0.77934972602790209</v>
      </c>
      <c r="G7374" s="51" t="str">
        <v>佐藤 2023/01/11 (水)
平日夜間</v>
      </c>
    </row>
    <row r="7375" spans="1:7" ht="16.149999999999999" x14ac:dyDescent="0.7">
      <c r="A7375" s="49">
        <v>44913.628838749995</v>
      </c>
      <c r="B7375" s="50" t="s">
        <v>19</v>
      </c>
      <c r="C7375" s="50" t="s">
        <v>617</v>
      </c>
      <c r="D7375" s="50" t="s">
        <v>259</v>
      </c>
      <c r="E7375" s="50">
        <v>0</v>
      </c>
      <c r="F7375" s="51">
        <v>0.17111338745126692</v>
      </c>
      <c r="G7375" s="51" t="str">
        <v>佐藤 2023/01/12 (木)
平日夜間</v>
      </c>
    </row>
    <row r="7376" spans="1:7" ht="16.149999999999999" x14ac:dyDescent="0.7">
      <c r="A7376" s="49">
        <v>44913.628838749995</v>
      </c>
      <c r="B7376" s="50" t="s">
        <v>19</v>
      </c>
      <c r="C7376" s="50" t="s">
        <v>618</v>
      </c>
      <c r="D7376" s="50" t="s">
        <v>259</v>
      </c>
      <c r="E7376" s="50">
        <v>-1</v>
      </c>
      <c r="F7376" s="51">
        <v>-0.58233076025264685</v>
      </c>
      <c r="G7376" s="51" t="str">
        <v>佐藤 2023/01/13 (金)
平日夜間</v>
      </c>
    </row>
    <row r="7377" spans="1:7" ht="16.149999999999999" x14ac:dyDescent="0.7">
      <c r="A7377" s="49">
        <v>44913.628838749995</v>
      </c>
      <c r="B7377" s="50" t="s">
        <v>19</v>
      </c>
      <c r="C7377" s="50" t="s">
        <v>619</v>
      </c>
      <c r="D7377" s="50" t="s">
        <v>263</v>
      </c>
      <c r="E7377" s="50">
        <v>-1</v>
      </c>
      <c r="F7377" s="51">
        <v>-0.29468167308763671</v>
      </c>
      <c r="G7377" s="51" t="str">
        <v>佐藤 2023/01/14 (土)
休日午前</v>
      </c>
    </row>
    <row r="7378" spans="1:7" ht="16.149999999999999" x14ac:dyDescent="0.7">
      <c r="A7378" s="49">
        <v>44913.628838749995</v>
      </c>
      <c r="B7378" s="50" t="s">
        <v>19</v>
      </c>
      <c r="C7378" s="50" t="s">
        <v>620</v>
      </c>
      <c r="D7378" s="50" t="s">
        <v>261</v>
      </c>
      <c r="E7378" s="50">
        <v>-1</v>
      </c>
      <c r="F7378" s="51">
        <v>-0.63750308627080465</v>
      </c>
      <c r="G7378" s="51" t="str">
        <v>佐藤 2023/01/14 (土)
休日午後</v>
      </c>
    </row>
    <row r="7379" spans="1:7" ht="16.149999999999999" x14ac:dyDescent="0.7">
      <c r="A7379" s="49">
        <v>44913.628838749995</v>
      </c>
      <c r="B7379" s="50" t="s">
        <v>19</v>
      </c>
      <c r="C7379" s="50" t="s">
        <v>621</v>
      </c>
      <c r="D7379" s="50" t="s">
        <v>263</v>
      </c>
      <c r="E7379" s="50">
        <v>-1</v>
      </c>
      <c r="F7379" s="51">
        <v>-0.56598347083327516</v>
      </c>
      <c r="G7379" s="51" t="str">
        <v>佐藤 2023/01/15 (日)
休日午前</v>
      </c>
    </row>
    <row r="7380" spans="1:7" ht="16.149999999999999" x14ac:dyDescent="0.7">
      <c r="A7380" s="49">
        <v>44913.628838749995</v>
      </c>
      <c r="B7380" s="50" t="s">
        <v>19</v>
      </c>
      <c r="C7380" s="50" t="s">
        <v>622</v>
      </c>
      <c r="D7380" s="50" t="s">
        <v>261</v>
      </c>
      <c r="E7380" s="50">
        <v>-1</v>
      </c>
      <c r="F7380" s="51">
        <v>-0.51420518032278029</v>
      </c>
      <c r="G7380" s="51" t="str">
        <v>佐藤 2023/01/15 (日)
休日午後</v>
      </c>
    </row>
    <row r="7381" spans="1:7" ht="16.149999999999999" x14ac:dyDescent="0.7">
      <c r="A7381" s="49">
        <v>44913.628838749995</v>
      </c>
      <c r="B7381" s="50" t="s">
        <v>19</v>
      </c>
      <c r="C7381" s="50" t="s">
        <v>623</v>
      </c>
      <c r="D7381" s="50" t="s">
        <v>259</v>
      </c>
      <c r="E7381" s="50">
        <v>-1</v>
      </c>
      <c r="F7381" s="51">
        <v>-0.8423572503416612</v>
      </c>
      <c r="G7381" s="51" t="str">
        <v>佐藤 2023/01/16 (月)
平日夜間</v>
      </c>
    </row>
    <row r="7382" spans="1:7" ht="16.149999999999999" x14ac:dyDescent="0.7">
      <c r="A7382" s="49">
        <v>44913.628838749995</v>
      </c>
      <c r="B7382" s="50" t="s">
        <v>19</v>
      </c>
      <c r="C7382" s="50" t="s">
        <v>624</v>
      </c>
      <c r="D7382" s="50" t="s">
        <v>259</v>
      </c>
      <c r="E7382" s="50">
        <v>0</v>
      </c>
      <c r="F7382" s="51">
        <v>0.86715692746588457</v>
      </c>
      <c r="G7382" s="51" t="str">
        <v>佐藤 2023/01/17 (火)
平日夜間</v>
      </c>
    </row>
    <row r="7383" spans="1:7" ht="16.149999999999999" x14ac:dyDescent="0.7">
      <c r="A7383" s="49">
        <v>44913.628838749995</v>
      </c>
      <c r="B7383" s="50" t="s">
        <v>19</v>
      </c>
      <c r="C7383" s="50" t="s">
        <v>625</v>
      </c>
      <c r="D7383" s="50" t="s">
        <v>259</v>
      </c>
      <c r="E7383" s="50">
        <v>0</v>
      </c>
      <c r="F7383" s="51">
        <v>0.16471420207465015</v>
      </c>
      <c r="G7383" s="51" t="str">
        <v>佐藤 2023/01/18 (水)
平日夜間</v>
      </c>
    </row>
    <row r="7384" spans="1:7" ht="16.149999999999999" x14ac:dyDescent="0.7">
      <c r="A7384" s="49">
        <v>44913.628838749995</v>
      </c>
      <c r="B7384" s="50" t="s">
        <v>19</v>
      </c>
      <c r="C7384" s="50" t="s">
        <v>626</v>
      </c>
      <c r="D7384" s="50" t="s">
        <v>259</v>
      </c>
      <c r="E7384" s="50">
        <v>0</v>
      </c>
      <c r="F7384" s="51">
        <v>0.32801993385905348</v>
      </c>
      <c r="G7384" s="51" t="str">
        <v>佐藤 2023/01/19 (木)
平日夜間</v>
      </c>
    </row>
    <row r="7385" spans="1:7" ht="16.149999999999999" x14ac:dyDescent="0.7">
      <c r="A7385" s="49">
        <v>44913.628838749995</v>
      </c>
      <c r="B7385" s="50" t="s">
        <v>19</v>
      </c>
      <c r="C7385" s="50" t="s">
        <v>627</v>
      </c>
      <c r="D7385" s="50" t="s">
        <v>259</v>
      </c>
      <c r="E7385" s="50">
        <v>-1</v>
      </c>
      <c r="F7385" s="51">
        <v>-1.6518651465993406E-2</v>
      </c>
      <c r="G7385" s="51" t="str">
        <v>佐藤 2023/01/20 (金)
平日夜間</v>
      </c>
    </row>
    <row r="7386" spans="1:7" ht="16.149999999999999" x14ac:dyDescent="0.7">
      <c r="A7386" s="49">
        <v>44913.628838749995</v>
      </c>
      <c r="B7386" s="50" t="s">
        <v>19</v>
      </c>
      <c r="C7386" s="50" t="s">
        <v>628</v>
      </c>
      <c r="D7386" s="50" t="s">
        <v>263</v>
      </c>
      <c r="E7386" s="50">
        <v>0</v>
      </c>
      <c r="F7386" s="51">
        <v>0.47535751087185774</v>
      </c>
      <c r="G7386" s="51" t="str">
        <v>佐藤 2023/01/21 (土)
休日午前</v>
      </c>
    </row>
    <row r="7387" spans="1:7" ht="16.149999999999999" x14ac:dyDescent="0.7">
      <c r="A7387" s="49">
        <v>44913.628838749995</v>
      </c>
      <c r="B7387" s="50" t="s">
        <v>19</v>
      </c>
      <c r="C7387" s="50" t="s">
        <v>629</v>
      </c>
      <c r="D7387" s="50" t="s">
        <v>261</v>
      </c>
      <c r="E7387" s="50">
        <v>-1</v>
      </c>
      <c r="F7387" s="51">
        <v>-0.80885390070970065</v>
      </c>
      <c r="G7387" s="51" t="str">
        <v>佐藤 2023/01/21 (土)
休日午後</v>
      </c>
    </row>
    <row r="7388" spans="1:7" ht="16.149999999999999" x14ac:dyDescent="0.7">
      <c r="A7388" s="49">
        <v>44913.628838749995</v>
      </c>
      <c r="B7388" s="50" t="s">
        <v>19</v>
      </c>
      <c r="C7388" s="50" t="s">
        <v>630</v>
      </c>
      <c r="D7388" s="50" t="s">
        <v>263</v>
      </c>
      <c r="E7388" s="50">
        <v>2</v>
      </c>
      <c r="F7388" s="51">
        <v>2.4004543050468516</v>
      </c>
      <c r="G7388" s="51" t="str">
        <v>佐藤 2023/01/22 (日)
休日午前</v>
      </c>
    </row>
    <row r="7389" spans="1:7" ht="16.149999999999999" x14ac:dyDescent="0.7">
      <c r="A7389" s="49">
        <v>44913.628838749995</v>
      </c>
      <c r="B7389" s="50" t="s">
        <v>19</v>
      </c>
      <c r="C7389" s="50" t="s">
        <v>631</v>
      </c>
      <c r="D7389" s="50" t="s">
        <v>261</v>
      </c>
      <c r="E7389" s="50">
        <v>-1</v>
      </c>
      <c r="F7389" s="51">
        <v>-0.75958139640187916</v>
      </c>
      <c r="G7389" s="51" t="str">
        <v>佐藤 2023/01/22 (日)
休日午後</v>
      </c>
    </row>
    <row r="7390" spans="1:7" ht="16.149999999999999" x14ac:dyDescent="0.7">
      <c r="A7390" s="49">
        <v>44913.628838749995</v>
      </c>
      <c r="B7390" s="50" t="s">
        <v>19</v>
      </c>
      <c r="C7390" s="50" t="s">
        <v>632</v>
      </c>
      <c r="D7390" s="50" t="s">
        <v>259</v>
      </c>
      <c r="E7390" s="50">
        <v>-1</v>
      </c>
      <c r="F7390" s="51">
        <v>-9.3673026631049261E-2</v>
      </c>
      <c r="G7390" s="51" t="str">
        <v>佐藤 2023/01/23 (月)
平日夜間</v>
      </c>
    </row>
    <row r="7391" spans="1:7" ht="16.149999999999999" x14ac:dyDescent="0.7">
      <c r="A7391" s="49">
        <v>44913.628838749995</v>
      </c>
      <c r="B7391" s="50" t="s">
        <v>19</v>
      </c>
      <c r="C7391" s="50" t="s">
        <v>633</v>
      </c>
      <c r="D7391" s="50" t="s">
        <v>259</v>
      </c>
      <c r="E7391" s="50">
        <v>0</v>
      </c>
      <c r="F7391" s="51">
        <v>0.48418422717449561</v>
      </c>
      <c r="G7391" s="51" t="str">
        <v>佐藤 2023/01/24 (火)
平日夜間</v>
      </c>
    </row>
    <row r="7392" spans="1:7" ht="16.149999999999999" x14ac:dyDescent="0.7">
      <c r="A7392" s="49">
        <v>44913.628838749995</v>
      </c>
      <c r="B7392" s="50" t="s">
        <v>19</v>
      </c>
      <c r="C7392" s="50" t="s">
        <v>634</v>
      </c>
      <c r="D7392" s="50" t="s">
        <v>259</v>
      </c>
      <c r="E7392" s="50">
        <v>0</v>
      </c>
      <c r="F7392" s="51">
        <v>0.32599934959316346</v>
      </c>
      <c r="G7392" s="51" t="str">
        <v>佐藤 2023/01/25 (水)
平日夜間</v>
      </c>
    </row>
    <row r="7393" spans="1:7" ht="16.149999999999999" x14ac:dyDescent="0.7">
      <c r="A7393" s="49">
        <v>44913.628838749995</v>
      </c>
      <c r="B7393" s="50" t="s">
        <v>19</v>
      </c>
      <c r="C7393" s="50" t="s">
        <v>635</v>
      </c>
      <c r="D7393" s="50" t="s">
        <v>259</v>
      </c>
      <c r="E7393" s="50">
        <v>-1</v>
      </c>
      <c r="F7393" s="51">
        <v>-0.95673857462505807</v>
      </c>
      <c r="G7393" s="51" t="str">
        <v>佐藤 2023/01/26 (木)
平日夜間</v>
      </c>
    </row>
    <row r="7394" spans="1:7" ht="16.149999999999999" x14ac:dyDescent="0.7">
      <c r="A7394" s="49">
        <v>44913.628838749995</v>
      </c>
      <c r="B7394" s="50" t="s">
        <v>19</v>
      </c>
      <c r="C7394" s="50" t="s">
        <v>636</v>
      </c>
      <c r="D7394" s="50" t="s">
        <v>259</v>
      </c>
      <c r="E7394" s="50">
        <v>-1</v>
      </c>
      <c r="F7394" s="51">
        <v>-9.2695988651708472E-2</v>
      </c>
      <c r="G7394" s="51" t="str">
        <v>佐藤 2023/01/27 (金)
平日夜間</v>
      </c>
    </row>
    <row r="7395" spans="1:7" ht="16.149999999999999" x14ac:dyDescent="0.7">
      <c r="A7395" s="49">
        <v>44913.628838749995</v>
      </c>
      <c r="B7395" s="50" t="s">
        <v>19</v>
      </c>
      <c r="C7395" s="50" t="s">
        <v>637</v>
      </c>
      <c r="D7395" s="50" t="s">
        <v>263</v>
      </c>
      <c r="E7395" s="50">
        <v>-1</v>
      </c>
      <c r="F7395" s="51">
        <v>-0.59266524991588465</v>
      </c>
      <c r="G7395" s="51" t="str">
        <v>佐藤 2023/01/28 (土)
休日午前</v>
      </c>
    </row>
    <row r="7396" spans="1:7" ht="16.149999999999999" x14ac:dyDescent="0.7">
      <c r="A7396" s="49">
        <v>44913.628838749995</v>
      </c>
      <c r="B7396" s="50" t="s">
        <v>19</v>
      </c>
      <c r="C7396" s="50" t="s">
        <v>638</v>
      </c>
      <c r="D7396" s="50" t="s">
        <v>261</v>
      </c>
      <c r="E7396" s="50">
        <v>-1</v>
      </c>
      <c r="F7396" s="51">
        <v>-3.5949294080165117E-2</v>
      </c>
      <c r="G7396" s="51" t="str">
        <v>佐藤 2023/01/28 (土)
休日午後</v>
      </c>
    </row>
    <row r="7397" spans="1:7" ht="16.149999999999999" x14ac:dyDescent="0.7">
      <c r="A7397" s="49">
        <v>44913.628838749995</v>
      </c>
      <c r="B7397" s="50" t="s">
        <v>19</v>
      </c>
      <c r="C7397" s="50" t="s">
        <v>639</v>
      </c>
      <c r="D7397" s="50" t="s">
        <v>263</v>
      </c>
      <c r="E7397" s="50">
        <v>-1</v>
      </c>
      <c r="F7397" s="51">
        <v>-0.66569283086851483</v>
      </c>
      <c r="G7397" s="51" t="str">
        <v>佐藤 2023/01/29 (日)
休日午前</v>
      </c>
    </row>
    <row r="7398" spans="1:7" ht="16.149999999999999" x14ac:dyDescent="0.7">
      <c r="A7398" s="49">
        <v>44913.628838749995</v>
      </c>
      <c r="B7398" s="50" t="s">
        <v>19</v>
      </c>
      <c r="C7398" s="50" t="s">
        <v>640</v>
      </c>
      <c r="D7398" s="50" t="s">
        <v>261</v>
      </c>
      <c r="E7398" s="50">
        <v>-1</v>
      </c>
      <c r="F7398" s="51">
        <v>-0.75773815933337141</v>
      </c>
      <c r="G7398" s="51" t="str">
        <v>佐藤 2023/01/29 (日)
休日午後</v>
      </c>
    </row>
    <row r="7399" spans="1:7" ht="16.149999999999999" x14ac:dyDescent="0.7">
      <c r="A7399" s="49">
        <v>44913.628838749995</v>
      </c>
      <c r="B7399" s="50" t="s">
        <v>19</v>
      </c>
      <c r="C7399" s="50" t="s">
        <v>641</v>
      </c>
      <c r="D7399" s="50" t="s">
        <v>259</v>
      </c>
      <c r="E7399" s="50">
        <v>-1</v>
      </c>
      <c r="F7399" s="51">
        <v>-0.84613260023962811</v>
      </c>
      <c r="G7399" s="51" t="str">
        <v>佐藤 2023/01/30 (月)
平日夜間</v>
      </c>
    </row>
    <row r="7400" spans="1:7" ht="16.149999999999999" x14ac:dyDescent="0.7">
      <c r="A7400" s="49">
        <v>44913.628838749995</v>
      </c>
      <c r="B7400" s="50" t="s">
        <v>19</v>
      </c>
      <c r="C7400" s="50" t="s">
        <v>642</v>
      </c>
      <c r="D7400" s="50" t="s">
        <v>259</v>
      </c>
      <c r="E7400" s="50">
        <v>-1</v>
      </c>
      <c r="F7400" s="51">
        <v>-0.90050435060489709</v>
      </c>
      <c r="G7400" s="51" t="str">
        <v>佐藤 2023/01/31 (火)
平日夜間</v>
      </c>
    </row>
    <row r="7401" spans="1:7" ht="16.149999999999999" x14ac:dyDescent="0.7">
      <c r="A7401" s="49">
        <v>44914.559453553244</v>
      </c>
      <c r="B7401" s="50" t="s">
        <v>200</v>
      </c>
      <c r="C7401" s="50" t="s">
        <v>606</v>
      </c>
      <c r="D7401" s="50" t="s">
        <v>259</v>
      </c>
      <c r="E7401" s="50">
        <v>0</v>
      </c>
      <c r="F7401" s="51">
        <v>0.5772593669296735</v>
      </c>
      <c r="G7401" s="51" t="str">
        <v>西堂 2023/01/04 (水)
平日夜間</v>
      </c>
    </row>
    <row r="7402" spans="1:7" ht="16.149999999999999" x14ac:dyDescent="0.7">
      <c r="A7402" s="49">
        <v>44914.559453553244</v>
      </c>
      <c r="B7402" s="50" t="s">
        <v>200</v>
      </c>
      <c r="C7402" s="50" t="s">
        <v>607</v>
      </c>
      <c r="D7402" s="50" t="s">
        <v>259</v>
      </c>
      <c r="E7402" s="50">
        <v>0</v>
      </c>
      <c r="F7402" s="51">
        <v>0.61501661617188641</v>
      </c>
      <c r="G7402" s="51" t="str">
        <v>西堂 2023/01/05 (木)
平日夜間</v>
      </c>
    </row>
    <row r="7403" spans="1:7" ht="16.149999999999999" x14ac:dyDescent="0.7">
      <c r="A7403" s="49">
        <v>44914.559453553244</v>
      </c>
      <c r="B7403" s="50" t="s">
        <v>200</v>
      </c>
      <c r="C7403" s="50" t="s">
        <v>608</v>
      </c>
      <c r="D7403" s="50" t="s">
        <v>259</v>
      </c>
      <c r="E7403" s="50">
        <v>0</v>
      </c>
      <c r="F7403" s="51">
        <v>0.47491353337879683</v>
      </c>
      <c r="G7403" s="51" t="str">
        <v>西堂 2023/01/06 (金)
平日夜間</v>
      </c>
    </row>
    <row r="7404" spans="1:7" ht="16.149999999999999" x14ac:dyDescent="0.7">
      <c r="A7404" s="49">
        <v>44914.559453553244</v>
      </c>
      <c r="B7404" s="50" t="s">
        <v>200</v>
      </c>
      <c r="C7404" s="50" t="s">
        <v>609</v>
      </c>
      <c r="D7404" s="50" t="s">
        <v>263</v>
      </c>
      <c r="E7404" s="50">
        <v>-1</v>
      </c>
      <c r="F7404" s="51">
        <v>-0.25034792952086593</v>
      </c>
      <c r="G7404" s="51" t="str">
        <v>西堂 2023/01/07 (土)
休日午前</v>
      </c>
    </row>
    <row r="7405" spans="1:7" ht="16.149999999999999" x14ac:dyDescent="0.7">
      <c r="A7405" s="49">
        <v>44914.559453553244</v>
      </c>
      <c r="B7405" s="50" t="s">
        <v>200</v>
      </c>
      <c r="C7405" s="50" t="s">
        <v>610</v>
      </c>
      <c r="D7405" s="50" t="s">
        <v>261</v>
      </c>
      <c r="E7405" s="50">
        <v>-1</v>
      </c>
      <c r="F7405" s="51">
        <v>-0.69200843170581305</v>
      </c>
      <c r="G7405" s="51" t="str">
        <v>西堂 2023/01/07 (土)
休日午後</v>
      </c>
    </row>
    <row r="7406" spans="1:7" ht="16.149999999999999" x14ac:dyDescent="0.7">
      <c r="A7406" s="49">
        <v>44914.559453553244</v>
      </c>
      <c r="B7406" s="50" t="s">
        <v>200</v>
      </c>
      <c r="C7406" s="50" t="s">
        <v>611</v>
      </c>
      <c r="D7406" s="50" t="s">
        <v>263</v>
      </c>
      <c r="E7406" s="50">
        <v>-1</v>
      </c>
      <c r="F7406" s="51">
        <v>-0.94274163264759059</v>
      </c>
      <c r="G7406" s="51" t="str">
        <v>西堂 2023/01/08 (日)
休日午前</v>
      </c>
    </row>
    <row r="7407" spans="1:7" ht="16.149999999999999" x14ac:dyDescent="0.7">
      <c r="A7407" s="49">
        <v>44914.559453553244</v>
      </c>
      <c r="B7407" s="50" t="s">
        <v>200</v>
      </c>
      <c r="C7407" s="50" t="s">
        <v>612</v>
      </c>
      <c r="D7407" s="50" t="s">
        <v>261</v>
      </c>
      <c r="E7407" s="50">
        <v>-1</v>
      </c>
      <c r="F7407" s="51">
        <v>-0.59543762734082439</v>
      </c>
      <c r="G7407" s="51" t="str">
        <v>西堂 2023/01/08 (日)
休日午後</v>
      </c>
    </row>
    <row r="7408" spans="1:7" ht="16.149999999999999" x14ac:dyDescent="0.7">
      <c r="A7408" s="49">
        <v>44914.559453553244</v>
      </c>
      <c r="B7408" s="50" t="s">
        <v>200</v>
      </c>
      <c r="C7408" s="50" t="s">
        <v>613</v>
      </c>
      <c r="D7408" s="50" t="s">
        <v>263</v>
      </c>
      <c r="E7408" s="50">
        <v>0</v>
      </c>
      <c r="F7408" s="51">
        <v>1.4629652039601204E-2</v>
      </c>
      <c r="G7408" s="51" t="str">
        <v>西堂 2023/01/09 (月)
休日午前</v>
      </c>
    </row>
    <row r="7409" spans="1:7" ht="16.149999999999999" x14ac:dyDescent="0.7">
      <c r="A7409" s="49">
        <v>44914.559453553244</v>
      </c>
      <c r="B7409" s="50" t="s">
        <v>200</v>
      </c>
      <c r="C7409" s="50" t="s">
        <v>614</v>
      </c>
      <c r="D7409" s="50" t="s">
        <v>261</v>
      </c>
      <c r="E7409" s="50">
        <v>0</v>
      </c>
      <c r="F7409" s="51">
        <v>0.43601143904722472</v>
      </c>
      <c r="G7409" s="51" t="str">
        <v>西堂 2023/01/09 (月)
休日午後</v>
      </c>
    </row>
    <row r="7410" spans="1:7" ht="16.149999999999999" x14ac:dyDescent="0.7">
      <c r="A7410" s="49">
        <v>44914.559453553244</v>
      </c>
      <c r="B7410" s="50" t="s">
        <v>200</v>
      </c>
      <c r="C7410" s="50" t="s">
        <v>615</v>
      </c>
      <c r="D7410" s="50" t="s">
        <v>259</v>
      </c>
      <c r="E7410" s="50">
        <v>0</v>
      </c>
      <c r="F7410" s="51">
        <v>0.67890092820189296</v>
      </c>
      <c r="G7410" s="51" t="str">
        <v>西堂 2023/01/10 (火)
平日夜間</v>
      </c>
    </row>
    <row r="7411" spans="1:7" ht="16.149999999999999" x14ac:dyDescent="0.7">
      <c r="A7411" s="49">
        <v>44914.559453553244</v>
      </c>
      <c r="B7411" s="50" t="s">
        <v>200</v>
      </c>
      <c r="C7411" s="50" t="s">
        <v>616</v>
      </c>
      <c r="D7411" s="50" t="s">
        <v>259</v>
      </c>
      <c r="E7411" s="50">
        <v>0</v>
      </c>
      <c r="F7411" s="51">
        <v>0.52515569521888561</v>
      </c>
      <c r="G7411" s="51" t="str">
        <v>西堂 2023/01/11 (水)
平日夜間</v>
      </c>
    </row>
    <row r="7412" spans="1:7" ht="16.149999999999999" x14ac:dyDescent="0.7">
      <c r="A7412" s="49">
        <v>44914.559453553244</v>
      </c>
      <c r="B7412" s="50" t="s">
        <v>200</v>
      </c>
      <c r="C7412" s="50" t="s">
        <v>617</v>
      </c>
      <c r="D7412" s="50" t="s">
        <v>259</v>
      </c>
      <c r="E7412" s="50">
        <v>0</v>
      </c>
      <c r="F7412" s="51">
        <v>0.86171125953460925</v>
      </c>
      <c r="G7412" s="51" t="str">
        <v>西堂 2023/01/12 (木)
平日夜間</v>
      </c>
    </row>
    <row r="7413" spans="1:7" ht="16.149999999999999" x14ac:dyDescent="0.7">
      <c r="A7413" s="49">
        <v>44914.559453553244</v>
      </c>
      <c r="B7413" s="50" t="s">
        <v>200</v>
      </c>
      <c r="C7413" s="50" t="s">
        <v>618</v>
      </c>
      <c r="D7413" s="50" t="s">
        <v>259</v>
      </c>
      <c r="E7413" s="50">
        <v>0</v>
      </c>
      <c r="F7413" s="51">
        <v>0.79485101326093144</v>
      </c>
      <c r="G7413" s="51" t="str">
        <v>西堂 2023/01/13 (金)
平日夜間</v>
      </c>
    </row>
    <row r="7414" spans="1:7" ht="16.149999999999999" x14ac:dyDescent="0.7">
      <c r="A7414" s="49">
        <v>44914.559453553244</v>
      </c>
      <c r="B7414" s="50" t="s">
        <v>200</v>
      </c>
      <c r="C7414" s="50" t="s">
        <v>619</v>
      </c>
      <c r="D7414" s="50" t="s">
        <v>263</v>
      </c>
      <c r="E7414" s="50">
        <v>-1</v>
      </c>
      <c r="F7414" s="51">
        <v>-6.7794427123371026E-3</v>
      </c>
      <c r="G7414" s="51" t="str">
        <v>西堂 2023/01/14 (土)
休日午前</v>
      </c>
    </row>
    <row r="7415" spans="1:7" ht="16.149999999999999" x14ac:dyDescent="0.7">
      <c r="A7415" s="49">
        <v>44914.559453553244</v>
      </c>
      <c r="B7415" s="50" t="s">
        <v>200</v>
      </c>
      <c r="C7415" s="50" t="s">
        <v>620</v>
      </c>
      <c r="D7415" s="50" t="s">
        <v>261</v>
      </c>
      <c r="E7415" s="50">
        <v>-1</v>
      </c>
      <c r="F7415" s="51">
        <v>-0.25892835457093177</v>
      </c>
      <c r="G7415" s="51" t="str">
        <v>西堂 2023/01/14 (土)
休日午後</v>
      </c>
    </row>
    <row r="7416" spans="1:7" ht="16.149999999999999" x14ac:dyDescent="0.7">
      <c r="A7416" s="49">
        <v>44914.559453553244</v>
      </c>
      <c r="B7416" s="50" t="s">
        <v>200</v>
      </c>
      <c r="C7416" s="50" t="s">
        <v>621</v>
      </c>
      <c r="D7416" s="50" t="s">
        <v>263</v>
      </c>
      <c r="E7416" s="50">
        <v>0</v>
      </c>
      <c r="F7416" s="51">
        <v>1.6090784185135432E-2</v>
      </c>
      <c r="G7416" s="51" t="str">
        <v>西堂 2023/01/15 (日)
休日午前</v>
      </c>
    </row>
    <row r="7417" spans="1:7" ht="16.149999999999999" x14ac:dyDescent="0.7">
      <c r="A7417" s="49">
        <v>44914.559453553244</v>
      </c>
      <c r="B7417" s="50" t="s">
        <v>200</v>
      </c>
      <c r="C7417" s="50" t="s">
        <v>622</v>
      </c>
      <c r="D7417" s="50" t="s">
        <v>261</v>
      </c>
      <c r="E7417" s="50">
        <v>0</v>
      </c>
      <c r="F7417" s="51">
        <v>0.3750515997733499</v>
      </c>
      <c r="G7417" s="51" t="str">
        <v>西堂 2023/01/15 (日)
休日午後</v>
      </c>
    </row>
    <row r="7418" spans="1:7" ht="16.149999999999999" x14ac:dyDescent="0.7">
      <c r="A7418" s="49">
        <v>44914.559453553244</v>
      </c>
      <c r="B7418" s="50" t="s">
        <v>200</v>
      </c>
      <c r="C7418" s="50" t="s">
        <v>623</v>
      </c>
      <c r="D7418" s="50" t="s">
        <v>259</v>
      </c>
      <c r="E7418" s="50">
        <v>0</v>
      </c>
      <c r="F7418" s="51">
        <v>9.0131574803377967E-2</v>
      </c>
      <c r="G7418" s="51" t="str">
        <v>西堂 2023/01/16 (月)
平日夜間</v>
      </c>
    </row>
    <row r="7419" spans="1:7" ht="16.149999999999999" x14ac:dyDescent="0.7">
      <c r="A7419" s="49">
        <v>44914.559453553244</v>
      </c>
      <c r="B7419" s="50" t="s">
        <v>200</v>
      </c>
      <c r="C7419" s="50" t="s">
        <v>624</v>
      </c>
      <c r="D7419" s="50" t="s">
        <v>259</v>
      </c>
      <c r="E7419" s="50">
        <v>0</v>
      </c>
      <c r="F7419" s="51">
        <v>0.276386641811319</v>
      </c>
      <c r="G7419" s="51" t="str">
        <v>西堂 2023/01/17 (火)
平日夜間</v>
      </c>
    </row>
    <row r="7420" spans="1:7" ht="16.149999999999999" x14ac:dyDescent="0.7">
      <c r="A7420" s="49">
        <v>44914.559453553244</v>
      </c>
      <c r="B7420" s="50" t="s">
        <v>200</v>
      </c>
      <c r="C7420" s="50" t="s">
        <v>625</v>
      </c>
      <c r="D7420" s="50" t="s">
        <v>259</v>
      </c>
      <c r="E7420" s="50">
        <v>0</v>
      </c>
      <c r="F7420" s="51">
        <v>3.1502527074272146E-2</v>
      </c>
      <c r="G7420" s="51" t="str">
        <v>西堂 2023/01/18 (水)
平日夜間</v>
      </c>
    </row>
    <row r="7421" spans="1:7" ht="16.149999999999999" x14ac:dyDescent="0.7">
      <c r="A7421" s="49">
        <v>44914.559453553244</v>
      </c>
      <c r="B7421" s="50" t="s">
        <v>200</v>
      </c>
      <c r="C7421" s="50" t="s">
        <v>626</v>
      </c>
      <c r="D7421" s="50" t="s">
        <v>259</v>
      </c>
      <c r="E7421" s="50">
        <v>0</v>
      </c>
      <c r="F7421" s="51">
        <v>0.22260170717619099</v>
      </c>
      <c r="G7421" s="51" t="str">
        <v>西堂 2023/01/19 (木)
平日夜間</v>
      </c>
    </row>
    <row r="7422" spans="1:7" ht="16.149999999999999" x14ac:dyDescent="0.7">
      <c r="A7422" s="49">
        <v>44914.559453553244</v>
      </c>
      <c r="B7422" s="50" t="s">
        <v>200</v>
      </c>
      <c r="C7422" s="50" t="s">
        <v>627</v>
      </c>
      <c r="D7422" s="50" t="s">
        <v>259</v>
      </c>
      <c r="E7422" s="50">
        <v>-1</v>
      </c>
      <c r="F7422" s="51">
        <v>-0.17859245712455252</v>
      </c>
      <c r="G7422" s="51" t="str">
        <v>西堂 2023/01/20 (金)
平日夜間</v>
      </c>
    </row>
    <row r="7423" spans="1:7" ht="16.149999999999999" x14ac:dyDescent="0.7">
      <c r="A7423" s="49">
        <v>44914.559453553244</v>
      </c>
      <c r="B7423" s="50" t="s">
        <v>200</v>
      </c>
      <c r="C7423" s="50" t="s">
        <v>628</v>
      </c>
      <c r="D7423" s="50" t="s">
        <v>263</v>
      </c>
      <c r="E7423" s="50">
        <v>-1</v>
      </c>
      <c r="F7423" s="51">
        <v>-0.36423059903231936</v>
      </c>
      <c r="G7423" s="51" t="str">
        <v>西堂 2023/01/21 (土)
休日午前</v>
      </c>
    </row>
    <row r="7424" spans="1:7" ht="16.149999999999999" x14ac:dyDescent="0.7">
      <c r="A7424" s="49">
        <v>44914.559453553244</v>
      </c>
      <c r="B7424" s="50" t="s">
        <v>200</v>
      </c>
      <c r="C7424" s="50" t="s">
        <v>629</v>
      </c>
      <c r="D7424" s="50" t="s">
        <v>261</v>
      </c>
      <c r="E7424" s="50">
        <v>-1</v>
      </c>
      <c r="F7424" s="51">
        <v>-0.75443001913004348</v>
      </c>
      <c r="G7424" s="51" t="str">
        <v>西堂 2023/01/21 (土)
休日午後</v>
      </c>
    </row>
    <row r="7425" spans="1:7" ht="16.149999999999999" x14ac:dyDescent="0.7">
      <c r="A7425" s="49">
        <v>44914.559453553244</v>
      </c>
      <c r="B7425" s="50" t="s">
        <v>200</v>
      </c>
      <c r="C7425" s="50" t="s">
        <v>630</v>
      </c>
      <c r="D7425" s="50" t="s">
        <v>263</v>
      </c>
      <c r="E7425" s="50">
        <v>-1</v>
      </c>
      <c r="F7425" s="51">
        <v>-0.66373338827955597</v>
      </c>
      <c r="G7425" s="51" t="str">
        <v>西堂 2023/01/22 (日)
休日午前</v>
      </c>
    </row>
    <row r="7426" spans="1:7" ht="16.149999999999999" x14ac:dyDescent="0.7">
      <c r="A7426" s="49">
        <v>44914.559453553244</v>
      </c>
      <c r="B7426" s="50" t="s">
        <v>200</v>
      </c>
      <c r="C7426" s="50" t="s">
        <v>631</v>
      </c>
      <c r="D7426" s="50" t="s">
        <v>261</v>
      </c>
      <c r="E7426" s="50">
        <v>-1</v>
      </c>
      <c r="F7426" s="51">
        <v>-4.6653674554304914E-2</v>
      </c>
      <c r="G7426" s="51" t="str">
        <v>西堂 2023/01/22 (日)
休日午後</v>
      </c>
    </row>
    <row r="7427" spans="1:7" ht="16.149999999999999" x14ac:dyDescent="0.7">
      <c r="A7427" s="49">
        <v>44914.559453553244</v>
      </c>
      <c r="B7427" s="50" t="s">
        <v>200</v>
      </c>
      <c r="C7427" s="50" t="s">
        <v>632</v>
      </c>
      <c r="D7427" s="50" t="s">
        <v>259</v>
      </c>
      <c r="E7427" s="50">
        <v>0</v>
      </c>
      <c r="F7427" s="51">
        <v>0.20338852239732352</v>
      </c>
      <c r="G7427" s="51" t="str">
        <v>西堂 2023/01/23 (月)
平日夜間</v>
      </c>
    </row>
    <row r="7428" spans="1:7" ht="16.149999999999999" x14ac:dyDescent="0.7">
      <c r="A7428" s="49">
        <v>44914.559453553244</v>
      </c>
      <c r="B7428" s="50" t="s">
        <v>200</v>
      </c>
      <c r="C7428" s="50" t="s">
        <v>633</v>
      </c>
      <c r="D7428" s="50" t="s">
        <v>259</v>
      </c>
      <c r="E7428" s="50">
        <v>0</v>
      </c>
      <c r="F7428" s="51">
        <v>3.2497737699269891E-2</v>
      </c>
      <c r="G7428" s="51" t="str">
        <v>西堂 2023/01/24 (火)
平日夜間</v>
      </c>
    </row>
    <row r="7429" spans="1:7" ht="16.149999999999999" x14ac:dyDescent="0.7">
      <c r="A7429" s="49">
        <v>44914.559453553244</v>
      </c>
      <c r="B7429" s="50" t="s">
        <v>200</v>
      </c>
      <c r="C7429" s="50" t="s">
        <v>634</v>
      </c>
      <c r="D7429" s="50" t="s">
        <v>259</v>
      </c>
      <c r="E7429" s="50">
        <v>0</v>
      </c>
      <c r="F7429" s="51">
        <v>0.41850880877605467</v>
      </c>
      <c r="G7429" s="51" t="str">
        <v>西堂 2023/01/25 (水)
平日夜間</v>
      </c>
    </row>
    <row r="7430" spans="1:7" ht="16.149999999999999" x14ac:dyDescent="0.7">
      <c r="A7430" s="49">
        <v>44914.559453553244</v>
      </c>
      <c r="B7430" s="50" t="s">
        <v>200</v>
      </c>
      <c r="C7430" s="50" t="s">
        <v>635</v>
      </c>
      <c r="D7430" s="50" t="s">
        <v>259</v>
      </c>
      <c r="E7430" s="50">
        <v>0</v>
      </c>
      <c r="F7430" s="51">
        <v>3.0834244837594671E-2</v>
      </c>
      <c r="G7430" s="51" t="str">
        <v>西堂 2023/01/26 (木)
平日夜間</v>
      </c>
    </row>
    <row r="7431" spans="1:7" ht="16.149999999999999" x14ac:dyDescent="0.7">
      <c r="A7431" s="49">
        <v>44914.559453553244</v>
      </c>
      <c r="B7431" s="50" t="s">
        <v>200</v>
      </c>
      <c r="C7431" s="50" t="s">
        <v>636</v>
      </c>
      <c r="D7431" s="50" t="s">
        <v>259</v>
      </c>
      <c r="E7431" s="50">
        <v>0</v>
      </c>
      <c r="F7431" s="51">
        <v>0.92049604998137391</v>
      </c>
      <c r="G7431" s="51" t="str">
        <v>西堂 2023/01/27 (金)
平日夜間</v>
      </c>
    </row>
    <row r="7432" spans="1:7" ht="16.149999999999999" x14ac:dyDescent="0.7">
      <c r="A7432" s="49">
        <v>44914.559453553244</v>
      </c>
      <c r="B7432" s="50" t="s">
        <v>200</v>
      </c>
      <c r="C7432" s="50" t="s">
        <v>637</v>
      </c>
      <c r="D7432" s="50" t="s">
        <v>263</v>
      </c>
      <c r="E7432" s="50">
        <v>-1</v>
      </c>
      <c r="F7432" s="51">
        <v>-0.94988299879082594</v>
      </c>
      <c r="G7432" s="51" t="str">
        <v>西堂 2023/01/28 (土)
休日午前</v>
      </c>
    </row>
    <row r="7433" spans="1:7" ht="16.149999999999999" x14ac:dyDescent="0.7">
      <c r="A7433" s="49">
        <v>44914.559453553244</v>
      </c>
      <c r="B7433" s="50" t="s">
        <v>200</v>
      </c>
      <c r="C7433" s="50" t="s">
        <v>638</v>
      </c>
      <c r="D7433" s="50" t="s">
        <v>261</v>
      </c>
      <c r="E7433" s="50">
        <v>-1</v>
      </c>
      <c r="F7433" s="51">
        <v>-0.82970585817792464</v>
      </c>
      <c r="G7433" s="51" t="str">
        <v>西堂 2023/01/28 (土)
休日午後</v>
      </c>
    </row>
    <row r="7434" spans="1:7" ht="16.149999999999999" x14ac:dyDescent="0.7">
      <c r="A7434" s="49">
        <v>44914.559453553244</v>
      </c>
      <c r="B7434" s="50" t="s">
        <v>200</v>
      </c>
      <c r="C7434" s="50" t="s">
        <v>639</v>
      </c>
      <c r="D7434" s="50" t="s">
        <v>263</v>
      </c>
      <c r="E7434" s="50">
        <v>0</v>
      </c>
      <c r="F7434" s="51">
        <v>0.49840645159486918</v>
      </c>
      <c r="G7434" s="51" t="str">
        <v>西堂 2023/01/29 (日)
休日午前</v>
      </c>
    </row>
    <row r="7435" spans="1:7" ht="16.149999999999999" x14ac:dyDescent="0.7">
      <c r="A7435" s="49">
        <v>44914.559453553244</v>
      </c>
      <c r="B7435" s="50" t="s">
        <v>200</v>
      </c>
      <c r="C7435" s="50" t="s">
        <v>640</v>
      </c>
      <c r="D7435" s="50" t="s">
        <v>261</v>
      </c>
      <c r="E7435" s="50">
        <v>0</v>
      </c>
      <c r="F7435" s="51">
        <v>0.12013534214736143</v>
      </c>
      <c r="G7435" s="51" t="str">
        <v>西堂 2023/01/29 (日)
休日午後</v>
      </c>
    </row>
    <row r="7436" spans="1:7" ht="16.149999999999999" x14ac:dyDescent="0.7">
      <c r="A7436" s="49">
        <v>44914.559453553244</v>
      </c>
      <c r="B7436" s="50" t="s">
        <v>200</v>
      </c>
      <c r="C7436" s="50" t="s">
        <v>641</v>
      </c>
      <c r="D7436" s="50" t="s">
        <v>259</v>
      </c>
      <c r="E7436" s="50">
        <v>0</v>
      </c>
      <c r="F7436" s="51">
        <v>0.27376427094710287</v>
      </c>
      <c r="G7436" s="51" t="str">
        <v>西堂 2023/01/30 (月)
平日夜間</v>
      </c>
    </row>
    <row r="7437" spans="1:7" ht="16.149999999999999" x14ac:dyDescent="0.7">
      <c r="A7437" s="49">
        <v>44914.559453553244</v>
      </c>
      <c r="B7437" s="50" t="s">
        <v>200</v>
      </c>
      <c r="C7437" s="50" t="s">
        <v>642</v>
      </c>
      <c r="D7437" s="50" t="s">
        <v>259</v>
      </c>
      <c r="E7437" s="50">
        <v>0</v>
      </c>
      <c r="F7437" s="51">
        <v>3.602830410329716E-2</v>
      </c>
      <c r="G7437" s="51" t="str">
        <v>西堂 2023/01/31 (火)
平日夜間</v>
      </c>
    </row>
    <row r="7438" spans="1:7" ht="16.149999999999999" x14ac:dyDescent="0.7">
      <c r="A7438" s="49">
        <v>44914.671066608797</v>
      </c>
      <c r="B7438" s="50" t="s">
        <v>18</v>
      </c>
      <c r="C7438" s="50" t="s">
        <v>606</v>
      </c>
      <c r="D7438" s="50" t="s">
        <v>259</v>
      </c>
      <c r="E7438" s="50">
        <v>-1</v>
      </c>
      <c r="F7438" s="51">
        <v>-0.38151601477509622</v>
      </c>
      <c r="G7438" s="51" t="str">
        <v>中瀬 2023/01/04 (水)
平日夜間</v>
      </c>
    </row>
    <row r="7439" spans="1:7" ht="16.149999999999999" x14ac:dyDescent="0.7">
      <c r="A7439" s="49">
        <v>44914.671066608797</v>
      </c>
      <c r="B7439" s="50" t="s">
        <v>18</v>
      </c>
      <c r="C7439" s="50" t="s">
        <v>607</v>
      </c>
      <c r="D7439" s="50" t="s">
        <v>259</v>
      </c>
      <c r="E7439" s="50">
        <v>-1</v>
      </c>
      <c r="F7439" s="51">
        <v>-0.8837500500634341</v>
      </c>
      <c r="G7439" s="51" t="str">
        <v>中瀬 2023/01/05 (木)
平日夜間</v>
      </c>
    </row>
    <row r="7440" spans="1:7" ht="16.149999999999999" x14ac:dyDescent="0.7">
      <c r="A7440" s="49">
        <v>44914.671066608797</v>
      </c>
      <c r="B7440" s="50" t="s">
        <v>18</v>
      </c>
      <c r="C7440" s="50" t="s">
        <v>608</v>
      </c>
      <c r="D7440" s="50" t="s">
        <v>259</v>
      </c>
      <c r="E7440" s="50">
        <v>0</v>
      </c>
      <c r="F7440" s="51">
        <v>0.44570087714109086</v>
      </c>
      <c r="G7440" s="51" t="str">
        <v>中瀬 2023/01/06 (金)
平日夜間</v>
      </c>
    </row>
    <row r="7441" spans="1:7" ht="16.149999999999999" x14ac:dyDescent="0.7">
      <c r="A7441" s="49">
        <v>44914.671066608797</v>
      </c>
      <c r="B7441" s="50" t="s">
        <v>18</v>
      </c>
      <c r="C7441" s="50" t="s">
        <v>609</v>
      </c>
      <c r="D7441" s="50" t="s">
        <v>263</v>
      </c>
      <c r="E7441" s="50">
        <v>-1</v>
      </c>
      <c r="F7441" s="51">
        <v>-0.60168683055223582</v>
      </c>
      <c r="G7441" s="51" t="str">
        <v>中瀬 2023/01/07 (土)
休日午前</v>
      </c>
    </row>
    <row r="7442" spans="1:7" ht="16.149999999999999" x14ac:dyDescent="0.7">
      <c r="A7442" s="49">
        <v>44914.671066608797</v>
      </c>
      <c r="B7442" s="50" t="s">
        <v>18</v>
      </c>
      <c r="C7442" s="50" t="s">
        <v>610</v>
      </c>
      <c r="D7442" s="50" t="s">
        <v>261</v>
      </c>
      <c r="E7442" s="50">
        <v>-1</v>
      </c>
      <c r="F7442" s="51">
        <v>-0.78445027733523642</v>
      </c>
      <c r="G7442" s="51" t="str">
        <v>中瀬 2023/01/07 (土)
休日午後</v>
      </c>
    </row>
    <row r="7443" spans="1:7" ht="16.149999999999999" x14ac:dyDescent="0.7">
      <c r="A7443" s="49">
        <v>44914.671066608797</v>
      </c>
      <c r="B7443" s="50" t="s">
        <v>18</v>
      </c>
      <c r="C7443" s="50" t="s">
        <v>611</v>
      </c>
      <c r="D7443" s="50" t="s">
        <v>263</v>
      </c>
      <c r="E7443" s="50">
        <v>-1</v>
      </c>
      <c r="F7443" s="51">
        <v>-0.52955220140765835</v>
      </c>
      <c r="G7443" s="51" t="str">
        <v>中瀬 2023/01/08 (日)
休日午前</v>
      </c>
    </row>
    <row r="7444" spans="1:7" ht="16.149999999999999" x14ac:dyDescent="0.7">
      <c r="A7444" s="49">
        <v>44914.671066608797</v>
      </c>
      <c r="B7444" s="50" t="s">
        <v>18</v>
      </c>
      <c r="C7444" s="50" t="s">
        <v>612</v>
      </c>
      <c r="D7444" s="50" t="s">
        <v>261</v>
      </c>
      <c r="E7444" s="50">
        <v>-1</v>
      </c>
      <c r="F7444" s="51">
        <v>-0.94128510343063598</v>
      </c>
      <c r="G7444" s="51" t="str">
        <v>中瀬 2023/01/08 (日)
休日午後</v>
      </c>
    </row>
    <row r="7445" spans="1:7" ht="16.149999999999999" x14ac:dyDescent="0.7">
      <c r="A7445" s="49">
        <v>44914.671066608797</v>
      </c>
      <c r="B7445" s="50" t="s">
        <v>18</v>
      </c>
      <c r="C7445" s="50" t="s">
        <v>613</v>
      </c>
      <c r="D7445" s="50" t="s">
        <v>263</v>
      </c>
      <c r="E7445" s="50">
        <v>-1</v>
      </c>
      <c r="F7445" s="51">
        <v>-0.34684672189630739</v>
      </c>
      <c r="G7445" s="51" t="str">
        <v>中瀬 2023/01/09 (月)
休日午前</v>
      </c>
    </row>
    <row r="7446" spans="1:7" ht="16.149999999999999" x14ac:dyDescent="0.7">
      <c r="A7446" s="49">
        <v>44914.671066608797</v>
      </c>
      <c r="B7446" s="50" t="s">
        <v>18</v>
      </c>
      <c r="C7446" s="50" t="s">
        <v>614</v>
      </c>
      <c r="D7446" s="50" t="s">
        <v>261</v>
      </c>
      <c r="E7446" s="50">
        <v>-1</v>
      </c>
      <c r="F7446" s="51">
        <v>-0.89219895579583097</v>
      </c>
      <c r="G7446" s="51" t="str">
        <v>中瀬 2023/01/09 (月)
休日午後</v>
      </c>
    </row>
    <row r="7447" spans="1:7" ht="16.149999999999999" x14ac:dyDescent="0.7">
      <c r="A7447" s="49">
        <v>44914.671066608797</v>
      </c>
      <c r="B7447" s="50" t="s">
        <v>18</v>
      </c>
      <c r="C7447" s="50" t="s">
        <v>615</v>
      </c>
      <c r="D7447" s="50" t="s">
        <v>259</v>
      </c>
      <c r="E7447" s="50">
        <v>0</v>
      </c>
      <c r="F7447" s="51">
        <v>0.75877040558279707</v>
      </c>
      <c r="G7447" s="51" t="str">
        <v>中瀬 2023/01/10 (火)
平日夜間</v>
      </c>
    </row>
    <row r="7448" spans="1:7" ht="16.149999999999999" x14ac:dyDescent="0.7">
      <c r="A7448" s="49">
        <v>44914.671066608797</v>
      </c>
      <c r="B7448" s="50" t="s">
        <v>18</v>
      </c>
      <c r="C7448" s="50" t="s">
        <v>616</v>
      </c>
      <c r="D7448" s="50" t="s">
        <v>259</v>
      </c>
      <c r="E7448" s="50">
        <v>-1</v>
      </c>
      <c r="F7448" s="51">
        <v>-0.76342333610549895</v>
      </c>
      <c r="G7448" s="51" t="str">
        <v>中瀬 2023/01/11 (水)
平日夜間</v>
      </c>
    </row>
    <row r="7449" spans="1:7" ht="16.149999999999999" x14ac:dyDescent="0.7">
      <c r="A7449" s="49">
        <v>44914.671066608797</v>
      </c>
      <c r="B7449" s="50" t="s">
        <v>18</v>
      </c>
      <c r="C7449" s="50" t="s">
        <v>617</v>
      </c>
      <c r="D7449" s="50" t="s">
        <v>259</v>
      </c>
      <c r="E7449" s="50">
        <v>-1</v>
      </c>
      <c r="F7449" s="51">
        <v>-0.14069626976990346</v>
      </c>
      <c r="G7449" s="51" t="str">
        <v>中瀬 2023/01/12 (木)
平日夜間</v>
      </c>
    </row>
    <row r="7450" spans="1:7" ht="16.149999999999999" x14ac:dyDescent="0.7">
      <c r="A7450" s="49">
        <v>44914.671066608797</v>
      </c>
      <c r="B7450" s="50" t="s">
        <v>18</v>
      </c>
      <c r="C7450" s="50" t="s">
        <v>618</v>
      </c>
      <c r="D7450" s="50" t="s">
        <v>259</v>
      </c>
      <c r="E7450" s="50">
        <v>-1</v>
      </c>
      <c r="F7450" s="51">
        <v>-0.40305548919021583</v>
      </c>
      <c r="G7450" s="51" t="str">
        <v>中瀬 2023/01/13 (金)
平日夜間</v>
      </c>
    </row>
    <row r="7451" spans="1:7" ht="16.149999999999999" x14ac:dyDescent="0.7">
      <c r="A7451" s="49">
        <v>44914.671066608797</v>
      </c>
      <c r="B7451" s="50" t="s">
        <v>18</v>
      </c>
      <c r="C7451" s="50" t="s">
        <v>619</v>
      </c>
      <c r="D7451" s="50" t="s">
        <v>263</v>
      </c>
      <c r="E7451" s="50">
        <v>0</v>
      </c>
      <c r="F7451" s="51">
        <v>0.86178715513274695</v>
      </c>
      <c r="G7451" s="51" t="str">
        <v>中瀬 2023/01/14 (土)
休日午前</v>
      </c>
    </row>
    <row r="7452" spans="1:7" ht="16.149999999999999" x14ac:dyDescent="0.7">
      <c r="A7452" s="49">
        <v>44914.671066608797</v>
      </c>
      <c r="B7452" s="50" t="s">
        <v>18</v>
      </c>
      <c r="C7452" s="50" t="s">
        <v>620</v>
      </c>
      <c r="D7452" s="50" t="s">
        <v>261</v>
      </c>
      <c r="E7452" s="50">
        <v>-1</v>
      </c>
      <c r="F7452" s="51">
        <v>-0.44961037828539752</v>
      </c>
      <c r="G7452" s="51" t="str">
        <v>中瀬 2023/01/14 (土)
休日午後</v>
      </c>
    </row>
    <row r="7453" spans="1:7" ht="16.149999999999999" x14ac:dyDescent="0.7">
      <c r="A7453" s="49">
        <v>44914.671066608797</v>
      </c>
      <c r="B7453" s="50" t="s">
        <v>18</v>
      </c>
      <c r="C7453" s="50" t="s">
        <v>621</v>
      </c>
      <c r="D7453" s="50" t="s">
        <v>263</v>
      </c>
      <c r="E7453" s="50">
        <v>0</v>
      </c>
      <c r="F7453" s="51">
        <v>0.29361416181589917</v>
      </c>
      <c r="G7453" s="51" t="str">
        <v>中瀬 2023/01/15 (日)
休日午前</v>
      </c>
    </row>
    <row r="7454" spans="1:7" ht="16.149999999999999" x14ac:dyDescent="0.7">
      <c r="A7454" s="49">
        <v>44914.671066608797</v>
      </c>
      <c r="B7454" s="50" t="s">
        <v>18</v>
      </c>
      <c r="C7454" s="50" t="s">
        <v>622</v>
      </c>
      <c r="D7454" s="50" t="s">
        <v>261</v>
      </c>
      <c r="E7454" s="50">
        <v>-1</v>
      </c>
      <c r="F7454" s="51">
        <v>-0.81956506800542073</v>
      </c>
      <c r="G7454" s="51" t="str">
        <v>中瀬 2023/01/15 (日)
休日午後</v>
      </c>
    </row>
    <row r="7455" spans="1:7" ht="16.149999999999999" x14ac:dyDescent="0.7">
      <c r="A7455" s="49">
        <v>44914.671066608797</v>
      </c>
      <c r="B7455" s="50" t="s">
        <v>18</v>
      </c>
      <c r="C7455" s="50" t="s">
        <v>623</v>
      </c>
      <c r="D7455" s="50" t="s">
        <v>259</v>
      </c>
      <c r="E7455" s="50">
        <v>0</v>
      </c>
      <c r="F7455" s="51">
        <v>0.59426736702768745</v>
      </c>
      <c r="G7455" s="51" t="str">
        <v>中瀬 2023/01/16 (月)
平日夜間</v>
      </c>
    </row>
    <row r="7456" spans="1:7" ht="16.149999999999999" x14ac:dyDescent="0.7">
      <c r="A7456" s="49">
        <v>44914.671066608797</v>
      </c>
      <c r="B7456" s="50" t="s">
        <v>18</v>
      </c>
      <c r="C7456" s="50" t="s">
        <v>624</v>
      </c>
      <c r="D7456" s="50" t="s">
        <v>259</v>
      </c>
      <c r="E7456" s="50">
        <v>0</v>
      </c>
      <c r="F7456" s="51">
        <v>0.13350445974377689</v>
      </c>
      <c r="G7456" s="51" t="str">
        <v>中瀬 2023/01/17 (火)
平日夜間</v>
      </c>
    </row>
    <row r="7457" spans="1:7" ht="16.149999999999999" x14ac:dyDescent="0.7">
      <c r="A7457" s="49">
        <v>44914.671066608797</v>
      </c>
      <c r="B7457" s="50" t="s">
        <v>18</v>
      </c>
      <c r="C7457" s="50" t="s">
        <v>625</v>
      </c>
      <c r="D7457" s="50" t="s">
        <v>259</v>
      </c>
      <c r="E7457" s="50">
        <v>-1</v>
      </c>
      <c r="F7457" s="51">
        <v>-0.98770502528145232</v>
      </c>
      <c r="G7457" s="51" t="str">
        <v>中瀬 2023/01/18 (水)
平日夜間</v>
      </c>
    </row>
    <row r="7458" spans="1:7" ht="16.149999999999999" x14ac:dyDescent="0.7">
      <c r="A7458" s="49">
        <v>44914.67217873843</v>
      </c>
      <c r="B7458" s="50" t="s">
        <v>1</v>
      </c>
      <c r="C7458" s="50" t="s">
        <v>606</v>
      </c>
      <c r="D7458" s="50" t="s">
        <v>259</v>
      </c>
      <c r="E7458" s="50">
        <v>0</v>
      </c>
      <c r="F7458" s="51">
        <v>0.8177621826815622</v>
      </c>
      <c r="G7458" s="51" t="str">
        <v>菊野 2023/01/04 (水)
平日夜間</v>
      </c>
    </row>
    <row r="7459" spans="1:7" ht="16.149999999999999" x14ac:dyDescent="0.7">
      <c r="A7459" s="49">
        <v>44914.671066608797</v>
      </c>
      <c r="B7459" s="50" t="s">
        <v>18</v>
      </c>
      <c r="C7459" s="50" t="s">
        <v>626</v>
      </c>
      <c r="D7459" s="50" t="s">
        <v>259</v>
      </c>
      <c r="E7459" s="50">
        <v>-1</v>
      </c>
      <c r="F7459" s="51">
        <v>-7.2998309378013104E-2</v>
      </c>
      <c r="G7459" s="51" t="str">
        <v>中瀬 2023/01/19 (木)
平日夜間</v>
      </c>
    </row>
    <row r="7460" spans="1:7" ht="16.149999999999999" x14ac:dyDescent="0.7">
      <c r="A7460" s="49">
        <v>44914.67217873843</v>
      </c>
      <c r="B7460" s="50" t="s">
        <v>1</v>
      </c>
      <c r="C7460" s="50" t="s">
        <v>607</v>
      </c>
      <c r="D7460" s="50" t="s">
        <v>259</v>
      </c>
      <c r="E7460" s="50">
        <v>0</v>
      </c>
      <c r="F7460" s="51">
        <v>0.68432473020877382</v>
      </c>
      <c r="G7460" s="51" t="str">
        <v>菊野 2023/01/05 (木)
平日夜間</v>
      </c>
    </row>
    <row r="7461" spans="1:7" ht="16.149999999999999" x14ac:dyDescent="0.7">
      <c r="A7461" s="49">
        <v>44914.671066608797</v>
      </c>
      <c r="B7461" s="50" t="s">
        <v>18</v>
      </c>
      <c r="C7461" s="50" t="s">
        <v>627</v>
      </c>
      <c r="D7461" s="50" t="s">
        <v>259</v>
      </c>
      <c r="E7461" s="50">
        <v>0</v>
      </c>
      <c r="F7461" s="51">
        <v>0.76910926893122911</v>
      </c>
      <c r="G7461" s="51" t="str">
        <v>中瀬 2023/01/20 (金)
平日夜間</v>
      </c>
    </row>
    <row r="7462" spans="1:7" ht="16.149999999999999" x14ac:dyDescent="0.7">
      <c r="A7462" s="49">
        <v>44914.67217873843</v>
      </c>
      <c r="B7462" s="50" t="s">
        <v>1</v>
      </c>
      <c r="C7462" s="50" t="s">
        <v>608</v>
      </c>
      <c r="D7462" s="50" t="s">
        <v>259</v>
      </c>
      <c r="E7462" s="50">
        <v>0</v>
      </c>
      <c r="F7462" s="51">
        <v>1.4763413783931645E-2</v>
      </c>
      <c r="G7462" s="51" t="str">
        <v>菊野 2023/01/06 (金)
平日夜間</v>
      </c>
    </row>
    <row r="7463" spans="1:7" ht="16.149999999999999" x14ac:dyDescent="0.7">
      <c r="A7463" s="49">
        <v>44914.671066608797</v>
      </c>
      <c r="B7463" s="50" t="s">
        <v>18</v>
      </c>
      <c r="C7463" s="50" t="s">
        <v>628</v>
      </c>
      <c r="D7463" s="50" t="s">
        <v>263</v>
      </c>
      <c r="E7463" s="50">
        <v>0</v>
      </c>
      <c r="F7463" s="51">
        <v>0.42781928376308276</v>
      </c>
      <c r="G7463" s="51" t="str">
        <v>中瀬 2023/01/21 (土)
休日午前</v>
      </c>
    </row>
    <row r="7464" spans="1:7" ht="16.149999999999999" x14ac:dyDescent="0.7">
      <c r="A7464" s="49">
        <v>44914.67217873843</v>
      </c>
      <c r="B7464" s="50" t="s">
        <v>1</v>
      </c>
      <c r="C7464" s="50" t="s">
        <v>609</v>
      </c>
      <c r="D7464" s="50" t="s">
        <v>263</v>
      </c>
      <c r="E7464" s="50">
        <v>-1</v>
      </c>
      <c r="F7464" s="51">
        <v>-0.8494482588090031</v>
      </c>
      <c r="G7464" s="51" t="str">
        <v>菊野 2023/01/07 (土)
休日午前</v>
      </c>
    </row>
    <row r="7465" spans="1:7" ht="16.149999999999999" x14ac:dyDescent="0.7">
      <c r="A7465" s="49">
        <v>44914.671066608797</v>
      </c>
      <c r="B7465" s="50" t="s">
        <v>18</v>
      </c>
      <c r="C7465" s="50" t="s">
        <v>629</v>
      </c>
      <c r="D7465" s="50" t="s">
        <v>261</v>
      </c>
      <c r="E7465" s="50">
        <v>-1</v>
      </c>
      <c r="F7465" s="51">
        <v>-0.69054771664036907</v>
      </c>
      <c r="G7465" s="51" t="str">
        <v>中瀬 2023/01/21 (土)
休日午後</v>
      </c>
    </row>
    <row r="7466" spans="1:7" ht="16.149999999999999" x14ac:dyDescent="0.7">
      <c r="A7466" s="49">
        <v>44914.67217873843</v>
      </c>
      <c r="B7466" s="50" t="s">
        <v>1</v>
      </c>
      <c r="C7466" s="50" t="s">
        <v>610</v>
      </c>
      <c r="D7466" s="50" t="s">
        <v>261</v>
      </c>
      <c r="E7466" s="50">
        <v>-1</v>
      </c>
      <c r="F7466" s="51">
        <v>-0.75494872221546361</v>
      </c>
      <c r="G7466" s="51" t="str">
        <v>菊野 2023/01/07 (土)
休日午後</v>
      </c>
    </row>
    <row r="7467" spans="1:7" ht="16.149999999999999" x14ac:dyDescent="0.7">
      <c r="A7467" s="49">
        <v>44914.671066608797</v>
      </c>
      <c r="B7467" s="50" t="s">
        <v>18</v>
      </c>
      <c r="C7467" s="50" t="s">
        <v>630</v>
      </c>
      <c r="D7467" s="50" t="s">
        <v>263</v>
      </c>
      <c r="E7467" s="50">
        <v>0</v>
      </c>
      <c r="F7467" s="51">
        <v>0.18436337148831727</v>
      </c>
      <c r="G7467" s="51" t="str">
        <v>中瀬 2023/01/22 (日)
休日午前</v>
      </c>
    </row>
    <row r="7468" spans="1:7" ht="16.149999999999999" x14ac:dyDescent="0.7">
      <c r="A7468" s="49">
        <v>44914.67217873843</v>
      </c>
      <c r="B7468" s="50" t="s">
        <v>1</v>
      </c>
      <c r="C7468" s="50" t="s">
        <v>611</v>
      </c>
      <c r="D7468" s="50" t="s">
        <v>263</v>
      </c>
      <c r="E7468" s="50">
        <v>-1</v>
      </c>
      <c r="F7468" s="51">
        <v>-0.51042027520414046</v>
      </c>
      <c r="G7468" s="51" t="str">
        <v>菊野 2023/01/08 (日)
休日午前</v>
      </c>
    </row>
    <row r="7469" spans="1:7" ht="16.149999999999999" x14ac:dyDescent="0.7">
      <c r="A7469" s="49">
        <v>44914.671066608797</v>
      </c>
      <c r="B7469" s="50" t="s">
        <v>18</v>
      </c>
      <c r="C7469" s="50" t="s">
        <v>631</v>
      </c>
      <c r="D7469" s="50" t="s">
        <v>261</v>
      </c>
      <c r="E7469" s="50">
        <v>-1</v>
      </c>
      <c r="F7469" s="51">
        <v>-0.54101811840185166</v>
      </c>
      <c r="G7469" s="51" t="str">
        <v>中瀬 2023/01/22 (日)
休日午後</v>
      </c>
    </row>
    <row r="7470" spans="1:7" ht="16.149999999999999" x14ac:dyDescent="0.7">
      <c r="A7470" s="49">
        <v>44914.67217873843</v>
      </c>
      <c r="B7470" s="50" t="s">
        <v>1</v>
      </c>
      <c r="C7470" s="50" t="s">
        <v>612</v>
      </c>
      <c r="D7470" s="50" t="s">
        <v>261</v>
      </c>
      <c r="E7470" s="50">
        <v>-1</v>
      </c>
      <c r="F7470" s="51">
        <v>-0.34970856942543915</v>
      </c>
      <c r="G7470" s="51" t="str">
        <v>菊野 2023/01/08 (日)
休日午後</v>
      </c>
    </row>
    <row r="7471" spans="1:7" ht="16.149999999999999" x14ac:dyDescent="0.7">
      <c r="A7471" s="49">
        <v>44914.671066608797</v>
      </c>
      <c r="B7471" s="50" t="s">
        <v>18</v>
      </c>
      <c r="C7471" s="50" t="s">
        <v>632</v>
      </c>
      <c r="D7471" s="50" t="s">
        <v>259</v>
      </c>
      <c r="E7471" s="50">
        <v>0</v>
      </c>
      <c r="F7471" s="51">
        <v>2.5837844675586918E-3</v>
      </c>
      <c r="G7471" s="51" t="str">
        <v>中瀬 2023/01/23 (月)
平日夜間</v>
      </c>
    </row>
    <row r="7472" spans="1:7" ht="16.149999999999999" x14ac:dyDescent="0.7">
      <c r="A7472" s="49">
        <v>44914.67217873843</v>
      </c>
      <c r="B7472" s="50" t="s">
        <v>1</v>
      </c>
      <c r="C7472" s="50" t="s">
        <v>613</v>
      </c>
      <c r="D7472" s="50" t="s">
        <v>263</v>
      </c>
      <c r="E7472" s="50">
        <v>0</v>
      </c>
      <c r="F7472" s="51">
        <v>0.15359258488363459</v>
      </c>
      <c r="G7472" s="51" t="str">
        <v>菊野 2023/01/09 (月)
休日午前</v>
      </c>
    </row>
    <row r="7473" spans="1:7" ht="16.149999999999999" x14ac:dyDescent="0.7">
      <c r="A7473" s="49">
        <v>44914.671066608797</v>
      </c>
      <c r="B7473" s="50" t="s">
        <v>18</v>
      </c>
      <c r="C7473" s="50" t="s">
        <v>633</v>
      </c>
      <c r="D7473" s="50" t="s">
        <v>259</v>
      </c>
      <c r="E7473" s="50">
        <v>0</v>
      </c>
      <c r="F7473" s="51">
        <v>0.65713153683371517</v>
      </c>
      <c r="G7473" s="51" t="str">
        <v>中瀬 2023/01/24 (火)
平日夜間</v>
      </c>
    </row>
    <row r="7474" spans="1:7" ht="16.149999999999999" x14ac:dyDescent="0.7">
      <c r="A7474" s="49">
        <v>44914.67217873843</v>
      </c>
      <c r="B7474" s="50" t="s">
        <v>1</v>
      </c>
      <c r="C7474" s="50" t="s">
        <v>614</v>
      </c>
      <c r="D7474" s="50" t="s">
        <v>261</v>
      </c>
      <c r="E7474" s="50">
        <v>0</v>
      </c>
      <c r="F7474" s="51">
        <v>0.66939999650120519</v>
      </c>
      <c r="G7474" s="51" t="str">
        <v>菊野 2023/01/09 (月)
休日午後</v>
      </c>
    </row>
    <row r="7475" spans="1:7" ht="16.149999999999999" x14ac:dyDescent="0.7">
      <c r="A7475" s="49">
        <v>44914.671066608797</v>
      </c>
      <c r="B7475" s="50" t="s">
        <v>18</v>
      </c>
      <c r="C7475" s="50" t="s">
        <v>634</v>
      </c>
      <c r="D7475" s="50" t="s">
        <v>259</v>
      </c>
      <c r="E7475" s="50">
        <v>-1</v>
      </c>
      <c r="F7475" s="51">
        <v>-5.2882867445974258E-2</v>
      </c>
      <c r="G7475" s="51" t="str">
        <v>中瀬 2023/01/25 (水)
平日夜間</v>
      </c>
    </row>
    <row r="7476" spans="1:7" ht="16.149999999999999" x14ac:dyDescent="0.7">
      <c r="A7476" s="49">
        <v>44914.67217873843</v>
      </c>
      <c r="B7476" s="50" t="s">
        <v>1</v>
      </c>
      <c r="C7476" s="50" t="s">
        <v>615</v>
      </c>
      <c r="D7476" s="50" t="s">
        <v>259</v>
      </c>
      <c r="E7476" s="50">
        <v>0</v>
      </c>
      <c r="F7476" s="51">
        <v>0.28983292274301697</v>
      </c>
      <c r="G7476" s="51" t="str">
        <v>菊野 2023/01/10 (火)
平日夜間</v>
      </c>
    </row>
    <row r="7477" spans="1:7" ht="16.149999999999999" x14ac:dyDescent="0.7">
      <c r="A7477" s="49">
        <v>44914.671066608797</v>
      </c>
      <c r="B7477" s="50" t="s">
        <v>18</v>
      </c>
      <c r="C7477" s="50" t="s">
        <v>635</v>
      </c>
      <c r="D7477" s="50" t="s">
        <v>259</v>
      </c>
      <c r="E7477" s="50">
        <v>-1</v>
      </c>
      <c r="F7477" s="51">
        <v>-0.26688970537598911</v>
      </c>
      <c r="G7477" s="51" t="str">
        <v>中瀬 2023/01/26 (木)
平日夜間</v>
      </c>
    </row>
    <row r="7478" spans="1:7" ht="16.149999999999999" x14ac:dyDescent="0.7">
      <c r="A7478" s="49">
        <v>44914.67217873843</v>
      </c>
      <c r="B7478" s="50" t="s">
        <v>1</v>
      </c>
      <c r="C7478" s="50" t="s">
        <v>616</v>
      </c>
      <c r="D7478" s="50" t="s">
        <v>259</v>
      </c>
      <c r="E7478" s="50">
        <v>0</v>
      </c>
      <c r="F7478" s="51">
        <v>0.26204045232376116</v>
      </c>
      <c r="G7478" s="51" t="str">
        <v>菊野 2023/01/11 (水)
平日夜間</v>
      </c>
    </row>
    <row r="7479" spans="1:7" ht="16.149999999999999" x14ac:dyDescent="0.7">
      <c r="A7479" s="49">
        <v>44914.671066608797</v>
      </c>
      <c r="B7479" s="50" t="s">
        <v>18</v>
      </c>
      <c r="C7479" s="50" t="s">
        <v>636</v>
      </c>
      <c r="D7479" s="50" t="s">
        <v>259</v>
      </c>
      <c r="E7479" s="50">
        <v>0</v>
      </c>
      <c r="F7479" s="51">
        <v>0.88823719821993219</v>
      </c>
      <c r="G7479" s="51" t="str">
        <v>中瀬 2023/01/27 (金)
平日夜間</v>
      </c>
    </row>
    <row r="7480" spans="1:7" ht="16.149999999999999" x14ac:dyDescent="0.7">
      <c r="A7480" s="49">
        <v>44914.67217873843</v>
      </c>
      <c r="B7480" s="50" t="s">
        <v>1</v>
      </c>
      <c r="C7480" s="50" t="s">
        <v>617</v>
      </c>
      <c r="D7480" s="50" t="s">
        <v>259</v>
      </c>
      <c r="E7480" s="50">
        <v>0</v>
      </c>
      <c r="F7480" s="51">
        <v>0.11342860208017935</v>
      </c>
      <c r="G7480" s="51" t="str">
        <v>菊野 2023/01/12 (木)
平日夜間</v>
      </c>
    </row>
    <row r="7481" spans="1:7" ht="16.149999999999999" x14ac:dyDescent="0.7">
      <c r="A7481" s="49">
        <v>44914.671066608797</v>
      </c>
      <c r="B7481" s="50" t="s">
        <v>18</v>
      </c>
      <c r="C7481" s="50" t="s">
        <v>637</v>
      </c>
      <c r="D7481" s="50" t="s">
        <v>263</v>
      </c>
      <c r="E7481" s="50">
        <v>-1</v>
      </c>
      <c r="F7481" s="51">
        <v>-0.29307557073789026</v>
      </c>
      <c r="G7481" s="51" t="str">
        <v>中瀬 2023/01/28 (土)
休日午前</v>
      </c>
    </row>
    <row r="7482" spans="1:7" ht="16.149999999999999" x14ac:dyDescent="0.7">
      <c r="A7482" s="49">
        <v>44914.67217873843</v>
      </c>
      <c r="B7482" s="50" t="s">
        <v>1</v>
      </c>
      <c r="C7482" s="50" t="s">
        <v>618</v>
      </c>
      <c r="D7482" s="50" t="s">
        <v>259</v>
      </c>
      <c r="E7482" s="50">
        <v>0</v>
      </c>
      <c r="F7482" s="51">
        <v>0.46660890124482668</v>
      </c>
      <c r="G7482" s="51" t="str">
        <v>菊野 2023/01/13 (金)
平日夜間</v>
      </c>
    </row>
    <row r="7483" spans="1:7" ht="16.149999999999999" x14ac:dyDescent="0.7">
      <c r="A7483" s="49">
        <v>44914.671066608797</v>
      </c>
      <c r="B7483" s="50" t="s">
        <v>18</v>
      </c>
      <c r="C7483" s="50" t="s">
        <v>638</v>
      </c>
      <c r="D7483" s="50" t="s">
        <v>261</v>
      </c>
      <c r="E7483" s="50">
        <v>-1</v>
      </c>
      <c r="F7483" s="51">
        <v>-0.66603278978852098</v>
      </c>
      <c r="G7483" s="51" t="str">
        <v>中瀬 2023/01/28 (土)
休日午後</v>
      </c>
    </row>
    <row r="7484" spans="1:7" ht="16.149999999999999" x14ac:dyDescent="0.7">
      <c r="A7484" s="49">
        <v>44914.67217873843</v>
      </c>
      <c r="B7484" s="50" t="s">
        <v>1</v>
      </c>
      <c r="C7484" s="50" t="s">
        <v>619</v>
      </c>
      <c r="D7484" s="50" t="s">
        <v>263</v>
      </c>
      <c r="E7484" s="50">
        <v>0</v>
      </c>
      <c r="F7484" s="51">
        <v>0.25316478810665211</v>
      </c>
      <c r="G7484" s="51" t="str">
        <v>菊野 2023/01/14 (土)
休日午前</v>
      </c>
    </row>
    <row r="7485" spans="1:7" ht="16.149999999999999" x14ac:dyDescent="0.7">
      <c r="A7485" s="49">
        <v>44914.671066608797</v>
      </c>
      <c r="B7485" s="50" t="s">
        <v>18</v>
      </c>
      <c r="C7485" s="50" t="s">
        <v>639</v>
      </c>
      <c r="D7485" s="50" t="s">
        <v>263</v>
      </c>
      <c r="E7485" s="50">
        <v>-1</v>
      </c>
      <c r="F7485" s="51">
        <v>-0.86997917256777746</v>
      </c>
      <c r="G7485" s="51" t="str">
        <v>中瀬 2023/01/29 (日)
休日午前</v>
      </c>
    </row>
    <row r="7486" spans="1:7" ht="16.149999999999999" x14ac:dyDescent="0.7">
      <c r="A7486" s="49">
        <v>44914.67217873843</v>
      </c>
      <c r="B7486" s="50" t="s">
        <v>1</v>
      </c>
      <c r="C7486" s="50" t="s">
        <v>620</v>
      </c>
      <c r="D7486" s="50" t="s">
        <v>261</v>
      </c>
      <c r="E7486" s="50">
        <v>0</v>
      </c>
      <c r="F7486" s="51">
        <v>0.96496805581586131</v>
      </c>
      <c r="G7486" s="51" t="str">
        <v>菊野 2023/01/14 (土)
休日午後</v>
      </c>
    </row>
    <row r="7487" spans="1:7" ht="16.149999999999999" x14ac:dyDescent="0.7">
      <c r="A7487" s="49">
        <v>44914.671066608797</v>
      </c>
      <c r="B7487" s="50" t="s">
        <v>18</v>
      </c>
      <c r="C7487" s="50" t="s">
        <v>640</v>
      </c>
      <c r="D7487" s="50" t="s">
        <v>261</v>
      </c>
      <c r="E7487" s="50">
        <v>-1</v>
      </c>
      <c r="F7487" s="51">
        <v>-0.95622211740766683</v>
      </c>
      <c r="G7487" s="51" t="str">
        <v>中瀬 2023/01/29 (日)
休日午後</v>
      </c>
    </row>
    <row r="7488" spans="1:7" ht="16.149999999999999" x14ac:dyDescent="0.7">
      <c r="A7488" s="49">
        <v>44914.67217873843</v>
      </c>
      <c r="B7488" s="50" t="s">
        <v>1</v>
      </c>
      <c r="C7488" s="50" t="s">
        <v>621</v>
      </c>
      <c r="D7488" s="50" t="s">
        <v>263</v>
      </c>
      <c r="E7488" s="50">
        <v>0</v>
      </c>
      <c r="F7488" s="51">
        <v>1.6472002842347067E-3</v>
      </c>
      <c r="G7488" s="51" t="str">
        <v>菊野 2023/01/15 (日)
休日午前</v>
      </c>
    </row>
    <row r="7489" spans="1:7" ht="16.149999999999999" x14ac:dyDescent="0.7">
      <c r="A7489" s="49">
        <v>44914.671066608797</v>
      </c>
      <c r="B7489" s="50" t="s">
        <v>18</v>
      </c>
      <c r="C7489" s="50" t="s">
        <v>641</v>
      </c>
      <c r="D7489" s="50" t="s">
        <v>259</v>
      </c>
      <c r="E7489" s="50">
        <v>0</v>
      </c>
      <c r="F7489" s="51">
        <v>0.99481747523580499</v>
      </c>
      <c r="G7489" s="51" t="str">
        <v>中瀬 2023/01/30 (月)
平日夜間</v>
      </c>
    </row>
    <row r="7490" spans="1:7" ht="16.149999999999999" x14ac:dyDescent="0.7">
      <c r="A7490" s="49">
        <v>44914.67217873843</v>
      </c>
      <c r="B7490" s="50" t="s">
        <v>1</v>
      </c>
      <c r="C7490" s="50" t="s">
        <v>622</v>
      </c>
      <c r="D7490" s="50" t="s">
        <v>261</v>
      </c>
      <c r="E7490" s="50">
        <v>-1</v>
      </c>
      <c r="F7490" s="51">
        <v>-0.97197187677474006</v>
      </c>
      <c r="G7490" s="51" t="str">
        <v>菊野 2023/01/15 (日)
休日午後</v>
      </c>
    </row>
    <row r="7491" spans="1:7" ht="16.149999999999999" x14ac:dyDescent="0.7">
      <c r="A7491" s="49">
        <v>44914.671066608797</v>
      </c>
      <c r="B7491" s="50" t="s">
        <v>18</v>
      </c>
      <c r="C7491" s="50" t="s">
        <v>642</v>
      </c>
      <c r="D7491" s="50" t="s">
        <v>259</v>
      </c>
      <c r="E7491" s="50">
        <v>0</v>
      </c>
      <c r="F7491" s="51">
        <v>0.3104296600821983</v>
      </c>
      <c r="G7491" s="51" t="str">
        <v>中瀬 2023/01/31 (火)
平日夜間</v>
      </c>
    </row>
    <row r="7492" spans="1:7" ht="16.149999999999999" x14ac:dyDescent="0.7">
      <c r="A7492" s="49">
        <v>44914.67217873843</v>
      </c>
      <c r="B7492" s="50" t="s">
        <v>1</v>
      </c>
      <c r="C7492" s="50" t="s">
        <v>623</v>
      </c>
      <c r="D7492" s="50" t="s">
        <v>259</v>
      </c>
      <c r="E7492" s="50">
        <v>0</v>
      </c>
      <c r="F7492" s="51">
        <v>0.31900648350211824</v>
      </c>
      <c r="G7492" s="51" t="str">
        <v>菊野 2023/01/16 (月)
平日夜間</v>
      </c>
    </row>
    <row r="7493" spans="1:7" ht="16.149999999999999" x14ac:dyDescent="0.7">
      <c r="A7493" s="49">
        <v>44914.67217873843</v>
      </c>
      <c r="B7493" s="50" t="s">
        <v>1</v>
      </c>
      <c r="C7493" s="50" t="s">
        <v>624</v>
      </c>
      <c r="D7493" s="50" t="s">
        <v>259</v>
      </c>
      <c r="E7493" s="50">
        <v>0</v>
      </c>
      <c r="F7493" s="51">
        <v>9.8441038348844323E-3</v>
      </c>
      <c r="G7493" s="51" t="str">
        <v>菊野 2023/01/17 (火)
平日夜間</v>
      </c>
    </row>
    <row r="7494" spans="1:7" ht="16.149999999999999" x14ac:dyDescent="0.7">
      <c r="A7494" s="49">
        <v>44914.67217873843</v>
      </c>
      <c r="B7494" s="50" t="s">
        <v>1</v>
      </c>
      <c r="C7494" s="50" t="s">
        <v>625</v>
      </c>
      <c r="D7494" s="50" t="s">
        <v>259</v>
      </c>
      <c r="E7494" s="50">
        <v>0</v>
      </c>
      <c r="F7494" s="51">
        <v>6.2814386204984363E-2</v>
      </c>
      <c r="G7494" s="51" t="str">
        <v>菊野 2023/01/18 (水)
平日夜間</v>
      </c>
    </row>
    <row r="7495" spans="1:7" ht="16.149999999999999" x14ac:dyDescent="0.7">
      <c r="A7495" s="49">
        <v>44914.67217873843</v>
      </c>
      <c r="B7495" s="50" t="s">
        <v>1</v>
      </c>
      <c r="C7495" s="50" t="s">
        <v>626</v>
      </c>
      <c r="D7495" s="50" t="s">
        <v>259</v>
      </c>
      <c r="E7495" s="50">
        <v>0</v>
      </c>
      <c r="F7495" s="51">
        <v>0.55099470895273117</v>
      </c>
      <c r="G7495" s="51" t="str">
        <v>菊野 2023/01/19 (木)
平日夜間</v>
      </c>
    </row>
    <row r="7496" spans="1:7" ht="16.149999999999999" x14ac:dyDescent="0.7">
      <c r="A7496" s="49">
        <v>44914.67217873843</v>
      </c>
      <c r="B7496" s="50" t="s">
        <v>1</v>
      </c>
      <c r="C7496" s="50" t="s">
        <v>627</v>
      </c>
      <c r="D7496" s="50" t="s">
        <v>259</v>
      </c>
      <c r="E7496" s="50">
        <v>0</v>
      </c>
      <c r="F7496" s="51">
        <v>0.69584121519357667</v>
      </c>
      <c r="G7496" s="51" t="str">
        <v>菊野 2023/01/20 (金)
平日夜間</v>
      </c>
    </row>
    <row r="7497" spans="1:7" ht="16.149999999999999" x14ac:dyDescent="0.7">
      <c r="A7497" s="49">
        <v>44914.67217873843</v>
      </c>
      <c r="B7497" s="50" t="s">
        <v>1</v>
      </c>
      <c r="C7497" s="50" t="s">
        <v>628</v>
      </c>
      <c r="D7497" s="50" t="s">
        <v>263</v>
      </c>
      <c r="E7497" s="50">
        <v>0</v>
      </c>
      <c r="F7497" s="51">
        <v>0.94506666751231627</v>
      </c>
      <c r="G7497" s="51" t="str">
        <v>菊野 2023/01/21 (土)
休日午前</v>
      </c>
    </row>
    <row r="7498" spans="1:7" ht="16.149999999999999" x14ac:dyDescent="0.7">
      <c r="A7498" s="49">
        <v>44914.67217873843</v>
      </c>
      <c r="B7498" s="50" t="s">
        <v>1</v>
      </c>
      <c r="C7498" s="50" t="s">
        <v>629</v>
      </c>
      <c r="D7498" s="50" t="s">
        <v>261</v>
      </c>
      <c r="E7498" s="50">
        <v>-1</v>
      </c>
      <c r="F7498" s="51">
        <v>-0.66021787132454657</v>
      </c>
      <c r="G7498" s="51" t="str">
        <v>菊野 2023/01/21 (土)
休日午後</v>
      </c>
    </row>
    <row r="7499" spans="1:7" ht="16.149999999999999" x14ac:dyDescent="0.7">
      <c r="A7499" s="49">
        <v>44914.67217873843</v>
      </c>
      <c r="B7499" s="50" t="s">
        <v>1</v>
      </c>
      <c r="C7499" s="50" t="s">
        <v>630</v>
      </c>
      <c r="D7499" s="50" t="s">
        <v>263</v>
      </c>
      <c r="E7499" s="50">
        <v>-1</v>
      </c>
      <c r="F7499" s="51">
        <v>-0.60203125935184931</v>
      </c>
      <c r="G7499" s="51" t="str">
        <v>菊野 2023/01/22 (日)
休日午前</v>
      </c>
    </row>
    <row r="7500" spans="1:7" ht="16.149999999999999" x14ac:dyDescent="0.7">
      <c r="A7500" s="49">
        <v>44914.67217873843</v>
      </c>
      <c r="B7500" s="50" t="s">
        <v>1</v>
      </c>
      <c r="C7500" s="50" t="s">
        <v>631</v>
      </c>
      <c r="D7500" s="50" t="s">
        <v>261</v>
      </c>
      <c r="E7500" s="50">
        <v>0</v>
      </c>
      <c r="F7500" s="51">
        <v>0.92419992364549941</v>
      </c>
      <c r="G7500" s="51" t="str">
        <v>菊野 2023/01/22 (日)
休日午後</v>
      </c>
    </row>
    <row r="7501" spans="1:7" ht="16.149999999999999" x14ac:dyDescent="0.7">
      <c r="A7501" s="49">
        <v>44914.67217873843</v>
      </c>
      <c r="B7501" s="50" t="s">
        <v>1</v>
      </c>
      <c r="C7501" s="50" t="s">
        <v>632</v>
      </c>
      <c r="D7501" s="50" t="s">
        <v>259</v>
      </c>
      <c r="E7501" s="50">
        <v>0</v>
      </c>
      <c r="F7501" s="51">
        <v>0.70490732651808763</v>
      </c>
      <c r="G7501" s="51" t="str">
        <v>菊野 2023/01/23 (月)
平日夜間</v>
      </c>
    </row>
    <row r="7502" spans="1:7" ht="16.149999999999999" x14ac:dyDescent="0.7">
      <c r="A7502" s="49">
        <v>44914.67217873843</v>
      </c>
      <c r="B7502" s="50" t="s">
        <v>1</v>
      </c>
      <c r="C7502" s="50" t="s">
        <v>633</v>
      </c>
      <c r="D7502" s="50" t="s">
        <v>259</v>
      </c>
      <c r="E7502" s="50">
        <v>0</v>
      </c>
      <c r="F7502" s="51">
        <v>0.10175159707588288</v>
      </c>
      <c r="G7502" s="51" t="str">
        <v>菊野 2023/01/24 (火)
平日夜間</v>
      </c>
    </row>
    <row r="7503" spans="1:7" ht="16.149999999999999" x14ac:dyDescent="0.7">
      <c r="A7503" s="49">
        <v>44914.67217873843</v>
      </c>
      <c r="B7503" s="50" t="s">
        <v>1</v>
      </c>
      <c r="C7503" s="50" t="s">
        <v>634</v>
      </c>
      <c r="D7503" s="50" t="s">
        <v>259</v>
      </c>
      <c r="E7503" s="50">
        <v>0</v>
      </c>
      <c r="F7503" s="51">
        <v>0.30534051373653881</v>
      </c>
      <c r="G7503" s="51" t="str">
        <v>菊野 2023/01/25 (水)
平日夜間</v>
      </c>
    </row>
    <row r="7504" spans="1:7" ht="16.149999999999999" x14ac:dyDescent="0.7">
      <c r="A7504" s="49">
        <v>44914.67217873843</v>
      </c>
      <c r="B7504" s="50" t="s">
        <v>1</v>
      </c>
      <c r="C7504" s="50" t="s">
        <v>635</v>
      </c>
      <c r="D7504" s="50" t="s">
        <v>259</v>
      </c>
      <c r="E7504" s="50">
        <v>0</v>
      </c>
      <c r="F7504" s="51">
        <v>0.43866159227517465</v>
      </c>
      <c r="G7504" s="51" t="str">
        <v>菊野 2023/01/26 (木)
平日夜間</v>
      </c>
    </row>
    <row r="7505" spans="1:7" ht="16.149999999999999" x14ac:dyDescent="0.7">
      <c r="A7505" s="49">
        <v>44914.67217873843</v>
      </c>
      <c r="B7505" s="50" t="s">
        <v>1</v>
      </c>
      <c r="C7505" s="50" t="s">
        <v>636</v>
      </c>
      <c r="D7505" s="50" t="s">
        <v>259</v>
      </c>
      <c r="E7505" s="50">
        <v>0</v>
      </c>
      <c r="F7505" s="51">
        <v>5.5019997269928567E-2</v>
      </c>
      <c r="G7505" s="51" t="str">
        <v>菊野 2023/01/27 (金)
平日夜間</v>
      </c>
    </row>
    <row r="7506" spans="1:7" ht="16.149999999999999" x14ac:dyDescent="0.7">
      <c r="A7506" s="49">
        <v>44914.67217873843</v>
      </c>
      <c r="B7506" s="50" t="s">
        <v>1</v>
      </c>
      <c r="C7506" s="50" t="s">
        <v>637</v>
      </c>
      <c r="D7506" s="50" t="s">
        <v>263</v>
      </c>
      <c r="E7506" s="50">
        <v>0</v>
      </c>
      <c r="F7506" s="51">
        <v>0.33255710242453995</v>
      </c>
      <c r="G7506" s="51" t="str">
        <v>菊野 2023/01/28 (土)
休日午前</v>
      </c>
    </row>
    <row r="7507" spans="1:7" ht="16.149999999999999" x14ac:dyDescent="0.7">
      <c r="A7507" s="49">
        <v>44914.67217873843</v>
      </c>
      <c r="B7507" s="50" t="s">
        <v>1</v>
      </c>
      <c r="C7507" s="50" t="s">
        <v>638</v>
      </c>
      <c r="D7507" s="50" t="s">
        <v>261</v>
      </c>
      <c r="E7507" s="50">
        <v>0</v>
      </c>
      <c r="F7507" s="51">
        <v>0.23080329603270022</v>
      </c>
      <c r="G7507" s="51" t="str">
        <v>菊野 2023/01/28 (土)
休日午後</v>
      </c>
    </row>
    <row r="7508" spans="1:7" ht="16.149999999999999" x14ac:dyDescent="0.7">
      <c r="A7508" s="49">
        <v>44914.67217873843</v>
      </c>
      <c r="B7508" s="50" t="s">
        <v>1</v>
      </c>
      <c r="C7508" s="50" t="s">
        <v>639</v>
      </c>
      <c r="D7508" s="50" t="s">
        <v>263</v>
      </c>
      <c r="E7508" s="50">
        <v>0</v>
      </c>
      <c r="F7508" s="51">
        <v>1.3125351360055104E-2</v>
      </c>
      <c r="G7508" s="51" t="str">
        <v>菊野 2023/01/29 (日)
休日午前</v>
      </c>
    </row>
    <row r="7509" spans="1:7" ht="16.149999999999999" x14ac:dyDescent="0.7">
      <c r="A7509" s="49">
        <v>44914.67217873843</v>
      </c>
      <c r="B7509" s="50" t="s">
        <v>1</v>
      </c>
      <c r="C7509" s="50" t="s">
        <v>640</v>
      </c>
      <c r="D7509" s="50" t="s">
        <v>261</v>
      </c>
      <c r="E7509" s="50">
        <v>0</v>
      </c>
      <c r="F7509" s="51">
        <v>5.9038784043794923E-2</v>
      </c>
      <c r="G7509" s="51" t="str">
        <v>菊野 2023/01/29 (日)
休日午後</v>
      </c>
    </row>
    <row r="7510" spans="1:7" ht="16.149999999999999" x14ac:dyDescent="0.7">
      <c r="A7510" s="49">
        <v>44914.67217873843</v>
      </c>
      <c r="B7510" s="50" t="s">
        <v>1</v>
      </c>
      <c r="C7510" s="50" t="s">
        <v>641</v>
      </c>
      <c r="D7510" s="50" t="s">
        <v>259</v>
      </c>
      <c r="E7510" s="50">
        <v>0</v>
      </c>
      <c r="F7510" s="51">
        <v>0.51002056096643522</v>
      </c>
      <c r="G7510" s="51" t="str">
        <v>菊野 2023/01/30 (月)
平日夜間</v>
      </c>
    </row>
    <row r="7511" spans="1:7" ht="16.149999999999999" x14ac:dyDescent="0.7">
      <c r="A7511" s="49">
        <v>44914.67217873843</v>
      </c>
      <c r="B7511" s="50" t="s">
        <v>1</v>
      </c>
      <c r="C7511" s="50" t="s">
        <v>642</v>
      </c>
      <c r="D7511" s="50" t="s">
        <v>259</v>
      </c>
      <c r="E7511" s="50">
        <v>0</v>
      </c>
      <c r="F7511" s="51">
        <v>0.32797489989741391</v>
      </c>
      <c r="G7511" s="51" t="str">
        <v>菊野 2023/01/31 (火)
平日夜間</v>
      </c>
    </row>
    <row r="7512" spans="1:7" ht="16.149999999999999" x14ac:dyDescent="0.7">
      <c r="A7512" s="49">
        <v>44916.572952025468</v>
      </c>
      <c r="B7512" s="50" t="s">
        <v>218</v>
      </c>
      <c r="C7512" s="50" t="s">
        <v>606</v>
      </c>
      <c r="D7512" s="50" t="s">
        <v>259</v>
      </c>
      <c r="E7512" s="50">
        <v>-1</v>
      </c>
      <c r="F7512" s="51">
        <v>-4.781090788986031E-3</v>
      </c>
      <c r="G7512" s="51" t="str">
        <v>森 2023/01/04 (水)
平日夜間</v>
      </c>
    </row>
    <row r="7513" spans="1:7" ht="16.149999999999999" x14ac:dyDescent="0.7">
      <c r="A7513" s="49">
        <v>44916.572952025468</v>
      </c>
      <c r="B7513" s="50" t="s">
        <v>218</v>
      </c>
      <c r="C7513" s="50" t="s">
        <v>607</v>
      </c>
      <c r="D7513" s="50" t="s">
        <v>259</v>
      </c>
      <c r="E7513" s="50">
        <v>0</v>
      </c>
      <c r="F7513" s="51">
        <v>5.8552752067212666E-2</v>
      </c>
      <c r="G7513" s="51" t="str">
        <v>森 2023/01/05 (木)
平日夜間</v>
      </c>
    </row>
    <row r="7514" spans="1:7" ht="16.149999999999999" x14ac:dyDescent="0.7">
      <c r="A7514" s="49">
        <v>44916.572952025468</v>
      </c>
      <c r="B7514" s="50" t="s">
        <v>218</v>
      </c>
      <c r="C7514" s="50" t="s">
        <v>608</v>
      </c>
      <c r="D7514" s="50" t="s">
        <v>259</v>
      </c>
      <c r="E7514" s="50">
        <v>0</v>
      </c>
      <c r="F7514" s="51">
        <v>0.17157481417201192</v>
      </c>
      <c r="G7514" s="51" t="str">
        <v>森 2023/01/06 (金)
平日夜間</v>
      </c>
    </row>
    <row r="7515" spans="1:7" ht="16.149999999999999" x14ac:dyDescent="0.7">
      <c r="A7515" s="49">
        <v>44916.572952025468</v>
      </c>
      <c r="B7515" s="50" t="s">
        <v>218</v>
      </c>
      <c r="C7515" s="50" t="s">
        <v>609</v>
      </c>
      <c r="D7515" s="50" t="s">
        <v>263</v>
      </c>
      <c r="E7515" s="50">
        <v>-1</v>
      </c>
      <c r="F7515" s="51">
        <v>-0.87047040265716857</v>
      </c>
      <c r="G7515" s="51" t="str">
        <v>森 2023/01/07 (土)
休日午前</v>
      </c>
    </row>
    <row r="7516" spans="1:7" ht="16.149999999999999" x14ac:dyDescent="0.7">
      <c r="A7516" s="49">
        <v>44916.572952025468</v>
      </c>
      <c r="B7516" s="50" t="s">
        <v>218</v>
      </c>
      <c r="C7516" s="50" t="s">
        <v>610</v>
      </c>
      <c r="D7516" s="50" t="s">
        <v>261</v>
      </c>
      <c r="E7516" s="50">
        <v>-1</v>
      </c>
      <c r="F7516" s="51">
        <v>-0.51099056381789709</v>
      </c>
      <c r="G7516" s="51" t="str">
        <v>森 2023/01/07 (土)
休日午後</v>
      </c>
    </row>
    <row r="7517" spans="1:7" ht="16.149999999999999" x14ac:dyDescent="0.7">
      <c r="A7517" s="49">
        <v>44916.572952025468</v>
      </c>
      <c r="B7517" s="50" t="s">
        <v>218</v>
      </c>
      <c r="C7517" s="50" t="s">
        <v>611</v>
      </c>
      <c r="D7517" s="50" t="s">
        <v>263</v>
      </c>
      <c r="E7517" s="50">
        <v>0</v>
      </c>
      <c r="F7517" s="51">
        <v>0.31291926471060716</v>
      </c>
      <c r="G7517" s="51" t="str">
        <v>森 2023/01/08 (日)
休日午前</v>
      </c>
    </row>
    <row r="7518" spans="1:7" ht="16.149999999999999" x14ac:dyDescent="0.7">
      <c r="A7518" s="49">
        <v>44916.572952025468</v>
      </c>
      <c r="B7518" s="50" t="s">
        <v>218</v>
      </c>
      <c r="C7518" s="50" t="s">
        <v>612</v>
      </c>
      <c r="D7518" s="50" t="s">
        <v>261</v>
      </c>
      <c r="E7518" s="50">
        <v>-1</v>
      </c>
      <c r="F7518" s="51">
        <v>-7.5898676344508198E-2</v>
      </c>
      <c r="G7518" s="51" t="str">
        <v>森 2023/01/08 (日)
休日午後</v>
      </c>
    </row>
    <row r="7519" spans="1:7" ht="16.149999999999999" x14ac:dyDescent="0.7">
      <c r="A7519" s="49">
        <v>44916.572952025468</v>
      </c>
      <c r="B7519" s="50" t="s">
        <v>218</v>
      </c>
      <c r="C7519" s="50" t="s">
        <v>613</v>
      </c>
      <c r="D7519" s="50" t="s">
        <v>263</v>
      </c>
      <c r="E7519" s="50">
        <v>-1</v>
      </c>
      <c r="F7519" s="51">
        <v>-0.89047603285325305</v>
      </c>
      <c r="G7519" s="51" t="str">
        <v>森 2023/01/09 (月)
休日午前</v>
      </c>
    </row>
    <row r="7520" spans="1:7" ht="16.149999999999999" x14ac:dyDescent="0.7">
      <c r="A7520" s="49">
        <v>44916.572952025468</v>
      </c>
      <c r="B7520" s="50" t="s">
        <v>218</v>
      </c>
      <c r="C7520" s="50" t="s">
        <v>614</v>
      </c>
      <c r="D7520" s="50" t="s">
        <v>261</v>
      </c>
      <c r="E7520" s="50">
        <v>0</v>
      </c>
      <c r="F7520" s="51">
        <v>1.2923592626360447E-2</v>
      </c>
      <c r="G7520" s="51" t="str">
        <v>森 2023/01/09 (月)
休日午後</v>
      </c>
    </row>
    <row r="7521" spans="1:7" ht="16.149999999999999" x14ac:dyDescent="0.7">
      <c r="A7521" s="49">
        <v>44916.572952025468</v>
      </c>
      <c r="B7521" s="50" t="s">
        <v>218</v>
      </c>
      <c r="C7521" s="50" t="s">
        <v>615</v>
      </c>
      <c r="D7521" s="50" t="s">
        <v>259</v>
      </c>
      <c r="E7521" s="50">
        <v>0</v>
      </c>
      <c r="F7521" s="51">
        <v>0.60247892396584768</v>
      </c>
      <c r="G7521" s="51" t="str">
        <v>森 2023/01/10 (火)
平日夜間</v>
      </c>
    </row>
    <row r="7522" spans="1:7" ht="16.149999999999999" x14ac:dyDescent="0.7">
      <c r="A7522" s="49">
        <v>44916.572952025468</v>
      </c>
      <c r="B7522" s="50" t="s">
        <v>218</v>
      </c>
      <c r="C7522" s="50" t="s">
        <v>616</v>
      </c>
      <c r="D7522" s="50" t="s">
        <v>259</v>
      </c>
      <c r="E7522" s="50">
        <v>0</v>
      </c>
      <c r="F7522" s="51">
        <v>0.69368674275712383</v>
      </c>
      <c r="G7522" s="51" t="str">
        <v>森 2023/01/11 (水)
平日夜間</v>
      </c>
    </row>
    <row r="7523" spans="1:7" ht="16.149999999999999" x14ac:dyDescent="0.7">
      <c r="A7523" s="49">
        <v>44916.572952025468</v>
      </c>
      <c r="B7523" s="50" t="s">
        <v>218</v>
      </c>
      <c r="C7523" s="50" t="s">
        <v>617</v>
      </c>
      <c r="D7523" s="50" t="s">
        <v>259</v>
      </c>
      <c r="E7523" s="50">
        <v>0</v>
      </c>
      <c r="F7523" s="51">
        <v>0.32845479237757291</v>
      </c>
      <c r="G7523" s="51" t="str">
        <v>森 2023/01/12 (木)
平日夜間</v>
      </c>
    </row>
    <row r="7524" spans="1:7" ht="16.149999999999999" x14ac:dyDescent="0.7">
      <c r="A7524" s="49">
        <v>44916.572952025468</v>
      </c>
      <c r="B7524" s="50" t="s">
        <v>218</v>
      </c>
      <c r="C7524" s="50" t="s">
        <v>618</v>
      </c>
      <c r="D7524" s="50" t="s">
        <v>259</v>
      </c>
      <c r="E7524" s="50">
        <v>0</v>
      </c>
      <c r="F7524" s="51">
        <v>0.34237714957019061</v>
      </c>
      <c r="G7524" s="51" t="str">
        <v>森 2023/01/13 (金)
平日夜間</v>
      </c>
    </row>
    <row r="7525" spans="1:7" ht="16.149999999999999" x14ac:dyDescent="0.7">
      <c r="A7525" s="49">
        <v>44916.572952025468</v>
      </c>
      <c r="B7525" s="50" t="s">
        <v>218</v>
      </c>
      <c r="C7525" s="50" t="s">
        <v>619</v>
      </c>
      <c r="D7525" s="50" t="s">
        <v>263</v>
      </c>
      <c r="E7525" s="50">
        <v>-1</v>
      </c>
      <c r="F7525" s="51">
        <v>-0.88327978629426407</v>
      </c>
      <c r="G7525" s="51" t="str">
        <v>森 2023/01/14 (土)
休日午前</v>
      </c>
    </row>
    <row r="7526" spans="1:7" ht="16.149999999999999" x14ac:dyDescent="0.7">
      <c r="A7526" s="49">
        <v>44916.572952025468</v>
      </c>
      <c r="B7526" s="50" t="s">
        <v>218</v>
      </c>
      <c r="C7526" s="50" t="s">
        <v>620</v>
      </c>
      <c r="D7526" s="50" t="s">
        <v>261</v>
      </c>
      <c r="E7526" s="50">
        <v>0</v>
      </c>
      <c r="F7526" s="51">
        <v>0.29546487419580436</v>
      </c>
      <c r="G7526" s="51" t="str">
        <v>森 2023/01/14 (土)
休日午後</v>
      </c>
    </row>
    <row r="7527" spans="1:7" ht="16.149999999999999" x14ac:dyDescent="0.7">
      <c r="A7527" s="49">
        <v>44916.572952025468</v>
      </c>
      <c r="B7527" s="50" t="s">
        <v>218</v>
      </c>
      <c r="C7527" s="50" t="s">
        <v>621</v>
      </c>
      <c r="D7527" s="50" t="s">
        <v>263</v>
      </c>
      <c r="E7527" s="50">
        <v>0</v>
      </c>
      <c r="F7527" s="51">
        <v>0.15396516824080142</v>
      </c>
      <c r="G7527" s="51" t="str">
        <v>森 2023/01/15 (日)
休日午前</v>
      </c>
    </row>
    <row r="7528" spans="1:7" ht="16.149999999999999" x14ac:dyDescent="0.7">
      <c r="A7528" s="49">
        <v>44916.572952025468</v>
      </c>
      <c r="B7528" s="50" t="s">
        <v>218</v>
      </c>
      <c r="C7528" s="50" t="s">
        <v>622</v>
      </c>
      <c r="D7528" s="50" t="s">
        <v>261</v>
      </c>
      <c r="E7528" s="50">
        <v>-1</v>
      </c>
      <c r="F7528" s="51">
        <v>-0.64653382137998339</v>
      </c>
      <c r="G7528" s="51" t="str">
        <v>森 2023/01/15 (日)
休日午後</v>
      </c>
    </row>
    <row r="7529" spans="1:7" ht="16.149999999999999" x14ac:dyDescent="0.7">
      <c r="A7529" s="49">
        <v>44916.572952025468</v>
      </c>
      <c r="B7529" s="50" t="s">
        <v>218</v>
      </c>
      <c r="C7529" s="50" t="s">
        <v>623</v>
      </c>
      <c r="D7529" s="50" t="s">
        <v>259</v>
      </c>
      <c r="E7529" s="50">
        <v>0</v>
      </c>
      <c r="F7529" s="51">
        <v>0.54059397776089191</v>
      </c>
      <c r="G7529" s="51" t="str">
        <v>森 2023/01/16 (月)
平日夜間</v>
      </c>
    </row>
    <row r="7530" spans="1:7" ht="16.149999999999999" x14ac:dyDescent="0.7">
      <c r="A7530" s="49">
        <v>44916.572952025468</v>
      </c>
      <c r="B7530" s="50" t="s">
        <v>218</v>
      </c>
      <c r="C7530" s="50" t="s">
        <v>624</v>
      </c>
      <c r="D7530" s="50" t="s">
        <v>259</v>
      </c>
      <c r="E7530" s="50">
        <v>0</v>
      </c>
      <c r="F7530" s="51">
        <v>0.98063780883219898</v>
      </c>
      <c r="G7530" s="51" t="str">
        <v>森 2023/01/17 (火)
平日夜間</v>
      </c>
    </row>
    <row r="7531" spans="1:7" ht="16.149999999999999" x14ac:dyDescent="0.7">
      <c r="A7531" s="49">
        <v>44916.572952025468</v>
      </c>
      <c r="B7531" s="50" t="s">
        <v>218</v>
      </c>
      <c r="C7531" s="50" t="s">
        <v>625</v>
      </c>
      <c r="D7531" s="50" t="s">
        <v>259</v>
      </c>
      <c r="E7531" s="50">
        <v>0</v>
      </c>
      <c r="F7531" s="51">
        <v>0.59546851046604043</v>
      </c>
      <c r="G7531" s="51" t="str">
        <v>森 2023/01/18 (水)
平日夜間</v>
      </c>
    </row>
    <row r="7532" spans="1:7" ht="16.149999999999999" x14ac:dyDescent="0.7">
      <c r="A7532" s="49">
        <v>44916.572952025468</v>
      </c>
      <c r="B7532" s="50" t="s">
        <v>218</v>
      </c>
      <c r="C7532" s="50" t="s">
        <v>626</v>
      </c>
      <c r="D7532" s="50" t="s">
        <v>259</v>
      </c>
      <c r="E7532" s="50">
        <v>0</v>
      </c>
      <c r="F7532" s="51">
        <v>0.90216273328332663</v>
      </c>
      <c r="G7532" s="51" t="str">
        <v>森 2023/01/19 (木)
平日夜間</v>
      </c>
    </row>
    <row r="7533" spans="1:7" ht="16.149999999999999" x14ac:dyDescent="0.7">
      <c r="A7533" s="49">
        <v>44916.572952025468</v>
      </c>
      <c r="B7533" s="50" t="s">
        <v>218</v>
      </c>
      <c r="C7533" s="50" t="s">
        <v>627</v>
      </c>
      <c r="D7533" s="50" t="s">
        <v>259</v>
      </c>
      <c r="E7533" s="50">
        <v>0</v>
      </c>
      <c r="F7533" s="51">
        <v>0.24800637456402175</v>
      </c>
      <c r="G7533" s="51" t="str">
        <v>森 2023/01/20 (金)
平日夜間</v>
      </c>
    </row>
    <row r="7534" spans="1:7" ht="16.149999999999999" x14ac:dyDescent="0.7">
      <c r="A7534" s="49">
        <v>44916.572952025468</v>
      </c>
      <c r="B7534" s="50" t="s">
        <v>218</v>
      </c>
      <c r="C7534" s="50" t="s">
        <v>628</v>
      </c>
      <c r="D7534" s="50" t="s">
        <v>263</v>
      </c>
      <c r="E7534" s="50">
        <v>0</v>
      </c>
      <c r="F7534" s="51">
        <v>0.61548891854495325</v>
      </c>
      <c r="G7534" s="51" t="str">
        <v>森 2023/01/21 (土)
休日午前</v>
      </c>
    </row>
    <row r="7535" spans="1:7" ht="16.149999999999999" x14ac:dyDescent="0.7">
      <c r="A7535" s="49">
        <v>44916.572952025468</v>
      </c>
      <c r="B7535" s="50" t="s">
        <v>218</v>
      </c>
      <c r="C7535" s="50" t="s">
        <v>629</v>
      </c>
      <c r="D7535" s="50" t="s">
        <v>261</v>
      </c>
      <c r="E7535" s="50">
        <v>-1</v>
      </c>
      <c r="F7535" s="51">
        <v>-0.13697773310808525</v>
      </c>
      <c r="G7535" s="51" t="str">
        <v>森 2023/01/21 (土)
休日午後</v>
      </c>
    </row>
    <row r="7536" spans="1:7" ht="16.149999999999999" x14ac:dyDescent="0.7">
      <c r="A7536" s="49">
        <v>44916.572952025468</v>
      </c>
      <c r="B7536" s="50" t="s">
        <v>218</v>
      </c>
      <c r="C7536" s="50" t="s">
        <v>630</v>
      </c>
      <c r="D7536" s="50" t="s">
        <v>263</v>
      </c>
      <c r="E7536" s="50">
        <v>0</v>
      </c>
      <c r="F7536" s="51">
        <v>0.99643418118972349</v>
      </c>
      <c r="G7536" s="51" t="str">
        <v>森 2023/01/22 (日)
休日午前</v>
      </c>
    </row>
    <row r="7537" spans="1:7" ht="16.149999999999999" x14ac:dyDescent="0.7">
      <c r="A7537" s="49">
        <v>44916.572952025468</v>
      </c>
      <c r="B7537" s="50" t="s">
        <v>218</v>
      </c>
      <c r="C7537" s="50" t="s">
        <v>631</v>
      </c>
      <c r="D7537" s="50" t="s">
        <v>261</v>
      </c>
      <c r="E7537" s="50">
        <v>0</v>
      </c>
      <c r="F7537" s="51">
        <v>0.56714102010573075</v>
      </c>
      <c r="G7537" s="51" t="str">
        <v>森 2023/01/22 (日)
休日午後</v>
      </c>
    </row>
    <row r="7538" spans="1:7" ht="16.149999999999999" x14ac:dyDescent="0.7">
      <c r="A7538" s="49">
        <v>44916.572952025468</v>
      </c>
      <c r="B7538" s="50" t="s">
        <v>218</v>
      </c>
      <c r="C7538" s="50" t="s">
        <v>632</v>
      </c>
      <c r="D7538" s="50" t="s">
        <v>259</v>
      </c>
      <c r="E7538" s="50">
        <v>0</v>
      </c>
      <c r="F7538" s="51">
        <v>9.4362790722639645E-2</v>
      </c>
      <c r="G7538" s="51" t="str">
        <v>森 2023/01/23 (月)
平日夜間</v>
      </c>
    </row>
    <row r="7539" spans="1:7" ht="16.149999999999999" x14ac:dyDescent="0.7">
      <c r="A7539" s="49">
        <v>44916.572952025468</v>
      </c>
      <c r="B7539" s="50" t="s">
        <v>218</v>
      </c>
      <c r="C7539" s="50" t="s">
        <v>633</v>
      </c>
      <c r="D7539" s="50" t="s">
        <v>259</v>
      </c>
      <c r="E7539" s="50">
        <v>0</v>
      </c>
      <c r="F7539" s="51">
        <v>0.50079000423202347</v>
      </c>
      <c r="G7539" s="51" t="str">
        <v>森 2023/01/24 (火)
平日夜間</v>
      </c>
    </row>
    <row r="7540" spans="1:7" ht="16.149999999999999" x14ac:dyDescent="0.7">
      <c r="A7540" s="49">
        <v>44916.572952025468</v>
      </c>
      <c r="B7540" s="50" t="s">
        <v>218</v>
      </c>
      <c r="C7540" s="50" t="s">
        <v>634</v>
      </c>
      <c r="D7540" s="50" t="s">
        <v>259</v>
      </c>
      <c r="E7540" s="50">
        <v>0</v>
      </c>
      <c r="F7540" s="51">
        <v>0.54632688489748871</v>
      </c>
      <c r="G7540" s="51" t="str">
        <v>森 2023/01/25 (水)
平日夜間</v>
      </c>
    </row>
    <row r="7541" spans="1:7" ht="16.149999999999999" x14ac:dyDescent="0.7">
      <c r="A7541" s="49">
        <v>44916.572952025468</v>
      </c>
      <c r="B7541" s="50" t="s">
        <v>218</v>
      </c>
      <c r="C7541" s="50" t="s">
        <v>635</v>
      </c>
      <c r="D7541" s="50" t="s">
        <v>259</v>
      </c>
      <c r="E7541" s="50">
        <v>0</v>
      </c>
      <c r="F7541" s="51">
        <v>0.32645932980268322</v>
      </c>
      <c r="G7541" s="51" t="str">
        <v>森 2023/01/26 (木)
平日夜間</v>
      </c>
    </row>
    <row r="7542" spans="1:7" ht="16.149999999999999" x14ac:dyDescent="0.7">
      <c r="A7542" s="49">
        <v>44916.572952025468</v>
      </c>
      <c r="B7542" s="50" t="s">
        <v>218</v>
      </c>
      <c r="C7542" s="50" t="s">
        <v>636</v>
      </c>
      <c r="D7542" s="50" t="s">
        <v>259</v>
      </c>
      <c r="E7542" s="50">
        <v>0</v>
      </c>
      <c r="F7542" s="51">
        <v>0.67139690540719421</v>
      </c>
      <c r="G7542" s="51" t="str">
        <v>森 2023/01/27 (金)
平日夜間</v>
      </c>
    </row>
    <row r="7543" spans="1:7" ht="16.149999999999999" x14ac:dyDescent="0.7">
      <c r="A7543" s="49">
        <v>44916.572952025468</v>
      </c>
      <c r="B7543" s="50" t="s">
        <v>218</v>
      </c>
      <c r="C7543" s="50" t="s">
        <v>637</v>
      </c>
      <c r="D7543" s="50" t="s">
        <v>263</v>
      </c>
      <c r="E7543" s="50">
        <v>-1</v>
      </c>
      <c r="F7543" s="51">
        <v>-0.53816979458405467</v>
      </c>
      <c r="G7543" s="51" t="str">
        <v>森 2023/01/28 (土)
休日午前</v>
      </c>
    </row>
    <row r="7544" spans="1:7" ht="16.149999999999999" x14ac:dyDescent="0.7">
      <c r="A7544" s="49">
        <v>44916.572952025468</v>
      </c>
      <c r="B7544" s="50" t="s">
        <v>218</v>
      </c>
      <c r="C7544" s="50" t="s">
        <v>638</v>
      </c>
      <c r="D7544" s="50" t="s">
        <v>261</v>
      </c>
      <c r="E7544" s="50">
        <v>-1</v>
      </c>
      <c r="F7544" s="51">
        <v>-0.34306604137492602</v>
      </c>
      <c r="G7544" s="51" t="str">
        <v>森 2023/01/28 (土)
休日午後</v>
      </c>
    </row>
    <row r="7545" spans="1:7" ht="16.149999999999999" x14ac:dyDescent="0.7">
      <c r="A7545" s="49">
        <v>44916.572952025468</v>
      </c>
      <c r="B7545" s="50" t="s">
        <v>218</v>
      </c>
      <c r="C7545" s="50" t="s">
        <v>639</v>
      </c>
      <c r="D7545" s="50" t="s">
        <v>263</v>
      </c>
      <c r="E7545" s="50">
        <v>-1</v>
      </c>
      <c r="F7545" s="51">
        <v>-0.95868649123126581</v>
      </c>
      <c r="G7545" s="51" t="str">
        <v>森 2023/01/29 (日)
休日午前</v>
      </c>
    </row>
    <row r="7546" spans="1:7" ht="16.149999999999999" x14ac:dyDescent="0.7">
      <c r="A7546" s="49">
        <v>44916.572952025468</v>
      </c>
      <c r="B7546" s="50" t="s">
        <v>218</v>
      </c>
      <c r="C7546" s="50" t="s">
        <v>640</v>
      </c>
      <c r="D7546" s="50" t="s">
        <v>261</v>
      </c>
      <c r="E7546" s="50">
        <v>-1</v>
      </c>
      <c r="F7546" s="51">
        <v>-0.74978448325218605</v>
      </c>
      <c r="G7546" s="51" t="str">
        <v>森 2023/01/29 (日)
休日午後</v>
      </c>
    </row>
    <row r="7547" spans="1:7" ht="16.149999999999999" x14ac:dyDescent="0.7">
      <c r="A7547" s="49">
        <v>44916.572952025468</v>
      </c>
      <c r="B7547" s="50" t="s">
        <v>218</v>
      </c>
      <c r="C7547" s="50" t="s">
        <v>641</v>
      </c>
      <c r="D7547" s="50" t="s">
        <v>259</v>
      </c>
      <c r="E7547" s="50">
        <v>0</v>
      </c>
      <c r="F7547" s="51">
        <v>0.17129616498948463</v>
      </c>
      <c r="G7547" s="51" t="str">
        <v>森 2023/01/30 (月)
平日夜間</v>
      </c>
    </row>
    <row r="7548" spans="1:7" ht="16.149999999999999" x14ac:dyDescent="0.7">
      <c r="A7548" s="49">
        <v>44916.572952025468</v>
      </c>
      <c r="B7548" s="50" t="s">
        <v>218</v>
      </c>
      <c r="C7548" s="50" t="s">
        <v>642</v>
      </c>
      <c r="D7548" s="50" t="s">
        <v>259</v>
      </c>
      <c r="E7548" s="50">
        <v>2</v>
      </c>
      <c r="F7548" s="51">
        <v>2.882327501756762</v>
      </c>
      <c r="G7548" s="51" t="str">
        <v>森 2023/01/31 (火)
平日夜間</v>
      </c>
    </row>
    <row r="7549" spans="1:7" ht="16.149999999999999" x14ac:dyDescent="0.7">
      <c r="A7549" s="49">
        <v>44945.395651620369</v>
      </c>
      <c r="B7549" s="50" t="s">
        <v>14</v>
      </c>
      <c r="C7549" s="50" t="s">
        <v>643</v>
      </c>
      <c r="D7549" s="50" t="s">
        <v>259</v>
      </c>
      <c r="E7549" s="50">
        <v>0</v>
      </c>
      <c r="F7549" s="51">
        <v>0.31007513479436932</v>
      </c>
      <c r="G7549" s="51" t="str">
        <v>林智 2023/02/01 (水)
平日夜間</v>
      </c>
    </row>
    <row r="7550" spans="1:7" ht="16.149999999999999" x14ac:dyDescent="0.7">
      <c r="A7550" s="49">
        <v>44945.395651620369</v>
      </c>
      <c r="B7550" s="50" t="s">
        <v>14</v>
      </c>
      <c r="C7550" s="50" t="s">
        <v>644</v>
      </c>
      <c r="D7550" s="50" t="s">
        <v>259</v>
      </c>
      <c r="E7550" s="50">
        <v>0</v>
      </c>
      <c r="F7550" s="51">
        <v>0.33714917964408264</v>
      </c>
      <c r="G7550" s="51" t="str">
        <v>林智 2023/02/02 (木)
平日夜間</v>
      </c>
    </row>
    <row r="7551" spans="1:7" ht="16.149999999999999" x14ac:dyDescent="0.7">
      <c r="A7551" s="49">
        <v>44945.395651620369</v>
      </c>
      <c r="B7551" s="50" t="s">
        <v>14</v>
      </c>
      <c r="C7551" s="50" t="s">
        <v>645</v>
      </c>
      <c r="D7551" s="50" t="s">
        <v>259</v>
      </c>
      <c r="E7551" s="50">
        <v>0</v>
      </c>
      <c r="F7551" s="51">
        <v>0.96700786735824984</v>
      </c>
      <c r="G7551" s="51" t="str">
        <v>林智 2023/02/03 (金)
平日夜間</v>
      </c>
    </row>
    <row r="7552" spans="1:7" ht="16.149999999999999" x14ac:dyDescent="0.7">
      <c r="A7552" s="49">
        <v>44945.395651620369</v>
      </c>
      <c r="B7552" s="50" t="s">
        <v>14</v>
      </c>
      <c r="C7552" s="50" t="s">
        <v>646</v>
      </c>
      <c r="D7552" s="50" t="s">
        <v>263</v>
      </c>
      <c r="E7552" s="50">
        <v>-1</v>
      </c>
      <c r="F7552" s="51">
        <v>-0.52526547373628207</v>
      </c>
      <c r="G7552" s="51" t="str">
        <v>林智 2023/02/04 (土)
休日午前</v>
      </c>
    </row>
    <row r="7553" spans="1:7" ht="16.149999999999999" x14ac:dyDescent="0.7">
      <c r="A7553" s="49">
        <v>44945.395651620369</v>
      </c>
      <c r="B7553" s="50" t="s">
        <v>14</v>
      </c>
      <c r="C7553" s="50" t="s">
        <v>647</v>
      </c>
      <c r="D7553" s="50" t="s">
        <v>261</v>
      </c>
      <c r="E7553" s="50">
        <v>-1</v>
      </c>
      <c r="F7553" s="51">
        <v>-0.90969805740382803</v>
      </c>
      <c r="G7553" s="51" t="str">
        <v>林智 2023/02/04 (土)
休日午後</v>
      </c>
    </row>
    <row r="7554" spans="1:7" ht="16.149999999999999" x14ac:dyDescent="0.7">
      <c r="A7554" s="49">
        <v>44945.395651620369</v>
      </c>
      <c r="B7554" s="50" t="s">
        <v>14</v>
      </c>
      <c r="C7554" s="50" t="s">
        <v>648</v>
      </c>
      <c r="D7554" s="50" t="s">
        <v>263</v>
      </c>
      <c r="E7554" s="50">
        <v>-1</v>
      </c>
      <c r="F7554" s="51">
        <v>-0.74943492622142882</v>
      </c>
      <c r="G7554" s="51" t="str">
        <v>林智 2023/02/05 (日)
休日午前</v>
      </c>
    </row>
    <row r="7555" spans="1:7" ht="16.149999999999999" x14ac:dyDescent="0.7">
      <c r="A7555" s="49">
        <v>44945.395651620369</v>
      </c>
      <c r="B7555" s="50" t="s">
        <v>14</v>
      </c>
      <c r="C7555" s="50" t="s">
        <v>649</v>
      </c>
      <c r="D7555" s="50" t="s">
        <v>261</v>
      </c>
      <c r="E7555" s="50">
        <v>-1</v>
      </c>
      <c r="F7555" s="51">
        <v>-0.92212542666548525</v>
      </c>
      <c r="G7555" s="51" t="str">
        <v>林智 2023/02/05 (日)
休日午後</v>
      </c>
    </row>
    <row r="7556" spans="1:7" ht="16.149999999999999" x14ac:dyDescent="0.7">
      <c r="A7556" s="49">
        <v>44945.395651620369</v>
      </c>
      <c r="B7556" s="50" t="s">
        <v>14</v>
      </c>
      <c r="C7556" s="50" t="s">
        <v>650</v>
      </c>
      <c r="D7556" s="50" t="s">
        <v>259</v>
      </c>
      <c r="E7556" s="50">
        <v>2</v>
      </c>
      <c r="F7556" s="51">
        <v>2.9422446056201355</v>
      </c>
      <c r="G7556" s="51" t="str">
        <v>林智 2023/02/06 (月)
平日夜間</v>
      </c>
    </row>
    <row r="7557" spans="1:7" ht="16.149999999999999" x14ac:dyDescent="0.7">
      <c r="A7557" s="49">
        <v>44945.395651620369</v>
      </c>
      <c r="B7557" s="50" t="s">
        <v>14</v>
      </c>
      <c r="C7557" s="50" t="s">
        <v>651</v>
      </c>
      <c r="D7557" s="50" t="s">
        <v>259</v>
      </c>
      <c r="E7557" s="50">
        <v>0</v>
      </c>
      <c r="F7557" s="51">
        <v>0.15558025476102744</v>
      </c>
      <c r="G7557" s="51" t="str">
        <v>林智 2023/02/07 (火)
平日夜間</v>
      </c>
    </row>
    <row r="7558" spans="1:7" ht="16.149999999999999" x14ac:dyDescent="0.7">
      <c r="A7558" s="49">
        <v>44945.395651620369</v>
      </c>
      <c r="B7558" s="50" t="s">
        <v>14</v>
      </c>
      <c r="C7558" s="50" t="s">
        <v>652</v>
      </c>
      <c r="D7558" s="50" t="s">
        <v>259</v>
      </c>
      <c r="E7558" s="50">
        <v>0</v>
      </c>
      <c r="F7558" s="51">
        <v>0.92206790807203554</v>
      </c>
      <c r="G7558" s="51" t="str">
        <v>林智 2023/02/08 (水)
平日夜間</v>
      </c>
    </row>
    <row r="7559" spans="1:7" ht="16.149999999999999" x14ac:dyDescent="0.7">
      <c r="A7559" s="49">
        <v>44945.395651620369</v>
      </c>
      <c r="B7559" s="50" t="s">
        <v>14</v>
      </c>
      <c r="C7559" s="50" t="s">
        <v>653</v>
      </c>
      <c r="D7559" s="50" t="s">
        <v>259</v>
      </c>
      <c r="E7559" s="50">
        <v>0</v>
      </c>
      <c r="F7559" s="51">
        <v>0.90575673246250998</v>
      </c>
      <c r="G7559" s="51" t="str">
        <v>林智 2023/02/09 (木)
平日夜間</v>
      </c>
    </row>
    <row r="7560" spans="1:7" ht="16.149999999999999" x14ac:dyDescent="0.7">
      <c r="A7560" s="49">
        <v>44945.395651620369</v>
      </c>
      <c r="B7560" s="50" t="s">
        <v>14</v>
      </c>
      <c r="C7560" s="50" t="s">
        <v>654</v>
      </c>
      <c r="D7560" s="50" t="s">
        <v>259</v>
      </c>
      <c r="E7560" s="50">
        <v>0</v>
      </c>
      <c r="F7560" s="51">
        <v>0.3667385979526423</v>
      </c>
      <c r="G7560" s="51" t="str">
        <v>林智 2023/02/10 (金)
平日夜間</v>
      </c>
    </row>
    <row r="7561" spans="1:7" ht="16.149999999999999" x14ac:dyDescent="0.7">
      <c r="A7561" s="49">
        <v>44945.395651620369</v>
      </c>
      <c r="B7561" s="50" t="s">
        <v>14</v>
      </c>
      <c r="C7561" s="50" t="s">
        <v>655</v>
      </c>
      <c r="D7561" s="50" t="s">
        <v>263</v>
      </c>
      <c r="E7561" s="50">
        <v>-1</v>
      </c>
      <c r="F7561" s="51">
        <v>-0.83430247738167762</v>
      </c>
      <c r="G7561" s="51" t="str">
        <v>林智 2023/02/11 (土)
休日午前</v>
      </c>
    </row>
    <row r="7562" spans="1:7" ht="16.149999999999999" x14ac:dyDescent="0.7">
      <c r="A7562" s="49">
        <v>44945.395651620369</v>
      </c>
      <c r="B7562" s="50" t="s">
        <v>14</v>
      </c>
      <c r="C7562" s="50" t="s">
        <v>656</v>
      </c>
      <c r="D7562" s="50" t="s">
        <v>261</v>
      </c>
      <c r="E7562" s="50">
        <v>-1</v>
      </c>
      <c r="F7562" s="51">
        <v>-0.31045677929717086</v>
      </c>
      <c r="G7562" s="51" t="str">
        <v>林智 2023/02/11 (土)
休日午後</v>
      </c>
    </row>
    <row r="7563" spans="1:7" ht="16.149999999999999" x14ac:dyDescent="0.7">
      <c r="A7563" s="49">
        <v>44945.395651620369</v>
      </c>
      <c r="B7563" s="50" t="s">
        <v>14</v>
      </c>
      <c r="C7563" s="50" t="s">
        <v>657</v>
      </c>
      <c r="D7563" s="50" t="s">
        <v>263</v>
      </c>
      <c r="E7563" s="50">
        <v>-1</v>
      </c>
      <c r="F7563" s="51">
        <v>-0.83452407238260262</v>
      </c>
      <c r="G7563" s="51" t="str">
        <v>林智 2023/02/12 (日)
休日午前</v>
      </c>
    </row>
    <row r="7564" spans="1:7" ht="16.149999999999999" x14ac:dyDescent="0.7">
      <c r="A7564" s="49">
        <v>44945.395651620369</v>
      </c>
      <c r="B7564" s="50" t="s">
        <v>14</v>
      </c>
      <c r="C7564" s="50" t="s">
        <v>658</v>
      </c>
      <c r="D7564" s="50" t="s">
        <v>261</v>
      </c>
      <c r="E7564" s="50">
        <v>-1</v>
      </c>
      <c r="F7564" s="51">
        <v>-0.2122460215119506</v>
      </c>
      <c r="G7564" s="51" t="str">
        <v>林智 2023/02/12 (日)
休日午後</v>
      </c>
    </row>
    <row r="7565" spans="1:7" ht="16.149999999999999" x14ac:dyDescent="0.7">
      <c r="A7565" s="49">
        <v>44945.395651620369</v>
      </c>
      <c r="B7565" s="50" t="s">
        <v>14</v>
      </c>
      <c r="C7565" s="50" t="s">
        <v>659</v>
      </c>
      <c r="D7565" s="50" t="s">
        <v>259</v>
      </c>
      <c r="E7565" s="50">
        <v>0</v>
      </c>
      <c r="F7565" s="51">
        <v>2.9289588730831984E-3</v>
      </c>
      <c r="G7565" s="51" t="str">
        <v>林智 2023/02/13 (月)
平日夜間</v>
      </c>
    </row>
    <row r="7566" spans="1:7" ht="16.149999999999999" x14ac:dyDescent="0.7">
      <c r="A7566" s="49">
        <v>44945.395651620369</v>
      </c>
      <c r="B7566" s="50" t="s">
        <v>14</v>
      </c>
      <c r="C7566" s="50" t="s">
        <v>660</v>
      </c>
      <c r="D7566" s="50" t="s">
        <v>259</v>
      </c>
      <c r="E7566" s="50">
        <v>0</v>
      </c>
      <c r="F7566" s="51">
        <v>0.13309895015740536</v>
      </c>
      <c r="G7566" s="51" t="str">
        <v>林智 2023/02/14 (火)
平日夜間</v>
      </c>
    </row>
    <row r="7567" spans="1:7" ht="16.149999999999999" x14ac:dyDescent="0.7">
      <c r="A7567" s="49">
        <v>44945.395651620369</v>
      </c>
      <c r="B7567" s="50" t="s">
        <v>14</v>
      </c>
      <c r="C7567" s="50" t="s">
        <v>661</v>
      </c>
      <c r="D7567" s="50" t="s">
        <v>259</v>
      </c>
      <c r="E7567" s="50">
        <v>0</v>
      </c>
      <c r="F7567" s="51">
        <v>0.95191369257687275</v>
      </c>
      <c r="G7567" s="51" t="str">
        <v>林智 2023/02/15 (水)
平日夜間</v>
      </c>
    </row>
    <row r="7568" spans="1:7" ht="16.149999999999999" x14ac:dyDescent="0.7">
      <c r="A7568" s="49">
        <v>44945.395651620369</v>
      </c>
      <c r="B7568" s="50" t="s">
        <v>14</v>
      </c>
      <c r="C7568" s="50" t="s">
        <v>662</v>
      </c>
      <c r="D7568" s="50" t="s">
        <v>259</v>
      </c>
      <c r="E7568" s="50">
        <v>0</v>
      </c>
      <c r="F7568" s="51">
        <v>9.0836736786763073E-2</v>
      </c>
      <c r="G7568" s="51" t="str">
        <v>林智 2023/02/16 (木)
平日夜間</v>
      </c>
    </row>
    <row r="7569" spans="1:7" ht="16.149999999999999" x14ac:dyDescent="0.7">
      <c r="A7569" s="49">
        <v>44945.395651620369</v>
      </c>
      <c r="B7569" s="50" t="s">
        <v>14</v>
      </c>
      <c r="C7569" s="50" t="s">
        <v>663</v>
      </c>
      <c r="D7569" s="50" t="s">
        <v>259</v>
      </c>
      <c r="E7569" s="50">
        <v>0</v>
      </c>
      <c r="F7569" s="51">
        <v>0.32599374257130775</v>
      </c>
      <c r="G7569" s="51" t="str">
        <v>林智 2023/02/17 (金)
平日夜間</v>
      </c>
    </row>
    <row r="7570" spans="1:7" ht="16.149999999999999" x14ac:dyDescent="0.7">
      <c r="A7570" s="49">
        <v>44945.395651620369</v>
      </c>
      <c r="B7570" s="50" t="s">
        <v>14</v>
      </c>
      <c r="C7570" s="50" t="s">
        <v>664</v>
      </c>
      <c r="D7570" s="50" t="s">
        <v>263</v>
      </c>
      <c r="E7570" s="50">
        <v>-1</v>
      </c>
      <c r="F7570" s="51">
        <v>-0.48306468111561141</v>
      </c>
      <c r="G7570" s="51" t="str">
        <v>林智 2023/02/18 (土)
休日午前</v>
      </c>
    </row>
    <row r="7571" spans="1:7" ht="16.149999999999999" x14ac:dyDescent="0.7">
      <c r="A7571" s="49">
        <v>44945.395651620369</v>
      </c>
      <c r="B7571" s="50" t="s">
        <v>14</v>
      </c>
      <c r="C7571" s="50" t="s">
        <v>665</v>
      </c>
      <c r="D7571" s="50" t="s">
        <v>261</v>
      </c>
      <c r="E7571" s="50">
        <v>-1</v>
      </c>
      <c r="F7571" s="51">
        <v>-0.57238617802433001</v>
      </c>
      <c r="G7571" s="51" t="str">
        <v>林智 2023/02/18 (土)
休日午後</v>
      </c>
    </row>
    <row r="7572" spans="1:7" ht="16.149999999999999" x14ac:dyDescent="0.7">
      <c r="A7572" s="49">
        <v>44945.398119039353</v>
      </c>
      <c r="B7572" s="50" t="s">
        <v>3</v>
      </c>
      <c r="C7572" s="50" t="s">
        <v>643</v>
      </c>
      <c r="D7572" s="50" t="s">
        <v>259</v>
      </c>
      <c r="E7572" s="50">
        <v>0</v>
      </c>
      <c r="F7572" s="51">
        <v>0.41607355969831272</v>
      </c>
      <c r="G7572" s="51" t="str">
        <v>高口 2023/02/01 (水)
平日夜間</v>
      </c>
    </row>
    <row r="7573" spans="1:7" ht="16.149999999999999" x14ac:dyDescent="0.7">
      <c r="A7573" s="49">
        <v>44945.395651620369</v>
      </c>
      <c r="B7573" s="50" t="s">
        <v>14</v>
      </c>
      <c r="C7573" s="50" t="s">
        <v>666</v>
      </c>
      <c r="D7573" s="50" t="s">
        <v>263</v>
      </c>
      <c r="E7573" s="50">
        <v>0</v>
      </c>
      <c r="F7573" s="51">
        <v>0.87238195095027082</v>
      </c>
      <c r="G7573" s="51" t="str">
        <v>林智 2023/02/19 (日)
休日午前</v>
      </c>
    </row>
    <row r="7574" spans="1:7" ht="16.149999999999999" x14ac:dyDescent="0.7">
      <c r="A7574" s="49">
        <v>44945.398119039353</v>
      </c>
      <c r="B7574" s="50" t="s">
        <v>3</v>
      </c>
      <c r="C7574" s="50" t="s">
        <v>644</v>
      </c>
      <c r="D7574" s="50" t="s">
        <v>259</v>
      </c>
      <c r="E7574" s="50">
        <v>0</v>
      </c>
      <c r="F7574" s="51">
        <v>0.33157109500727211</v>
      </c>
      <c r="G7574" s="51" t="str">
        <v>高口 2023/02/02 (木)
平日夜間</v>
      </c>
    </row>
    <row r="7575" spans="1:7" ht="16.149999999999999" x14ac:dyDescent="0.7">
      <c r="A7575" s="49">
        <v>44945.395651620369</v>
      </c>
      <c r="B7575" s="50" t="s">
        <v>14</v>
      </c>
      <c r="C7575" s="50" t="s">
        <v>667</v>
      </c>
      <c r="D7575" s="50" t="s">
        <v>261</v>
      </c>
      <c r="E7575" s="50">
        <v>-1</v>
      </c>
      <c r="F7575" s="51">
        <v>-0.72059917931093898</v>
      </c>
      <c r="G7575" s="51" t="str">
        <v>林智 2023/02/19 (日)
休日午後</v>
      </c>
    </row>
    <row r="7576" spans="1:7" ht="16.149999999999999" x14ac:dyDescent="0.7">
      <c r="A7576" s="49">
        <v>44945.398119039353</v>
      </c>
      <c r="B7576" s="50" t="s">
        <v>3</v>
      </c>
      <c r="C7576" s="50" t="s">
        <v>645</v>
      </c>
      <c r="D7576" s="50" t="s">
        <v>259</v>
      </c>
      <c r="E7576" s="50">
        <v>0</v>
      </c>
      <c r="F7576" s="51">
        <v>0.22518122558444409</v>
      </c>
      <c r="G7576" s="51" t="str">
        <v>高口 2023/02/03 (金)
平日夜間</v>
      </c>
    </row>
    <row r="7577" spans="1:7" ht="16.149999999999999" x14ac:dyDescent="0.7">
      <c r="A7577" s="49">
        <v>44945.395651620369</v>
      </c>
      <c r="B7577" s="50" t="s">
        <v>14</v>
      </c>
      <c r="C7577" s="50" t="s">
        <v>668</v>
      </c>
      <c r="D7577" s="50" t="s">
        <v>259</v>
      </c>
      <c r="E7577" s="50">
        <v>0</v>
      </c>
      <c r="F7577" s="51">
        <v>0.60963750107450165</v>
      </c>
      <c r="G7577" s="51" t="str">
        <v>林智 2023/02/20 (月)
平日夜間</v>
      </c>
    </row>
    <row r="7578" spans="1:7" ht="16.149999999999999" x14ac:dyDescent="0.7">
      <c r="A7578" s="49">
        <v>44945.398119039353</v>
      </c>
      <c r="B7578" s="50" t="s">
        <v>3</v>
      </c>
      <c r="C7578" s="50" t="s">
        <v>646</v>
      </c>
      <c r="D7578" s="50" t="s">
        <v>263</v>
      </c>
      <c r="E7578" s="50">
        <v>-1</v>
      </c>
      <c r="F7578" s="51">
        <v>-0.9911856134327508</v>
      </c>
      <c r="G7578" s="51" t="str">
        <v>高口 2023/02/04 (土)
休日午前</v>
      </c>
    </row>
    <row r="7579" spans="1:7" ht="16.149999999999999" x14ac:dyDescent="0.7">
      <c r="A7579" s="49">
        <v>44945.395651620369</v>
      </c>
      <c r="B7579" s="50" t="s">
        <v>14</v>
      </c>
      <c r="C7579" s="50" t="s">
        <v>669</v>
      </c>
      <c r="D7579" s="50" t="s">
        <v>259</v>
      </c>
      <c r="E7579" s="50">
        <v>0</v>
      </c>
      <c r="F7579" s="51">
        <v>0.30307836365157304</v>
      </c>
      <c r="G7579" s="51" t="str">
        <v>林智 2023/02/21 (火)
平日夜間</v>
      </c>
    </row>
    <row r="7580" spans="1:7" ht="16.149999999999999" x14ac:dyDescent="0.7">
      <c r="A7580" s="49">
        <v>44945.398119039353</v>
      </c>
      <c r="B7580" s="50" t="s">
        <v>3</v>
      </c>
      <c r="C7580" s="50" t="s">
        <v>647</v>
      </c>
      <c r="D7580" s="50" t="s">
        <v>261</v>
      </c>
      <c r="E7580" s="50">
        <v>-1</v>
      </c>
      <c r="F7580" s="51">
        <v>-0.87874267765716207</v>
      </c>
      <c r="G7580" s="51" t="str">
        <v>高口 2023/02/04 (土)
休日午後</v>
      </c>
    </row>
    <row r="7581" spans="1:7" ht="16.149999999999999" x14ac:dyDescent="0.7">
      <c r="A7581" s="49">
        <v>44945.395651620369</v>
      </c>
      <c r="B7581" s="50" t="s">
        <v>14</v>
      </c>
      <c r="C7581" s="50" t="s">
        <v>670</v>
      </c>
      <c r="D7581" s="50" t="s">
        <v>259</v>
      </c>
      <c r="E7581" s="50">
        <v>0</v>
      </c>
      <c r="F7581" s="51">
        <v>0.32392865578579899</v>
      </c>
      <c r="G7581" s="51" t="str">
        <v>林智 2023/02/22 (水)
平日夜間</v>
      </c>
    </row>
    <row r="7582" spans="1:7" ht="16.149999999999999" x14ac:dyDescent="0.7">
      <c r="A7582" s="49">
        <v>44945.398119039353</v>
      </c>
      <c r="B7582" s="50" t="s">
        <v>3</v>
      </c>
      <c r="C7582" s="50" t="s">
        <v>648</v>
      </c>
      <c r="D7582" s="50" t="s">
        <v>263</v>
      </c>
      <c r="E7582" s="50">
        <v>-1</v>
      </c>
      <c r="F7582" s="51">
        <v>-0.70571513934306584</v>
      </c>
      <c r="G7582" s="51" t="str">
        <v>高口 2023/02/05 (日)
休日午前</v>
      </c>
    </row>
    <row r="7583" spans="1:7" ht="16.149999999999999" x14ac:dyDescent="0.7">
      <c r="A7583" s="49">
        <v>44945.395651620369</v>
      </c>
      <c r="B7583" s="50" t="s">
        <v>14</v>
      </c>
      <c r="C7583" s="50" t="s">
        <v>671</v>
      </c>
      <c r="D7583" s="50" t="s">
        <v>263</v>
      </c>
      <c r="E7583" s="50">
        <v>-1</v>
      </c>
      <c r="F7583" s="51">
        <v>-0.45242779546282019</v>
      </c>
      <c r="G7583" s="51" t="str">
        <v>林智 2023/02/23 (木)
休日午前</v>
      </c>
    </row>
    <row r="7584" spans="1:7" ht="16.149999999999999" x14ac:dyDescent="0.7">
      <c r="A7584" s="49">
        <v>44945.398119039353</v>
      </c>
      <c r="B7584" s="50" t="s">
        <v>3</v>
      </c>
      <c r="C7584" s="50" t="s">
        <v>649</v>
      </c>
      <c r="D7584" s="50" t="s">
        <v>261</v>
      </c>
      <c r="E7584" s="50">
        <v>-1</v>
      </c>
      <c r="F7584" s="51">
        <v>-0.12157026457845399</v>
      </c>
      <c r="G7584" s="51" t="str">
        <v>高口 2023/02/05 (日)
休日午後</v>
      </c>
    </row>
    <row r="7585" spans="1:7" ht="16.149999999999999" x14ac:dyDescent="0.7">
      <c r="A7585" s="49">
        <v>44945.395651620369</v>
      </c>
      <c r="B7585" s="50" t="s">
        <v>14</v>
      </c>
      <c r="C7585" s="50" t="s">
        <v>672</v>
      </c>
      <c r="D7585" s="50" t="s">
        <v>261</v>
      </c>
      <c r="E7585" s="50">
        <v>-1</v>
      </c>
      <c r="F7585" s="51">
        <v>-0.8353014043958884</v>
      </c>
      <c r="G7585" s="51" t="str">
        <v>林智 2023/02/23 (木)
休日午後</v>
      </c>
    </row>
    <row r="7586" spans="1:7" ht="16.149999999999999" x14ac:dyDescent="0.7">
      <c r="A7586" s="49">
        <v>44945.398119039353</v>
      </c>
      <c r="B7586" s="50" t="s">
        <v>3</v>
      </c>
      <c r="C7586" s="50" t="s">
        <v>650</v>
      </c>
      <c r="D7586" s="50" t="s">
        <v>259</v>
      </c>
      <c r="E7586" s="50">
        <v>0</v>
      </c>
      <c r="F7586" s="51">
        <v>0.72167254380718759</v>
      </c>
      <c r="G7586" s="51" t="str">
        <v>高口 2023/02/06 (月)
平日夜間</v>
      </c>
    </row>
    <row r="7587" spans="1:7" ht="16.149999999999999" x14ac:dyDescent="0.7">
      <c r="A7587" s="49">
        <v>44945.395651620369</v>
      </c>
      <c r="B7587" s="50" t="s">
        <v>14</v>
      </c>
      <c r="C7587" s="50" t="s">
        <v>673</v>
      </c>
      <c r="D7587" s="50" t="s">
        <v>259</v>
      </c>
      <c r="E7587" s="50">
        <v>2</v>
      </c>
      <c r="F7587" s="51">
        <v>2.339222781743957</v>
      </c>
      <c r="G7587" s="51" t="str">
        <v>林智 2023/02/24 (金)
平日夜間</v>
      </c>
    </row>
    <row r="7588" spans="1:7" ht="16.149999999999999" x14ac:dyDescent="0.7">
      <c r="A7588" s="49">
        <v>44945.398119039353</v>
      </c>
      <c r="B7588" s="50" t="s">
        <v>3</v>
      </c>
      <c r="C7588" s="50" t="s">
        <v>651</v>
      </c>
      <c r="D7588" s="50" t="s">
        <v>259</v>
      </c>
      <c r="E7588" s="50">
        <v>0</v>
      </c>
      <c r="F7588" s="51">
        <v>0.48410870306893394</v>
      </c>
      <c r="G7588" s="51" t="str">
        <v>高口 2023/02/07 (火)
平日夜間</v>
      </c>
    </row>
    <row r="7589" spans="1:7" ht="16.149999999999999" x14ac:dyDescent="0.7">
      <c r="A7589" s="49">
        <v>44945.395651620369</v>
      </c>
      <c r="B7589" s="50" t="s">
        <v>14</v>
      </c>
      <c r="C7589" s="50" t="s">
        <v>674</v>
      </c>
      <c r="D7589" s="50" t="s">
        <v>263</v>
      </c>
      <c r="E7589" s="50">
        <v>-1</v>
      </c>
      <c r="F7589" s="51">
        <v>-0.43727672987644639</v>
      </c>
      <c r="G7589" s="51" t="str">
        <v>林智 2023/02/25 (土)
休日午前</v>
      </c>
    </row>
    <row r="7590" spans="1:7" ht="16.149999999999999" x14ac:dyDescent="0.7">
      <c r="A7590" s="49">
        <v>44945.398119039353</v>
      </c>
      <c r="B7590" s="50" t="s">
        <v>3</v>
      </c>
      <c r="C7590" s="50" t="s">
        <v>652</v>
      </c>
      <c r="D7590" s="50" t="s">
        <v>259</v>
      </c>
      <c r="E7590" s="50">
        <v>0</v>
      </c>
      <c r="F7590" s="51">
        <v>0.5603669044309163</v>
      </c>
      <c r="G7590" s="51" t="str">
        <v>高口 2023/02/08 (水)
平日夜間</v>
      </c>
    </row>
    <row r="7591" spans="1:7" ht="16.149999999999999" x14ac:dyDescent="0.7">
      <c r="A7591" s="49">
        <v>44945.395651620369</v>
      </c>
      <c r="B7591" s="50" t="s">
        <v>14</v>
      </c>
      <c r="C7591" s="50" t="s">
        <v>675</v>
      </c>
      <c r="D7591" s="50" t="s">
        <v>261</v>
      </c>
      <c r="E7591" s="50">
        <v>-1</v>
      </c>
      <c r="F7591" s="51">
        <v>-0.25867110718134612</v>
      </c>
      <c r="G7591" s="51" t="str">
        <v>林智 2023/02/25 (土)
休日午後</v>
      </c>
    </row>
    <row r="7592" spans="1:7" ht="16.149999999999999" x14ac:dyDescent="0.7">
      <c r="A7592" s="49">
        <v>44945.398119039353</v>
      </c>
      <c r="B7592" s="50" t="s">
        <v>3</v>
      </c>
      <c r="C7592" s="50" t="s">
        <v>653</v>
      </c>
      <c r="D7592" s="50" t="s">
        <v>259</v>
      </c>
      <c r="E7592" s="50">
        <v>0</v>
      </c>
      <c r="F7592" s="51">
        <v>0.95317196873991383</v>
      </c>
      <c r="G7592" s="51" t="str">
        <v>高口 2023/02/09 (木)
平日夜間</v>
      </c>
    </row>
    <row r="7593" spans="1:7" ht="16.149999999999999" x14ac:dyDescent="0.7">
      <c r="A7593" s="49">
        <v>44945.395651620369</v>
      </c>
      <c r="B7593" s="50" t="s">
        <v>14</v>
      </c>
      <c r="C7593" s="50" t="s">
        <v>676</v>
      </c>
      <c r="D7593" s="50" t="s">
        <v>263</v>
      </c>
      <c r="E7593" s="50">
        <v>-1</v>
      </c>
      <c r="F7593" s="51">
        <v>-8.1179883798949914E-2</v>
      </c>
      <c r="G7593" s="51" t="str">
        <v>林智 2023/02/26 (日)
休日午前</v>
      </c>
    </row>
    <row r="7594" spans="1:7" ht="16.149999999999999" x14ac:dyDescent="0.7">
      <c r="A7594" s="49">
        <v>44945.398119039353</v>
      </c>
      <c r="B7594" s="50" t="s">
        <v>3</v>
      </c>
      <c r="C7594" s="50" t="s">
        <v>654</v>
      </c>
      <c r="D7594" s="50" t="s">
        <v>259</v>
      </c>
      <c r="E7594" s="50">
        <v>0</v>
      </c>
      <c r="F7594" s="51">
        <v>0.70943067172290242</v>
      </c>
      <c r="G7594" s="51" t="str">
        <v>高口 2023/02/10 (金)
平日夜間</v>
      </c>
    </row>
    <row r="7595" spans="1:7" ht="16.149999999999999" x14ac:dyDescent="0.7">
      <c r="A7595" s="49">
        <v>44945.398119039353</v>
      </c>
      <c r="B7595" s="50" t="s">
        <v>3</v>
      </c>
      <c r="C7595" s="50" t="s">
        <v>655</v>
      </c>
      <c r="D7595" s="50" t="s">
        <v>263</v>
      </c>
      <c r="E7595" s="50">
        <v>-1</v>
      </c>
      <c r="F7595" s="51">
        <v>-0.19189410680328667</v>
      </c>
      <c r="G7595" s="51" t="str">
        <v>高口 2023/02/11 (土)
休日午前</v>
      </c>
    </row>
    <row r="7596" spans="1:7" ht="16.149999999999999" x14ac:dyDescent="0.7">
      <c r="A7596" s="49">
        <v>44945.398119039353</v>
      </c>
      <c r="B7596" s="50" t="s">
        <v>3</v>
      </c>
      <c r="C7596" s="50" t="s">
        <v>656</v>
      </c>
      <c r="D7596" s="50" t="s">
        <v>261</v>
      </c>
      <c r="E7596" s="50">
        <v>-1</v>
      </c>
      <c r="F7596" s="51">
        <v>-0.75418230632034877</v>
      </c>
      <c r="G7596" s="51" t="str">
        <v>高口 2023/02/11 (土)
休日午後</v>
      </c>
    </row>
    <row r="7597" spans="1:7" ht="16.149999999999999" x14ac:dyDescent="0.7">
      <c r="A7597" s="49">
        <v>44945.398119039353</v>
      </c>
      <c r="B7597" s="50" t="s">
        <v>3</v>
      </c>
      <c r="C7597" s="50" t="s">
        <v>657</v>
      </c>
      <c r="D7597" s="50" t="s">
        <v>263</v>
      </c>
      <c r="E7597" s="50">
        <v>-1</v>
      </c>
      <c r="F7597" s="51">
        <v>-0.1801311811732671</v>
      </c>
      <c r="G7597" s="51" t="str">
        <v>高口 2023/02/12 (日)
休日午前</v>
      </c>
    </row>
    <row r="7598" spans="1:7" ht="16.149999999999999" x14ac:dyDescent="0.7">
      <c r="A7598" s="49">
        <v>44945.398119039353</v>
      </c>
      <c r="B7598" s="50" t="s">
        <v>3</v>
      </c>
      <c r="C7598" s="50" t="s">
        <v>658</v>
      </c>
      <c r="D7598" s="50" t="s">
        <v>261</v>
      </c>
      <c r="E7598" s="50">
        <v>-1</v>
      </c>
      <c r="F7598" s="51">
        <v>-0.13951644893707926</v>
      </c>
      <c r="G7598" s="51" t="str">
        <v>高口 2023/02/12 (日)
休日午後</v>
      </c>
    </row>
    <row r="7599" spans="1:7" ht="16.149999999999999" x14ac:dyDescent="0.7">
      <c r="A7599" s="49">
        <v>44945.398119039353</v>
      </c>
      <c r="B7599" s="50" t="s">
        <v>3</v>
      </c>
      <c r="C7599" s="50" t="s">
        <v>659</v>
      </c>
      <c r="D7599" s="50" t="s">
        <v>259</v>
      </c>
      <c r="E7599" s="50">
        <v>0</v>
      </c>
      <c r="F7599" s="51">
        <v>0.52227443833825626</v>
      </c>
      <c r="G7599" s="51" t="str">
        <v>高口 2023/02/13 (月)
平日夜間</v>
      </c>
    </row>
    <row r="7600" spans="1:7" ht="16.149999999999999" x14ac:dyDescent="0.7">
      <c r="A7600" s="49">
        <v>44945.398119039353</v>
      </c>
      <c r="B7600" s="50" t="s">
        <v>3</v>
      </c>
      <c r="C7600" s="50" t="s">
        <v>660</v>
      </c>
      <c r="D7600" s="50" t="s">
        <v>259</v>
      </c>
      <c r="E7600" s="50">
        <v>0</v>
      </c>
      <c r="F7600" s="51">
        <v>0.83745963107603449</v>
      </c>
      <c r="G7600" s="51" t="str">
        <v>高口 2023/02/14 (火)
平日夜間</v>
      </c>
    </row>
    <row r="7601" spans="1:7" ht="16.149999999999999" x14ac:dyDescent="0.7">
      <c r="A7601" s="49">
        <v>44945.398119039353</v>
      </c>
      <c r="B7601" s="50" t="s">
        <v>3</v>
      </c>
      <c r="C7601" s="50" t="s">
        <v>661</v>
      </c>
      <c r="D7601" s="50" t="s">
        <v>259</v>
      </c>
      <c r="E7601" s="50">
        <v>0</v>
      </c>
      <c r="F7601" s="51">
        <v>0.2961371057309341</v>
      </c>
      <c r="G7601" s="51" t="str">
        <v>高口 2023/02/15 (水)
平日夜間</v>
      </c>
    </row>
    <row r="7602" spans="1:7" ht="16.149999999999999" x14ac:dyDescent="0.7">
      <c r="A7602" s="49">
        <v>44945.398119039353</v>
      </c>
      <c r="B7602" s="50" t="s">
        <v>3</v>
      </c>
      <c r="C7602" s="50" t="s">
        <v>662</v>
      </c>
      <c r="D7602" s="50" t="s">
        <v>259</v>
      </c>
      <c r="E7602" s="50">
        <v>0</v>
      </c>
      <c r="F7602" s="51">
        <v>0.99077431860366372</v>
      </c>
      <c r="G7602" s="51" t="str">
        <v>高口 2023/02/16 (木)
平日夜間</v>
      </c>
    </row>
    <row r="7603" spans="1:7" ht="16.149999999999999" x14ac:dyDescent="0.7">
      <c r="A7603" s="49">
        <v>44945.398119039353</v>
      </c>
      <c r="B7603" s="50" t="s">
        <v>3</v>
      </c>
      <c r="C7603" s="50" t="s">
        <v>663</v>
      </c>
      <c r="D7603" s="50" t="s">
        <v>259</v>
      </c>
      <c r="E7603" s="50">
        <v>0</v>
      </c>
      <c r="F7603" s="51">
        <v>0.13563234583910466</v>
      </c>
      <c r="G7603" s="51" t="str">
        <v>高口 2023/02/17 (金)
平日夜間</v>
      </c>
    </row>
    <row r="7604" spans="1:7" ht="16.149999999999999" x14ac:dyDescent="0.7">
      <c r="A7604" s="49">
        <v>44945.398119039353</v>
      </c>
      <c r="B7604" s="50" t="s">
        <v>3</v>
      </c>
      <c r="C7604" s="50" t="s">
        <v>664</v>
      </c>
      <c r="D7604" s="50" t="s">
        <v>263</v>
      </c>
      <c r="E7604" s="50">
        <v>0</v>
      </c>
      <c r="F7604" s="51">
        <v>0.34898919160442698</v>
      </c>
      <c r="G7604" s="51" t="str">
        <v>高口 2023/02/18 (土)
休日午前</v>
      </c>
    </row>
    <row r="7605" spans="1:7" ht="16.149999999999999" x14ac:dyDescent="0.7">
      <c r="A7605" s="49">
        <v>44945.398119039353</v>
      </c>
      <c r="B7605" s="50" t="s">
        <v>3</v>
      </c>
      <c r="C7605" s="50" t="s">
        <v>665</v>
      </c>
      <c r="D7605" s="50" t="s">
        <v>261</v>
      </c>
      <c r="E7605" s="50">
        <v>0</v>
      </c>
      <c r="F7605" s="51">
        <v>0.40304149536326839</v>
      </c>
      <c r="G7605" s="51" t="str">
        <v>高口 2023/02/18 (土)
休日午後</v>
      </c>
    </row>
    <row r="7606" spans="1:7" ht="16.149999999999999" x14ac:dyDescent="0.7">
      <c r="A7606" s="49">
        <v>44945.398119039353</v>
      </c>
      <c r="B7606" s="50" t="s">
        <v>3</v>
      </c>
      <c r="C7606" s="50" t="s">
        <v>666</v>
      </c>
      <c r="D7606" s="50" t="s">
        <v>263</v>
      </c>
      <c r="E7606" s="50">
        <v>-1</v>
      </c>
      <c r="F7606" s="51">
        <v>-6.7595980695886571E-2</v>
      </c>
      <c r="G7606" s="51" t="str">
        <v>高口 2023/02/19 (日)
休日午前</v>
      </c>
    </row>
    <row r="7607" spans="1:7" ht="16.149999999999999" x14ac:dyDescent="0.7">
      <c r="A7607" s="49">
        <v>44945.398119039353</v>
      </c>
      <c r="B7607" s="50" t="s">
        <v>3</v>
      </c>
      <c r="C7607" s="50" t="s">
        <v>667</v>
      </c>
      <c r="D7607" s="50" t="s">
        <v>261</v>
      </c>
      <c r="E7607" s="50">
        <v>-1</v>
      </c>
      <c r="F7607" s="51">
        <v>-7.9615904946509941E-2</v>
      </c>
      <c r="G7607" s="51" t="str">
        <v>高口 2023/02/19 (日)
休日午後</v>
      </c>
    </row>
    <row r="7608" spans="1:7" ht="16.149999999999999" x14ac:dyDescent="0.7">
      <c r="A7608" s="49">
        <v>44945.398119039353</v>
      </c>
      <c r="B7608" s="50" t="s">
        <v>3</v>
      </c>
      <c r="C7608" s="50" t="s">
        <v>668</v>
      </c>
      <c r="D7608" s="50" t="s">
        <v>259</v>
      </c>
      <c r="E7608" s="50">
        <v>0</v>
      </c>
      <c r="F7608" s="51">
        <v>0.42050927064372745</v>
      </c>
      <c r="G7608" s="51" t="str">
        <v>高口 2023/02/20 (月)
平日夜間</v>
      </c>
    </row>
    <row r="7609" spans="1:7" ht="16.149999999999999" x14ac:dyDescent="0.7">
      <c r="A7609" s="49">
        <v>44945.398119039353</v>
      </c>
      <c r="B7609" s="50" t="s">
        <v>3</v>
      </c>
      <c r="C7609" s="50" t="s">
        <v>669</v>
      </c>
      <c r="D7609" s="50" t="s">
        <v>259</v>
      </c>
      <c r="E7609" s="50">
        <v>0</v>
      </c>
      <c r="F7609" s="51">
        <v>0.76797476626514483</v>
      </c>
      <c r="G7609" s="51" t="str">
        <v>高口 2023/02/21 (火)
平日夜間</v>
      </c>
    </row>
    <row r="7610" spans="1:7" ht="16.149999999999999" x14ac:dyDescent="0.7">
      <c r="A7610" s="49">
        <v>44945.398119039353</v>
      </c>
      <c r="B7610" s="50" t="s">
        <v>3</v>
      </c>
      <c r="C7610" s="50" t="s">
        <v>670</v>
      </c>
      <c r="D7610" s="50" t="s">
        <v>259</v>
      </c>
      <c r="E7610" s="50">
        <v>0</v>
      </c>
      <c r="F7610" s="51">
        <v>0.15955621372173523</v>
      </c>
      <c r="G7610" s="51" t="str">
        <v>高口 2023/02/22 (水)
平日夜間</v>
      </c>
    </row>
    <row r="7611" spans="1:7" ht="16.149999999999999" x14ac:dyDescent="0.7">
      <c r="A7611" s="49">
        <v>44945.398119039353</v>
      </c>
      <c r="B7611" s="50" t="s">
        <v>3</v>
      </c>
      <c r="C7611" s="50" t="s">
        <v>671</v>
      </c>
      <c r="D7611" s="50" t="s">
        <v>263</v>
      </c>
      <c r="E7611" s="50">
        <v>-1</v>
      </c>
      <c r="F7611" s="51">
        <v>-0.63129929353807213</v>
      </c>
      <c r="G7611" s="51" t="str">
        <v>高口 2023/02/23 (木)
休日午前</v>
      </c>
    </row>
    <row r="7612" spans="1:7" ht="16.149999999999999" x14ac:dyDescent="0.7">
      <c r="A7612" s="49">
        <v>44945.398119039353</v>
      </c>
      <c r="B7612" s="50" t="s">
        <v>3</v>
      </c>
      <c r="C7612" s="50" t="s">
        <v>672</v>
      </c>
      <c r="D7612" s="50" t="s">
        <v>261</v>
      </c>
      <c r="E7612" s="50">
        <v>-1</v>
      </c>
      <c r="F7612" s="51">
        <v>-0.53486037177054069</v>
      </c>
      <c r="G7612" s="51" t="str">
        <v>高口 2023/02/23 (木)
休日午後</v>
      </c>
    </row>
    <row r="7613" spans="1:7" ht="16.149999999999999" x14ac:dyDescent="0.7">
      <c r="A7613" s="49">
        <v>44945.398119039353</v>
      </c>
      <c r="B7613" s="50" t="s">
        <v>3</v>
      </c>
      <c r="C7613" s="50" t="s">
        <v>673</v>
      </c>
      <c r="D7613" s="50" t="s">
        <v>259</v>
      </c>
      <c r="E7613" s="50">
        <v>0</v>
      </c>
      <c r="F7613" s="51">
        <v>0.13601399009630066</v>
      </c>
      <c r="G7613" s="51" t="str">
        <v>高口 2023/02/24 (金)
平日夜間</v>
      </c>
    </row>
    <row r="7614" spans="1:7" ht="16.149999999999999" x14ac:dyDescent="0.7">
      <c r="A7614" s="49">
        <v>44945.398119039353</v>
      </c>
      <c r="B7614" s="50" t="s">
        <v>3</v>
      </c>
      <c r="C7614" s="50" t="s">
        <v>674</v>
      </c>
      <c r="D7614" s="50" t="s">
        <v>263</v>
      </c>
      <c r="E7614" s="50">
        <v>0</v>
      </c>
      <c r="F7614" s="51">
        <v>0.9253965286267738</v>
      </c>
      <c r="G7614" s="51" t="str">
        <v>高口 2023/02/25 (土)
休日午前</v>
      </c>
    </row>
    <row r="7615" spans="1:7" ht="16.149999999999999" x14ac:dyDescent="0.7">
      <c r="A7615" s="49">
        <v>44945.398119039353</v>
      </c>
      <c r="B7615" s="50" t="s">
        <v>3</v>
      </c>
      <c r="C7615" s="50" t="s">
        <v>675</v>
      </c>
      <c r="D7615" s="50" t="s">
        <v>261</v>
      </c>
      <c r="E7615" s="50">
        <v>0</v>
      </c>
      <c r="F7615" s="51">
        <v>0.90428413882969538</v>
      </c>
      <c r="G7615" s="51" t="str">
        <v>高口 2023/02/25 (土)
休日午後</v>
      </c>
    </row>
    <row r="7616" spans="1:7" ht="16.149999999999999" x14ac:dyDescent="0.7">
      <c r="A7616" s="49">
        <v>44945.398119039353</v>
      </c>
      <c r="B7616" s="50" t="s">
        <v>3</v>
      </c>
      <c r="C7616" s="50" t="s">
        <v>676</v>
      </c>
      <c r="D7616" s="50" t="s">
        <v>263</v>
      </c>
      <c r="E7616" s="50">
        <v>0</v>
      </c>
      <c r="F7616" s="51">
        <v>0.71289381249849026</v>
      </c>
      <c r="G7616" s="51" t="str">
        <v>高口 2023/02/26 (日)
休日午前</v>
      </c>
    </row>
    <row r="7617" spans="1:7" ht="16.149999999999999" x14ac:dyDescent="0.7">
      <c r="A7617" s="49">
        <v>44945.398119039353</v>
      </c>
      <c r="B7617" s="50" t="s">
        <v>3</v>
      </c>
      <c r="C7617" s="50" t="s">
        <v>677</v>
      </c>
      <c r="D7617" s="50" t="s">
        <v>261</v>
      </c>
      <c r="E7617" s="50">
        <v>0</v>
      </c>
      <c r="F7617" s="51">
        <v>0.45463229977394581</v>
      </c>
      <c r="G7617" s="51" t="str">
        <v>高口 2023/02/26 (日)
休日午後</v>
      </c>
    </row>
    <row r="7618" spans="1:7" ht="16.149999999999999" x14ac:dyDescent="0.7">
      <c r="A7618" s="49">
        <v>44945.398119039353</v>
      </c>
      <c r="B7618" s="50" t="s">
        <v>3</v>
      </c>
      <c r="C7618" s="50" t="s">
        <v>678</v>
      </c>
      <c r="D7618" s="50" t="s">
        <v>259</v>
      </c>
      <c r="E7618" s="50">
        <v>0</v>
      </c>
      <c r="F7618" s="51">
        <v>0.79719532232845047</v>
      </c>
      <c r="G7618" s="51" t="str">
        <v>高口 2023/02/27 (月)
平日夜間</v>
      </c>
    </row>
    <row r="7619" spans="1:7" ht="16.149999999999999" x14ac:dyDescent="0.7">
      <c r="A7619" s="49">
        <v>44945.398119039353</v>
      </c>
      <c r="B7619" s="50" t="s">
        <v>3</v>
      </c>
      <c r="C7619" s="50" t="s">
        <v>679</v>
      </c>
      <c r="D7619" s="50" t="s">
        <v>259</v>
      </c>
      <c r="E7619" s="50">
        <v>0</v>
      </c>
      <c r="F7619" s="51">
        <v>0.32310484850419763</v>
      </c>
      <c r="G7619" s="51" t="str">
        <v>高口 2023/02/28 (火)
平日夜間</v>
      </c>
    </row>
    <row r="7620" spans="1:7" ht="16.149999999999999" x14ac:dyDescent="0.7">
      <c r="A7620" s="49">
        <v>44945.436292152779</v>
      </c>
      <c r="B7620" s="50" t="s">
        <v>7</v>
      </c>
      <c r="C7620" s="50" t="s">
        <v>643</v>
      </c>
      <c r="D7620" s="50" t="s">
        <v>259</v>
      </c>
      <c r="E7620" s="50">
        <v>0</v>
      </c>
      <c r="F7620" s="51">
        <v>3.8322165469976799E-2</v>
      </c>
      <c r="G7620" s="51" t="str">
        <v>竹藤 2023/02/01 (水)
平日夜間</v>
      </c>
    </row>
    <row r="7621" spans="1:7" ht="16.149999999999999" x14ac:dyDescent="0.7">
      <c r="A7621" s="49">
        <v>44945.436292152779</v>
      </c>
      <c r="B7621" s="50" t="s">
        <v>7</v>
      </c>
      <c r="C7621" s="50" t="s">
        <v>644</v>
      </c>
      <c r="D7621" s="50" t="s">
        <v>259</v>
      </c>
      <c r="E7621" s="50">
        <v>0</v>
      </c>
      <c r="F7621" s="51">
        <v>0.11851256764026097</v>
      </c>
      <c r="G7621" s="51" t="str">
        <v>竹藤 2023/02/02 (木)
平日夜間</v>
      </c>
    </row>
    <row r="7622" spans="1:7" ht="16.149999999999999" x14ac:dyDescent="0.7">
      <c r="A7622" s="49">
        <v>44945.436292152779</v>
      </c>
      <c r="B7622" s="50" t="s">
        <v>7</v>
      </c>
      <c r="C7622" s="50" t="s">
        <v>645</v>
      </c>
      <c r="D7622" s="50" t="s">
        <v>259</v>
      </c>
      <c r="E7622" s="50">
        <v>-1</v>
      </c>
      <c r="F7622" s="51">
        <v>-5.4414761470114703E-2</v>
      </c>
      <c r="G7622" s="51" t="str">
        <v>竹藤 2023/02/03 (金)
平日夜間</v>
      </c>
    </row>
    <row r="7623" spans="1:7" ht="16.149999999999999" x14ac:dyDescent="0.7">
      <c r="A7623" s="49">
        <v>44945.436292152779</v>
      </c>
      <c r="B7623" s="50" t="s">
        <v>7</v>
      </c>
      <c r="C7623" s="50" t="s">
        <v>646</v>
      </c>
      <c r="D7623" s="50" t="s">
        <v>263</v>
      </c>
      <c r="E7623" s="50">
        <v>0</v>
      </c>
      <c r="F7623" s="51">
        <v>1.9519079811835649E-2</v>
      </c>
      <c r="G7623" s="51" t="str">
        <v>竹藤 2023/02/04 (土)
休日午前</v>
      </c>
    </row>
    <row r="7624" spans="1:7" ht="16.149999999999999" x14ac:dyDescent="0.7">
      <c r="A7624" s="49">
        <v>44945.436292152779</v>
      </c>
      <c r="B7624" s="50" t="s">
        <v>7</v>
      </c>
      <c r="C7624" s="50" t="s">
        <v>647</v>
      </c>
      <c r="D7624" s="50" t="s">
        <v>261</v>
      </c>
      <c r="E7624" s="50">
        <v>-1</v>
      </c>
      <c r="F7624" s="51">
        <v>-0.61614041558271815</v>
      </c>
      <c r="G7624" s="51" t="str">
        <v>竹藤 2023/02/04 (土)
休日午後</v>
      </c>
    </row>
    <row r="7625" spans="1:7" ht="16.149999999999999" x14ac:dyDescent="0.7">
      <c r="A7625" s="49">
        <v>44945.436292152779</v>
      </c>
      <c r="B7625" s="50" t="s">
        <v>7</v>
      </c>
      <c r="C7625" s="50" t="s">
        <v>648</v>
      </c>
      <c r="D7625" s="50" t="s">
        <v>263</v>
      </c>
      <c r="E7625" s="50">
        <v>2</v>
      </c>
      <c r="F7625" s="51">
        <v>2.7374138657409617</v>
      </c>
      <c r="G7625" s="51" t="str">
        <v>竹藤 2023/02/05 (日)
休日午前</v>
      </c>
    </row>
    <row r="7626" spans="1:7" ht="16.149999999999999" x14ac:dyDescent="0.7">
      <c r="A7626" s="49">
        <v>44945.436292152779</v>
      </c>
      <c r="B7626" s="50" t="s">
        <v>7</v>
      </c>
      <c r="C7626" s="50" t="s">
        <v>649</v>
      </c>
      <c r="D7626" s="50" t="s">
        <v>261</v>
      </c>
      <c r="E7626" s="50">
        <v>2</v>
      </c>
      <c r="F7626" s="51">
        <v>2.0819778193247798</v>
      </c>
      <c r="G7626" s="51" t="str">
        <v>竹藤 2023/02/05 (日)
休日午後</v>
      </c>
    </row>
    <row r="7627" spans="1:7" ht="16.149999999999999" x14ac:dyDescent="0.7">
      <c r="A7627" s="49">
        <v>44945.436292152779</v>
      </c>
      <c r="B7627" s="50" t="s">
        <v>7</v>
      </c>
      <c r="C7627" s="50" t="s">
        <v>650</v>
      </c>
      <c r="D7627" s="50" t="s">
        <v>259</v>
      </c>
      <c r="E7627" s="50">
        <v>-1</v>
      </c>
      <c r="F7627" s="51">
        <v>-0.57112708411010482</v>
      </c>
      <c r="G7627" s="51" t="str">
        <v>竹藤 2023/02/06 (月)
平日夜間</v>
      </c>
    </row>
    <row r="7628" spans="1:7" ht="16.149999999999999" x14ac:dyDescent="0.7">
      <c r="A7628" s="49">
        <v>44945.436292152779</v>
      </c>
      <c r="B7628" s="50" t="s">
        <v>7</v>
      </c>
      <c r="C7628" s="50" t="s">
        <v>651</v>
      </c>
      <c r="D7628" s="50" t="s">
        <v>259</v>
      </c>
      <c r="E7628" s="50">
        <v>-1</v>
      </c>
      <c r="F7628" s="51">
        <v>-0.1081340772078816</v>
      </c>
      <c r="G7628" s="51" t="str">
        <v>竹藤 2023/02/07 (火)
平日夜間</v>
      </c>
    </row>
    <row r="7629" spans="1:7" ht="16.149999999999999" x14ac:dyDescent="0.7">
      <c r="A7629" s="49">
        <v>44945.436292152779</v>
      </c>
      <c r="B7629" s="50" t="s">
        <v>7</v>
      </c>
      <c r="C7629" s="50" t="s">
        <v>652</v>
      </c>
      <c r="D7629" s="50" t="s">
        <v>259</v>
      </c>
      <c r="E7629" s="50">
        <v>-1</v>
      </c>
      <c r="F7629" s="51">
        <v>-0.82749287518726766</v>
      </c>
      <c r="G7629" s="51" t="str">
        <v>竹藤 2023/02/08 (水)
平日夜間</v>
      </c>
    </row>
    <row r="7630" spans="1:7" ht="16.149999999999999" x14ac:dyDescent="0.7">
      <c r="A7630" s="49">
        <v>44945.436292152779</v>
      </c>
      <c r="B7630" s="50" t="s">
        <v>7</v>
      </c>
      <c r="C7630" s="50" t="s">
        <v>653</v>
      </c>
      <c r="D7630" s="50" t="s">
        <v>259</v>
      </c>
      <c r="E7630" s="50">
        <v>0</v>
      </c>
      <c r="F7630" s="51">
        <v>0.73276215229650621</v>
      </c>
      <c r="G7630" s="51" t="str">
        <v>竹藤 2023/02/09 (木)
平日夜間</v>
      </c>
    </row>
    <row r="7631" spans="1:7" ht="16.149999999999999" x14ac:dyDescent="0.7">
      <c r="A7631" s="49">
        <v>44945.436292152779</v>
      </c>
      <c r="B7631" s="50" t="s">
        <v>7</v>
      </c>
      <c r="C7631" s="50" t="s">
        <v>654</v>
      </c>
      <c r="D7631" s="50" t="s">
        <v>259</v>
      </c>
      <c r="E7631" s="50">
        <v>0</v>
      </c>
      <c r="F7631" s="51">
        <v>0.11708480598133009</v>
      </c>
      <c r="G7631" s="51" t="str">
        <v>竹藤 2023/02/10 (金)
平日夜間</v>
      </c>
    </row>
    <row r="7632" spans="1:7" ht="16.149999999999999" x14ac:dyDescent="0.7">
      <c r="A7632" s="49">
        <v>44945.436292152779</v>
      </c>
      <c r="B7632" s="50" t="s">
        <v>7</v>
      </c>
      <c r="C7632" s="50" t="s">
        <v>655</v>
      </c>
      <c r="D7632" s="50" t="s">
        <v>263</v>
      </c>
      <c r="E7632" s="50">
        <v>0</v>
      </c>
      <c r="F7632" s="51">
        <v>7.2574342126938918E-2</v>
      </c>
      <c r="G7632" s="51" t="str">
        <v>竹藤 2023/02/11 (土)
休日午前</v>
      </c>
    </row>
    <row r="7633" spans="1:7" ht="16.149999999999999" x14ac:dyDescent="0.7">
      <c r="A7633" s="49">
        <v>44945.436292152779</v>
      </c>
      <c r="B7633" s="50" t="s">
        <v>7</v>
      </c>
      <c r="C7633" s="50" t="s">
        <v>656</v>
      </c>
      <c r="D7633" s="50" t="s">
        <v>261</v>
      </c>
      <c r="E7633" s="50">
        <v>0</v>
      </c>
      <c r="F7633" s="51">
        <v>0.7642404794609825</v>
      </c>
      <c r="G7633" s="51" t="str">
        <v>竹藤 2023/02/11 (土)
休日午後</v>
      </c>
    </row>
    <row r="7634" spans="1:7" ht="16.149999999999999" x14ac:dyDescent="0.7">
      <c r="A7634" s="49">
        <v>44945.436292152779</v>
      </c>
      <c r="B7634" s="50" t="s">
        <v>7</v>
      </c>
      <c r="C7634" s="50" t="s">
        <v>657</v>
      </c>
      <c r="D7634" s="50" t="s">
        <v>263</v>
      </c>
      <c r="E7634" s="50">
        <v>0</v>
      </c>
      <c r="F7634" s="51">
        <v>0.22683655243762879</v>
      </c>
      <c r="G7634" s="51" t="str">
        <v>竹藤 2023/02/12 (日)
休日午前</v>
      </c>
    </row>
    <row r="7635" spans="1:7" ht="16.149999999999999" x14ac:dyDescent="0.7">
      <c r="A7635" s="49">
        <v>44945.436292152779</v>
      </c>
      <c r="B7635" s="50" t="s">
        <v>7</v>
      </c>
      <c r="C7635" s="50" t="s">
        <v>658</v>
      </c>
      <c r="D7635" s="50" t="s">
        <v>261</v>
      </c>
      <c r="E7635" s="50">
        <v>0</v>
      </c>
      <c r="F7635" s="51">
        <v>0.38677675775948939</v>
      </c>
      <c r="G7635" s="51" t="str">
        <v>竹藤 2023/02/12 (日)
休日午後</v>
      </c>
    </row>
    <row r="7636" spans="1:7" ht="16.149999999999999" x14ac:dyDescent="0.7">
      <c r="A7636" s="49">
        <v>44945.436292152779</v>
      </c>
      <c r="B7636" s="50" t="s">
        <v>7</v>
      </c>
      <c r="C7636" s="50" t="s">
        <v>659</v>
      </c>
      <c r="D7636" s="50" t="s">
        <v>259</v>
      </c>
      <c r="E7636" s="50">
        <v>0</v>
      </c>
      <c r="F7636" s="51">
        <v>0.99847145683048111</v>
      </c>
      <c r="G7636" s="51" t="str">
        <v>竹藤 2023/02/13 (月)
平日夜間</v>
      </c>
    </row>
    <row r="7637" spans="1:7" ht="16.149999999999999" x14ac:dyDescent="0.7">
      <c r="A7637" s="49">
        <v>44945.436292152779</v>
      </c>
      <c r="B7637" s="50" t="s">
        <v>7</v>
      </c>
      <c r="C7637" s="50" t="s">
        <v>660</v>
      </c>
      <c r="D7637" s="50" t="s">
        <v>259</v>
      </c>
      <c r="E7637" s="50">
        <v>-1</v>
      </c>
      <c r="F7637" s="51">
        <v>-0.42512654527177984</v>
      </c>
      <c r="G7637" s="51" t="str">
        <v>竹藤 2023/02/14 (火)
平日夜間</v>
      </c>
    </row>
    <row r="7638" spans="1:7" ht="16.149999999999999" x14ac:dyDescent="0.7">
      <c r="A7638" s="49">
        <v>44945.436292152779</v>
      </c>
      <c r="B7638" s="50" t="s">
        <v>7</v>
      </c>
      <c r="C7638" s="50" t="s">
        <v>661</v>
      </c>
      <c r="D7638" s="50" t="s">
        <v>259</v>
      </c>
      <c r="E7638" s="50">
        <v>0</v>
      </c>
      <c r="F7638" s="51">
        <v>0.15844944311750186</v>
      </c>
      <c r="G7638" s="51" t="str">
        <v>竹藤 2023/02/15 (水)
平日夜間</v>
      </c>
    </row>
    <row r="7639" spans="1:7" ht="16.149999999999999" x14ac:dyDescent="0.7">
      <c r="A7639" s="49">
        <v>44945.436292152779</v>
      </c>
      <c r="B7639" s="50" t="s">
        <v>7</v>
      </c>
      <c r="C7639" s="50" t="s">
        <v>662</v>
      </c>
      <c r="D7639" s="50" t="s">
        <v>259</v>
      </c>
      <c r="E7639" s="50">
        <v>0</v>
      </c>
      <c r="F7639" s="51">
        <v>0.51265456924697039</v>
      </c>
      <c r="G7639" s="51" t="str">
        <v>竹藤 2023/02/16 (木)
平日夜間</v>
      </c>
    </row>
    <row r="7640" spans="1:7" ht="16.149999999999999" x14ac:dyDescent="0.7">
      <c r="A7640" s="49">
        <v>44945.436292152779</v>
      </c>
      <c r="B7640" s="50" t="s">
        <v>7</v>
      </c>
      <c r="C7640" s="50" t="s">
        <v>663</v>
      </c>
      <c r="D7640" s="50" t="s">
        <v>259</v>
      </c>
      <c r="E7640" s="50">
        <v>0</v>
      </c>
      <c r="F7640" s="51">
        <v>0.76041989448962855</v>
      </c>
      <c r="G7640" s="51" t="str">
        <v>竹藤 2023/02/17 (金)
平日夜間</v>
      </c>
    </row>
    <row r="7641" spans="1:7" ht="16.149999999999999" x14ac:dyDescent="0.7">
      <c r="A7641" s="49">
        <v>44945.436292152779</v>
      </c>
      <c r="B7641" s="50" t="s">
        <v>7</v>
      </c>
      <c r="C7641" s="50" t="s">
        <v>664</v>
      </c>
      <c r="D7641" s="50" t="s">
        <v>263</v>
      </c>
      <c r="E7641" s="50">
        <v>0</v>
      </c>
      <c r="F7641" s="51">
        <v>0.10437576248622027</v>
      </c>
      <c r="G7641" s="51" t="str">
        <v>竹藤 2023/02/18 (土)
休日午前</v>
      </c>
    </row>
    <row r="7642" spans="1:7" ht="16.149999999999999" x14ac:dyDescent="0.7">
      <c r="A7642" s="49">
        <v>44945.436292152779</v>
      </c>
      <c r="B7642" s="50" t="s">
        <v>7</v>
      </c>
      <c r="C7642" s="50" t="s">
        <v>665</v>
      </c>
      <c r="D7642" s="50" t="s">
        <v>261</v>
      </c>
      <c r="E7642" s="50">
        <v>0</v>
      </c>
      <c r="F7642" s="51">
        <v>0.92888333920858202</v>
      </c>
      <c r="G7642" s="51" t="str">
        <v>竹藤 2023/02/18 (土)
休日午後</v>
      </c>
    </row>
    <row r="7643" spans="1:7" ht="16.149999999999999" x14ac:dyDescent="0.7">
      <c r="A7643" s="49">
        <v>44945.436292152779</v>
      </c>
      <c r="B7643" s="50" t="s">
        <v>7</v>
      </c>
      <c r="C7643" s="50" t="s">
        <v>666</v>
      </c>
      <c r="D7643" s="50" t="s">
        <v>263</v>
      </c>
      <c r="E7643" s="50">
        <v>0</v>
      </c>
      <c r="F7643" s="51">
        <v>4.7027824201753221E-2</v>
      </c>
      <c r="G7643" s="51" t="str">
        <v>竹藤 2023/02/19 (日)
休日午前</v>
      </c>
    </row>
    <row r="7644" spans="1:7" ht="16.149999999999999" x14ac:dyDescent="0.7">
      <c r="A7644" s="49">
        <v>44945.436292152779</v>
      </c>
      <c r="B7644" s="50" t="s">
        <v>7</v>
      </c>
      <c r="C7644" s="50" t="s">
        <v>667</v>
      </c>
      <c r="D7644" s="50" t="s">
        <v>261</v>
      </c>
      <c r="E7644" s="50">
        <v>0</v>
      </c>
      <c r="F7644" s="51">
        <v>0.93219877006353169</v>
      </c>
      <c r="G7644" s="51" t="str">
        <v>竹藤 2023/02/19 (日)
休日午後</v>
      </c>
    </row>
    <row r="7645" spans="1:7" ht="16.149999999999999" x14ac:dyDescent="0.7">
      <c r="A7645" s="49">
        <v>44945.436292152779</v>
      </c>
      <c r="B7645" s="50" t="s">
        <v>7</v>
      </c>
      <c r="C7645" s="50" t="s">
        <v>668</v>
      </c>
      <c r="D7645" s="50" t="s">
        <v>259</v>
      </c>
      <c r="E7645" s="50">
        <v>0</v>
      </c>
      <c r="F7645" s="51">
        <v>0.60023242003480304</v>
      </c>
      <c r="G7645" s="51" t="str">
        <v>竹藤 2023/02/20 (月)
平日夜間</v>
      </c>
    </row>
    <row r="7646" spans="1:7" ht="16.149999999999999" x14ac:dyDescent="0.7">
      <c r="A7646" s="49">
        <v>44945.436292152779</v>
      </c>
      <c r="B7646" s="50" t="s">
        <v>7</v>
      </c>
      <c r="C7646" s="50" t="s">
        <v>669</v>
      </c>
      <c r="D7646" s="50" t="s">
        <v>259</v>
      </c>
      <c r="E7646" s="50">
        <v>-1</v>
      </c>
      <c r="F7646" s="51">
        <v>-0.97148639696966899</v>
      </c>
      <c r="G7646" s="51" t="str">
        <v>竹藤 2023/02/21 (火)
平日夜間</v>
      </c>
    </row>
    <row r="7647" spans="1:7" ht="16.149999999999999" x14ac:dyDescent="0.7">
      <c r="A7647" s="49">
        <v>44945.436292152779</v>
      </c>
      <c r="B7647" s="50" t="s">
        <v>7</v>
      </c>
      <c r="C7647" s="50" t="s">
        <v>670</v>
      </c>
      <c r="D7647" s="50" t="s">
        <v>259</v>
      </c>
      <c r="E7647" s="50">
        <v>0</v>
      </c>
      <c r="F7647" s="51">
        <v>0.78118316509005448</v>
      </c>
      <c r="G7647" s="51" t="str">
        <v>竹藤 2023/02/22 (水)
平日夜間</v>
      </c>
    </row>
    <row r="7648" spans="1:7" ht="16.149999999999999" x14ac:dyDescent="0.7">
      <c r="A7648" s="49">
        <v>44945.436292152779</v>
      </c>
      <c r="B7648" s="50" t="s">
        <v>7</v>
      </c>
      <c r="C7648" s="50" t="s">
        <v>671</v>
      </c>
      <c r="D7648" s="50" t="s">
        <v>263</v>
      </c>
      <c r="E7648" s="50">
        <v>-1</v>
      </c>
      <c r="F7648" s="51">
        <v>-0.91764308994968102</v>
      </c>
      <c r="G7648" s="51" t="str">
        <v>竹藤 2023/02/23 (木)
休日午前</v>
      </c>
    </row>
    <row r="7649" spans="1:7" ht="16.149999999999999" x14ac:dyDescent="0.7">
      <c r="A7649" s="49">
        <v>44945.436292152779</v>
      </c>
      <c r="B7649" s="50" t="s">
        <v>7</v>
      </c>
      <c r="C7649" s="50" t="s">
        <v>672</v>
      </c>
      <c r="D7649" s="50" t="s">
        <v>261</v>
      </c>
      <c r="E7649" s="50">
        <v>-1</v>
      </c>
      <c r="F7649" s="51">
        <v>-0.17868828741509613</v>
      </c>
      <c r="G7649" s="51" t="str">
        <v>竹藤 2023/02/23 (木)
休日午後</v>
      </c>
    </row>
    <row r="7650" spans="1:7" ht="16.149999999999999" x14ac:dyDescent="0.7">
      <c r="A7650" s="49">
        <v>44945.436292152779</v>
      </c>
      <c r="B7650" s="50" t="s">
        <v>7</v>
      </c>
      <c r="C7650" s="50" t="s">
        <v>673</v>
      </c>
      <c r="D7650" s="50" t="s">
        <v>259</v>
      </c>
      <c r="E7650" s="50">
        <v>-1</v>
      </c>
      <c r="F7650" s="51">
        <v>-0.54628053892021944</v>
      </c>
      <c r="G7650" s="51" t="str">
        <v>竹藤 2023/02/24 (金)
平日夜間</v>
      </c>
    </row>
    <row r="7651" spans="1:7" ht="16.149999999999999" x14ac:dyDescent="0.7">
      <c r="A7651" s="49">
        <v>44945.436292152779</v>
      </c>
      <c r="B7651" s="50" t="s">
        <v>7</v>
      </c>
      <c r="C7651" s="50" t="s">
        <v>674</v>
      </c>
      <c r="D7651" s="50" t="s">
        <v>263</v>
      </c>
      <c r="E7651" s="50">
        <v>0</v>
      </c>
      <c r="F7651" s="51">
        <v>0.38794657830963608</v>
      </c>
      <c r="G7651" s="51" t="str">
        <v>竹藤 2023/02/25 (土)
休日午前</v>
      </c>
    </row>
    <row r="7652" spans="1:7" ht="16.149999999999999" x14ac:dyDescent="0.7">
      <c r="A7652" s="49">
        <v>44945.436292152779</v>
      </c>
      <c r="B7652" s="50" t="s">
        <v>7</v>
      </c>
      <c r="C7652" s="50" t="s">
        <v>675</v>
      </c>
      <c r="D7652" s="50" t="s">
        <v>261</v>
      </c>
      <c r="E7652" s="50">
        <v>-1</v>
      </c>
      <c r="F7652" s="51">
        <v>-0.6105420045695551</v>
      </c>
      <c r="G7652" s="51" t="str">
        <v>竹藤 2023/02/25 (土)
休日午後</v>
      </c>
    </row>
    <row r="7653" spans="1:7" ht="16.149999999999999" x14ac:dyDescent="0.7">
      <c r="A7653" s="49">
        <v>44945.436292152779</v>
      </c>
      <c r="B7653" s="50" t="s">
        <v>7</v>
      </c>
      <c r="C7653" s="50" t="s">
        <v>676</v>
      </c>
      <c r="D7653" s="50" t="s">
        <v>263</v>
      </c>
      <c r="E7653" s="50">
        <v>0</v>
      </c>
      <c r="F7653" s="51">
        <v>0.65562637485858666</v>
      </c>
      <c r="G7653" s="51" t="str">
        <v>竹藤 2023/02/26 (日)
休日午前</v>
      </c>
    </row>
    <row r="7654" spans="1:7" ht="16.149999999999999" x14ac:dyDescent="0.7">
      <c r="A7654" s="49">
        <v>44945.436292152779</v>
      </c>
      <c r="B7654" s="50" t="s">
        <v>7</v>
      </c>
      <c r="C7654" s="50" t="s">
        <v>677</v>
      </c>
      <c r="D7654" s="50" t="s">
        <v>261</v>
      </c>
      <c r="E7654" s="50">
        <v>-1</v>
      </c>
      <c r="F7654" s="51">
        <v>-0.55845526353035657</v>
      </c>
      <c r="G7654" s="51" t="str">
        <v>竹藤 2023/02/26 (日)
休日午後</v>
      </c>
    </row>
    <row r="7655" spans="1:7" ht="16.149999999999999" x14ac:dyDescent="0.7">
      <c r="A7655" s="49">
        <v>44945.436292152779</v>
      </c>
      <c r="B7655" s="50" t="s">
        <v>7</v>
      </c>
      <c r="C7655" s="50" t="s">
        <v>678</v>
      </c>
      <c r="D7655" s="50" t="s">
        <v>259</v>
      </c>
      <c r="E7655" s="50">
        <v>0</v>
      </c>
      <c r="F7655" s="51">
        <v>0.97305538494482158</v>
      </c>
      <c r="G7655" s="51" t="str">
        <v>竹藤 2023/02/27 (月)
平日夜間</v>
      </c>
    </row>
    <row r="7656" spans="1:7" ht="16.149999999999999" x14ac:dyDescent="0.7">
      <c r="A7656" s="49">
        <v>44945.436292152779</v>
      </c>
      <c r="B7656" s="50" t="s">
        <v>7</v>
      </c>
      <c r="C7656" s="50" t="s">
        <v>679</v>
      </c>
      <c r="D7656" s="50" t="s">
        <v>259</v>
      </c>
      <c r="E7656" s="50">
        <v>-1</v>
      </c>
      <c r="F7656" s="51">
        <v>-0.78692820733590119</v>
      </c>
      <c r="G7656" s="51" t="str">
        <v>竹藤 2023/02/28 (火)
平日夜間</v>
      </c>
    </row>
    <row r="7657" spans="1:7" ht="16.149999999999999" x14ac:dyDescent="0.7">
      <c r="A7657" s="49">
        <v>44945.521754236106</v>
      </c>
      <c r="B7657" s="50" t="s">
        <v>4</v>
      </c>
      <c r="C7657" s="50" t="s">
        <v>643</v>
      </c>
      <c r="D7657" s="50" t="s">
        <v>259</v>
      </c>
      <c r="E7657" s="50">
        <v>0</v>
      </c>
      <c r="F7657" s="51">
        <v>0.72408629132966351</v>
      </c>
      <c r="G7657" s="51" t="str">
        <v>井上 2023/02/01 (水)
平日夜間</v>
      </c>
    </row>
    <row r="7658" spans="1:7" ht="16.149999999999999" x14ac:dyDescent="0.7">
      <c r="A7658" s="49">
        <v>44945.521754236106</v>
      </c>
      <c r="B7658" s="50" t="s">
        <v>4</v>
      </c>
      <c r="C7658" s="50" t="s">
        <v>644</v>
      </c>
      <c r="D7658" s="50" t="s">
        <v>259</v>
      </c>
      <c r="E7658" s="50">
        <v>0</v>
      </c>
      <c r="F7658" s="51">
        <v>8.0480015160385499E-2</v>
      </c>
      <c r="G7658" s="51" t="str">
        <v>井上 2023/02/02 (木)
平日夜間</v>
      </c>
    </row>
    <row r="7659" spans="1:7" ht="16.149999999999999" x14ac:dyDescent="0.7">
      <c r="A7659" s="49">
        <v>44945.521754236106</v>
      </c>
      <c r="B7659" s="50" t="s">
        <v>4</v>
      </c>
      <c r="C7659" s="50" t="s">
        <v>645</v>
      </c>
      <c r="D7659" s="50" t="s">
        <v>259</v>
      </c>
      <c r="E7659" s="50">
        <v>0</v>
      </c>
      <c r="F7659" s="51">
        <v>0.73138857958099579</v>
      </c>
      <c r="G7659" s="51" t="str">
        <v>井上 2023/02/03 (金)
平日夜間</v>
      </c>
    </row>
    <row r="7660" spans="1:7" ht="16.149999999999999" x14ac:dyDescent="0.7">
      <c r="A7660" s="49">
        <v>44945.521754236106</v>
      </c>
      <c r="B7660" s="50" t="s">
        <v>4</v>
      </c>
      <c r="C7660" s="50" t="s">
        <v>646</v>
      </c>
      <c r="D7660" s="50" t="s">
        <v>263</v>
      </c>
      <c r="E7660" s="50">
        <v>-1</v>
      </c>
      <c r="F7660" s="51">
        <v>-0.76125209651789016</v>
      </c>
      <c r="G7660" s="51" t="str">
        <v>井上 2023/02/04 (土)
休日午前</v>
      </c>
    </row>
    <row r="7661" spans="1:7" ht="16.149999999999999" x14ac:dyDescent="0.7">
      <c r="A7661" s="49">
        <v>44945.521754236106</v>
      </c>
      <c r="B7661" s="50" t="s">
        <v>4</v>
      </c>
      <c r="C7661" s="50" t="s">
        <v>647</v>
      </c>
      <c r="D7661" s="50" t="s">
        <v>261</v>
      </c>
      <c r="E7661" s="50">
        <v>-1</v>
      </c>
      <c r="F7661" s="51">
        <v>-0.87690131662751636</v>
      </c>
      <c r="G7661" s="51" t="str">
        <v>井上 2023/02/04 (土)
休日午後</v>
      </c>
    </row>
    <row r="7662" spans="1:7" ht="16.149999999999999" x14ac:dyDescent="0.7">
      <c r="A7662" s="49">
        <v>44945.521754236106</v>
      </c>
      <c r="B7662" s="50" t="s">
        <v>4</v>
      </c>
      <c r="C7662" s="50" t="s">
        <v>648</v>
      </c>
      <c r="D7662" s="50" t="s">
        <v>263</v>
      </c>
      <c r="E7662" s="50">
        <v>-1</v>
      </c>
      <c r="F7662" s="51">
        <v>-0.38031402405184078</v>
      </c>
      <c r="G7662" s="51" t="str">
        <v>井上 2023/02/05 (日)
休日午前</v>
      </c>
    </row>
    <row r="7663" spans="1:7" ht="16.149999999999999" x14ac:dyDescent="0.7">
      <c r="A7663" s="49">
        <v>44945.521754236106</v>
      </c>
      <c r="B7663" s="50" t="s">
        <v>4</v>
      </c>
      <c r="C7663" s="50" t="s">
        <v>649</v>
      </c>
      <c r="D7663" s="50" t="s">
        <v>261</v>
      </c>
      <c r="E7663" s="50">
        <v>-1</v>
      </c>
      <c r="F7663" s="51">
        <v>-0.80089238852054057</v>
      </c>
      <c r="G7663" s="51" t="str">
        <v>井上 2023/02/05 (日)
休日午後</v>
      </c>
    </row>
    <row r="7664" spans="1:7" ht="16.149999999999999" x14ac:dyDescent="0.7">
      <c r="A7664" s="49">
        <v>44945.521754236106</v>
      </c>
      <c r="B7664" s="50" t="s">
        <v>4</v>
      </c>
      <c r="C7664" s="50" t="s">
        <v>650</v>
      </c>
      <c r="D7664" s="50" t="s">
        <v>259</v>
      </c>
      <c r="E7664" s="50">
        <v>-1</v>
      </c>
      <c r="F7664" s="51">
        <v>-0.24685342023909929</v>
      </c>
      <c r="G7664" s="51" t="str">
        <v>井上 2023/02/06 (月)
平日夜間</v>
      </c>
    </row>
    <row r="7665" spans="1:7" ht="16.149999999999999" x14ac:dyDescent="0.7">
      <c r="A7665" s="49">
        <v>44945.521754236106</v>
      </c>
      <c r="B7665" s="50" t="s">
        <v>4</v>
      </c>
      <c r="C7665" s="50" t="s">
        <v>651</v>
      </c>
      <c r="D7665" s="50" t="s">
        <v>259</v>
      </c>
      <c r="E7665" s="50">
        <v>0</v>
      </c>
      <c r="F7665" s="51">
        <v>0.81899441947353191</v>
      </c>
      <c r="G7665" s="51" t="str">
        <v>井上 2023/02/07 (火)
平日夜間</v>
      </c>
    </row>
    <row r="7666" spans="1:7" ht="16.149999999999999" x14ac:dyDescent="0.7">
      <c r="A7666" s="49">
        <v>44945.521754236106</v>
      </c>
      <c r="B7666" s="50" t="s">
        <v>4</v>
      </c>
      <c r="C7666" s="50" t="s">
        <v>652</v>
      </c>
      <c r="D7666" s="50" t="s">
        <v>259</v>
      </c>
      <c r="E7666" s="50">
        <v>0</v>
      </c>
      <c r="F7666" s="51">
        <v>0.8379493690526485</v>
      </c>
      <c r="G7666" s="51" t="str">
        <v>井上 2023/02/08 (水)
平日夜間</v>
      </c>
    </row>
    <row r="7667" spans="1:7" ht="16.149999999999999" x14ac:dyDescent="0.7">
      <c r="A7667" s="49">
        <v>44945.521754236106</v>
      </c>
      <c r="B7667" s="50" t="s">
        <v>4</v>
      </c>
      <c r="C7667" s="50" t="s">
        <v>653</v>
      </c>
      <c r="D7667" s="50" t="s">
        <v>259</v>
      </c>
      <c r="E7667" s="50">
        <v>0</v>
      </c>
      <c r="F7667" s="51">
        <v>2.8163552342437059E-2</v>
      </c>
      <c r="G7667" s="51" t="str">
        <v>井上 2023/02/09 (木)
平日夜間</v>
      </c>
    </row>
    <row r="7668" spans="1:7" ht="16.149999999999999" x14ac:dyDescent="0.7">
      <c r="A7668" s="49">
        <v>44945.521754236106</v>
      </c>
      <c r="B7668" s="50" t="s">
        <v>4</v>
      </c>
      <c r="C7668" s="50" t="s">
        <v>654</v>
      </c>
      <c r="D7668" s="50" t="s">
        <v>259</v>
      </c>
      <c r="E7668" s="50">
        <v>0</v>
      </c>
      <c r="F7668" s="51">
        <v>0.51473514104809182</v>
      </c>
      <c r="G7668" s="51" t="str">
        <v>井上 2023/02/10 (金)
平日夜間</v>
      </c>
    </row>
    <row r="7669" spans="1:7" ht="16.149999999999999" x14ac:dyDescent="0.7">
      <c r="A7669" s="49">
        <v>44945.521754236106</v>
      </c>
      <c r="B7669" s="50" t="s">
        <v>4</v>
      </c>
      <c r="C7669" s="50" t="s">
        <v>655</v>
      </c>
      <c r="D7669" s="50" t="s">
        <v>263</v>
      </c>
      <c r="E7669" s="50">
        <v>0</v>
      </c>
      <c r="F7669" s="51">
        <v>0.35990570151364865</v>
      </c>
      <c r="G7669" s="51" t="str">
        <v>井上 2023/02/11 (土)
休日午前</v>
      </c>
    </row>
    <row r="7670" spans="1:7" ht="16.149999999999999" x14ac:dyDescent="0.7">
      <c r="A7670" s="49">
        <v>44945.521754236106</v>
      </c>
      <c r="B7670" s="50" t="s">
        <v>4</v>
      </c>
      <c r="C7670" s="50" t="s">
        <v>656</v>
      </c>
      <c r="D7670" s="50" t="s">
        <v>261</v>
      </c>
      <c r="E7670" s="50">
        <v>0</v>
      </c>
      <c r="F7670" s="51">
        <v>0.73074476651720643</v>
      </c>
      <c r="G7670" s="51" t="str">
        <v>井上 2023/02/11 (土)
休日午後</v>
      </c>
    </row>
    <row r="7671" spans="1:7" ht="16.149999999999999" x14ac:dyDescent="0.7">
      <c r="A7671" s="49">
        <v>44945.521754236106</v>
      </c>
      <c r="B7671" s="50" t="s">
        <v>4</v>
      </c>
      <c r="C7671" s="50" t="s">
        <v>657</v>
      </c>
      <c r="D7671" s="50" t="s">
        <v>263</v>
      </c>
      <c r="E7671" s="50">
        <v>-1</v>
      </c>
      <c r="F7671" s="51">
        <v>-0.44779474547624365</v>
      </c>
      <c r="G7671" s="51" t="str">
        <v>井上 2023/02/12 (日)
休日午前</v>
      </c>
    </row>
    <row r="7672" spans="1:7" ht="16.149999999999999" x14ac:dyDescent="0.7">
      <c r="A7672" s="49">
        <v>44945.521754236106</v>
      </c>
      <c r="B7672" s="50" t="s">
        <v>4</v>
      </c>
      <c r="C7672" s="50" t="s">
        <v>658</v>
      </c>
      <c r="D7672" s="50" t="s">
        <v>261</v>
      </c>
      <c r="E7672" s="50">
        <v>-1</v>
      </c>
      <c r="F7672" s="51">
        <v>-0.25067024975706409</v>
      </c>
      <c r="G7672" s="51" t="str">
        <v>井上 2023/02/12 (日)
休日午後</v>
      </c>
    </row>
    <row r="7673" spans="1:7" ht="16.149999999999999" x14ac:dyDescent="0.7">
      <c r="A7673" s="49">
        <v>44945.521754236106</v>
      </c>
      <c r="B7673" s="50" t="s">
        <v>4</v>
      </c>
      <c r="C7673" s="50" t="s">
        <v>659</v>
      </c>
      <c r="D7673" s="50" t="s">
        <v>259</v>
      </c>
      <c r="E7673" s="50">
        <v>-1</v>
      </c>
      <c r="F7673" s="51">
        <v>-0.20663369001097931</v>
      </c>
      <c r="G7673" s="51" t="str">
        <v>井上 2023/02/13 (月)
平日夜間</v>
      </c>
    </row>
    <row r="7674" spans="1:7" ht="16.149999999999999" x14ac:dyDescent="0.7">
      <c r="A7674" s="49">
        <v>44945.521754236106</v>
      </c>
      <c r="B7674" s="50" t="s">
        <v>4</v>
      </c>
      <c r="C7674" s="50" t="s">
        <v>660</v>
      </c>
      <c r="D7674" s="50" t="s">
        <v>259</v>
      </c>
      <c r="E7674" s="50">
        <v>-1</v>
      </c>
      <c r="F7674" s="51">
        <v>-0.11246006564040845</v>
      </c>
      <c r="G7674" s="51" t="str">
        <v>井上 2023/02/14 (火)
平日夜間</v>
      </c>
    </row>
    <row r="7675" spans="1:7" ht="16.149999999999999" x14ac:dyDescent="0.7">
      <c r="A7675" s="49">
        <v>44945.521754236106</v>
      </c>
      <c r="B7675" s="50" t="s">
        <v>4</v>
      </c>
      <c r="C7675" s="50" t="s">
        <v>661</v>
      </c>
      <c r="D7675" s="50" t="s">
        <v>259</v>
      </c>
      <c r="E7675" s="50">
        <v>-1</v>
      </c>
      <c r="F7675" s="51">
        <v>-0.62905985542938869</v>
      </c>
      <c r="G7675" s="51" t="str">
        <v>井上 2023/02/15 (水)
平日夜間</v>
      </c>
    </row>
    <row r="7676" spans="1:7" ht="16.149999999999999" x14ac:dyDescent="0.7">
      <c r="A7676" s="49">
        <v>44945.521754236106</v>
      </c>
      <c r="B7676" s="50" t="s">
        <v>4</v>
      </c>
      <c r="C7676" s="50" t="s">
        <v>662</v>
      </c>
      <c r="D7676" s="50" t="s">
        <v>259</v>
      </c>
      <c r="E7676" s="50">
        <v>-1</v>
      </c>
      <c r="F7676" s="51">
        <v>-0.30451571205933337</v>
      </c>
      <c r="G7676" s="51" t="str">
        <v>井上 2023/02/16 (木)
平日夜間</v>
      </c>
    </row>
    <row r="7677" spans="1:7" ht="16.149999999999999" x14ac:dyDescent="0.7">
      <c r="A7677" s="49">
        <v>44945.521754236106</v>
      </c>
      <c r="B7677" s="50" t="s">
        <v>4</v>
      </c>
      <c r="C7677" s="50" t="s">
        <v>663</v>
      </c>
      <c r="D7677" s="50" t="s">
        <v>259</v>
      </c>
      <c r="E7677" s="50">
        <v>-1</v>
      </c>
      <c r="F7677" s="51">
        <v>-0.75643732275644737</v>
      </c>
      <c r="G7677" s="51" t="str">
        <v>井上 2023/02/17 (金)
平日夜間</v>
      </c>
    </row>
    <row r="7678" spans="1:7" ht="16.149999999999999" x14ac:dyDescent="0.7">
      <c r="A7678" s="49">
        <v>44945.521754236106</v>
      </c>
      <c r="B7678" s="50" t="s">
        <v>4</v>
      </c>
      <c r="C7678" s="50" t="s">
        <v>664</v>
      </c>
      <c r="D7678" s="50" t="s">
        <v>263</v>
      </c>
      <c r="E7678" s="50">
        <v>-1</v>
      </c>
      <c r="F7678" s="51">
        <v>-0.90976946275575687</v>
      </c>
      <c r="G7678" s="51" t="str">
        <v>井上 2023/02/18 (土)
休日午前</v>
      </c>
    </row>
    <row r="7679" spans="1:7" ht="16.149999999999999" x14ac:dyDescent="0.7">
      <c r="A7679" s="49">
        <v>44945.521754236106</v>
      </c>
      <c r="B7679" s="50" t="s">
        <v>4</v>
      </c>
      <c r="C7679" s="50" t="s">
        <v>665</v>
      </c>
      <c r="D7679" s="50" t="s">
        <v>261</v>
      </c>
      <c r="E7679" s="50">
        <v>-1</v>
      </c>
      <c r="F7679" s="51">
        <v>-0.49680785389067683</v>
      </c>
      <c r="G7679" s="51" t="str">
        <v>井上 2023/02/18 (土)
休日午後</v>
      </c>
    </row>
    <row r="7680" spans="1:7" ht="16.149999999999999" x14ac:dyDescent="0.7">
      <c r="A7680" s="49">
        <v>44945.521754236106</v>
      </c>
      <c r="B7680" s="50" t="s">
        <v>4</v>
      </c>
      <c r="C7680" s="50" t="s">
        <v>666</v>
      </c>
      <c r="D7680" s="50" t="s">
        <v>263</v>
      </c>
      <c r="E7680" s="50">
        <v>-1</v>
      </c>
      <c r="F7680" s="51">
        <v>-0.34457323699793285</v>
      </c>
      <c r="G7680" s="51" t="str">
        <v>井上 2023/02/19 (日)
休日午前</v>
      </c>
    </row>
    <row r="7681" spans="1:7" ht="16.149999999999999" x14ac:dyDescent="0.7">
      <c r="A7681" s="49">
        <v>44945.521754236106</v>
      </c>
      <c r="B7681" s="50" t="s">
        <v>4</v>
      </c>
      <c r="C7681" s="50" t="s">
        <v>667</v>
      </c>
      <c r="D7681" s="50" t="s">
        <v>261</v>
      </c>
      <c r="E7681" s="50">
        <v>-1</v>
      </c>
      <c r="F7681" s="51">
        <v>-0.93481037408599144</v>
      </c>
      <c r="G7681" s="51" t="str">
        <v>井上 2023/02/19 (日)
休日午後</v>
      </c>
    </row>
    <row r="7682" spans="1:7" ht="16.149999999999999" x14ac:dyDescent="0.7">
      <c r="A7682" s="49">
        <v>44945.521754236106</v>
      </c>
      <c r="B7682" s="50" t="s">
        <v>4</v>
      </c>
      <c r="C7682" s="50" t="s">
        <v>668</v>
      </c>
      <c r="D7682" s="50" t="s">
        <v>259</v>
      </c>
      <c r="E7682" s="50">
        <v>-1</v>
      </c>
      <c r="F7682" s="51">
        <v>-0.52880933140499908</v>
      </c>
      <c r="G7682" s="51" t="str">
        <v>井上 2023/02/20 (月)
平日夜間</v>
      </c>
    </row>
    <row r="7683" spans="1:7" ht="16.149999999999999" x14ac:dyDescent="0.7">
      <c r="A7683" s="49">
        <v>44945.521754236106</v>
      </c>
      <c r="B7683" s="50" t="s">
        <v>4</v>
      </c>
      <c r="C7683" s="50" t="s">
        <v>669</v>
      </c>
      <c r="D7683" s="50" t="s">
        <v>259</v>
      </c>
      <c r="E7683" s="50">
        <v>-1</v>
      </c>
      <c r="F7683" s="51">
        <v>-8.2587538774469005E-2</v>
      </c>
      <c r="G7683" s="51" t="str">
        <v>井上 2023/02/21 (火)
平日夜間</v>
      </c>
    </row>
    <row r="7684" spans="1:7" ht="16.149999999999999" x14ac:dyDescent="0.7">
      <c r="A7684" s="49">
        <v>44945.521754236106</v>
      </c>
      <c r="B7684" s="50" t="s">
        <v>4</v>
      </c>
      <c r="C7684" s="50" t="s">
        <v>670</v>
      </c>
      <c r="D7684" s="50" t="s">
        <v>259</v>
      </c>
      <c r="E7684" s="50">
        <v>-1</v>
      </c>
      <c r="F7684" s="51">
        <v>-0.15445276620089698</v>
      </c>
      <c r="G7684" s="51" t="str">
        <v>井上 2023/02/22 (水)
平日夜間</v>
      </c>
    </row>
    <row r="7685" spans="1:7" ht="16.149999999999999" x14ac:dyDescent="0.7">
      <c r="A7685" s="49">
        <v>44945.521754236106</v>
      </c>
      <c r="B7685" s="50" t="s">
        <v>4</v>
      </c>
      <c r="C7685" s="50" t="s">
        <v>671</v>
      </c>
      <c r="D7685" s="50" t="s">
        <v>263</v>
      </c>
      <c r="E7685" s="50">
        <v>-1</v>
      </c>
      <c r="F7685" s="51">
        <v>-0.8673373370684998</v>
      </c>
      <c r="G7685" s="51" t="str">
        <v>井上 2023/02/23 (木)
休日午前</v>
      </c>
    </row>
    <row r="7686" spans="1:7" ht="16.149999999999999" x14ac:dyDescent="0.7">
      <c r="A7686" s="49">
        <v>44945.521754236106</v>
      </c>
      <c r="B7686" s="50" t="s">
        <v>4</v>
      </c>
      <c r="C7686" s="50" t="s">
        <v>672</v>
      </c>
      <c r="D7686" s="50" t="s">
        <v>261</v>
      </c>
      <c r="E7686" s="50">
        <v>-1</v>
      </c>
      <c r="F7686" s="51">
        <v>-0.33449860482171201</v>
      </c>
      <c r="G7686" s="51" t="str">
        <v>井上 2023/02/23 (木)
休日午後</v>
      </c>
    </row>
    <row r="7687" spans="1:7" ht="16.149999999999999" x14ac:dyDescent="0.7">
      <c r="A7687" s="49">
        <v>44945.521754236106</v>
      </c>
      <c r="B7687" s="50" t="s">
        <v>4</v>
      </c>
      <c r="C7687" s="50" t="s">
        <v>673</v>
      </c>
      <c r="D7687" s="50" t="s">
        <v>259</v>
      </c>
      <c r="E7687" s="50">
        <v>-1</v>
      </c>
      <c r="F7687" s="51">
        <v>-0.95873147192341102</v>
      </c>
      <c r="G7687" s="51" t="str">
        <v>井上 2023/02/24 (金)
平日夜間</v>
      </c>
    </row>
    <row r="7688" spans="1:7" ht="16.149999999999999" x14ac:dyDescent="0.7">
      <c r="A7688" s="49">
        <v>44945.521754236106</v>
      </c>
      <c r="B7688" s="50" t="s">
        <v>4</v>
      </c>
      <c r="C7688" s="50" t="s">
        <v>674</v>
      </c>
      <c r="D7688" s="50" t="s">
        <v>263</v>
      </c>
      <c r="E7688" s="50">
        <v>-1</v>
      </c>
      <c r="F7688" s="51">
        <v>-0.85427766782140124</v>
      </c>
      <c r="G7688" s="51" t="str">
        <v>井上 2023/02/25 (土)
休日午前</v>
      </c>
    </row>
    <row r="7689" spans="1:7" ht="16.149999999999999" x14ac:dyDescent="0.7">
      <c r="A7689" s="49">
        <v>44945.521754236106</v>
      </c>
      <c r="B7689" s="50" t="s">
        <v>4</v>
      </c>
      <c r="C7689" s="50" t="s">
        <v>675</v>
      </c>
      <c r="D7689" s="50" t="s">
        <v>261</v>
      </c>
      <c r="E7689" s="50">
        <v>-1</v>
      </c>
      <c r="F7689" s="51">
        <v>-0.3771206509926619</v>
      </c>
      <c r="G7689" s="51" t="str">
        <v>井上 2023/02/25 (土)
休日午後</v>
      </c>
    </row>
    <row r="7690" spans="1:7" ht="16.149999999999999" x14ac:dyDescent="0.7">
      <c r="A7690" s="49">
        <v>44945.521754236106</v>
      </c>
      <c r="B7690" s="50" t="s">
        <v>4</v>
      </c>
      <c r="C7690" s="50" t="s">
        <v>676</v>
      </c>
      <c r="D7690" s="50" t="s">
        <v>263</v>
      </c>
      <c r="E7690" s="50">
        <v>-1</v>
      </c>
      <c r="F7690" s="51">
        <v>-0.61455645012169047</v>
      </c>
      <c r="G7690" s="51" t="str">
        <v>井上 2023/02/26 (日)
休日午前</v>
      </c>
    </row>
    <row r="7691" spans="1:7" ht="16.149999999999999" x14ac:dyDescent="0.7">
      <c r="A7691" s="49">
        <v>44945.521754236106</v>
      </c>
      <c r="B7691" s="50" t="s">
        <v>4</v>
      </c>
      <c r="C7691" s="50" t="s">
        <v>677</v>
      </c>
      <c r="D7691" s="50" t="s">
        <v>261</v>
      </c>
      <c r="E7691" s="50">
        <v>-1</v>
      </c>
      <c r="F7691" s="51">
        <v>-0.46745831260761306</v>
      </c>
      <c r="G7691" s="51" t="str">
        <v>井上 2023/02/26 (日)
休日午後</v>
      </c>
    </row>
    <row r="7692" spans="1:7" ht="16.149999999999999" x14ac:dyDescent="0.7">
      <c r="A7692" s="49">
        <v>44945.521754236106</v>
      </c>
      <c r="B7692" s="50" t="s">
        <v>4</v>
      </c>
      <c r="C7692" s="50" t="s">
        <v>678</v>
      </c>
      <c r="D7692" s="50" t="s">
        <v>259</v>
      </c>
      <c r="E7692" s="50">
        <v>0</v>
      </c>
      <c r="F7692" s="51">
        <v>0.11998187951326078</v>
      </c>
      <c r="G7692" s="51" t="str">
        <v>井上 2023/02/27 (月)
平日夜間</v>
      </c>
    </row>
    <row r="7693" spans="1:7" ht="16.149999999999999" x14ac:dyDescent="0.7">
      <c r="A7693" s="49">
        <v>44945.521754236106</v>
      </c>
      <c r="B7693" s="50" t="s">
        <v>4</v>
      </c>
      <c r="C7693" s="50" t="s">
        <v>679</v>
      </c>
      <c r="D7693" s="50" t="s">
        <v>259</v>
      </c>
      <c r="E7693" s="50">
        <v>0</v>
      </c>
      <c r="F7693" s="51">
        <v>0.60414660549320165</v>
      </c>
      <c r="G7693" s="51" t="str">
        <v>井上 2023/02/28 (火)
平日夜間</v>
      </c>
    </row>
    <row r="7694" spans="1:7" ht="16.149999999999999" x14ac:dyDescent="0.7">
      <c r="A7694" s="49">
        <v>44946.32253553241</v>
      </c>
      <c r="B7694" s="50" t="s">
        <v>11</v>
      </c>
      <c r="C7694" s="50" t="s">
        <v>643</v>
      </c>
      <c r="D7694" s="50" t="s">
        <v>259</v>
      </c>
      <c r="E7694" s="50">
        <v>0</v>
      </c>
      <c r="F7694" s="51">
        <v>0.55178875017654838</v>
      </c>
      <c r="G7694" s="51" t="str">
        <v>宮坂 2023/02/01 (水)
平日夜間</v>
      </c>
    </row>
    <row r="7695" spans="1:7" ht="16.149999999999999" x14ac:dyDescent="0.7">
      <c r="A7695" s="49">
        <v>44946.32253553241</v>
      </c>
      <c r="B7695" s="50" t="s">
        <v>11</v>
      </c>
      <c r="C7695" s="50" t="s">
        <v>644</v>
      </c>
      <c r="D7695" s="50" t="s">
        <v>259</v>
      </c>
      <c r="E7695" s="50">
        <v>0</v>
      </c>
      <c r="F7695" s="51">
        <v>6.0149081378417568E-2</v>
      </c>
      <c r="G7695" s="51" t="str">
        <v>宮坂 2023/02/02 (木)
平日夜間</v>
      </c>
    </row>
    <row r="7696" spans="1:7" ht="16.149999999999999" x14ac:dyDescent="0.7">
      <c r="A7696" s="49">
        <v>44946.32253553241</v>
      </c>
      <c r="B7696" s="50" t="s">
        <v>11</v>
      </c>
      <c r="C7696" s="50" t="s">
        <v>645</v>
      </c>
      <c r="D7696" s="50" t="s">
        <v>259</v>
      </c>
      <c r="E7696" s="50">
        <v>2</v>
      </c>
      <c r="F7696" s="51">
        <v>2.9774337374232172</v>
      </c>
      <c r="G7696" s="51" t="str">
        <v>宮坂 2023/02/03 (金)
平日夜間</v>
      </c>
    </row>
    <row r="7697" spans="1:7" ht="16.149999999999999" x14ac:dyDescent="0.7">
      <c r="A7697" s="49">
        <v>44946.32253553241</v>
      </c>
      <c r="B7697" s="50" t="s">
        <v>11</v>
      </c>
      <c r="C7697" s="50" t="s">
        <v>646</v>
      </c>
      <c r="D7697" s="50" t="s">
        <v>263</v>
      </c>
      <c r="E7697" s="50">
        <v>-1</v>
      </c>
      <c r="F7697" s="51">
        <v>-0.68415443341691407</v>
      </c>
      <c r="G7697" s="51" t="str">
        <v>宮坂 2023/02/04 (土)
休日午前</v>
      </c>
    </row>
    <row r="7698" spans="1:7" ht="16.149999999999999" x14ac:dyDescent="0.7">
      <c r="A7698" s="49">
        <v>44946.32253553241</v>
      </c>
      <c r="B7698" s="50" t="s">
        <v>11</v>
      </c>
      <c r="C7698" s="50" t="s">
        <v>647</v>
      </c>
      <c r="D7698" s="50" t="s">
        <v>261</v>
      </c>
      <c r="E7698" s="50">
        <v>-1</v>
      </c>
      <c r="F7698" s="51">
        <v>-5.1365930478578958E-2</v>
      </c>
      <c r="G7698" s="51" t="str">
        <v>宮坂 2023/02/04 (土)
休日午後</v>
      </c>
    </row>
    <row r="7699" spans="1:7" ht="16.149999999999999" x14ac:dyDescent="0.7">
      <c r="A7699" s="49">
        <v>44946.32253553241</v>
      </c>
      <c r="B7699" s="50" t="s">
        <v>11</v>
      </c>
      <c r="C7699" s="50" t="s">
        <v>648</v>
      </c>
      <c r="D7699" s="50" t="s">
        <v>263</v>
      </c>
      <c r="E7699" s="50">
        <v>1</v>
      </c>
      <c r="F7699" s="51">
        <v>1.2891210205878783</v>
      </c>
      <c r="G7699" s="51" t="str">
        <v>宮坂 2023/02/05 (日)
休日午前</v>
      </c>
    </row>
    <row r="7700" spans="1:7" ht="16.149999999999999" x14ac:dyDescent="0.7">
      <c r="A7700" s="49">
        <v>44946.32253553241</v>
      </c>
      <c r="B7700" s="50" t="s">
        <v>11</v>
      </c>
      <c r="C7700" s="50" t="s">
        <v>649</v>
      </c>
      <c r="D7700" s="50" t="s">
        <v>261</v>
      </c>
      <c r="E7700" s="50">
        <v>0</v>
      </c>
      <c r="F7700" s="51">
        <v>0.16612739226084883</v>
      </c>
      <c r="G7700" s="51" t="str">
        <v>宮坂 2023/02/05 (日)
休日午後</v>
      </c>
    </row>
    <row r="7701" spans="1:7" ht="16.149999999999999" x14ac:dyDescent="0.7">
      <c r="A7701" s="49">
        <v>44946.32253553241</v>
      </c>
      <c r="B7701" s="50" t="s">
        <v>11</v>
      </c>
      <c r="C7701" s="50" t="s">
        <v>650</v>
      </c>
      <c r="D7701" s="50" t="s">
        <v>259</v>
      </c>
      <c r="E7701" s="50">
        <v>0</v>
      </c>
      <c r="F7701" s="51">
        <v>7.17685757478701E-2</v>
      </c>
      <c r="G7701" s="51" t="str">
        <v>宮坂 2023/02/06 (月)
平日夜間</v>
      </c>
    </row>
    <row r="7702" spans="1:7" ht="16.149999999999999" x14ac:dyDescent="0.7">
      <c r="A7702" s="49">
        <v>44946.32253553241</v>
      </c>
      <c r="B7702" s="50" t="s">
        <v>11</v>
      </c>
      <c r="C7702" s="50" t="s">
        <v>651</v>
      </c>
      <c r="D7702" s="50" t="s">
        <v>259</v>
      </c>
      <c r="E7702" s="50">
        <v>0</v>
      </c>
      <c r="F7702" s="51">
        <v>0.13464416313247507</v>
      </c>
      <c r="G7702" s="51" t="str">
        <v>宮坂 2023/02/07 (火)
平日夜間</v>
      </c>
    </row>
    <row r="7703" spans="1:7" ht="16.149999999999999" x14ac:dyDescent="0.7">
      <c r="A7703" s="49">
        <v>44946.32253553241</v>
      </c>
      <c r="B7703" s="50" t="s">
        <v>11</v>
      </c>
      <c r="C7703" s="50" t="s">
        <v>652</v>
      </c>
      <c r="D7703" s="50" t="s">
        <v>259</v>
      </c>
      <c r="E7703" s="50">
        <v>0</v>
      </c>
      <c r="F7703" s="51">
        <v>0.43297187934558989</v>
      </c>
      <c r="G7703" s="51" t="str">
        <v>宮坂 2023/02/08 (水)
平日夜間</v>
      </c>
    </row>
    <row r="7704" spans="1:7" ht="16.149999999999999" x14ac:dyDescent="0.7">
      <c r="A7704" s="49">
        <v>44946.32253553241</v>
      </c>
      <c r="B7704" s="50" t="s">
        <v>11</v>
      </c>
      <c r="C7704" s="50" t="s">
        <v>653</v>
      </c>
      <c r="D7704" s="50" t="s">
        <v>259</v>
      </c>
      <c r="E7704" s="50">
        <v>-1</v>
      </c>
      <c r="F7704" s="51">
        <v>-0.36013139068109656</v>
      </c>
      <c r="G7704" s="51" t="str">
        <v>宮坂 2023/02/09 (木)
平日夜間</v>
      </c>
    </row>
    <row r="7705" spans="1:7" ht="16.149999999999999" x14ac:dyDescent="0.7">
      <c r="A7705" s="49">
        <v>44946.32253553241</v>
      </c>
      <c r="B7705" s="50" t="s">
        <v>11</v>
      </c>
      <c r="C7705" s="50" t="s">
        <v>654</v>
      </c>
      <c r="D7705" s="50" t="s">
        <v>259</v>
      </c>
      <c r="E7705" s="50">
        <v>-1</v>
      </c>
      <c r="F7705" s="51">
        <v>-0.32806070097101525</v>
      </c>
      <c r="G7705" s="51" t="str">
        <v>宮坂 2023/02/10 (金)
平日夜間</v>
      </c>
    </row>
    <row r="7706" spans="1:7" ht="16.149999999999999" x14ac:dyDescent="0.7">
      <c r="A7706" s="49">
        <v>44946.32253553241</v>
      </c>
      <c r="B7706" s="50" t="s">
        <v>11</v>
      </c>
      <c r="C7706" s="50" t="s">
        <v>655</v>
      </c>
      <c r="D7706" s="50" t="s">
        <v>263</v>
      </c>
      <c r="E7706" s="50">
        <v>-1</v>
      </c>
      <c r="F7706" s="51">
        <v>-0.62539180360171231</v>
      </c>
      <c r="G7706" s="51" t="str">
        <v>宮坂 2023/02/11 (土)
休日午前</v>
      </c>
    </row>
    <row r="7707" spans="1:7" ht="16.149999999999999" x14ac:dyDescent="0.7">
      <c r="A7707" s="49">
        <v>44946.32253553241</v>
      </c>
      <c r="B7707" s="50" t="s">
        <v>11</v>
      </c>
      <c r="C7707" s="50" t="s">
        <v>656</v>
      </c>
      <c r="D7707" s="50" t="s">
        <v>261</v>
      </c>
      <c r="E7707" s="50">
        <v>-1</v>
      </c>
      <c r="F7707" s="51">
        <v>-0.80084255286438122</v>
      </c>
      <c r="G7707" s="51" t="str">
        <v>宮坂 2023/02/11 (土)
休日午後</v>
      </c>
    </row>
    <row r="7708" spans="1:7" ht="16.149999999999999" x14ac:dyDescent="0.7">
      <c r="A7708" s="49">
        <v>44946.32253553241</v>
      </c>
      <c r="B7708" s="50" t="s">
        <v>11</v>
      </c>
      <c r="C7708" s="50" t="s">
        <v>657</v>
      </c>
      <c r="D7708" s="50" t="s">
        <v>263</v>
      </c>
      <c r="E7708" s="50">
        <v>-1</v>
      </c>
      <c r="F7708" s="51">
        <v>-0.76378437066660609</v>
      </c>
      <c r="G7708" s="51" t="str">
        <v>宮坂 2023/02/12 (日)
休日午前</v>
      </c>
    </row>
    <row r="7709" spans="1:7" ht="16.149999999999999" x14ac:dyDescent="0.7">
      <c r="A7709" s="49">
        <v>44946.32253553241</v>
      </c>
      <c r="B7709" s="50" t="s">
        <v>11</v>
      </c>
      <c r="C7709" s="50" t="s">
        <v>658</v>
      </c>
      <c r="D7709" s="50" t="s">
        <v>261</v>
      </c>
      <c r="E7709" s="50">
        <v>-1</v>
      </c>
      <c r="F7709" s="51">
        <v>-0.52921230065323854</v>
      </c>
      <c r="G7709" s="51" t="str">
        <v>宮坂 2023/02/12 (日)
休日午後</v>
      </c>
    </row>
    <row r="7710" spans="1:7" ht="16.149999999999999" x14ac:dyDescent="0.7">
      <c r="A7710" s="49">
        <v>44946.32253553241</v>
      </c>
      <c r="B7710" s="50" t="s">
        <v>11</v>
      </c>
      <c r="C7710" s="50" t="s">
        <v>659</v>
      </c>
      <c r="D7710" s="50" t="s">
        <v>259</v>
      </c>
      <c r="E7710" s="50">
        <v>0</v>
      </c>
      <c r="F7710" s="51">
        <v>0.94168254264345741</v>
      </c>
      <c r="G7710" s="51" t="str">
        <v>宮坂 2023/02/13 (月)
平日夜間</v>
      </c>
    </row>
    <row r="7711" spans="1:7" ht="16.149999999999999" x14ac:dyDescent="0.7">
      <c r="A7711" s="49">
        <v>44946.32253553241</v>
      </c>
      <c r="B7711" s="50" t="s">
        <v>11</v>
      </c>
      <c r="C7711" s="50" t="s">
        <v>660</v>
      </c>
      <c r="D7711" s="50" t="s">
        <v>259</v>
      </c>
      <c r="E7711" s="50">
        <v>0</v>
      </c>
      <c r="F7711" s="51">
        <v>0.41940401624352353</v>
      </c>
      <c r="G7711" s="51" t="str">
        <v>宮坂 2023/02/14 (火)
平日夜間</v>
      </c>
    </row>
    <row r="7712" spans="1:7" ht="16.149999999999999" x14ac:dyDescent="0.7">
      <c r="A7712" s="49">
        <v>44946.32253553241</v>
      </c>
      <c r="B7712" s="50" t="s">
        <v>11</v>
      </c>
      <c r="C7712" s="50" t="s">
        <v>661</v>
      </c>
      <c r="D7712" s="50" t="s">
        <v>259</v>
      </c>
      <c r="E7712" s="50">
        <v>0</v>
      </c>
      <c r="F7712" s="51">
        <v>6.7818890969180146E-3</v>
      </c>
      <c r="G7712" s="51" t="str">
        <v>宮坂 2023/02/15 (水)
平日夜間</v>
      </c>
    </row>
    <row r="7713" spans="1:7" ht="16.149999999999999" x14ac:dyDescent="0.7">
      <c r="A7713" s="49">
        <v>44946.32253553241</v>
      </c>
      <c r="B7713" s="50" t="s">
        <v>11</v>
      </c>
      <c r="C7713" s="50" t="s">
        <v>662</v>
      </c>
      <c r="D7713" s="50" t="s">
        <v>259</v>
      </c>
      <c r="E7713" s="50">
        <v>0</v>
      </c>
      <c r="F7713" s="51">
        <v>0.5907530774599683</v>
      </c>
      <c r="G7713" s="51" t="str">
        <v>宮坂 2023/02/16 (木)
平日夜間</v>
      </c>
    </row>
    <row r="7714" spans="1:7" ht="16.149999999999999" x14ac:dyDescent="0.7">
      <c r="A7714" s="49">
        <v>44946.32253553241</v>
      </c>
      <c r="B7714" s="50" t="s">
        <v>11</v>
      </c>
      <c r="C7714" s="50" t="s">
        <v>663</v>
      </c>
      <c r="D7714" s="50" t="s">
        <v>259</v>
      </c>
      <c r="E7714" s="50">
        <v>2</v>
      </c>
      <c r="F7714" s="51">
        <v>2.1085856618809422</v>
      </c>
      <c r="G7714" s="51" t="str">
        <v>宮坂 2023/02/17 (金)
平日夜間</v>
      </c>
    </row>
    <row r="7715" spans="1:7" ht="16.149999999999999" x14ac:dyDescent="0.7">
      <c r="A7715" s="49">
        <v>44946.32253553241</v>
      </c>
      <c r="B7715" s="50" t="s">
        <v>11</v>
      </c>
      <c r="C7715" s="50" t="s">
        <v>664</v>
      </c>
      <c r="D7715" s="50" t="s">
        <v>263</v>
      </c>
      <c r="E7715" s="50">
        <v>-1</v>
      </c>
      <c r="F7715" s="51">
        <v>-0.54349041349931748</v>
      </c>
      <c r="G7715" s="51" t="str">
        <v>宮坂 2023/02/18 (土)
休日午前</v>
      </c>
    </row>
    <row r="7716" spans="1:7" ht="16.149999999999999" x14ac:dyDescent="0.7">
      <c r="A7716" s="49">
        <v>44946.32253553241</v>
      </c>
      <c r="B7716" s="50" t="s">
        <v>11</v>
      </c>
      <c r="C7716" s="50" t="s">
        <v>665</v>
      </c>
      <c r="D7716" s="50" t="s">
        <v>261</v>
      </c>
      <c r="E7716" s="50">
        <v>-1</v>
      </c>
      <c r="F7716" s="51">
        <v>-0.85696145353800612</v>
      </c>
      <c r="G7716" s="51" t="str">
        <v>宮坂 2023/02/18 (土)
休日午後</v>
      </c>
    </row>
    <row r="7717" spans="1:7" ht="16.149999999999999" x14ac:dyDescent="0.7">
      <c r="A7717" s="49">
        <v>44946.32253553241</v>
      </c>
      <c r="B7717" s="50" t="s">
        <v>11</v>
      </c>
      <c r="C7717" s="50" t="s">
        <v>666</v>
      </c>
      <c r="D7717" s="50" t="s">
        <v>263</v>
      </c>
      <c r="E7717" s="50">
        <v>1</v>
      </c>
      <c r="F7717" s="51">
        <v>1.5546850998582395</v>
      </c>
      <c r="G7717" s="51" t="str">
        <v>宮坂 2023/02/19 (日)
休日午前</v>
      </c>
    </row>
    <row r="7718" spans="1:7" ht="16.149999999999999" x14ac:dyDescent="0.7">
      <c r="A7718" s="49">
        <v>44946.32253553241</v>
      </c>
      <c r="B7718" s="50" t="s">
        <v>11</v>
      </c>
      <c r="C7718" s="50" t="s">
        <v>667</v>
      </c>
      <c r="D7718" s="50" t="s">
        <v>261</v>
      </c>
      <c r="E7718" s="50">
        <v>0</v>
      </c>
      <c r="F7718" s="51">
        <v>0.47933528750599019</v>
      </c>
      <c r="G7718" s="51" t="str">
        <v>宮坂 2023/02/19 (日)
休日午後</v>
      </c>
    </row>
    <row r="7719" spans="1:7" ht="16.149999999999999" x14ac:dyDescent="0.7">
      <c r="A7719" s="49">
        <v>44946.32253553241</v>
      </c>
      <c r="B7719" s="50" t="s">
        <v>11</v>
      </c>
      <c r="C7719" s="50" t="s">
        <v>668</v>
      </c>
      <c r="D7719" s="50" t="s">
        <v>259</v>
      </c>
      <c r="E7719" s="50">
        <v>0</v>
      </c>
      <c r="F7719" s="51">
        <v>0.77669145987485244</v>
      </c>
      <c r="G7719" s="51" t="str">
        <v>宮坂 2023/02/20 (月)
平日夜間</v>
      </c>
    </row>
    <row r="7720" spans="1:7" ht="16.149999999999999" x14ac:dyDescent="0.7">
      <c r="A7720" s="49">
        <v>44946.32253553241</v>
      </c>
      <c r="B7720" s="50" t="s">
        <v>11</v>
      </c>
      <c r="C7720" s="50" t="s">
        <v>669</v>
      </c>
      <c r="D7720" s="50" t="s">
        <v>259</v>
      </c>
      <c r="E7720" s="50">
        <v>0</v>
      </c>
      <c r="F7720" s="51">
        <v>9.4161229430671733E-2</v>
      </c>
      <c r="G7720" s="51" t="str">
        <v>宮坂 2023/02/21 (火)
平日夜間</v>
      </c>
    </row>
    <row r="7721" spans="1:7" ht="16.149999999999999" x14ac:dyDescent="0.7">
      <c r="A7721" s="49">
        <v>44946.32253553241</v>
      </c>
      <c r="B7721" s="50" t="s">
        <v>11</v>
      </c>
      <c r="C7721" s="50" t="s">
        <v>670</v>
      </c>
      <c r="D7721" s="50" t="s">
        <v>259</v>
      </c>
      <c r="E7721" s="50">
        <v>-1</v>
      </c>
      <c r="F7721" s="51">
        <v>-0.81292236541857466</v>
      </c>
      <c r="G7721" s="51" t="str">
        <v>宮坂 2023/02/22 (水)
平日夜間</v>
      </c>
    </row>
    <row r="7722" spans="1:7" ht="16.149999999999999" x14ac:dyDescent="0.7">
      <c r="A7722" s="49">
        <v>44946.32253553241</v>
      </c>
      <c r="B7722" s="50" t="s">
        <v>11</v>
      </c>
      <c r="C7722" s="50" t="s">
        <v>671</v>
      </c>
      <c r="D7722" s="50" t="s">
        <v>263</v>
      </c>
      <c r="E7722" s="50">
        <v>-1</v>
      </c>
      <c r="F7722" s="51">
        <v>-0.1684348717684927</v>
      </c>
      <c r="G7722" s="51" t="str">
        <v>宮坂 2023/02/23 (木)
休日午前</v>
      </c>
    </row>
    <row r="7723" spans="1:7" ht="16.149999999999999" x14ac:dyDescent="0.7">
      <c r="A7723" s="49">
        <v>44946.32253553241</v>
      </c>
      <c r="B7723" s="50" t="s">
        <v>11</v>
      </c>
      <c r="C7723" s="50" t="s">
        <v>672</v>
      </c>
      <c r="D7723" s="50" t="s">
        <v>261</v>
      </c>
      <c r="E7723" s="50">
        <v>-1</v>
      </c>
      <c r="F7723" s="51">
        <v>-8.8435045281487934E-2</v>
      </c>
      <c r="G7723" s="51" t="str">
        <v>宮坂 2023/02/23 (木)
休日午後</v>
      </c>
    </row>
    <row r="7724" spans="1:7" ht="16.149999999999999" x14ac:dyDescent="0.7">
      <c r="A7724" s="49">
        <v>44946.32253553241</v>
      </c>
      <c r="B7724" s="50" t="s">
        <v>11</v>
      </c>
      <c r="C7724" s="50" t="s">
        <v>673</v>
      </c>
      <c r="D7724" s="50" t="s">
        <v>259</v>
      </c>
      <c r="E7724" s="50">
        <v>-1</v>
      </c>
      <c r="F7724" s="51">
        <v>-0.23513865543500168</v>
      </c>
      <c r="G7724" s="51" t="str">
        <v>宮坂 2023/02/24 (金)
平日夜間</v>
      </c>
    </row>
    <row r="7725" spans="1:7" ht="16.149999999999999" x14ac:dyDescent="0.7">
      <c r="A7725" s="49">
        <v>44946.32253553241</v>
      </c>
      <c r="B7725" s="50" t="s">
        <v>11</v>
      </c>
      <c r="C7725" s="50" t="s">
        <v>674</v>
      </c>
      <c r="D7725" s="50" t="s">
        <v>263</v>
      </c>
      <c r="E7725" s="50">
        <v>-1</v>
      </c>
      <c r="F7725" s="51">
        <v>-7.5135973132381961E-2</v>
      </c>
      <c r="G7725" s="51" t="str">
        <v>宮坂 2023/02/25 (土)
休日午前</v>
      </c>
    </row>
    <row r="7726" spans="1:7" ht="16.149999999999999" x14ac:dyDescent="0.7">
      <c r="A7726" s="49">
        <v>44946.32253553241</v>
      </c>
      <c r="B7726" s="50" t="s">
        <v>11</v>
      </c>
      <c r="C7726" s="50" t="s">
        <v>675</v>
      </c>
      <c r="D7726" s="50" t="s">
        <v>261</v>
      </c>
      <c r="E7726" s="50">
        <v>-1</v>
      </c>
      <c r="F7726" s="51">
        <v>-0.4217670284977777</v>
      </c>
      <c r="G7726" s="51" t="str">
        <v>宮坂 2023/02/25 (土)
休日午後</v>
      </c>
    </row>
    <row r="7727" spans="1:7" ht="16.149999999999999" x14ac:dyDescent="0.7">
      <c r="A7727" s="49">
        <v>44946.32253553241</v>
      </c>
      <c r="B7727" s="50" t="s">
        <v>11</v>
      </c>
      <c r="C7727" s="50" t="s">
        <v>676</v>
      </c>
      <c r="D7727" s="50" t="s">
        <v>263</v>
      </c>
      <c r="E7727" s="50">
        <v>-1</v>
      </c>
      <c r="F7727" s="51">
        <v>-0.62421022683146155</v>
      </c>
      <c r="G7727" s="51" t="str">
        <v>宮坂 2023/02/26 (日)
休日午前</v>
      </c>
    </row>
    <row r="7728" spans="1:7" ht="16.149999999999999" x14ac:dyDescent="0.7">
      <c r="A7728" s="49">
        <v>44946.32253553241</v>
      </c>
      <c r="B7728" s="50" t="s">
        <v>11</v>
      </c>
      <c r="C7728" s="50" t="s">
        <v>677</v>
      </c>
      <c r="D7728" s="50" t="s">
        <v>261</v>
      </c>
      <c r="E7728" s="50">
        <v>-1</v>
      </c>
      <c r="F7728" s="51">
        <v>-0.1465821050565872</v>
      </c>
      <c r="G7728" s="51" t="str">
        <v>宮坂 2023/02/26 (日)
休日午後</v>
      </c>
    </row>
    <row r="7729" spans="1:7" ht="16.149999999999999" x14ac:dyDescent="0.7">
      <c r="A7729" s="49">
        <v>44946.32253553241</v>
      </c>
      <c r="B7729" s="50" t="s">
        <v>11</v>
      </c>
      <c r="C7729" s="50" t="s">
        <v>678</v>
      </c>
      <c r="D7729" s="50" t="s">
        <v>259</v>
      </c>
      <c r="E7729" s="50">
        <v>0</v>
      </c>
      <c r="F7729" s="51">
        <v>0.59086742114062307</v>
      </c>
      <c r="G7729" s="51" t="str">
        <v>宮坂 2023/02/27 (月)
平日夜間</v>
      </c>
    </row>
    <row r="7730" spans="1:7" ht="16.149999999999999" x14ac:dyDescent="0.7">
      <c r="A7730" s="49">
        <v>44946.32253553241</v>
      </c>
      <c r="B7730" s="50" t="s">
        <v>11</v>
      </c>
      <c r="C7730" s="50" t="s">
        <v>679</v>
      </c>
      <c r="D7730" s="50" t="s">
        <v>259</v>
      </c>
      <c r="E7730" s="50">
        <v>0</v>
      </c>
      <c r="F7730" s="51">
        <v>0.65973328327333602</v>
      </c>
      <c r="G7730" s="51" t="str">
        <v>宮坂 2023/02/28 (火)
平日夜間</v>
      </c>
    </row>
    <row r="7731" spans="1:7" ht="16.149999999999999" x14ac:dyDescent="0.7">
      <c r="A7731" s="49">
        <v>44946.923819965275</v>
      </c>
      <c r="B7731" s="50" t="s">
        <v>2</v>
      </c>
      <c r="C7731" s="50" t="s">
        <v>643</v>
      </c>
      <c r="D7731" s="50" t="s">
        <v>259</v>
      </c>
      <c r="E7731" s="50">
        <v>0</v>
      </c>
      <c r="F7731" s="51">
        <v>1.4430740285989341E-2</v>
      </c>
      <c r="G7731" s="51" t="str">
        <v>伊藤 2023/02/01 (水)
平日夜間</v>
      </c>
    </row>
    <row r="7732" spans="1:7" ht="16.149999999999999" x14ac:dyDescent="0.7">
      <c r="A7732" s="49">
        <v>44946.923819965275</v>
      </c>
      <c r="B7732" s="50" t="s">
        <v>2</v>
      </c>
      <c r="C7732" s="50" t="s">
        <v>644</v>
      </c>
      <c r="D7732" s="50" t="s">
        <v>259</v>
      </c>
      <c r="E7732" s="50">
        <v>0</v>
      </c>
      <c r="F7732" s="51">
        <v>5.2402945320268124E-2</v>
      </c>
      <c r="G7732" s="51" t="str">
        <v>伊藤 2023/02/02 (木)
平日夜間</v>
      </c>
    </row>
    <row r="7733" spans="1:7" ht="16.149999999999999" x14ac:dyDescent="0.7">
      <c r="A7733" s="49">
        <v>44946.923819965275</v>
      </c>
      <c r="B7733" s="50" t="s">
        <v>2</v>
      </c>
      <c r="C7733" s="50" t="s">
        <v>645</v>
      </c>
      <c r="D7733" s="50" t="s">
        <v>259</v>
      </c>
      <c r="E7733" s="50">
        <v>-1</v>
      </c>
      <c r="F7733" s="51">
        <v>-0.31180372882526641</v>
      </c>
      <c r="G7733" s="51" t="str">
        <v>伊藤 2023/02/03 (金)
平日夜間</v>
      </c>
    </row>
    <row r="7734" spans="1:7" ht="16.149999999999999" x14ac:dyDescent="0.7">
      <c r="A7734" s="49">
        <v>44946.923819965275</v>
      </c>
      <c r="B7734" s="50" t="s">
        <v>2</v>
      </c>
      <c r="C7734" s="50" t="s">
        <v>646</v>
      </c>
      <c r="D7734" s="50" t="s">
        <v>263</v>
      </c>
      <c r="E7734" s="50">
        <v>-1</v>
      </c>
      <c r="F7734" s="51">
        <v>-0.16135949829438334</v>
      </c>
      <c r="G7734" s="51" t="str">
        <v>伊藤 2023/02/04 (土)
休日午前</v>
      </c>
    </row>
    <row r="7735" spans="1:7" ht="16.149999999999999" x14ac:dyDescent="0.7">
      <c r="A7735" s="49">
        <v>44946.923819965275</v>
      </c>
      <c r="B7735" s="50" t="s">
        <v>2</v>
      </c>
      <c r="C7735" s="50" t="s">
        <v>647</v>
      </c>
      <c r="D7735" s="50" t="s">
        <v>261</v>
      </c>
      <c r="E7735" s="50">
        <v>-1</v>
      </c>
      <c r="F7735" s="51">
        <v>-0.79576297717660482</v>
      </c>
      <c r="G7735" s="51" t="str">
        <v>伊藤 2023/02/04 (土)
休日午後</v>
      </c>
    </row>
    <row r="7736" spans="1:7" ht="16.149999999999999" x14ac:dyDescent="0.7">
      <c r="A7736" s="49">
        <v>44946.923819965275</v>
      </c>
      <c r="B7736" s="50" t="s">
        <v>2</v>
      </c>
      <c r="C7736" s="50" t="s">
        <v>648</v>
      </c>
      <c r="D7736" s="50" t="s">
        <v>263</v>
      </c>
      <c r="E7736" s="50">
        <v>0</v>
      </c>
      <c r="F7736" s="51">
        <v>0.45377941002395628</v>
      </c>
      <c r="G7736" s="51" t="str">
        <v>伊藤 2023/02/05 (日)
休日午前</v>
      </c>
    </row>
    <row r="7737" spans="1:7" ht="16.149999999999999" x14ac:dyDescent="0.7">
      <c r="A7737" s="49">
        <v>44946.923819965275</v>
      </c>
      <c r="B7737" s="50" t="s">
        <v>2</v>
      </c>
      <c r="C7737" s="50" t="s">
        <v>649</v>
      </c>
      <c r="D7737" s="50" t="s">
        <v>261</v>
      </c>
      <c r="E7737" s="50">
        <v>0</v>
      </c>
      <c r="F7737" s="51">
        <v>5.9163488111986018E-2</v>
      </c>
      <c r="G7737" s="51" t="str">
        <v>伊藤 2023/02/05 (日)
休日午後</v>
      </c>
    </row>
    <row r="7738" spans="1:7" ht="16.149999999999999" x14ac:dyDescent="0.7">
      <c r="A7738" s="49">
        <v>44946.923819965275</v>
      </c>
      <c r="B7738" s="50" t="s">
        <v>2</v>
      </c>
      <c r="C7738" s="50" t="s">
        <v>650</v>
      </c>
      <c r="D7738" s="50" t="s">
        <v>259</v>
      </c>
      <c r="E7738" s="50">
        <v>0</v>
      </c>
      <c r="F7738" s="51">
        <v>0.40449215309357123</v>
      </c>
      <c r="G7738" s="51" t="str">
        <v>伊藤 2023/02/06 (月)
平日夜間</v>
      </c>
    </row>
    <row r="7739" spans="1:7" ht="16.149999999999999" x14ac:dyDescent="0.7">
      <c r="A7739" s="49">
        <v>44946.923819965275</v>
      </c>
      <c r="B7739" s="50" t="s">
        <v>2</v>
      </c>
      <c r="C7739" s="50" t="s">
        <v>651</v>
      </c>
      <c r="D7739" s="50" t="s">
        <v>259</v>
      </c>
      <c r="E7739" s="50">
        <v>0</v>
      </c>
      <c r="F7739" s="51">
        <v>7.714062700473856E-2</v>
      </c>
      <c r="G7739" s="51" t="str">
        <v>伊藤 2023/02/07 (火)
平日夜間</v>
      </c>
    </row>
    <row r="7740" spans="1:7" ht="16.149999999999999" x14ac:dyDescent="0.7">
      <c r="A7740" s="49">
        <v>44946.923819965275</v>
      </c>
      <c r="B7740" s="50" t="s">
        <v>2</v>
      </c>
      <c r="C7740" s="50" t="s">
        <v>652</v>
      </c>
      <c r="D7740" s="50" t="s">
        <v>259</v>
      </c>
      <c r="E7740" s="50">
        <v>0</v>
      </c>
      <c r="F7740" s="51">
        <v>0.60638093158249995</v>
      </c>
      <c r="G7740" s="51" t="str">
        <v>伊藤 2023/02/08 (水)
平日夜間</v>
      </c>
    </row>
    <row r="7741" spans="1:7" ht="16.149999999999999" x14ac:dyDescent="0.7">
      <c r="A7741" s="49">
        <v>44946.923819965275</v>
      </c>
      <c r="B7741" s="50" t="s">
        <v>2</v>
      </c>
      <c r="C7741" s="50" t="s">
        <v>653</v>
      </c>
      <c r="D7741" s="50" t="s">
        <v>259</v>
      </c>
      <c r="E7741" s="50">
        <v>0</v>
      </c>
      <c r="F7741" s="51">
        <v>0.2927024077697864</v>
      </c>
      <c r="G7741" s="51" t="str">
        <v>伊藤 2023/02/09 (木)
平日夜間</v>
      </c>
    </row>
    <row r="7742" spans="1:7" ht="16.149999999999999" x14ac:dyDescent="0.7">
      <c r="A7742" s="49">
        <v>44946.923819965275</v>
      </c>
      <c r="B7742" s="50" t="s">
        <v>2</v>
      </c>
      <c r="C7742" s="50" t="s">
        <v>654</v>
      </c>
      <c r="D7742" s="50" t="s">
        <v>259</v>
      </c>
      <c r="E7742" s="50">
        <v>-1</v>
      </c>
      <c r="F7742" s="51">
        <v>-0.47078867690424864</v>
      </c>
      <c r="G7742" s="51" t="str">
        <v>伊藤 2023/02/10 (金)
平日夜間</v>
      </c>
    </row>
    <row r="7743" spans="1:7" ht="16.149999999999999" x14ac:dyDescent="0.7">
      <c r="A7743" s="49">
        <v>44946.923819965275</v>
      </c>
      <c r="B7743" s="50" t="s">
        <v>2</v>
      </c>
      <c r="C7743" s="50" t="s">
        <v>655</v>
      </c>
      <c r="D7743" s="50" t="s">
        <v>263</v>
      </c>
      <c r="E7743" s="50">
        <v>-1</v>
      </c>
      <c r="F7743" s="51">
        <v>-0.71974938634587593</v>
      </c>
      <c r="G7743" s="51" t="str">
        <v>伊藤 2023/02/11 (土)
休日午前</v>
      </c>
    </row>
    <row r="7744" spans="1:7" ht="16.149999999999999" x14ac:dyDescent="0.7">
      <c r="A7744" s="49">
        <v>44946.923819965275</v>
      </c>
      <c r="B7744" s="50" t="s">
        <v>2</v>
      </c>
      <c r="C7744" s="50" t="s">
        <v>656</v>
      </c>
      <c r="D7744" s="50" t="s">
        <v>261</v>
      </c>
      <c r="E7744" s="50">
        <v>-1</v>
      </c>
      <c r="F7744" s="51">
        <v>-0.94990255865620332</v>
      </c>
      <c r="G7744" s="51" t="str">
        <v>伊藤 2023/02/11 (土)
休日午後</v>
      </c>
    </row>
    <row r="7745" spans="1:7" ht="16.149999999999999" x14ac:dyDescent="0.7">
      <c r="A7745" s="49">
        <v>44946.923819965275</v>
      </c>
      <c r="B7745" s="50" t="s">
        <v>2</v>
      </c>
      <c r="C7745" s="50" t="s">
        <v>657</v>
      </c>
      <c r="D7745" s="50" t="s">
        <v>263</v>
      </c>
      <c r="E7745" s="50">
        <v>0</v>
      </c>
      <c r="F7745" s="51">
        <v>0.36349881737948708</v>
      </c>
      <c r="G7745" s="51" t="str">
        <v>伊藤 2023/02/12 (日)
休日午前</v>
      </c>
    </row>
    <row r="7746" spans="1:7" ht="16.149999999999999" x14ac:dyDescent="0.7">
      <c r="A7746" s="49">
        <v>44946.923819965275</v>
      </c>
      <c r="B7746" s="50" t="s">
        <v>2</v>
      </c>
      <c r="C7746" s="50" t="s">
        <v>658</v>
      </c>
      <c r="D7746" s="50" t="s">
        <v>261</v>
      </c>
      <c r="E7746" s="50">
        <v>0</v>
      </c>
      <c r="F7746" s="51">
        <v>0.84096509524573726</v>
      </c>
      <c r="G7746" s="51" t="str">
        <v>伊藤 2023/02/12 (日)
休日午後</v>
      </c>
    </row>
    <row r="7747" spans="1:7" ht="16.149999999999999" x14ac:dyDescent="0.7">
      <c r="A7747" s="49">
        <v>44946.923819965275</v>
      </c>
      <c r="B7747" s="50" t="s">
        <v>2</v>
      </c>
      <c r="C7747" s="50" t="s">
        <v>659</v>
      </c>
      <c r="D7747" s="50" t="s">
        <v>259</v>
      </c>
      <c r="E7747" s="50">
        <v>0</v>
      </c>
      <c r="F7747" s="51">
        <v>0.10924393762265838</v>
      </c>
      <c r="G7747" s="51" t="str">
        <v>伊藤 2023/02/13 (月)
平日夜間</v>
      </c>
    </row>
    <row r="7748" spans="1:7" ht="16.149999999999999" x14ac:dyDescent="0.7">
      <c r="A7748" s="49">
        <v>44946.923819965275</v>
      </c>
      <c r="B7748" s="50" t="s">
        <v>2</v>
      </c>
      <c r="C7748" s="50" t="s">
        <v>660</v>
      </c>
      <c r="D7748" s="50" t="s">
        <v>259</v>
      </c>
      <c r="E7748" s="50">
        <v>0</v>
      </c>
      <c r="F7748" s="51">
        <v>0.24500142877169795</v>
      </c>
      <c r="G7748" s="51" t="str">
        <v>伊藤 2023/02/14 (火)
平日夜間</v>
      </c>
    </row>
    <row r="7749" spans="1:7" ht="16.149999999999999" x14ac:dyDescent="0.7">
      <c r="A7749" s="49">
        <v>44946.923819965275</v>
      </c>
      <c r="B7749" s="50" t="s">
        <v>2</v>
      </c>
      <c r="C7749" s="50" t="s">
        <v>661</v>
      </c>
      <c r="D7749" s="50" t="s">
        <v>259</v>
      </c>
      <c r="E7749" s="50">
        <v>0</v>
      </c>
      <c r="F7749" s="51">
        <v>0.1503570094698603</v>
      </c>
      <c r="G7749" s="51" t="str">
        <v>伊藤 2023/02/15 (水)
平日夜間</v>
      </c>
    </row>
    <row r="7750" spans="1:7" ht="16.149999999999999" x14ac:dyDescent="0.7">
      <c r="A7750" s="49">
        <v>44946.923819965275</v>
      </c>
      <c r="B7750" s="50" t="s">
        <v>2</v>
      </c>
      <c r="C7750" s="50" t="s">
        <v>662</v>
      </c>
      <c r="D7750" s="50" t="s">
        <v>259</v>
      </c>
      <c r="E7750" s="50">
        <v>0</v>
      </c>
      <c r="F7750" s="51">
        <v>0.77005718550911828</v>
      </c>
      <c r="G7750" s="51" t="str">
        <v>伊藤 2023/02/16 (木)
平日夜間</v>
      </c>
    </row>
    <row r="7751" spans="1:7" ht="16.149999999999999" x14ac:dyDescent="0.7">
      <c r="A7751" s="49">
        <v>44946.923819965275</v>
      </c>
      <c r="B7751" s="50" t="s">
        <v>2</v>
      </c>
      <c r="C7751" s="50" t="s">
        <v>663</v>
      </c>
      <c r="D7751" s="50" t="s">
        <v>259</v>
      </c>
      <c r="E7751" s="50">
        <v>-1</v>
      </c>
      <c r="F7751" s="51">
        <v>-0.23265383803113759</v>
      </c>
      <c r="G7751" s="51" t="str">
        <v>伊藤 2023/02/17 (金)
平日夜間</v>
      </c>
    </row>
    <row r="7752" spans="1:7" ht="16.149999999999999" x14ac:dyDescent="0.7">
      <c r="A7752" s="49">
        <v>44946.923819965275</v>
      </c>
      <c r="B7752" s="50" t="s">
        <v>2</v>
      </c>
      <c r="C7752" s="50" t="s">
        <v>664</v>
      </c>
      <c r="D7752" s="50" t="s">
        <v>263</v>
      </c>
      <c r="E7752" s="50">
        <v>-1</v>
      </c>
      <c r="F7752" s="51">
        <v>-9.955013924381273E-2</v>
      </c>
      <c r="G7752" s="51" t="str">
        <v>伊藤 2023/02/18 (土)
休日午前</v>
      </c>
    </row>
    <row r="7753" spans="1:7" ht="16.149999999999999" x14ac:dyDescent="0.7">
      <c r="A7753" s="49">
        <v>44946.923819965275</v>
      </c>
      <c r="B7753" s="50" t="s">
        <v>2</v>
      </c>
      <c r="C7753" s="50" t="s">
        <v>665</v>
      </c>
      <c r="D7753" s="50" t="s">
        <v>261</v>
      </c>
      <c r="E7753" s="50">
        <v>-1</v>
      </c>
      <c r="F7753" s="51">
        <v>-0.99521373035792848</v>
      </c>
      <c r="G7753" s="51" t="str">
        <v>伊藤 2023/02/18 (土)
休日午後</v>
      </c>
    </row>
    <row r="7754" spans="1:7" ht="16.149999999999999" x14ac:dyDescent="0.7">
      <c r="A7754" s="49">
        <v>44946.923819965275</v>
      </c>
      <c r="B7754" s="50" t="s">
        <v>2</v>
      </c>
      <c r="C7754" s="50" t="s">
        <v>666</v>
      </c>
      <c r="D7754" s="50" t="s">
        <v>263</v>
      </c>
      <c r="E7754" s="50">
        <v>0</v>
      </c>
      <c r="F7754" s="51">
        <v>0.71765641123496193</v>
      </c>
      <c r="G7754" s="51" t="str">
        <v>伊藤 2023/02/19 (日)
休日午前</v>
      </c>
    </row>
    <row r="7755" spans="1:7" ht="16.149999999999999" x14ac:dyDescent="0.7">
      <c r="A7755" s="49">
        <v>44946.923819965275</v>
      </c>
      <c r="B7755" s="50" t="s">
        <v>2</v>
      </c>
      <c r="C7755" s="50" t="s">
        <v>667</v>
      </c>
      <c r="D7755" s="50" t="s">
        <v>261</v>
      </c>
      <c r="E7755" s="50">
        <v>0</v>
      </c>
      <c r="F7755" s="51">
        <v>0.33412085614931386</v>
      </c>
      <c r="G7755" s="51" t="str">
        <v>伊藤 2023/02/19 (日)
休日午後</v>
      </c>
    </row>
    <row r="7756" spans="1:7" ht="16.149999999999999" x14ac:dyDescent="0.7">
      <c r="A7756" s="49">
        <v>44946.923819965275</v>
      </c>
      <c r="B7756" s="50" t="s">
        <v>2</v>
      </c>
      <c r="C7756" s="50" t="s">
        <v>668</v>
      </c>
      <c r="D7756" s="50" t="s">
        <v>259</v>
      </c>
      <c r="E7756" s="50">
        <v>0</v>
      </c>
      <c r="F7756" s="51">
        <v>0.95701075662234025</v>
      </c>
      <c r="G7756" s="51" t="str">
        <v>伊藤 2023/02/20 (月)
平日夜間</v>
      </c>
    </row>
    <row r="7757" spans="1:7" ht="16.149999999999999" x14ac:dyDescent="0.7">
      <c r="A7757" s="49">
        <v>44946.923819965275</v>
      </c>
      <c r="B7757" s="50" t="s">
        <v>2</v>
      </c>
      <c r="C7757" s="50" t="s">
        <v>669</v>
      </c>
      <c r="D7757" s="50" t="s">
        <v>259</v>
      </c>
      <c r="E7757" s="50">
        <v>0</v>
      </c>
      <c r="F7757" s="51">
        <v>0.15140396715355831</v>
      </c>
      <c r="G7757" s="51" t="str">
        <v>伊藤 2023/02/21 (火)
平日夜間</v>
      </c>
    </row>
    <row r="7758" spans="1:7" ht="16.149999999999999" x14ac:dyDescent="0.7">
      <c r="A7758" s="49">
        <v>44946.923819965275</v>
      </c>
      <c r="B7758" s="50" t="s">
        <v>2</v>
      </c>
      <c r="C7758" s="50" t="s">
        <v>670</v>
      </c>
      <c r="D7758" s="50" t="s">
        <v>259</v>
      </c>
      <c r="E7758" s="50">
        <v>0</v>
      </c>
      <c r="F7758" s="51">
        <v>0.90812614293528959</v>
      </c>
      <c r="G7758" s="51" t="str">
        <v>伊藤 2023/02/22 (水)
平日夜間</v>
      </c>
    </row>
    <row r="7759" spans="1:7" ht="16.149999999999999" x14ac:dyDescent="0.7">
      <c r="A7759" s="49">
        <v>44946.923819965275</v>
      </c>
      <c r="B7759" s="50" t="s">
        <v>2</v>
      </c>
      <c r="C7759" s="50" t="s">
        <v>671</v>
      </c>
      <c r="D7759" s="50" t="s">
        <v>263</v>
      </c>
      <c r="E7759" s="50">
        <v>0</v>
      </c>
      <c r="F7759" s="51">
        <v>0.15006064289381826</v>
      </c>
      <c r="G7759" s="51" t="str">
        <v>伊藤 2023/02/23 (木)
休日午前</v>
      </c>
    </row>
    <row r="7760" spans="1:7" ht="16.149999999999999" x14ac:dyDescent="0.7">
      <c r="A7760" s="49">
        <v>44946.923819965275</v>
      </c>
      <c r="B7760" s="50" t="s">
        <v>2</v>
      </c>
      <c r="C7760" s="50" t="s">
        <v>672</v>
      </c>
      <c r="D7760" s="50" t="s">
        <v>261</v>
      </c>
      <c r="E7760" s="50">
        <v>0</v>
      </c>
      <c r="F7760" s="51">
        <v>0.2386717735959909</v>
      </c>
      <c r="G7760" s="51" t="str">
        <v>伊藤 2023/02/23 (木)
休日午後</v>
      </c>
    </row>
    <row r="7761" spans="1:7" ht="16.149999999999999" x14ac:dyDescent="0.7">
      <c r="A7761" s="49">
        <v>44946.923819965275</v>
      </c>
      <c r="B7761" s="50" t="s">
        <v>2</v>
      </c>
      <c r="C7761" s="50" t="s">
        <v>673</v>
      </c>
      <c r="D7761" s="50" t="s">
        <v>259</v>
      </c>
      <c r="E7761" s="50">
        <v>-1</v>
      </c>
      <c r="F7761" s="51">
        <v>-0.24800242672577477</v>
      </c>
      <c r="G7761" s="51" t="str">
        <v>伊藤 2023/02/24 (金)
平日夜間</v>
      </c>
    </row>
    <row r="7762" spans="1:7" ht="16.149999999999999" x14ac:dyDescent="0.7">
      <c r="A7762" s="49">
        <v>44946.923819965275</v>
      </c>
      <c r="B7762" s="50" t="s">
        <v>2</v>
      </c>
      <c r="C7762" s="50" t="s">
        <v>674</v>
      </c>
      <c r="D7762" s="50" t="s">
        <v>263</v>
      </c>
      <c r="E7762" s="50">
        <v>-1</v>
      </c>
      <c r="F7762" s="51">
        <v>-0.9967345011882478</v>
      </c>
      <c r="G7762" s="51" t="str">
        <v>伊藤 2023/02/25 (土)
休日午前</v>
      </c>
    </row>
    <row r="7763" spans="1:7" ht="16.149999999999999" x14ac:dyDescent="0.7">
      <c r="A7763" s="49">
        <v>44946.923819965275</v>
      </c>
      <c r="B7763" s="50" t="s">
        <v>2</v>
      </c>
      <c r="C7763" s="50" t="s">
        <v>675</v>
      </c>
      <c r="D7763" s="50" t="s">
        <v>261</v>
      </c>
      <c r="E7763" s="50">
        <v>-1</v>
      </c>
      <c r="F7763" s="51">
        <v>-0.26035326856443963</v>
      </c>
      <c r="G7763" s="51" t="str">
        <v>伊藤 2023/02/25 (土)
休日午後</v>
      </c>
    </row>
    <row r="7764" spans="1:7" ht="16.149999999999999" x14ac:dyDescent="0.7">
      <c r="A7764" s="49">
        <v>44946.923819965275</v>
      </c>
      <c r="B7764" s="50" t="s">
        <v>2</v>
      </c>
      <c r="C7764" s="50" t="s">
        <v>676</v>
      </c>
      <c r="D7764" s="50" t="s">
        <v>263</v>
      </c>
      <c r="E7764" s="50">
        <v>0</v>
      </c>
      <c r="F7764" s="51">
        <v>0.41860220890998967</v>
      </c>
      <c r="G7764" s="51" t="str">
        <v>伊藤 2023/02/26 (日)
休日午前</v>
      </c>
    </row>
    <row r="7765" spans="1:7" ht="16.149999999999999" x14ac:dyDescent="0.7">
      <c r="A7765" s="49">
        <v>44946.923819965275</v>
      </c>
      <c r="B7765" s="50" t="s">
        <v>2</v>
      </c>
      <c r="C7765" s="50" t="s">
        <v>677</v>
      </c>
      <c r="D7765" s="50" t="s">
        <v>261</v>
      </c>
      <c r="E7765" s="50">
        <v>0</v>
      </c>
      <c r="F7765" s="51">
        <v>2.4097966624612166E-3</v>
      </c>
      <c r="G7765" s="51" t="str">
        <v>伊藤 2023/02/26 (日)
休日午後</v>
      </c>
    </row>
    <row r="7766" spans="1:7" ht="16.149999999999999" x14ac:dyDescent="0.7">
      <c r="A7766" s="49">
        <v>44946.923819965275</v>
      </c>
      <c r="B7766" s="50" t="s">
        <v>2</v>
      </c>
      <c r="C7766" s="50" t="s">
        <v>678</v>
      </c>
      <c r="D7766" s="50" t="s">
        <v>259</v>
      </c>
      <c r="E7766" s="50">
        <v>0</v>
      </c>
      <c r="F7766" s="51">
        <v>0.75391062102439244</v>
      </c>
      <c r="G7766" s="51" t="str">
        <v>伊藤 2023/02/27 (月)
平日夜間</v>
      </c>
    </row>
    <row r="7767" spans="1:7" ht="16.149999999999999" x14ac:dyDescent="0.7">
      <c r="A7767" s="49">
        <v>44946.923819965275</v>
      </c>
      <c r="B7767" s="50" t="s">
        <v>2</v>
      </c>
      <c r="C7767" s="50" t="s">
        <v>679</v>
      </c>
      <c r="D7767" s="50" t="s">
        <v>259</v>
      </c>
      <c r="E7767" s="50">
        <v>0</v>
      </c>
      <c r="F7767" s="51">
        <v>0.24278879153032995</v>
      </c>
      <c r="G7767" s="51" t="str">
        <v>伊藤 2023/02/28 (火)
平日夜間</v>
      </c>
    </row>
    <row r="7768" spans="1:7" ht="16.149999999999999" x14ac:dyDescent="0.7">
      <c r="A7768" s="49">
        <v>44952.781072592596</v>
      </c>
      <c r="B7768" s="50" t="s">
        <v>15</v>
      </c>
      <c r="C7768" s="50" t="s">
        <v>643</v>
      </c>
      <c r="D7768" s="50" t="s">
        <v>259</v>
      </c>
      <c r="E7768" s="50">
        <v>0</v>
      </c>
      <c r="F7768" s="51">
        <v>0.30545334781260047</v>
      </c>
      <c r="G7768" s="51" t="str">
        <v>太良 2023/02/01 (水)
平日夜間</v>
      </c>
    </row>
    <row r="7769" spans="1:7" ht="16.149999999999999" x14ac:dyDescent="0.7">
      <c r="A7769" s="49">
        <v>44952.781072592596</v>
      </c>
      <c r="B7769" s="50" t="s">
        <v>15</v>
      </c>
      <c r="C7769" s="50" t="s">
        <v>644</v>
      </c>
      <c r="D7769" s="50" t="s">
        <v>259</v>
      </c>
      <c r="E7769" s="50">
        <v>-1</v>
      </c>
      <c r="F7769" s="51">
        <v>-0.1538523513921044</v>
      </c>
      <c r="G7769" s="51" t="str">
        <v>太良 2023/02/02 (木)
平日夜間</v>
      </c>
    </row>
    <row r="7770" spans="1:7" ht="16.149999999999999" x14ac:dyDescent="0.7">
      <c r="A7770" s="49">
        <v>44952.781072592596</v>
      </c>
      <c r="B7770" s="50" t="s">
        <v>15</v>
      </c>
      <c r="C7770" s="50" t="s">
        <v>645</v>
      </c>
      <c r="D7770" s="50" t="s">
        <v>259</v>
      </c>
      <c r="E7770" s="50">
        <v>-1</v>
      </c>
      <c r="F7770" s="51">
        <v>-0.77011124209338422</v>
      </c>
      <c r="G7770" s="51" t="str">
        <v>太良 2023/02/03 (金)
平日夜間</v>
      </c>
    </row>
    <row r="7771" spans="1:7" ht="16.149999999999999" x14ac:dyDescent="0.7">
      <c r="A7771" s="49">
        <v>44952.781072592596</v>
      </c>
      <c r="B7771" s="50" t="s">
        <v>15</v>
      </c>
      <c r="C7771" s="50" t="s">
        <v>646</v>
      </c>
      <c r="D7771" s="50" t="s">
        <v>263</v>
      </c>
      <c r="E7771" s="50">
        <v>-1</v>
      </c>
      <c r="F7771" s="51">
        <v>-0.18814049029120428</v>
      </c>
      <c r="G7771" s="51" t="str">
        <v>太良 2023/02/04 (土)
休日午前</v>
      </c>
    </row>
    <row r="7772" spans="1:7" ht="16.149999999999999" x14ac:dyDescent="0.7">
      <c r="A7772" s="49">
        <v>44952.781072592596</v>
      </c>
      <c r="B7772" s="50" t="s">
        <v>15</v>
      </c>
      <c r="C7772" s="50" t="s">
        <v>647</v>
      </c>
      <c r="D7772" s="50" t="s">
        <v>261</v>
      </c>
      <c r="E7772" s="50">
        <v>0</v>
      </c>
      <c r="F7772" s="51">
        <v>0.85320093454517054</v>
      </c>
      <c r="G7772" s="51" t="str">
        <v>太良 2023/02/04 (土)
休日午後</v>
      </c>
    </row>
    <row r="7773" spans="1:7" ht="16.149999999999999" x14ac:dyDescent="0.7">
      <c r="A7773" s="49">
        <v>44952.781072592596</v>
      </c>
      <c r="B7773" s="50" t="s">
        <v>15</v>
      </c>
      <c r="C7773" s="50" t="s">
        <v>648</v>
      </c>
      <c r="D7773" s="50" t="s">
        <v>263</v>
      </c>
      <c r="E7773" s="50">
        <v>0</v>
      </c>
      <c r="F7773" s="51">
        <v>0.82259282803009182</v>
      </c>
      <c r="G7773" s="51" t="str">
        <v>太良 2023/02/05 (日)
休日午前</v>
      </c>
    </row>
    <row r="7774" spans="1:7" ht="16.149999999999999" x14ac:dyDescent="0.7">
      <c r="A7774" s="49">
        <v>44952.781072592596</v>
      </c>
      <c r="B7774" s="50" t="s">
        <v>15</v>
      </c>
      <c r="C7774" s="50" t="s">
        <v>649</v>
      </c>
      <c r="D7774" s="50" t="s">
        <v>261</v>
      </c>
      <c r="E7774" s="50">
        <v>0</v>
      </c>
      <c r="F7774" s="51">
        <v>0.99266635946961257</v>
      </c>
      <c r="G7774" s="51" t="str">
        <v>太良 2023/02/05 (日)
休日午後</v>
      </c>
    </row>
    <row r="7775" spans="1:7" ht="16.149999999999999" x14ac:dyDescent="0.7">
      <c r="A7775" s="49">
        <v>44952.781513240741</v>
      </c>
      <c r="B7775" s="50" t="s">
        <v>19</v>
      </c>
      <c r="C7775" s="50" t="s">
        <v>643</v>
      </c>
      <c r="D7775" s="50" t="s">
        <v>259</v>
      </c>
      <c r="E7775" s="50">
        <v>0</v>
      </c>
      <c r="F7775" s="51">
        <v>0.78137892880340742</v>
      </c>
      <c r="G7775" s="51" t="str">
        <v>佐藤 2023/02/01 (水)
平日夜間</v>
      </c>
    </row>
    <row r="7776" spans="1:7" ht="16.149999999999999" x14ac:dyDescent="0.7">
      <c r="A7776" s="49">
        <v>44952.781072592596</v>
      </c>
      <c r="B7776" s="50" t="s">
        <v>15</v>
      </c>
      <c r="C7776" s="50" t="s">
        <v>650</v>
      </c>
      <c r="D7776" s="50" t="s">
        <v>259</v>
      </c>
      <c r="E7776" s="50">
        <v>0</v>
      </c>
      <c r="F7776" s="51">
        <v>0.5886157425802836</v>
      </c>
      <c r="G7776" s="51" t="str">
        <v>太良 2023/02/06 (月)
平日夜間</v>
      </c>
    </row>
    <row r="7777" spans="1:7" ht="16.149999999999999" x14ac:dyDescent="0.7">
      <c r="A7777" s="49">
        <v>44952.781513240741</v>
      </c>
      <c r="B7777" s="50" t="s">
        <v>19</v>
      </c>
      <c r="C7777" s="50" t="s">
        <v>644</v>
      </c>
      <c r="D7777" s="50" t="s">
        <v>259</v>
      </c>
      <c r="E7777" s="50">
        <v>0</v>
      </c>
      <c r="F7777" s="51">
        <v>0.53863696247477599</v>
      </c>
      <c r="G7777" s="51" t="str">
        <v>佐藤 2023/02/02 (木)
平日夜間</v>
      </c>
    </row>
    <row r="7778" spans="1:7" ht="16.149999999999999" x14ac:dyDescent="0.7">
      <c r="A7778" s="49">
        <v>44952.781072592596</v>
      </c>
      <c r="B7778" s="50" t="s">
        <v>15</v>
      </c>
      <c r="C7778" s="50" t="s">
        <v>651</v>
      </c>
      <c r="D7778" s="50" t="s">
        <v>259</v>
      </c>
      <c r="E7778" s="50">
        <v>-1</v>
      </c>
      <c r="F7778" s="51">
        <v>-0.71371184197233628</v>
      </c>
      <c r="G7778" s="51" t="str">
        <v>太良 2023/02/07 (火)
平日夜間</v>
      </c>
    </row>
    <row r="7779" spans="1:7" ht="16.149999999999999" x14ac:dyDescent="0.7">
      <c r="A7779" s="49">
        <v>44952.781513240741</v>
      </c>
      <c r="B7779" s="50" t="s">
        <v>19</v>
      </c>
      <c r="C7779" s="50" t="s">
        <v>645</v>
      </c>
      <c r="D7779" s="50" t="s">
        <v>259</v>
      </c>
      <c r="E7779" s="50">
        <v>0</v>
      </c>
      <c r="F7779" s="51">
        <v>0.46367528632824673</v>
      </c>
      <c r="G7779" s="51" t="str">
        <v>佐藤 2023/02/03 (金)
平日夜間</v>
      </c>
    </row>
    <row r="7780" spans="1:7" ht="16.149999999999999" x14ac:dyDescent="0.7">
      <c r="A7780" s="49">
        <v>44952.781729918977</v>
      </c>
      <c r="B7780" s="50" t="s">
        <v>6</v>
      </c>
      <c r="C7780" s="50" t="s">
        <v>643</v>
      </c>
      <c r="D7780" s="50" t="s">
        <v>259</v>
      </c>
      <c r="E7780" s="50">
        <v>-1</v>
      </c>
      <c r="F7780" s="51">
        <v>-0.51124660328993099</v>
      </c>
      <c r="G7780" s="51" t="str">
        <v>西谷 2023/02/01 (水)
平日夜間</v>
      </c>
    </row>
    <row r="7781" spans="1:7" ht="16.149999999999999" x14ac:dyDescent="0.7">
      <c r="A7781" s="49">
        <v>44952.781072592596</v>
      </c>
      <c r="B7781" s="50" t="s">
        <v>15</v>
      </c>
      <c r="C7781" s="50" t="s">
        <v>652</v>
      </c>
      <c r="D7781" s="50" t="s">
        <v>259</v>
      </c>
      <c r="E7781" s="50">
        <v>-1</v>
      </c>
      <c r="F7781" s="51">
        <v>-0.66821997843671177</v>
      </c>
      <c r="G7781" s="51" t="str">
        <v>太良 2023/02/08 (水)
平日夜間</v>
      </c>
    </row>
    <row r="7782" spans="1:7" ht="16.149999999999999" x14ac:dyDescent="0.7">
      <c r="A7782" s="49">
        <v>44952.781513240741</v>
      </c>
      <c r="B7782" s="50" t="s">
        <v>19</v>
      </c>
      <c r="C7782" s="50" t="s">
        <v>646</v>
      </c>
      <c r="D7782" s="50" t="s">
        <v>263</v>
      </c>
      <c r="E7782" s="50">
        <v>0</v>
      </c>
      <c r="F7782" s="51">
        <v>0.81564559768805478</v>
      </c>
      <c r="G7782" s="51" t="str">
        <v>佐藤 2023/02/04 (土)
休日午前</v>
      </c>
    </row>
    <row r="7783" spans="1:7" ht="16.149999999999999" x14ac:dyDescent="0.7">
      <c r="A7783" s="49">
        <v>44952.781729918977</v>
      </c>
      <c r="B7783" s="50" t="s">
        <v>6</v>
      </c>
      <c r="C7783" s="50" t="s">
        <v>644</v>
      </c>
      <c r="D7783" s="50" t="s">
        <v>259</v>
      </c>
      <c r="E7783" s="50">
        <v>-1</v>
      </c>
      <c r="F7783" s="51">
        <v>-0.51827354713069362</v>
      </c>
      <c r="G7783" s="51" t="str">
        <v>西谷 2023/02/02 (木)
平日夜間</v>
      </c>
    </row>
    <row r="7784" spans="1:7" ht="16.149999999999999" x14ac:dyDescent="0.7">
      <c r="A7784" s="49">
        <v>44952.781072592596</v>
      </c>
      <c r="B7784" s="50" t="s">
        <v>15</v>
      </c>
      <c r="C7784" s="50" t="s">
        <v>653</v>
      </c>
      <c r="D7784" s="50" t="s">
        <v>259</v>
      </c>
      <c r="E7784" s="50">
        <v>-1</v>
      </c>
      <c r="F7784" s="51">
        <v>-0.28380111838232303</v>
      </c>
      <c r="G7784" s="51" t="str">
        <v>太良 2023/02/09 (木)
平日夜間</v>
      </c>
    </row>
    <row r="7785" spans="1:7" ht="16.149999999999999" x14ac:dyDescent="0.7">
      <c r="A7785" s="49">
        <v>44952.781513240741</v>
      </c>
      <c r="B7785" s="50" t="s">
        <v>19</v>
      </c>
      <c r="C7785" s="50" t="s">
        <v>647</v>
      </c>
      <c r="D7785" s="50" t="s">
        <v>261</v>
      </c>
      <c r="E7785" s="50">
        <v>0</v>
      </c>
      <c r="F7785" s="51">
        <v>0.18229824716036203</v>
      </c>
      <c r="G7785" s="51" t="str">
        <v>佐藤 2023/02/04 (土)
休日午後</v>
      </c>
    </row>
    <row r="7786" spans="1:7" ht="16.149999999999999" x14ac:dyDescent="0.7">
      <c r="A7786" s="49">
        <v>44952.781729918977</v>
      </c>
      <c r="B7786" s="50" t="s">
        <v>6</v>
      </c>
      <c r="C7786" s="50" t="s">
        <v>645</v>
      </c>
      <c r="D7786" s="50" t="s">
        <v>259</v>
      </c>
      <c r="E7786" s="50">
        <v>-1</v>
      </c>
      <c r="F7786" s="51">
        <v>-0.18280913331553639</v>
      </c>
      <c r="G7786" s="51" t="str">
        <v>西谷 2023/02/03 (金)
平日夜間</v>
      </c>
    </row>
    <row r="7787" spans="1:7" ht="16.149999999999999" x14ac:dyDescent="0.7">
      <c r="A7787" s="49">
        <v>44952.781072592596</v>
      </c>
      <c r="B7787" s="50" t="s">
        <v>15</v>
      </c>
      <c r="C7787" s="50" t="s">
        <v>654</v>
      </c>
      <c r="D7787" s="50" t="s">
        <v>259</v>
      </c>
      <c r="E7787" s="50">
        <v>-1</v>
      </c>
      <c r="F7787" s="51">
        <v>-1.8651474007814528E-2</v>
      </c>
      <c r="G7787" s="51" t="str">
        <v>太良 2023/02/10 (金)
平日夜間</v>
      </c>
    </row>
    <row r="7788" spans="1:7" ht="16.149999999999999" x14ac:dyDescent="0.7">
      <c r="A7788" s="49">
        <v>44952.781729918977</v>
      </c>
      <c r="B7788" s="50" t="s">
        <v>6</v>
      </c>
      <c r="C7788" s="50" t="s">
        <v>646</v>
      </c>
      <c r="D7788" s="50" t="s">
        <v>263</v>
      </c>
      <c r="E7788" s="50">
        <v>-1</v>
      </c>
      <c r="F7788" s="51">
        <v>-0.74650789307354359</v>
      </c>
      <c r="G7788" s="51" t="str">
        <v>西谷 2023/02/04 (土)
休日午前</v>
      </c>
    </row>
    <row r="7789" spans="1:7" ht="16.149999999999999" x14ac:dyDescent="0.7">
      <c r="A7789" s="49">
        <v>44952.781513240741</v>
      </c>
      <c r="B7789" s="50" t="s">
        <v>19</v>
      </c>
      <c r="C7789" s="50" t="s">
        <v>648</v>
      </c>
      <c r="D7789" s="50" t="s">
        <v>263</v>
      </c>
      <c r="E7789" s="50">
        <v>0</v>
      </c>
      <c r="F7789" s="51">
        <v>0.14702366095678876</v>
      </c>
      <c r="G7789" s="51" t="str">
        <v>佐藤 2023/02/05 (日)
休日午前</v>
      </c>
    </row>
    <row r="7790" spans="1:7" ht="16.149999999999999" x14ac:dyDescent="0.7">
      <c r="A7790" s="49">
        <v>44952.781072592596</v>
      </c>
      <c r="B7790" s="50" t="s">
        <v>15</v>
      </c>
      <c r="C7790" s="50" t="s">
        <v>655</v>
      </c>
      <c r="D7790" s="50" t="s">
        <v>263</v>
      </c>
      <c r="E7790" s="50">
        <v>-1</v>
      </c>
      <c r="F7790" s="51">
        <v>-0.45818188468212728</v>
      </c>
      <c r="G7790" s="51" t="str">
        <v>太良 2023/02/11 (土)
休日午前</v>
      </c>
    </row>
    <row r="7791" spans="1:7" ht="16.149999999999999" x14ac:dyDescent="0.7">
      <c r="A7791" s="49">
        <v>44952.781513240741</v>
      </c>
      <c r="B7791" s="50" t="s">
        <v>19</v>
      </c>
      <c r="C7791" s="50" t="s">
        <v>649</v>
      </c>
      <c r="D7791" s="50" t="s">
        <v>261</v>
      </c>
      <c r="E7791" s="50">
        <v>0</v>
      </c>
      <c r="F7791" s="51">
        <v>0.48889523284827696</v>
      </c>
      <c r="G7791" s="51" t="str">
        <v>佐藤 2023/02/05 (日)
休日午後</v>
      </c>
    </row>
    <row r="7792" spans="1:7" ht="16.149999999999999" x14ac:dyDescent="0.7">
      <c r="A7792" s="49">
        <v>44952.781729918977</v>
      </c>
      <c r="B7792" s="50" t="s">
        <v>6</v>
      </c>
      <c r="C7792" s="50" t="s">
        <v>647</v>
      </c>
      <c r="D7792" s="50" t="s">
        <v>261</v>
      </c>
      <c r="E7792" s="50">
        <v>-1</v>
      </c>
      <c r="F7792" s="51">
        <v>-0.77633289593035348</v>
      </c>
      <c r="G7792" s="51" t="str">
        <v>西谷 2023/02/04 (土)
休日午後</v>
      </c>
    </row>
    <row r="7793" spans="1:7" ht="16.149999999999999" x14ac:dyDescent="0.7">
      <c r="A7793" s="49">
        <v>44952.781072592596</v>
      </c>
      <c r="B7793" s="50" t="s">
        <v>15</v>
      </c>
      <c r="C7793" s="50" t="s">
        <v>656</v>
      </c>
      <c r="D7793" s="50" t="s">
        <v>261</v>
      </c>
      <c r="E7793" s="50">
        <v>-1</v>
      </c>
      <c r="F7793" s="51">
        <v>-0.96937877388735894</v>
      </c>
      <c r="G7793" s="51" t="str">
        <v>太良 2023/02/11 (土)
休日午後</v>
      </c>
    </row>
    <row r="7794" spans="1:7" ht="16.149999999999999" x14ac:dyDescent="0.7">
      <c r="A7794" s="49">
        <v>44952.781513240741</v>
      </c>
      <c r="B7794" s="50" t="s">
        <v>19</v>
      </c>
      <c r="C7794" s="50" t="s">
        <v>650</v>
      </c>
      <c r="D7794" s="50" t="s">
        <v>259</v>
      </c>
      <c r="E7794" s="50">
        <v>0</v>
      </c>
      <c r="F7794" s="51">
        <v>0.19504742761983929</v>
      </c>
      <c r="G7794" s="51" t="str">
        <v>佐藤 2023/02/06 (月)
平日夜間</v>
      </c>
    </row>
    <row r="7795" spans="1:7" ht="16.149999999999999" x14ac:dyDescent="0.7">
      <c r="A7795" s="49">
        <v>44952.781729918977</v>
      </c>
      <c r="B7795" s="50" t="s">
        <v>6</v>
      </c>
      <c r="C7795" s="50" t="s">
        <v>648</v>
      </c>
      <c r="D7795" s="50" t="s">
        <v>263</v>
      </c>
      <c r="E7795" s="50">
        <v>-1</v>
      </c>
      <c r="F7795" s="51">
        <v>-0.2934489486390266</v>
      </c>
      <c r="G7795" s="51" t="str">
        <v>西谷 2023/02/05 (日)
休日午前</v>
      </c>
    </row>
    <row r="7796" spans="1:7" ht="16.149999999999999" x14ac:dyDescent="0.7">
      <c r="A7796" s="49">
        <v>44952.781072592596</v>
      </c>
      <c r="B7796" s="50" t="s">
        <v>15</v>
      </c>
      <c r="C7796" s="50" t="s">
        <v>657</v>
      </c>
      <c r="D7796" s="50" t="s">
        <v>263</v>
      </c>
      <c r="E7796" s="50">
        <v>-1</v>
      </c>
      <c r="F7796" s="51">
        <v>-0.63158526122704162</v>
      </c>
      <c r="G7796" s="51" t="str">
        <v>太良 2023/02/12 (日)
休日午前</v>
      </c>
    </row>
    <row r="7797" spans="1:7" ht="16.149999999999999" x14ac:dyDescent="0.7">
      <c r="A7797" s="49">
        <v>44952.781513240741</v>
      </c>
      <c r="B7797" s="50" t="s">
        <v>19</v>
      </c>
      <c r="C7797" s="50" t="s">
        <v>651</v>
      </c>
      <c r="D7797" s="50" t="s">
        <v>259</v>
      </c>
      <c r="E7797" s="50">
        <v>2</v>
      </c>
      <c r="F7797" s="51">
        <v>2.3394991281380753</v>
      </c>
      <c r="G7797" s="51" t="str">
        <v>佐藤 2023/02/07 (火)
平日夜間</v>
      </c>
    </row>
    <row r="7798" spans="1:7" ht="16.149999999999999" x14ac:dyDescent="0.7">
      <c r="A7798" s="49">
        <v>44952.781729918977</v>
      </c>
      <c r="B7798" s="50" t="s">
        <v>6</v>
      </c>
      <c r="C7798" s="50" t="s">
        <v>649</v>
      </c>
      <c r="D7798" s="50" t="s">
        <v>261</v>
      </c>
      <c r="E7798" s="50">
        <v>-1</v>
      </c>
      <c r="F7798" s="51">
        <v>-0.89553480264154151</v>
      </c>
      <c r="G7798" s="51" t="str">
        <v>西谷 2023/02/05 (日)
休日午後</v>
      </c>
    </row>
    <row r="7799" spans="1:7" ht="16.149999999999999" x14ac:dyDescent="0.7">
      <c r="A7799" s="49">
        <v>44952.781072592596</v>
      </c>
      <c r="B7799" s="50" t="s">
        <v>15</v>
      </c>
      <c r="C7799" s="50" t="s">
        <v>658</v>
      </c>
      <c r="D7799" s="50" t="s">
        <v>261</v>
      </c>
      <c r="E7799" s="50">
        <v>-1</v>
      </c>
      <c r="F7799" s="51">
        <v>-0.572717999623237</v>
      </c>
      <c r="G7799" s="51" t="str">
        <v>太良 2023/02/12 (日)
休日午後</v>
      </c>
    </row>
    <row r="7800" spans="1:7" ht="16.149999999999999" x14ac:dyDescent="0.7">
      <c r="A7800" s="49">
        <v>44952.781513240741</v>
      </c>
      <c r="B7800" s="50" t="s">
        <v>19</v>
      </c>
      <c r="C7800" s="50" t="s">
        <v>652</v>
      </c>
      <c r="D7800" s="50" t="s">
        <v>259</v>
      </c>
      <c r="E7800" s="50">
        <v>0</v>
      </c>
      <c r="F7800" s="51">
        <v>0.74006269613760445</v>
      </c>
      <c r="G7800" s="51" t="str">
        <v>佐藤 2023/02/08 (水)
平日夜間</v>
      </c>
    </row>
    <row r="7801" spans="1:7" ht="16.149999999999999" x14ac:dyDescent="0.7">
      <c r="A7801" s="49">
        <v>44952.781729918977</v>
      </c>
      <c r="B7801" s="50" t="s">
        <v>6</v>
      </c>
      <c r="C7801" s="50" t="s">
        <v>650</v>
      </c>
      <c r="D7801" s="50" t="s">
        <v>259</v>
      </c>
      <c r="E7801" s="50">
        <v>0</v>
      </c>
      <c r="F7801" s="51">
        <v>7.3254673098253953E-2</v>
      </c>
      <c r="G7801" s="51" t="str">
        <v>西谷 2023/02/06 (月)
平日夜間</v>
      </c>
    </row>
    <row r="7802" spans="1:7" ht="16.149999999999999" x14ac:dyDescent="0.7">
      <c r="A7802" s="49">
        <v>44952.781072592596</v>
      </c>
      <c r="B7802" s="50" t="s">
        <v>15</v>
      </c>
      <c r="C7802" s="50" t="s">
        <v>659</v>
      </c>
      <c r="D7802" s="50" t="s">
        <v>259</v>
      </c>
      <c r="E7802" s="50">
        <v>0</v>
      </c>
      <c r="F7802" s="51">
        <v>0.80917084035172371</v>
      </c>
      <c r="G7802" s="51" t="str">
        <v>太良 2023/02/13 (月)
平日夜間</v>
      </c>
    </row>
    <row r="7803" spans="1:7" ht="16.149999999999999" x14ac:dyDescent="0.7">
      <c r="A7803" s="49">
        <v>44952.781513240741</v>
      </c>
      <c r="B7803" s="50" t="s">
        <v>19</v>
      </c>
      <c r="C7803" s="50" t="s">
        <v>653</v>
      </c>
      <c r="D7803" s="50" t="s">
        <v>259</v>
      </c>
      <c r="E7803" s="50">
        <v>0</v>
      </c>
      <c r="F7803" s="51">
        <v>0.3366199423055114</v>
      </c>
      <c r="G7803" s="51" t="str">
        <v>佐藤 2023/02/09 (木)
平日夜間</v>
      </c>
    </row>
    <row r="7804" spans="1:7" ht="16.149999999999999" x14ac:dyDescent="0.7">
      <c r="A7804" s="49">
        <v>44952.781729918977</v>
      </c>
      <c r="B7804" s="50" t="s">
        <v>6</v>
      </c>
      <c r="C7804" s="50" t="s">
        <v>651</v>
      </c>
      <c r="D7804" s="50" t="s">
        <v>259</v>
      </c>
      <c r="E7804" s="50">
        <v>0</v>
      </c>
      <c r="F7804" s="51">
        <v>0.30893805968025045</v>
      </c>
      <c r="G7804" s="51" t="str">
        <v>西谷 2023/02/07 (火)
平日夜間</v>
      </c>
    </row>
    <row r="7805" spans="1:7" ht="16.149999999999999" x14ac:dyDescent="0.7">
      <c r="A7805" s="49">
        <v>44952.781072592596</v>
      </c>
      <c r="B7805" s="50" t="s">
        <v>15</v>
      </c>
      <c r="C7805" s="50" t="s">
        <v>660</v>
      </c>
      <c r="D7805" s="50" t="s">
        <v>259</v>
      </c>
      <c r="E7805" s="50">
        <v>-1</v>
      </c>
      <c r="F7805" s="51">
        <v>-0.10775479386583675</v>
      </c>
      <c r="G7805" s="51" t="str">
        <v>太良 2023/02/14 (火)
平日夜間</v>
      </c>
    </row>
    <row r="7806" spans="1:7" ht="16.149999999999999" x14ac:dyDescent="0.7">
      <c r="A7806" s="49">
        <v>44952.781513240741</v>
      </c>
      <c r="B7806" s="50" t="s">
        <v>19</v>
      </c>
      <c r="C7806" s="50" t="s">
        <v>654</v>
      </c>
      <c r="D7806" s="50" t="s">
        <v>259</v>
      </c>
      <c r="E7806" s="50">
        <v>-1</v>
      </c>
      <c r="F7806" s="51">
        <v>-7.029497374363225E-2</v>
      </c>
      <c r="G7806" s="51" t="str">
        <v>佐藤 2023/02/10 (金)
平日夜間</v>
      </c>
    </row>
    <row r="7807" spans="1:7" ht="16.149999999999999" x14ac:dyDescent="0.7">
      <c r="A7807" s="49">
        <v>44952.781729918977</v>
      </c>
      <c r="B7807" s="50" t="s">
        <v>6</v>
      </c>
      <c r="C7807" s="50" t="s">
        <v>652</v>
      </c>
      <c r="D7807" s="50" t="s">
        <v>259</v>
      </c>
      <c r="E7807" s="50">
        <v>1</v>
      </c>
      <c r="F7807" s="51">
        <v>1.1963192744143911</v>
      </c>
      <c r="G7807" s="51" t="str">
        <v>西谷 2023/02/08 (水)
平日夜間</v>
      </c>
    </row>
    <row r="7808" spans="1:7" ht="16.149999999999999" x14ac:dyDescent="0.7">
      <c r="A7808" s="49">
        <v>44952.781072592596</v>
      </c>
      <c r="B7808" s="50" t="s">
        <v>15</v>
      </c>
      <c r="C7808" s="50" t="s">
        <v>661</v>
      </c>
      <c r="D7808" s="50" t="s">
        <v>259</v>
      </c>
      <c r="E7808" s="50">
        <v>-1</v>
      </c>
      <c r="F7808" s="51">
        <v>-0.77513324335594702</v>
      </c>
      <c r="G7808" s="51" t="str">
        <v>太良 2023/02/15 (水)
平日夜間</v>
      </c>
    </row>
    <row r="7809" spans="1:7" ht="16.149999999999999" x14ac:dyDescent="0.7">
      <c r="A7809" s="49">
        <v>44952.781729918977</v>
      </c>
      <c r="B7809" s="50" t="s">
        <v>6</v>
      </c>
      <c r="C7809" s="50" t="s">
        <v>653</v>
      </c>
      <c r="D7809" s="50" t="s">
        <v>259</v>
      </c>
      <c r="E7809" s="50">
        <v>0</v>
      </c>
      <c r="F7809" s="51">
        <v>0.91572554001261497</v>
      </c>
      <c r="G7809" s="51" t="str">
        <v>西谷 2023/02/09 (木)
平日夜間</v>
      </c>
    </row>
    <row r="7810" spans="1:7" ht="16.149999999999999" x14ac:dyDescent="0.7">
      <c r="A7810" s="49">
        <v>44952.781513240741</v>
      </c>
      <c r="B7810" s="50" t="s">
        <v>19</v>
      </c>
      <c r="C7810" s="50" t="s">
        <v>655</v>
      </c>
      <c r="D7810" s="50" t="s">
        <v>263</v>
      </c>
      <c r="E7810" s="50">
        <v>-1</v>
      </c>
      <c r="F7810" s="51">
        <v>-0.17344684353657036</v>
      </c>
      <c r="G7810" s="51" t="str">
        <v>佐藤 2023/02/11 (土)
休日午前</v>
      </c>
    </row>
    <row r="7811" spans="1:7" ht="16.149999999999999" x14ac:dyDescent="0.7">
      <c r="A7811" s="49">
        <v>44952.781072592596</v>
      </c>
      <c r="B7811" s="50" t="s">
        <v>15</v>
      </c>
      <c r="C7811" s="50" t="s">
        <v>662</v>
      </c>
      <c r="D7811" s="50" t="s">
        <v>259</v>
      </c>
      <c r="E7811" s="50">
        <v>-1</v>
      </c>
      <c r="F7811" s="51">
        <v>-0.83478808789768033</v>
      </c>
      <c r="G7811" s="51" t="str">
        <v>太良 2023/02/16 (木)
平日夜間</v>
      </c>
    </row>
    <row r="7812" spans="1:7" ht="16.149999999999999" x14ac:dyDescent="0.7">
      <c r="A7812" s="49">
        <v>44952.781729918977</v>
      </c>
      <c r="B7812" s="50" t="s">
        <v>6</v>
      </c>
      <c r="C7812" s="50" t="s">
        <v>654</v>
      </c>
      <c r="D7812" s="50" t="s">
        <v>259</v>
      </c>
      <c r="E7812" s="50">
        <v>-1</v>
      </c>
      <c r="F7812" s="51">
        <v>-0.69180302751086531</v>
      </c>
      <c r="G7812" s="51" t="str">
        <v>西谷 2023/02/10 (金)
平日夜間</v>
      </c>
    </row>
    <row r="7813" spans="1:7" ht="16.149999999999999" x14ac:dyDescent="0.7">
      <c r="A7813" s="49">
        <v>44952.781513240741</v>
      </c>
      <c r="B7813" s="50" t="s">
        <v>19</v>
      </c>
      <c r="C7813" s="50" t="s">
        <v>656</v>
      </c>
      <c r="D7813" s="50" t="s">
        <v>261</v>
      </c>
      <c r="E7813" s="50">
        <v>-1</v>
      </c>
      <c r="F7813" s="51">
        <v>-0.86642502264251609</v>
      </c>
      <c r="G7813" s="51" t="str">
        <v>佐藤 2023/02/11 (土)
休日午後</v>
      </c>
    </row>
    <row r="7814" spans="1:7" ht="16.149999999999999" x14ac:dyDescent="0.7">
      <c r="A7814" s="49">
        <v>44952.781072592596</v>
      </c>
      <c r="B7814" s="50" t="s">
        <v>15</v>
      </c>
      <c r="C7814" s="50" t="s">
        <v>663</v>
      </c>
      <c r="D7814" s="50" t="s">
        <v>259</v>
      </c>
      <c r="E7814" s="50">
        <v>-1</v>
      </c>
      <c r="F7814" s="51">
        <v>-0.78501342012378661</v>
      </c>
      <c r="G7814" s="51" t="str">
        <v>太良 2023/02/17 (金)
平日夜間</v>
      </c>
    </row>
    <row r="7815" spans="1:7" ht="16.149999999999999" x14ac:dyDescent="0.7">
      <c r="A7815" s="49">
        <v>44952.781729918977</v>
      </c>
      <c r="B7815" s="50" t="s">
        <v>6</v>
      </c>
      <c r="C7815" s="50" t="s">
        <v>655</v>
      </c>
      <c r="D7815" s="50" t="s">
        <v>263</v>
      </c>
      <c r="E7815" s="50">
        <v>-1</v>
      </c>
      <c r="F7815" s="51">
        <v>-0.53557541108267559</v>
      </c>
      <c r="G7815" s="51" t="str">
        <v>西谷 2023/02/11 (土)
休日午前</v>
      </c>
    </row>
    <row r="7816" spans="1:7" ht="16.149999999999999" x14ac:dyDescent="0.7">
      <c r="A7816" s="49">
        <v>44952.781513240741</v>
      </c>
      <c r="B7816" s="50" t="s">
        <v>19</v>
      </c>
      <c r="C7816" s="50" t="s">
        <v>657</v>
      </c>
      <c r="D7816" s="50" t="s">
        <v>263</v>
      </c>
      <c r="E7816" s="50">
        <v>-1</v>
      </c>
      <c r="F7816" s="51">
        <v>-0.86719050242628581</v>
      </c>
      <c r="G7816" s="51" t="str">
        <v>佐藤 2023/02/12 (日)
休日午前</v>
      </c>
    </row>
    <row r="7817" spans="1:7" ht="16.149999999999999" x14ac:dyDescent="0.7">
      <c r="A7817" s="49">
        <v>44952.781072592596</v>
      </c>
      <c r="B7817" s="50" t="s">
        <v>15</v>
      </c>
      <c r="C7817" s="50" t="s">
        <v>664</v>
      </c>
      <c r="D7817" s="50" t="s">
        <v>263</v>
      </c>
      <c r="E7817" s="50">
        <v>-1</v>
      </c>
      <c r="F7817" s="51">
        <v>-4.4799934246861683E-2</v>
      </c>
      <c r="G7817" s="51" t="str">
        <v>太良 2023/02/18 (土)
休日午前</v>
      </c>
    </row>
    <row r="7818" spans="1:7" ht="16.149999999999999" x14ac:dyDescent="0.7">
      <c r="A7818" s="49">
        <v>44952.781513240741</v>
      </c>
      <c r="B7818" s="50" t="s">
        <v>19</v>
      </c>
      <c r="C7818" s="50" t="s">
        <v>658</v>
      </c>
      <c r="D7818" s="50" t="s">
        <v>261</v>
      </c>
      <c r="E7818" s="50">
        <v>-1</v>
      </c>
      <c r="F7818" s="51">
        <v>-0.79091856336088928</v>
      </c>
      <c r="G7818" s="51" t="str">
        <v>佐藤 2023/02/12 (日)
休日午後</v>
      </c>
    </row>
    <row r="7819" spans="1:7" ht="16.149999999999999" x14ac:dyDescent="0.7">
      <c r="A7819" s="49">
        <v>44952.781729918977</v>
      </c>
      <c r="B7819" s="50" t="s">
        <v>6</v>
      </c>
      <c r="C7819" s="50" t="s">
        <v>656</v>
      </c>
      <c r="D7819" s="50" t="s">
        <v>261</v>
      </c>
      <c r="E7819" s="50">
        <v>-1</v>
      </c>
      <c r="F7819" s="51">
        <v>-0.99920544391086086</v>
      </c>
      <c r="G7819" s="51" t="str">
        <v>西谷 2023/02/11 (土)
休日午後</v>
      </c>
    </row>
    <row r="7820" spans="1:7" ht="16.149999999999999" x14ac:dyDescent="0.7">
      <c r="A7820" s="49">
        <v>44952.781072592596</v>
      </c>
      <c r="B7820" s="50" t="s">
        <v>15</v>
      </c>
      <c r="C7820" s="50" t="s">
        <v>665</v>
      </c>
      <c r="D7820" s="50" t="s">
        <v>261</v>
      </c>
      <c r="E7820" s="50">
        <v>-1</v>
      </c>
      <c r="F7820" s="51">
        <v>-0.50923898901189735</v>
      </c>
      <c r="G7820" s="51" t="str">
        <v>太良 2023/02/18 (土)
休日午後</v>
      </c>
    </row>
    <row r="7821" spans="1:7" ht="16.149999999999999" x14ac:dyDescent="0.7">
      <c r="A7821" s="49">
        <v>44952.781729918977</v>
      </c>
      <c r="B7821" s="50" t="s">
        <v>6</v>
      </c>
      <c r="C7821" s="50" t="s">
        <v>657</v>
      </c>
      <c r="D7821" s="50" t="s">
        <v>263</v>
      </c>
      <c r="E7821" s="50">
        <v>-1</v>
      </c>
      <c r="F7821" s="51">
        <v>-0.90326864361886994</v>
      </c>
      <c r="G7821" s="51" t="str">
        <v>西谷 2023/02/12 (日)
休日午前</v>
      </c>
    </row>
    <row r="7822" spans="1:7" ht="16.149999999999999" x14ac:dyDescent="0.7">
      <c r="A7822" s="49">
        <v>44952.781513240741</v>
      </c>
      <c r="B7822" s="50" t="s">
        <v>19</v>
      </c>
      <c r="C7822" s="50" t="s">
        <v>659</v>
      </c>
      <c r="D7822" s="50" t="s">
        <v>259</v>
      </c>
      <c r="E7822" s="50">
        <v>-1</v>
      </c>
      <c r="F7822" s="51">
        <v>-0.6481061808659847</v>
      </c>
      <c r="G7822" s="51" t="str">
        <v>佐藤 2023/02/13 (月)
平日夜間</v>
      </c>
    </row>
    <row r="7823" spans="1:7" ht="16.149999999999999" x14ac:dyDescent="0.7">
      <c r="A7823" s="49">
        <v>44952.781072592596</v>
      </c>
      <c r="B7823" s="50" t="s">
        <v>15</v>
      </c>
      <c r="C7823" s="50" t="s">
        <v>666</v>
      </c>
      <c r="D7823" s="50" t="s">
        <v>263</v>
      </c>
      <c r="E7823" s="50">
        <v>-1</v>
      </c>
      <c r="F7823" s="51">
        <v>-0.96108835897184175</v>
      </c>
      <c r="G7823" s="51" t="str">
        <v>太良 2023/02/19 (日)
休日午前</v>
      </c>
    </row>
    <row r="7824" spans="1:7" ht="16.149999999999999" x14ac:dyDescent="0.7">
      <c r="A7824" s="49">
        <v>44952.781513240741</v>
      </c>
      <c r="B7824" s="50" t="s">
        <v>19</v>
      </c>
      <c r="C7824" s="50" t="s">
        <v>660</v>
      </c>
      <c r="D7824" s="50" t="s">
        <v>259</v>
      </c>
      <c r="E7824" s="50">
        <v>0</v>
      </c>
      <c r="F7824" s="51">
        <v>0.7929862311920628</v>
      </c>
      <c r="G7824" s="51" t="str">
        <v>佐藤 2023/02/14 (火)
平日夜間</v>
      </c>
    </row>
    <row r="7825" spans="1:7" ht="16.149999999999999" x14ac:dyDescent="0.7">
      <c r="A7825" s="49">
        <v>44952.781729918977</v>
      </c>
      <c r="B7825" s="50" t="s">
        <v>6</v>
      </c>
      <c r="C7825" s="50" t="s">
        <v>658</v>
      </c>
      <c r="D7825" s="50" t="s">
        <v>261</v>
      </c>
      <c r="E7825" s="50">
        <v>-1</v>
      </c>
      <c r="F7825" s="51">
        <v>-0.84424409309415682</v>
      </c>
      <c r="G7825" s="51" t="str">
        <v>西谷 2023/02/12 (日)
休日午後</v>
      </c>
    </row>
    <row r="7826" spans="1:7" ht="16.149999999999999" x14ac:dyDescent="0.7">
      <c r="A7826" s="49">
        <v>44952.781072592596</v>
      </c>
      <c r="B7826" s="50" t="s">
        <v>15</v>
      </c>
      <c r="C7826" s="50" t="s">
        <v>667</v>
      </c>
      <c r="D7826" s="50" t="s">
        <v>261</v>
      </c>
      <c r="E7826" s="50">
        <v>-1</v>
      </c>
      <c r="F7826" s="51">
        <v>-0.83079393253556399</v>
      </c>
      <c r="G7826" s="51" t="str">
        <v>太良 2023/02/19 (日)
休日午後</v>
      </c>
    </row>
    <row r="7827" spans="1:7" ht="16.149999999999999" x14ac:dyDescent="0.7">
      <c r="A7827" s="49">
        <v>44952.781729918977</v>
      </c>
      <c r="B7827" s="50" t="s">
        <v>6</v>
      </c>
      <c r="C7827" s="50" t="s">
        <v>659</v>
      </c>
      <c r="D7827" s="50" t="s">
        <v>259</v>
      </c>
      <c r="E7827" s="50">
        <v>0</v>
      </c>
      <c r="F7827" s="51">
        <v>0.57683893140225329</v>
      </c>
      <c r="G7827" s="51" t="str">
        <v>西谷 2023/02/13 (月)
平日夜間</v>
      </c>
    </row>
    <row r="7828" spans="1:7" ht="16.149999999999999" x14ac:dyDescent="0.7">
      <c r="A7828" s="49">
        <v>44952.781513240741</v>
      </c>
      <c r="B7828" s="50" t="s">
        <v>19</v>
      </c>
      <c r="C7828" s="50" t="s">
        <v>661</v>
      </c>
      <c r="D7828" s="50" t="s">
        <v>259</v>
      </c>
      <c r="E7828" s="50">
        <v>0</v>
      </c>
      <c r="F7828" s="51">
        <v>0.35357198658933675</v>
      </c>
      <c r="G7828" s="51" t="str">
        <v>佐藤 2023/02/15 (水)
平日夜間</v>
      </c>
    </row>
    <row r="7829" spans="1:7" ht="16.149999999999999" x14ac:dyDescent="0.7">
      <c r="A7829" s="49">
        <v>44952.781072592596</v>
      </c>
      <c r="B7829" s="50" t="s">
        <v>15</v>
      </c>
      <c r="C7829" s="50" t="s">
        <v>668</v>
      </c>
      <c r="D7829" s="50" t="s">
        <v>259</v>
      </c>
      <c r="E7829" s="50">
        <v>0</v>
      </c>
      <c r="F7829" s="51">
        <v>2.2480647099785145E-3</v>
      </c>
      <c r="G7829" s="51" t="str">
        <v>太良 2023/02/20 (月)
平日夜間</v>
      </c>
    </row>
    <row r="7830" spans="1:7" ht="16.149999999999999" x14ac:dyDescent="0.7">
      <c r="A7830" s="49">
        <v>44952.781513240741</v>
      </c>
      <c r="B7830" s="50" t="s">
        <v>19</v>
      </c>
      <c r="C7830" s="50" t="s">
        <v>662</v>
      </c>
      <c r="D7830" s="50" t="s">
        <v>259</v>
      </c>
      <c r="E7830" s="50">
        <v>0</v>
      </c>
      <c r="F7830" s="51">
        <v>0.97887389878024211</v>
      </c>
      <c r="G7830" s="51" t="str">
        <v>佐藤 2023/02/16 (木)
平日夜間</v>
      </c>
    </row>
    <row r="7831" spans="1:7" ht="16.149999999999999" x14ac:dyDescent="0.7">
      <c r="A7831" s="49">
        <v>44952.781729918977</v>
      </c>
      <c r="B7831" s="50" t="s">
        <v>6</v>
      </c>
      <c r="C7831" s="50" t="s">
        <v>660</v>
      </c>
      <c r="D7831" s="50" t="s">
        <v>259</v>
      </c>
      <c r="E7831" s="50">
        <v>0</v>
      </c>
      <c r="F7831" s="51">
        <v>3.5423128583817132E-2</v>
      </c>
      <c r="G7831" s="51" t="str">
        <v>西谷 2023/02/14 (火)
平日夜間</v>
      </c>
    </row>
    <row r="7832" spans="1:7" ht="16.149999999999999" x14ac:dyDescent="0.7">
      <c r="A7832" s="49">
        <v>44952.785174861114</v>
      </c>
      <c r="B7832" s="50" t="s">
        <v>17</v>
      </c>
      <c r="C7832" s="50" t="s">
        <v>643</v>
      </c>
      <c r="D7832" s="50" t="s">
        <v>259</v>
      </c>
      <c r="E7832" s="50">
        <v>0</v>
      </c>
      <c r="F7832" s="51">
        <v>0.36955022278098415</v>
      </c>
      <c r="G7832" s="51" t="str">
        <v>尾田 2023/02/01 (水)
平日夜間</v>
      </c>
    </row>
    <row r="7833" spans="1:7" ht="16.149999999999999" x14ac:dyDescent="0.7">
      <c r="A7833" s="49">
        <v>44952.781072592596</v>
      </c>
      <c r="B7833" s="50" t="s">
        <v>15</v>
      </c>
      <c r="C7833" s="50" t="s">
        <v>669</v>
      </c>
      <c r="D7833" s="50" t="s">
        <v>259</v>
      </c>
      <c r="E7833" s="50">
        <v>0</v>
      </c>
      <c r="F7833" s="51">
        <v>0.66805690563262554</v>
      </c>
      <c r="G7833" s="51" t="str">
        <v>太良 2023/02/21 (火)
平日夜間</v>
      </c>
    </row>
    <row r="7834" spans="1:7" ht="16.149999999999999" x14ac:dyDescent="0.7">
      <c r="A7834" s="49">
        <v>44952.781729918977</v>
      </c>
      <c r="B7834" s="50" t="s">
        <v>6</v>
      </c>
      <c r="C7834" s="50" t="s">
        <v>661</v>
      </c>
      <c r="D7834" s="50" t="s">
        <v>259</v>
      </c>
      <c r="E7834" s="50">
        <v>1</v>
      </c>
      <c r="F7834" s="51">
        <v>1.4724339108432412</v>
      </c>
      <c r="G7834" s="51" t="str">
        <v>西谷 2023/02/15 (水)
平日夜間</v>
      </c>
    </row>
    <row r="7835" spans="1:7" ht="16.149999999999999" x14ac:dyDescent="0.7">
      <c r="A7835" s="49">
        <v>44952.781513240741</v>
      </c>
      <c r="B7835" s="50" t="s">
        <v>19</v>
      </c>
      <c r="C7835" s="50" t="s">
        <v>663</v>
      </c>
      <c r="D7835" s="50" t="s">
        <v>259</v>
      </c>
      <c r="E7835" s="50">
        <v>0</v>
      </c>
      <c r="F7835" s="51">
        <v>9.7524967459307277E-2</v>
      </c>
      <c r="G7835" s="51" t="str">
        <v>佐藤 2023/02/17 (金)
平日夜間</v>
      </c>
    </row>
    <row r="7836" spans="1:7" ht="16.149999999999999" x14ac:dyDescent="0.7">
      <c r="A7836" s="49">
        <v>44952.785174861114</v>
      </c>
      <c r="B7836" s="50" t="s">
        <v>17</v>
      </c>
      <c r="C7836" s="50" t="s">
        <v>644</v>
      </c>
      <c r="D7836" s="50" t="s">
        <v>259</v>
      </c>
      <c r="E7836" s="50">
        <v>-1</v>
      </c>
      <c r="F7836" s="51">
        <v>-0.69886431062282472</v>
      </c>
      <c r="G7836" s="51" t="str">
        <v>尾田 2023/02/02 (木)
平日夜間</v>
      </c>
    </row>
    <row r="7837" spans="1:7" ht="16.149999999999999" x14ac:dyDescent="0.7">
      <c r="A7837" s="49">
        <v>44952.781513240741</v>
      </c>
      <c r="B7837" s="50" t="s">
        <v>19</v>
      </c>
      <c r="C7837" s="50" t="s">
        <v>664</v>
      </c>
      <c r="D7837" s="50" t="s">
        <v>263</v>
      </c>
      <c r="E7837" s="50">
        <v>2</v>
      </c>
      <c r="F7837" s="51">
        <v>2.6744612822241152</v>
      </c>
      <c r="G7837" s="51" t="str">
        <v>佐藤 2023/02/18 (土)
休日午前</v>
      </c>
    </row>
    <row r="7838" spans="1:7" ht="16.149999999999999" x14ac:dyDescent="0.7">
      <c r="A7838" s="49">
        <v>44952.781729918977</v>
      </c>
      <c r="B7838" s="50" t="s">
        <v>6</v>
      </c>
      <c r="C7838" s="50" t="s">
        <v>662</v>
      </c>
      <c r="D7838" s="50" t="s">
        <v>259</v>
      </c>
      <c r="E7838" s="50">
        <v>0</v>
      </c>
      <c r="F7838" s="51">
        <v>0.96358806234932604</v>
      </c>
      <c r="G7838" s="51" t="str">
        <v>西谷 2023/02/16 (木)
平日夜間</v>
      </c>
    </row>
    <row r="7839" spans="1:7" ht="16.149999999999999" x14ac:dyDescent="0.7">
      <c r="A7839" s="49">
        <v>44952.785174861114</v>
      </c>
      <c r="B7839" s="50" t="s">
        <v>17</v>
      </c>
      <c r="C7839" s="50" t="s">
        <v>645</v>
      </c>
      <c r="D7839" s="50" t="s">
        <v>259</v>
      </c>
      <c r="E7839" s="50">
        <v>-1</v>
      </c>
      <c r="F7839" s="51">
        <v>-0.61884147575166293</v>
      </c>
      <c r="G7839" s="51" t="str">
        <v>尾田 2023/02/03 (金)
平日夜間</v>
      </c>
    </row>
    <row r="7840" spans="1:7" ht="16.149999999999999" x14ac:dyDescent="0.7">
      <c r="A7840" s="49">
        <v>44952.781729918977</v>
      </c>
      <c r="B7840" s="50" t="s">
        <v>6</v>
      </c>
      <c r="C7840" s="50" t="s">
        <v>663</v>
      </c>
      <c r="D7840" s="50" t="s">
        <v>259</v>
      </c>
      <c r="E7840" s="50">
        <v>0</v>
      </c>
      <c r="F7840" s="51">
        <v>0.98489242163025792</v>
      </c>
      <c r="G7840" s="51" t="str">
        <v>西谷 2023/02/17 (金)
平日夜間</v>
      </c>
    </row>
    <row r="7841" spans="1:7" ht="16.149999999999999" x14ac:dyDescent="0.7">
      <c r="A7841" s="49">
        <v>44952.785174861114</v>
      </c>
      <c r="B7841" s="50" t="s">
        <v>17</v>
      </c>
      <c r="C7841" s="50" t="s">
        <v>646</v>
      </c>
      <c r="D7841" s="50" t="s">
        <v>263</v>
      </c>
      <c r="E7841" s="50">
        <v>-1</v>
      </c>
      <c r="F7841" s="51">
        <v>-0.30459682713030389</v>
      </c>
      <c r="G7841" s="51" t="str">
        <v>尾田 2023/02/04 (土)
休日午前</v>
      </c>
    </row>
    <row r="7842" spans="1:7" ht="16.149999999999999" x14ac:dyDescent="0.7">
      <c r="A7842" s="49">
        <v>44952.785174861114</v>
      </c>
      <c r="B7842" s="50" t="s">
        <v>17</v>
      </c>
      <c r="C7842" s="50" t="s">
        <v>647</v>
      </c>
      <c r="D7842" s="50" t="s">
        <v>261</v>
      </c>
      <c r="E7842" s="50">
        <v>-1</v>
      </c>
      <c r="F7842" s="51">
        <v>-0.35511714662237059</v>
      </c>
      <c r="G7842" s="51" t="str">
        <v>尾田 2023/02/04 (土)
休日午後</v>
      </c>
    </row>
    <row r="7843" spans="1:7" ht="16.149999999999999" x14ac:dyDescent="0.7">
      <c r="A7843" s="49">
        <v>44952.785174861114</v>
      </c>
      <c r="B7843" s="50" t="s">
        <v>17</v>
      </c>
      <c r="C7843" s="50" t="s">
        <v>648</v>
      </c>
      <c r="D7843" s="50" t="s">
        <v>263</v>
      </c>
      <c r="E7843" s="50">
        <v>-1</v>
      </c>
      <c r="F7843" s="51">
        <v>-0.56673795265542637</v>
      </c>
      <c r="G7843" s="51" t="str">
        <v>尾田 2023/02/05 (日)
休日午前</v>
      </c>
    </row>
    <row r="7844" spans="1:7" ht="16.149999999999999" x14ac:dyDescent="0.7">
      <c r="A7844" s="49">
        <v>44952.785174861114</v>
      </c>
      <c r="B7844" s="50" t="s">
        <v>17</v>
      </c>
      <c r="C7844" s="50" t="s">
        <v>649</v>
      </c>
      <c r="D7844" s="50" t="s">
        <v>261</v>
      </c>
      <c r="E7844" s="50">
        <v>-1</v>
      </c>
      <c r="F7844" s="51">
        <v>-0.70717424105614435</v>
      </c>
      <c r="G7844" s="51" t="str">
        <v>尾田 2023/02/05 (日)
休日午後</v>
      </c>
    </row>
    <row r="7845" spans="1:7" ht="16.149999999999999" x14ac:dyDescent="0.7">
      <c r="A7845" s="49">
        <v>44952.785174861114</v>
      </c>
      <c r="B7845" s="50" t="s">
        <v>17</v>
      </c>
      <c r="C7845" s="50" t="s">
        <v>650</v>
      </c>
      <c r="D7845" s="50" t="s">
        <v>259</v>
      </c>
      <c r="E7845" s="50">
        <v>0</v>
      </c>
      <c r="F7845" s="51">
        <v>0.35855680696580139</v>
      </c>
      <c r="G7845" s="51" t="str">
        <v>尾田 2023/02/06 (月)
平日夜間</v>
      </c>
    </row>
    <row r="7846" spans="1:7" ht="16.149999999999999" x14ac:dyDescent="0.7">
      <c r="A7846" s="49">
        <v>44952.785174861114</v>
      </c>
      <c r="B7846" s="50" t="s">
        <v>17</v>
      </c>
      <c r="C7846" s="50" t="s">
        <v>651</v>
      </c>
      <c r="D7846" s="50" t="s">
        <v>259</v>
      </c>
      <c r="E7846" s="50">
        <v>0</v>
      </c>
      <c r="F7846" s="51">
        <v>0.9548343295697117</v>
      </c>
      <c r="G7846" s="51" t="str">
        <v>尾田 2023/02/07 (火)
平日夜間</v>
      </c>
    </row>
    <row r="7847" spans="1:7" ht="16.149999999999999" x14ac:dyDescent="0.7">
      <c r="A7847" s="49">
        <v>44952.785174861114</v>
      </c>
      <c r="B7847" s="50" t="s">
        <v>17</v>
      </c>
      <c r="C7847" s="50" t="s">
        <v>652</v>
      </c>
      <c r="D7847" s="50" t="s">
        <v>259</v>
      </c>
      <c r="E7847" s="50">
        <v>0</v>
      </c>
      <c r="F7847" s="51">
        <v>0.91083684870438009</v>
      </c>
      <c r="G7847" s="51" t="str">
        <v>尾田 2023/02/08 (水)
平日夜間</v>
      </c>
    </row>
    <row r="7848" spans="1:7" ht="16.149999999999999" x14ac:dyDescent="0.7">
      <c r="A7848" s="49">
        <v>44952.785174861114</v>
      </c>
      <c r="B7848" s="50" t="s">
        <v>17</v>
      </c>
      <c r="C7848" s="50" t="s">
        <v>653</v>
      </c>
      <c r="D7848" s="50" t="s">
        <v>259</v>
      </c>
      <c r="E7848" s="50">
        <v>-1</v>
      </c>
      <c r="F7848" s="51">
        <v>-0.65085491340685064</v>
      </c>
      <c r="G7848" s="51" t="str">
        <v>尾田 2023/02/09 (木)
平日夜間</v>
      </c>
    </row>
    <row r="7849" spans="1:7" ht="16.149999999999999" x14ac:dyDescent="0.7">
      <c r="A7849" s="49">
        <v>44952.785174861114</v>
      </c>
      <c r="B7849" s="50" t="s">
        <v>17</v>
      </c>
      <c r="C7849" s="50" t="s">
        <v>654</v>
      </c>
      <c r="D7849" s="50" t="s">
        <v>259</v>
      </c>
      <c r="E7849" s="50">
        <v>-1</v>
      </c>
      <c r="F7849" s="51">
        <v>-0.28484320298261268</v>
      </c>
      <c r="G7849" s="51" t="str">
        <v>尾田 2023/02/10 (金)
平日夜間</v>
      </c>
    </row>
    <row r="7850" spans="1:7" ht="16.149999999999999" x14ac:dyDescent="0.7">
      <c r="A7850" s="49">
        <v>44952.785174861114</v>
      </c>
      <c r="B7850" s="50" t="s">
        <v>17</v>
      </c>
      <c r="C7850" s="50" t="s">
        <v>655</v>
      </c>
      <c r="D7850" s="50" t="s">
        <v>263</v>
      </c>
      <c r="E7850" s="50">
        <v>-1</v>
      </c>
      <c r="F7850" s="51">
        <v>-0.11858736732185426</v>
      </c>
      <c r="G7850" s="51" t="str">
        <v>尾田 2023/02/11 (土)
休日午前</v>
      </c>
    </row>
    <row r="7851" spans="1:7" ht="16.149999999999999" x14ac:dyDescent="0.7">
      <c r="A7851" s="49">
        <v>44952.785174861114</v>
      </c>
      <c r="B7851" s="50" t="s">
        <v>17</v>
      </c>
      <c r="C7851" s="50" t="s">
        <v>656</v>
      </c>
      <c r="D7851" s="50" t="s">
        <v>261</v>
      </c>
      <c r="E7851" s="50">
        <v>-1</v>
      </c>
      <c r="F7851" s="51">
        <v>-0.7949171801144268</v>
      </c>
      <c r="G7851" s="51" t="str">
        <v>尾田 2023/02/11 (土)
休日午後</v>
      </c>
    </row>
    <row r="7852" spans="1:7" ht="16.149999999999999" x14ac:dyDescent="0.7">
      <c r="A7852" s="49">
        <v>44952.785174861114</v>
      </c>
      <c r="B7852" s="50" t="s">
        <v>17</v>
      </c>
      <c r="C7852" s="50" t="s">
        <v>657</v>
      </c>
      <c r="D7852" s="50" t="s">
        <v>263</v>
      </c>
      <c r="E7852" s="50">
        <v>-1</v>
      </c>
      <c r="F7852" s="51">
        <v>-0.38786324413268281</v>
      </c>
      <c r="G7852" s="51" t="str">
        <v>尾田 2023/02/12 (日)
休日午前</v>
      </c>
    </row>
    <row r="7853" spans="1:7" ht="16.149999999999999" x14ac:dyDescent="0.7">
      <c r="A7853" s="49">
        <v>44952.785174861114</v>
      </c>
      <c r="B7853" s="50" t="s">
        <v>17</v>
      </c>
      <c r="C7853" s="50" t="s">
        <v>658</v>
      </c>
      <c r="D7853" s="50" t="s">
        <v>261</v>
      </c>
      <c r="E7853" s="50">
        <v>-1</v>
      </c>
      <c r="F7853" s="51">
        <v>-0.47397074912943404</v>
      </c>
      <c r="G7853" s="51" t="str">
        <v>尾田 2023/02/12 (日)
休日午後</v>
      </c>
    </row>
    <row r="7854" spans="1:7" ht="16.149999999999999" x14ac:dyDescent="0.7">
      <c r="A7854" s="49">
        <v>44952.785174861114</v>
      </c>
      <c r="B7854" s="50" t="s">
        <v>17</v>
      </c>
      <c r="C7854" s="50" t="s">
        <v>659</v>
      </c>
      <c r="D7854" s="50" t="s">
        <v>259</v>
      </c>
      <c r="E7854" s="50">
        <v>0</v>
      </c>
      <c r="F7854" s="51">
        <v>0.10765147282317766</v>
      </c>
      <c r="G7854" s="51" t="str">
        <v>尾田 2023/02/13 (月)
平日夜間</v>
      </c>
    </row>
    <row r="7855" spans="1:7" ht="16.149999999999999" x14ac:dyDescent="0.7">
      <c r="A7855" s="49">
        <v>44952.785174861114</v>
      </c>
      <c r="B7855" s="50" t="s">
        <v>17</v>
      </c>
      <c r="C7855" s="50" t="s">
        <v>660</v>
      </c>
      <c r="D7855" s="50" t="s">
        <v>259</v>
      </c>
      <c r="E7855" s="50">
        <v>0</v>
      </c>
      <c r="F7855" s="51">
        <v>0.64227774426905682</v>
      </c>
      <c r="G7855" s="51" t="str">
        <v>尾田 2023/02/14 (火)
平日夜間</v>
      </c>
    </row>
    <row r="7856" spans="1:7" ht="16.149999999999999" x14ac:dyDescent="0.7">
      <c r="A7856" s="49">
        <v>44952.785174861114</v>
      </c>
      <c r="B7856" s="50" t="s">
        <v>17</v>
      </c>
      <c r="C7856" s="50" t="s">
        <v>661</v>
      </c>
      <c r="D7856" s="50" t="s">
        <v>259</v>
      </c>
      <c r="E7856" s="50">
        <v>0</v>
      </c>
      <c r="F7856" s="51">
        <v>0.89328472097495459</v>
      </c>
      <c r="G7856" s="51" t="str">
        <v>尾田 2023/02/15 (水)
平日夜間</v>
      </c>
    </row>
    <row r="7857" spans="1:7" ht="16.149999999999999" x14ac:dyDescent="0.7">
      <c r="A7857" s="49">
        <v>44952.785174861114</v>
      </c>
      <c r="B7857" s="50" t="s">
        <v>17</v>
      </c>
      <c r="C7857" s="50" t="s">
        <v>662</v>
      </c>
      <c r="D7857" s="50" t="s">
        <v>259</v>
      </c>
      <c r="E7857" s="50">
        <v>-1</v>
      </c>
      <c r="F7857" s="51">
        <v>-0.30654395312663874</v>
      </c>
      <c r="G7857" s="51" t="str">
        <v>尾田 2023/02/16 (木)
平日夜間</v>
      </c>
    </row>
    <row r="7858" spans="1:7" ht="16.149999999999999" x14ac:dyDescent="0.7">
      <c r="A7858" s="49">
        <v>44952.785174861114</v>
      </c>
      <c r="B7858" s="50" t="s">
        <v>17</v>
      </c>
      <c r="C7858" s="50" t="s">
        <v>663</v>
      </c>
      <c r="D7858" s="50" t="s">
        <v>259</v>
      </c>
      <c r="E7858" s="50">
        <v>-1</v>
      </c>
      <c r="F7858" s="51">
        <v>-0.74680100848201114</v>
      </c>
      <c r="G7858" s="51" t="str">
        <v>尾田 2023/02/17 (金)
平日夜間</v>
      </c>
    </row>
    <row r="7859" spans="1:7" ht="16.149999999999999" x14ac:dyDescent="0.7">
      <c r="A7859" s="49">
        <v>44952.785174861114</v>
      </c>
      <c r="B7859" s="50" t="s">
        <v>17</v>
      </c>
      <c r="C7859" s="50" t="s">
        <v>664</v>
      </c>
      <c r="D7859" s="50" t="s">
        <v>263</v>
      </c>
      <c r="E7859" s="50">
        <v>-1</v>
      </c>
      <c r="F7859" s="51">
        <v>-0.8457470134988736</v>
      </c>
      <c r="G7859" s="51" t="str">
        <v>尾田 2023/02/18 (土)
休日午前</v>
      </c>
    </row>
    <row r="7860" spans="1:7" ht="16.149999999999999" x14ac:dyDescent="0.7">
      <c r="A7860" s="49">
        <v>44952.785174861114</v>
      </c>
      <c r="B7860" s="50" t="s">
        <v>17</v>
      </c>
      <c r="C7860" s="50" t="s">
        <v>665</v>
      </c>
      <c r="D7860" s="50" t="s">
        <v>261</v>
      </c>
      <c r="E7860" s="50">
        <v>-1</v>
      </c>
      <c r="F7860" s="51">
        <v>-0.77206440364995732</v>
      </c>
      <c r="G7860" s="51" t="str">
        <v>尾田 2023/02/18 (土)
休日午後</v>
      </c>
    </row>
    <row r="7861" spans="1:7" ht="16.149999999999999" x14ac:dyDescent="0.7">
      <c r="A7861" s="49">
        <v>44952.785174861114</v>
      </c>
      <c r="B7861" s="50" t="s">
        <v>17</v>
      </c>
      <c r="C7861" s="50" t="s">
        <v>666</v>
      </c>
      <c r="D7861" s="50" t="s">
        <v>263</v>
      </c>
      <c r="E7861" s="50">
        <v>-1</v>
      </c>
      <c r="F7861" s="51">
        <v>-0.60011559935401615</v>
      </c>
      <c r="G7861" s="51" t="str">
        <v>尾田 2023/02/19 (日)
休日午前</v>
      </c>
    </row>
    <row r="7862" spans="1:7" ht="16.149999999999999" x14ac:dyDescent="0.7">
      <c r="A7862" s="49">
        <v>44952.785174861114</v>
      </c>
      <c r="B7862" s="50" t="s">
        <v>17</v>
      </c>
      <c r="C7862" s="50" t="s">
        <v>667</v>
      </c>
      <c r="D7862" s="50" t="s">
        <v>261</v>
      </c>
      <c r="E7862" s="50">
        <v>-1</v>
      </c>
      <c r="F7862" s="51">
        <v>-0.53534660723285299</v>
      </c>
      <c r="G7862" s="51" t="str">
        <v>尾田 2023/02/19 (日)
休日午後</v>
      </c>
    </row>
    <row r="7863" spans="1:7" ht="16.149999999999999" x14ac:dyDescent="0.7">
      <c r="A7863" s="49">
        <v>44952.785174861114</v>
      </c>
      <c r="B7863" s="50" t="s">
        <v>17</v>
      </c>
      <c r="C7863" s="50" t="s">
        <v>668</v>
      </c>
      <c r="D7863" s="50" t="s">
        <v>259</v>
      </c>
      <c r="E7863" s="50">
        <v>0</v>
      </c>
      <c r="F7863" s="51">
        <v>0.74874015850983033</v>
      </c>
      <c r="G7863" s="51" t="str">
        <v>尾田 2023/02/20 (月)
平日夜間</v>
      </c>
    </row>
    <row r="7864" spans="1:7" ht="16.149999999999999" x14ac:dyDescent="0.7">
      <c r="A7864" s="49">
        <v>44952.785174861114</v>
      </c>
      <c r="B7864" s="50" t="s">
        <v>17</v>
      </c>
      <c r="C7864" s="50" t="s">
        <v>669</v>
      </c>
      <c r="D7864" s="50" t="s">
        <v>259</v>
      </c>
      <c r="E7864" s="50">
        <v>0</v>
      </c>
      <c r="F7864" s="51">
        <v>0.29671806221309205</v>
      </c>
      <c r="G7864" s="51" t="str">
        <v>尾田 2023/02/21 (火)
平日夜間</v>
      </c>
    </row>
    <row r="7865" spans="1:7" ht="16.149999999999999" x14ac:dyDescent="0.7">
      <c r="A7865" s="49">
        <v>44952.785174861114</v>
      </c>
      <c r="B7865" s="50" t="s">
        <v>17</v>
      </c>
      <c r="C7865" s="50" t="s">
        <v>670</v>
      </c>
      <c r="D7865" s="50" t="s">
        <v>259</v>
      </c>
      <c r="E7865" s="50">
        <v>0</v>
      </c>
      <c r="F7865" s="51">
        <v>0.58483533651342601</v>
      </c>
      <c r="G7865" s="51" t="str">
        <v>尾田 2023/02/22 (水)
平日夜間</v>
      </c>
    </row>
    <row r="7866" spans="1:7" ht="16.149999999999999" x14ac:dyDescent="0.7">
      <c r="A7866" s="49">
        <v>44952.785174861114</v>
      </c>
      <c r="B7866" s="50" t="s">
        <v>17</v>
      </c>
      <c r="C7866" s="50" t="s">
        <v>671</v>
      </c>
      <c r="D7866" s="50" t="s">
        <v>263</v>
      </c>
      <c r="E7866" s="50">
        <v>-1</v>
      </c>
      <c r="F7866" s="51">
        <v>-0.27166314226937494</v>
      </c>
      <c r="G7866" s="51" t="str">
        <v>尾田 2023/02/23 (木)
休日午前</v>
      </c>
    </row>
    <row r="7867" spans="1:7" ht="16.149999999999999" x14ac:dyDescent="0.7">
      <c r="A7867" s="49">
        <v>44952.785174861114</v>
      </c>
      <c r="B7867" s="50" t="s">
        <v>17</v>
      </c>
      <c r="C7867" s="50" t="s">
        <v>672</v>
      </c>
      <c r="D7867" s="50" t="s">
        <v>261</v>
      </c>
      <c r="E7867" s="50">
        <v>-1</v>
      </c>
      <c r="F7867" s="51">
        <v>-0.45619098611397724</v>
      </c>
      <c r="G7867" s="51" t="str">
        <v>尾田 2023/02/23 (木)
休日午後</v>
      </c>
    </row>
    <row r="7868" spans="1:7" ht="16.149999999999999" x14ac:dyDescent="0.7">
      <c r="A7868" s="49">
        <v>44952.785174861114</v>
      </c>
      <c r="B7868" s="50" t="s">
        <v>17</v>
      </c>
      <c r="C7868" s="50" t="s">
        <v>673</v>
      </c>
      <c r="D7868" s="50" t="s">
        <v>259</v>
      </c>
      <c r="E7868" s="50">
        <v>-1</v>
      </c>
      <c r="F7868" s="51">
        <v>-0.27171724513030382</v>
      </c>
      <c r="G7868" s="51" t="str">
        <v>尾田 2023/02/24 (金)
平日夜間</v>
      </c>
    </row>
    <row r="7869" spans="1:7" ht="16.149999999999999" x14ac:dyDescent="0.7">
      <c r="A7869" s="49">
        <v>44952.785174861114</v>
      </c>
      <c r="B7869" s="50" t="s">
        <v>17</v>
      </c>
      <c r="C7869" s="50" t="s">
        <v>674</v>
      </c>
      <c r="D7869" s="50" t="s">
        <v>263</v>
      </c>
      <c r="E7869" s="50">
        <v>-1</v>
      </c>
      <c r="F7869" s="51">
        <v>-0.3883875991067105</v>
      </c>
      <c r="G7869" s="51" t="str">
        <v>尾田 2023/02/25 (土)
休日午前</v>
      </c>
    </row>
    <row r="7870" spans="1:7" ht="16.149999999999999" x14ac:dyDescent="0.7">
      <c r="A7870" s="49">
        <v>44952.785174861114</v>
      </c>
      <c r="B7870" s="50" t="s">
        <v>17</v>
      </c>
      <c r="C7870" s="50" t="s">
        <v>675</v>
      </c>
      <c r="D7870" s="50" t="s">
        <v>261</v>
      </c>
      <c r="E7870" s="50">
        <v>-1</v>
      </c>
      <c r="F7870" s="51">
        <v>-0.94714424973429856</v>
      </c>
      <c r="G7870" s="51" t="str">
        <v>尾田 2023/02/25 (土)
休日午後</v>
      </c>
    </row>
    <row r="7871" spans="1:7" ht="16.149999999999999" x14ac:dyDescent="0.7">
      <c r="A7871" s="49">
        <v>44952.788010601857</v>
      </c>
      <c r="B7871" s="50" t="s">
        <v>18</v>
      </c>
      <c r="C7871" s="50" t="s">
        <v>643</v>
      </c>
      <c r="D7871" s="50" t="s">
        <v>259</v>
      </c>
      <c r="E7871" s="50">
        <v>-1</v>
      </c>
      <c r="F7871" s="51">
        <v>-0.89251210906053347</v>
      </c>
      <c r="G7871" s="51" t="str">
        <v>中瀬 2023/02/01 (水)
平日夜間</v>
      </c>
    </row>
    <row r="7872" spans="1:7" ht="16.149999999999999" x14ac:dyDescent="0.7">
      <c r="A7872" s="49">
        <v>44952.785174861114</v>
      </c>
      <c r="B7872" s="50" t="s">
        <v>17</v>
      </c>
      <c r="C7872" s="50" t="s">
        <v>676</v>
      </c>
      <c r="D7872" s="50" t="s">
        <v>263</v>
      </c>
      <c r="E7872" s="50">
        <v>-1</v>
      </c>
      <c r="F7872" s="51">
        <v>-0.10251731200616088</v>
      </c>
      <c r="G7872" s="51" t="str">
        <v>尾田 2023/02/26 (日)
休日午前</v>
      </c>
    </row>
    <row r="7873" spans="1:7" ht="16.149999999999999" x14ac:dyDescent="0.7">
      <c r="A7873" s="49">
        <v>44952.788010601857</v>
      </c>
      <c r="B7873" s="50" t="s">
        <v>18</v>
      </c>
      <c r="C7873" s="50" t="s">
        <v>644</v>
      </c>
      <c r="D7873" s="50" t="s">
        <v>259</v>
      </c>
      <c r="E7873" s="50">
        <v>-1</v>
      </c>
      <c r="F7873" s="51">
        <v>-0.44300251884270359</v>
      </c>
      <c r="G7873" s="51" t="str">
        <v>中瀬 2023/02/02 (木)
平日夜間</v>
      </c>
    </row>
    <row r="7874" spans="1:7" ht="16.149999999999999" x14ac:dyDescent="0.7">
      <c r="A7874" s="49">
        <v>44952.785174861114</v>
      </c>
      <c r="B7874" s="50" t="s">
        <v>17</v>
      </c>
      <c r="C7874" s="50" t="s">
        <v>677</v>
      </c>
      <c r="D7874" s="50" t="s">
        <v>261</v>
      </c>
      <c r="E7874" s="50">
        <v>-1</v>
      </c>
      <c r="F7874" s="51">
        <v>-0.21562372122924334</v>
      </c>
      <c r="G7874" s="51" t="str">
        <v>尾田 2023/02/26 (日)
休日午後</v>
      </c>
    </row>
    <row r="7875" spans="1:7" ht="16.149999999999999" x14ac:dyDescent="0.7">
      <c r="A7875" s="49">
        <v>44952.788010601857</v>
      </c>
      <c r="B7875" s="50" t="s">
        <v>18</v>
      </c>
      <c r="C7875" s="50" t="s">
        <v>645</v>
      </c>
      <c r="D7875" s="50" t="s">
        <v>259</v>
      </c>
      <c r="E7875" s="50">
        <v>0</v>
      </c>
      <c r="F7875" s="51">
        <v>0.721716782924122</v>
      </c>
      <c r="G7875" s="51" t="str">
        <v>中瀬 2023/02/03 (金)
平日夜間</v>
      </c>
    </row>
    <row r="7876" spans="1:7" ht="16.149999999999999" x14ac:dyDescent="0.7">
      <c r="A7876" s="49">
        <v>44952.785174861114</v>
      </c>
      <c r="B7876" s="50" t="s">
        <v>17</v>
      </c>
      <c r="C7876" s="50" t="s">
        <v>678</v>
      </c>
      <c r="D7876" s="50" t="s">
        <v>259</v>
      </c>
      <c r="E7876" s="50">
        <v>0</v>
      </c>
      <c r="F7876" s="51">
        <v>0.29662685416795975</v>
      </c>
      <c r="G7876" s="51" t="str">
        <v>尾田 2023/02/27 (月)
平日夜間</v>
      </c>
    </row>
    <row r="7877" spans="1:7" ht="16.149999999999999" x14ac:dyDescent="0.7">
      <c r="A7877" s="49">
        <v>44952.788010601857</v>
      </c>
      <c r="B7877" s="50" t="s">
        <v>18</v>
      </c>
      <c r="C7877" s="50" t="s">
        <v>646</v>
      </c>
      <c r="D7877" s="50" t="s">
        <v>263</v>
      </c>
      <c r="E7877" s="50">
        <v>0</v>
      </c>
      <c r="F7877" s="51">
        <v>0.60246141834067424</v>
      </c>
      <c r="G7877" s="51" t="str">
        <v>中瀬 2023/02/04 (土)
休日午前</v>
      </c>
    </row>
    <row r="7878" spans="1:7" ht="16.149999999999999" x14ac:dyDescent="0.7">
      <c r="A7878" s="49">
        <v>44952.785174861114</v>
      </c>
      <c r="B7878" s="50" t="s">
        <v>17</v>
      </c>
      <c r="C7878" s="50" t="s">
        <v>679</v>
      </c>
      <c r="D7878" s="50" t="s">
        <v>259</v>
      </c>
      <c r="E7878" s="50">
        <v>0</v>
      </c>
      <c r="F7878" s="51">
        <v>0.14968116835119538</v>
      </c>
      <c r="G7878" s="51" t="str">
        <v>尾田 2023/02/28 (火)
平日夜間</v>
      </c>
    </row>
    <row r="7879" spans="1:7" ht="16.149999999999999" x14ac:dyDescent="0.7">
      <c r="A7879" s="49">
        <v>44952.788010601857</v>
      </c>
      <c r="B7879" s="50" t="s">
        <v>18</v>
      </c>
      <c r="C7879" s="50" t="s">
        <v>647</v>
      </c>
      <c r="D7879" s="50" t="s">
        <v>261</v>
      </c>
      <c r="E7879" s="50">
        <v>0</v>
      </c>
      <c r="F7879" s="51">
        <v>0.12392750254571272</v>
      </c>
      <c r="G7879" s="51" t="str">
        <v>中瀬 2023/02/04 (土)
休日午後</v>
      </c>
    </row>
    <row r="7880" spans="1:7" ht="16.149999999999999" x14ac:dyDescent="0.7">
      <c r="A7880" s="49">
        <v>44952.788010601857</v>
      </c>
      <c r="B7880" s="50" t="s">
        <v>18</v>
      </c>
      <c r="C7880" s="50" t="s">
        <v>648</v>
      </c>
      <c r="D7880" s="50" t="s">
        <v>263</v>
      </c>
      <c r="E7880" s="50">
        <v>0</v>
      </c>
      <c r="F7880" s="51">
        <v>1.239854408698382E-2</v>
      </c>
      <c r="G7880" s="51" t="str">
        <v>中瀬 2023/02/05 (日)
休日午前</v>
      </c>
    </row>
    <row r="7881" spans="1:7" ht="16.149999999999999" x14ac:dyDescent="0.7">
      <c r="A7881" s="49">
        <v>44952.788010601857</v>
      </c>
      <c r="B7881" s="50" t="s">
        <v>18</v>
      </c>
      <c r="C7881" s="50" t="s">
        <v>649</v>
      </c>
      <c r="D7881" s="50" t="s">
        <v>261</v>
      </c>
      <c r="E7881" s="50">
        <v>-1</v>
      </c>
      <c r="F7881" s="51">
        <v>-0.47581319760469376</v>
      </c>
      <c r="G7881" s="51" t="str">
        <v>中瀬 2023/02/05 (日)
休日午後</v>
      </c>
    </row>
    <row r="7882" spans="1:7" ht="16.149999999999999" x14ac:dyDescent="0.7">
      <c r="A7882" s="49">
        <v>44952.788010601857</v>
      </c>
      <c r="B7882" s="50" t="s">
        <v>18</v>
      </c>
      <c r="C7882" s="50" t="s">
        <v>650</v>
      </c>
      <c r="D7882" s="50" t="s">
        <v>259</v>
      </c>
      <c r="E7882" s="50">
        <v>0</v>
      </c>
      <c r="F7882" s="51">
        <v>0.88691215499688059</v>
      </c>
      <c r="G7882" s="51" t="str">
        <v>中瀬 2023/02/06 (月)
平日夜間</v>
      </c>
    </row>
    <row r="7883" spans="1:7" ht="16.149999999999999" x14ac:dyDescent="0.7">
      <c r="A7883" s="49">
        <v>44952.788010601857</v>
      </c>
      <c r="B7883" s="50" t="s">
        <v>18</v>
      </c>
      <c r="C7883" s="50" t="s">
        <v>651</v>
      </c>
      <c r="D7883" s="50" t="s">
        <v>259</v>
      </c>
      <c r="E7883" s="50">
        <v>0</v>
      </c>
      <c r="F7883" s="51">
        <v>0.76130016513539589</v>
      </c>
      <c r="G7883" s="51" t="str">
        <v>中瀬 2023/02/07 (火)
平日夜間</v>
      </c>
    </row>
    <row r="7884" spans="1:7" ht="16.149999999999999" x14ac:dyDescent="0.7">
      <c r="A7884" s="49">
        <v>44952.788010601857</v>
      </c>
      <c r="B7884" s="50" t="s">
        <v>18</v>
      </c>
      <c r="C7884" s="50" t="s">
        <v>652</v>
      </c>
      <c r="D7884" s="50" t="s">
        <v>259</v>
      </c>
      <c r="E7884" s="50">
        <v>-1</v>
      </c>
      <c r="F7884" s="51">
        <v>-0.669402902345271</v>
      </c>
      <c r="G7884" s="51" t="str">
        <v>中瀬 2023/02/08 (水)
平日夜間</v>
      </c>
    </row>
    <row r="7885" spans="1:7" ht="16.149999999999999" x14ac:dyDescent="0.7">
      <c r="A7885" s="49">
        <v>44952.788010601857</v>
      </c>
      <c r="B7885" s="50" t="s">
        <v>18</v>
      </c>
      <c r="C7885" s="50" t="s">
        <v>653</v>
      </c>
      <c r="D7885" s="50" t="s">
        <v>259</v>
      </c>
      <c r="E7885" s="50">
        <v>-1</v>
      </c>
      <c r="F7885" s="51">
        <v>-0.73559524586221969</v>
      </c>
      <c r="G7885" s="51" t="str">
        <v>中瀬 2023/02/09 (木)
平日夜間</v>
      </c>
    </row>
    <row r="7886" spans="1:7" ht="16.149999999999999" x14ac:dyDescent="0.7">
      <c r="A7886" s="49">
        <v>44952.788010601857</v>
      </c>
      <c r="B7886" s="50" t="s">
        <v>18</v>
      </c>
      <c r="C7886" s="50" t="s">
        <v>654</v>
      </c>
      <c r="D7886" s="50" t="s">
        <v>259</v>
      </c>
      <c r="E7886" s="50">
        <v>0</v>
      </c>
      <c r="F7886" s="51">
        <v>0.34823659723774547</v>
      </c>
      <c r="G7886" s="51" t="str">
        <v>中瀬 2023/02/10 (金)
平日夜間</v>
      </c>
    </row>
    <row r="7887" spans="1:7" ht="16.149999999999999" x14ac:dyDescent="0.7">
      <c r="A7887" s="49">
        <v>44952.788010601857</v>
      </c>
      <c r="B7887" s="50" t="s">
        <v>18</v>
      </c>
      <c r="C7887" s="50" t="s">
        <v>655</v>
      </c>
      <c r="D7887" s="50" t="s">
        <v>263</v>
      </c>
      <c r="E7887" s="50">
        <v>2</v>
      </c>
      <c r="F7887" s="51">
        <v>2.2565346188971693</v>
      </c>
      <c r="G7887" s="51" t="str">
        <v>中瀬 2023/02/11 (土)
休日午前</v>
      </c>
    </row>
    <row r="7888" spans="1:7" ht="16.149999999999999" x14ac:dyDescent="0.7">
      <c r="A7888" s="49">
        <v>44952.788010601857</v>
      </c>
      <c r="B7888" s="50" t="s">
        <v>18</v>
      </c>
      <c r="C7888" s="50" t="s">
        <v>656</v>
      </c>
      <c r="D7888" s="50" t="s">
        <v>261</v>
      </c>
      <c r="E7888" s="50">
        <v>0</v>
      </c>
      <c r="F7888" s="51">
        <v>0.54227585454796201</v>
      </c>
      <c r="G7888" s="51" t="str">
        <v>中瀬 2023/02/11 (土)
休日午後</v>
      </c>
    </row>
    <row r="7889" spans="1:7" ht="16.149999999999999" x14ac:dyDescent="0.7">
      <c r="A7889" s="49">
        <v>44952.788010601857</v>
      </c>
      <c r="B7889" s="50" t="s">
        <v>18</v>
      </c>
      <c r="C7889" s="50" t="s">
        <v>657</v>
      </c>
      <c r="D7889" s="50" t="s">
        <v>263</v>
      </c>
      <c r="E7889" s="50">
        <v>0</v>
      </c>
      <c r="F7889" s="51">
        <v>0.59422604152041925</v>
      </c>
      <c r="G7889" s="51" t="str">
        <v>中瀬 2023/02/12 (日)
休日午前</v>
      </c>
    </row>
    <row r="7890" spans="1:7" ht="16.149999999999999" x14ac:dyDescent="0.7">
      <c r="A7890" s="49">
        <v>44952.788010601857</v>
      </c>
      <c r="B7890" s="50" t="s">
        <v>18</v>
      </c>
      <c r="C7890" s="50" t="s">
        <v>658</v>
      </c>
      <c r="D7890" s="50" t="s">
        <v>261</v>
      </c>
      <c r="E7890" s="50">
        <v>0</v>
      </c>
      <c r="F7890" s="51">
        <v>0.95542393920735713</v>
      </c>
      <c r="G7890" s="51" t="str">
        <v>中瀬 2023/02/12 (日)
休日午後</v>
      </c>
    </row>
    <row r="7891" spans="1:7" ht="16.149999999999999" x14ac:dyDescent="0.7">
      <c r="A7891" s="49">
        <v>44952.788010601857</v>
      </c>
      <c r="B7891" s="50" t="s">
        <v>18</v>
      </c>
      <c r="C7891" s="50" t="s">
        <v>659</v>
      </c>
      <c r="D7891" s="50" t="s">
        <v>259</v>
      </c>
      <c r="E7891" s="50">
        <v>0</v>
      </c>
      <c r="F7891" s="51">
        <v>0.85442694565077537</v>
      </c>
      <c r="G7891" s="51" t="str">
        <v>中瀬 2023/02/13 (月)
平日夜間</v>
      </c>
    </row>
    <row r="7892" spans="1:7" ht="16.149999999999999" x14ac:dyDescent="0.7">
      <c r="A7892" s="49">
        <v>44952.788010601857</v>
      </c>
      <c r="B7892" s="50" t="s">
        <v>18</v>
      </c>
      <c r="C7892" s="50" t="s">
        <v>660</v>
      </c>
      <c r="D7892" s="50" t="s">
        <v>259</v>
      </c>
      <c r="E7892" s="50">
        <v>0</v>
      </c>
      <c r="F7892" s="51">
        <v>0.87327205466094693</v>
      </c>
      <c r="G7892" s="51" t="str">
        <v>中瀬 2023/02/14 (火)
平日夜間</v>
      </c>
    </row>
    <row r="7893" spans="1:7" ht="16.149999999999999" x14ac:dyDescent="0.7">
      <c r="A7893" s="49">
        <v>44952.788010601857</v>
      </c>
      <c r="B7893" s="50" t="s">
        <v>18</v>
      </c>
      <c r="C7893" s="50" t="s">
        <v>661</v>
      </c>
      <c r="D7893" s="50" t="s">
        <v>259</v>
      </c>
      <c r="E7893" s="50">
        <v>-1</v>
      </c>
      <c r="F7893" s="51">
        <v>-0.70430799642233866</v>
      </c>
      <c r="G7893" s="51" t="str">
        <v>中瀬 2023/02/15 (水)
平日夜間</v>
      </c>
    </row>
    <row r="7894" spans="1:7" ht="16.149999999999999" x14ac:dyDescent="0.7">
      <c r="A7894" s="49">
        <v>44952.788010601857</v>
      </c>
      <c r="B7894" s="50" t="s">
        <v>18</v>
      </c>
      <c r="C7894" s="50" t="s">
        <v>662</v>
      </c>
      <c r="D7894" s="50" t="s">
        <v>259</v>
      </c>
      <c r="E7894" s="50">
        <v>-1</v>
      </c>
      <c r="F7894" s="51">
        <v>-0.4318482851111336</v>
      </c>
      <c r="G7894" s="51" t="str">
        <v>中瀬 2023/02/16 (木)
平日夜間</v>
      </c>
    </row>
    <row r="7895" spans="1:7" ht="16.149999999999999" x14ac:dyDescent="0.7">
      <c r="A7895" s="49">
        <v>44952.788010601857</v>
      </c>
      <c r="B7895" s="50" t="s">
        <v>18</v>
      </c>
      <c r="C7895" s="50" t="s">
        <v>663</v>
      </c>
      <c r="D7895" s="50" t="s">
        <v>259</v>
      </c>
      <c r="E7895" s="50">
        <v>0</v>
      </c>
      <c r="F7895" s="51">
        <v>0.93310716195342791</v>
      </c>
      <c r="G7895" s="51" t="str">
        <v>中瀬 2023/02/17 (金)
平日夜間</v>
      </c>
    </row>
    <row r="7896" spans="1:7" ht="16.149999999999999" x14ac:dyDescent="0.7">
      <c r="A7896" s="49">
        <v>44952.788010601857</v>
      </c>
      <c r="B7896" s="50" t="s">
        <v>18</v>
      </c>
      <c r="C7896" s="50" t="s">
        <v>664</v>
      </c>
      <c r="D7896" s="50" t="s">
        <v>263</v>
      </c>
      <c r="E7896" s="50">
        <v>0</v>
      </c>
      <c r="F7896" s="51">
        <v>9.3888927068045858E-2</v>
      </c>
      <c r="G7896" s="51" t="str">
        <v>中瀬 2023/02/18 (土)
休日午前</v>
      </c>
    </row>
    <row r="7897" spans="1:7" ht="16.149999999999999" x14ac:dyDescent="0.7">
      <c r="A7897" s="49">
        <v>44952.788010601857</v>
      </c>
      <c r="B7897" s="50" t="s">
        <v>18</v>
      </c>
      <c r="C7897" s="50" t="s">
        <v>665</v>
      </c>
      <c r="D7897" s="50" t="s">
        <v>261</v>
      </c>
      <c r="E7897" s="50">
        <v>0</v>
      </c>
      <c r="F7897" s="51">
        <v>0.48348016160189489</v>
      </c>
      <c r="G7897" s="51" t="str">
        <v>中瀬 2023/02/18 (土)
休日午後</v>
      </c>
    </row>
    <row r="7898" spans="1:7" ht="16.149999999999999" x14ac:dyDescent="0.7">
      <c r="A7898" s="49">
        <v>44952.788010601857</v>
      </c>
      <c r="B7898" s="50" t="s">
        <v>18</v>
      </c>
      <c r="C7898" s="50" t="s">
        <v>666</v>
      </c>
      <c r="D7898" s="50" t="s">
        <v>263</v>
      </c>
      <c r="E7898" s="50">
        <v>0</v>
      </c>
      <c r="F7898" s="51">
        <v>0.71969483603899387</v>
      </c>
      <c r="G7898" s="51" t="str">
        <v>中瀬 2023/02/19 (日)
休日午前</v>
      </c>
    </row>
    <row r="7899" spans="1:7" ht="16.149999999999999" x14ac:dyDescent="0.7">
      <c r="A7899" s="49">
        <v>44952.788010601857</v>
      </c>
      <c r="B7899" s="50" t="s">
        <v>18</v>
      </c>
      <c r="C7899" s="50" t="s">
        <v>667</v>
      </c>
      <c r="D7899" s="50" t="s">
        <v>261</v>
      </c>
      <c r="E7899" s="50">
        <v>0</v>
      </c>
      <c r="F7899" s="51">
        <v>0.58624736495516894</v>
      </c>
      <c r="G7899" s="51" t="str">
        <v>中瀬 2023/02/19 (日)
休日午後</v>
      </c>
    </row>
    <row r="7900" spans="1:7" ht="16.149999999999999" x14ac:dyDescent="0.7">
      <c r="A7900" s="49">
        <v>44952.788010601857</v>
      </c>
      <c r="B7900" s="50" t="s">
        <v>18</v>
      </c>
      <c r="C7900" s="50" t="s">
        <v>668</v>
      </c>
      <c r="D7900" s="50" t="s">
        <v>259</v>
      </c>
      <c r="E7900" s="50">
        <v>-1</v>
      </c>
      <c r="F7900" s="51">
        <v>-0.64931935447470757</v>
      </c>
      <c r="G7900" s="51" t="str">
        <v>中瀬 2023/02/20 (月)
平日夜間</v>
      </c>
    </row>
    <row r="7901" spans="1:7" ht="16.149999999999999" x14ac:dyDescent="0.7">
      <c r="A7901" s="49">
        <v>44952.788010601857</v>
      </c>
      <c r="B7901" s="50" t="s">
        <v>18</v>
      </c>
      <c r="C7901" s="50" t="s">
        <v>669</v>
      </c>
      <c r="D7901" s="50" t="s">
        <v>259</v>
      </c>
      <c r="E7901" s="50">
        <v>-1</v>
      </c>
      <c r="F7901" s="51">
        <v>-0.27781027965203497</v>
      </c>
      <c r="G7901" s="51" t="str">
        <v>中瀬 2023/02/21 (火)
平日夜間</v>
      </c>
    </row>
    <row r="7902" spans="1:7" ht="16.149999999999999" x14ac:dyDescent="0.7">
      <c r="A7902" s="49">
        <v>44952.788010601857</v>
      </c>
      <c r="B7902" s="50" t="s">
        <v>18</v>
      </c>
      <c r="C7902" s="50" t="s">
        <v>670</v>
      </c>
      <c r="D7902" s="50" t="s">
        <v>259</v>
      </c>
      <c r="E7902" s="50">
        <v>0</v>
      </c>
      <c r="F7902" s="51">
        <v>0.22127709980615173</v>
      </c>
      <c r="G7902" s="51" t="str">
        <v>中瀬 2023/02/22 (水)
平日夜間</v>
      </c>
    </row>
    <row r="7903" spans="1:7" ht="16.149999999999999" x14ac:dyDescent="0.7">
      <c r="A7903" s="49">
        <v>44952.788010601857</v>
      </c>
      <c r="B7903" s="50" t="s">
        <v>18</v>
      </c>
      <c r="C7903" s="50" t="s">
        <v>671</v>
      </c>
      <c r="D7903" s="50" t="s">
        <v>263</v>
      </c>
      <c r="E7903" s="50">
        <v>0</v>
      </c>
      <c r="F7903" s="51">
        <v>0.92456977672585805</v>
      </c>
      <c r="G7903" s="51" t="str">
        <v>中瀬 2023/02/23 (木)
休日午前</v>
      </c>
    </row>
    <row r="7904" spans="1:7" ht="16.149999999999999" x14ac:dyDescent="0.7">
      <c r="A7904" s="49">
        <v>44952.788010601857</v>
      </c>
      <c r="B7904" s="50" t="s">
        <v>18</v>
      </c>
      <c r="C7904" s="50" t="s">
        <v>672</v>
      </c>
      <c r="D7904" s="50" t="s">
        <v>261</v>
      </c>
      <c r="E7904" s="50">
        <v>-1</v>
      </c>
      <c r="F7904" s="51">
        <v>-8.9054675236446279E-2</v>
      </c>
      <c r="G7904" s="51" t="str">
        <v>中瀬 2023/02/23 (木)
休日午後</v>
      </c>
    </row>
    <row r="7905" spans="1:7" ht="16.149999999999999" x14ac:dyDescent="0.7">
      <c r="A7905" s="49">
        <v>44952.788010601857</v>
      </c>
      <c r="B7905" s="50" t="s">
        <v>18</v>
      </c>
      <c r="C7905" s="50" t="s">
        <v>673</v>
      </c>
      <c r="D7905" s="50" t="s">
        <v>259</v>
      </c>
      <c r="E7905" s="50">
        <v>-1</v>
      </c>
      <c r="F7905" s="51">
        <v>-0.9795380827275697</v>
      </c>
      <c r="G7905" s="51" t="str">
        <v>中瀬 2023/02/24 (金)
平日夜間</v>
      </c>
    </row>
    <row r="7906" spans="1:7" ht="16.149999999999999" x14ac:dyDescent="0.7">
      <c r="A7906" s="49">
        <v>44952.788010601857</v>
      </c>
      <c r="B7906" s="50" t="s">
        <v>18</v>
      </c>
      <c r="C7906" s="50" t="s">
        <v>674</v>
      </c>
      <c r="D7906" s="50" t="s">
        <v>263</v>
      </c>
      <c r="E7906" s="50">
        <v>-1</v>
      </c>
      <c r="F7906" s="51">
        <v>-0.80189575314253325</v>
      </c>
      <c r="G7906" s="51" t="str">
        <v>中瀬 2023/02/25 (土)
休日午前</v>
      </c>
    </row>
    <row r="7907" spans="1:7" ht="16.149999999999999" x14ac:dyDescent="0.7">
      <c r="A7907" s="49">
        <v>44952.788010601857</v>
      </c>
      <c r="B7907" s="50" t="s">
        <v>18</v>
      </c>
      <c r="C7907" s="50" t="s">
        <v>675</v>
      </c>
      <c r="D7907" s="50" t="s">
        <v>261</v>
      </c>
      <c r="E7907" s="50">
        <v>-1</v>
      </c>
      <c r="F7907" s="51">
        <v>-0.81457852153499566</v>
      </c>
      <c r="G7907" s="51" t="str">
        <v>中瀬 2023/02/25 (土)
休日午後</v>
      </c>
    </row>
    <row r="7908" spans="1:7" ht="16.149999999999999" x14ac:dyDescent="0.7">
      <c r="A7908" s="49">
        <v>44952.788010601857</v>
      </c>
      <c r="B7908" s="50" t="s">
        <v>18</v>
      </c>
      <c r="C7908" s="50" t="s">
        <v>676</v>
      </c>
      <c r="D7908" s="50" t="s">
        <v>263</v>
      </c>
      <c r="E7908" s="50">
        <v>-1</v>
      </c>
      <c r="F7908" s="51">
        <v>-0.91080474337522732</v>
      </c>
      <c r="G7908" s="51" t="str">
        <v>中瀬 2023/02/26 (日)
休日午前</v>
      </c>
    </row>
    <row r="7909" spans="1:7" ht="16.149999999999999" x14ac:dyDescent="0.7">
      <c r="A7909" s="49">
        <v>44952.788010601857</v>
      </c>
      <c r="B7909" s="50" t="s">
        <v>18</v>
      </c>
      <c r="C7909" s="50" t="s">
        <v>677</v>
      </c>
      <c r="D7909" s="50" t="s">
        <v>261</v>
      </c>
      <c r="E7909" s="50">
        <v>-1</v>
      </c>
      <c r="F7909" s="51">
        <v>-0.3046196048850911</v>
      </c>
      <c r="G7909" s="51" t="str">
        <v>中瀬 2023/02/26 (日)
休日午後</v>
      </c>
    </row>
    <row r="7910" spans="1:7" ht="16.149999999999999" x14ac:dyDescent="0.7">
      <c r="A7910" s="49">
        <v>44952.788010601857</v>
      </c>
      <c r="B7910" s="50" t="s">
        <v>18</v>
      </c>
      <c r="C7910" s="50" t="s">
        <v>678</v>
      </c>
      <c r="D7910" s="50" t="s">
        <v>259</v>
      </c>
      <c r="E7910" s="50">
        <v>0</v>
      </c>
      <c r="F7910" s="51">
        <v>0.85692852714791257</v>
      </c>
      <c r="G7910" s="51" t="str">
        <v>中瀬 2023/02/27 (月)
平日夜間</v>
      </c>
    </row>
    <row r="7911" spans="1:7" ht="16.149999999999999" x14ac:dyDescent="0.7">
      <c r="A7911" s="49">
        <v>44952.788010601857</v>
      </c>
      <c r="B7911" s="50" t="s">
        <v>18</v>
      </c>
      <c r="C7911" s="50" t="s">
        <v>679</v>
      </c>
      <c r="D7911" s="50" t="s">
        <v>259</v>
      </c>
      <c r="E7911" s="50">
        <v>0</v>
      </c>
      <c r="F7911" s="51">
        <v>0.24278883239553184</v>
      </c>
      <c r="G7911" s="51" t="str">
        <v>中瀬 2023/02/28 (火)
平日夜間</v>
      </c>
    </row>
    <row r="7912" spans="1:7" ht="16.149999999999999" x14ac:dyDescent="0.7">
      <c r="A7912" s="49">
        <v>44952.794135347227</v>
      </c>
      <c r="B7912" s="50" t="s">
        <v>16</v>
      </c>
      <c r="C7912" s="50" t="s">
        <v>643</v>
      </c>
      <c r="D7912" s="50" t="s">
        <v>259</v>
      </c>
      <c r="E7912" s="50">
        <v>0</v>
      </c>
      <c r="F7912" s="51">
        <v>0.73496462720166589</v>
      </c>
      <c r="G7912" s="51" t="str">
        <v>吉田 2023/02/01 (水)
平日夜間</v>
      </c>
    </row>
    <row r="7913" spans="1:7" ht="16.149999999999999" x14ac:dyDescent="0.7">
      <c r="A7913" s="49">
        <v>44952.794135347227</v>
      </c>
      <c r="B7913" s="50" t="s">
        <v>16</v>
      </c>
      <c r="C7913" s="50" t="s">
        <v>644</v>
      </c>
      <c r="D7913" s="50" t="s">
        <v>259</v>
      </c>
      <c r="E7913" s="50">
        <v>0</v>
      </c>
      <c r="F7913" s="51">
        <v>0.9568574463849755</v>
      </c>
      <c r="G7913" s="51" t="str">
        <v>吉田 2023/02/02 (木)
平日夜間</v>
      </c>
    </row>
    <row r="7914" spans="1:7" ht="16.149999999999999" x14ac:dyDescent="0.7">
      <c r="A7914" s="49">
        <v>44952.794135347227</v>
      </c>
      <c r="B7914" s="50" t="s">
        <v>16</v>
      </c>
      <c r="C7914" s="50" t="s">
        <v>645</v>
      </c>
      <c r="D7914" s="50" t="s">
        <v>259</v>
      </c>
      <c r="E7914" s="50">
        <v>0</v>
      </c>
      <c r="F7914" s="51">
        <v>0.35337854299922489</v>
      </c>
      <c r="G7914" s="51" t="str">
        <v>吉田 2023/02/03 (金)
平日夜間</v>
      </c>
    </row>
    <row r="7915" spans="1:7" ht="16.149999999999999" x14ac:dyDescent="0.7">
      <c r="A7915" s="49">
        <v>44952.794135347227</v>
      </c>
      <c r="B7915" s="50" t="s">
        <v>16</v>
      </c>
      <c r="C7915" s="50" t="s">
        <v>646</v>
      </c>
      <c r="D7915" s="50" t="s">
        <v>263</v>
      </c>
      <c r="E7915" s="50">
        <v>0</v>
      </c>
      <c r="F7915" s="51">
        <v>0.84851091715209437</v>
      </c>
      <c r="G7915" s="51" t="str">
        <v>吉田 2023/02/04 (土)
休日午前</v>
      </c>
    </row>
    <row r="7916" spans="1:7" ht="16.149999999999999" x14ac:dyDescent="0.7">
      <c r="A7916" s="49">
        <v>44952.794135347227</v>
      </c>
      <c r="B7916" s="50" t="s">
        <v>16</v>
      </c>
      <c r="C7916" s="50" t="s">
        <v>647</v>
      </c>
      <c r="D7916" s="50" t="s">
        <v>261</v>
      </c>
      <c r="E7916" s="50">
        <v>0</v>
      </c>
      <c r="F7916" s="51">
        <v>0.66616084136833131</v>
      </c>
      <c r="G7916" s="51" t="str">
        <v>吉田 2023/02/04 (土)
休日午後</v>
      </c>
    </row>
    <row r="7917" spans="1:7" ht="16.149999999999999" x14ac:dyDescent="0.7">
      <c r="A7917" s="49">
        <v>44952.794135347227</v>
      </c>
      <c r="B7917" s="50" t="s">
        <v>16</v>
      </c>
      <c r="C7917" s="50" t="s">
        <v>648</v>
      </c>
      <c r="D7917" s="50" t="s">
        <v>263</v>
      </c>
      <c r="E7917" s="50">
        <v>0</v>
      </c>
      <c r="F7917" s="51">
        <v>4.7497927955971075E-2</v>
      </c>
      <c r="G7917" s="51" t="str">
        <v>吉田 2023/02/05 (日)
休日午前</v>
      </c>
    </row>
    <row r="7918" spans="1:7" ht="16.149999999999999" x14ac:dyDescent="0.7">
      <c r="A7918" s="49">
        <v>44952.794135347227</v>
      </c>
      <c r="B7918" s="50" t="s">
        <v>16</v>
      </c>
      <c r="C7918" s="50" t="s">
        <v>649</v>
      </c>
      <c r="D7918" s="50" t="s">
        <v>261</v>
      </c>
      <c r="E7918" s="50">
        <v>0</v>
      </c>
      <c r="F7918" s="51">
        <v>0.80003826805894929</v>
      </c>
      <c r="G7918" s="51" t="str">
        <v>吉田 2023/02/05 (日)
休日午後</v>
      </c>
    </row>
    <row r="7919" spans="1:7" ht="16.149999999999999" x14ac:dyDescent="0.7">
      <c r="A7919" s="49">
        <v>44952.794135347227</v>
      </c>
      <c r="B7919" s="50" t="s">
        <v>16</v>
      </c>
      <c r="C7919" s="50" t="s">
        <v>650</v>
      </c>
      <c r="D7919" s="50" t="s">
        <v>259</v>
      </c>
      <c r="E7919" s="50">
        <v>0</v>
      </c>
      <c r="F7919" s="51">
        <v>0.19289647858810732</v>
      </c>
      <c r="G7919" s="51" t="str">
        <v>吉田 2023/02/06 (月)
平日夜間</v>
      </c>
    </row>
    <row r="7920" spans="1:7" ht="16.149999999999999" x14ac:dyDescent="0.7">
      <c r="A7920" s="49">
        <v>44952.794135347227</v>
      </c>
      <c r="B7920" s="50" t="s">
        <v>16</v>
      </c>
      <c r="C7920" s="50" t="s">
        <v>651</v>
      </c>
      <c r="D7920" s="50" t="s">
        <v>259</v>
      </c>
      <c r="E7920" s="50">
        <v>-1</v>
      </c>
      <c r="F7920" s="51">
        <v>-0.63851873523423808</v>
      </c>
      <c r="G7920" s="51" t="str">
        <v>吉田 2023/02/07 (火)
平日夜間</v>
      </c>
    </row>
    <row r="7921" spans="1:7" ht="16.149999999999999" x14ac:dyDescent="0.7">
      <c r="A7921" s="49">
        <v>44952.794135347227</v>
      </c>
      <c r="B7921" s="50" t="s">
        <v>16</v>
      </c>
      <c r="C7921" s="50" t="s">
        <v>652</v>
      </c>
      <c r="D7921" s="50" t="s">
        <v>259</v>
      </c>
      <c r="E7921" s="50">
        <v>-1</v>
      </c>
      <c r="F7921" s="51">
        <v>-0.75468047561511131</v>
      </c>
      <c r="G7921" s="51" t="str">
        <v>吉田 2023/02/08 (水)
平日夜間</v>
      </c>
    </row>
    <row r="7922" spans="1:7" ht="16.149999999999999" x14ac:dyDescent="0.7">
      <c r="A7922" s="49">
        <v>44952.794135347227</v>
      </c>
      <c r="B7922" s="50" t="s">
        <v>16</v>
      </c>
      <c r="C7922" s="50" t="s">
        <v>653</v>
      </c>
      <c r="D7922" s="50" t="s">
        <v>259</v>
      </c>
      <c r="E7922" s="50">
        <v>0</v>
      </c>
      <c r="F7922" s="51">
        <v>3.4292509081055966E-2</v>
      </c>
      <c r="G7922" s="51" t="str">
        <v>吉田 2023/02/09 (木)
平日夜間</v>
      </c>
    </row>
    <row r="7923" spans="1:7" ht="16.149999999999999" x14ac:dyDescent="0.7">
      <c r="A7923" s="49">
        <v>44952.794135347227</v>
      </c>
      <c r="B7923" s="50" t="s">
        <v>16</v>
      </c>
      <c r="C7923" s="50" t="s">
        <v>654</v>
      </c>
      <c r="D7923" s="50" t="s">
        <v>259</v>
      </c>
      <c r="E7923" s="50">
        <v>0</v>
      </c>
      <c r="F7923" s="51">
        <v>0.19238317352252543</v>
      </c>
      <c r="G7923" s="51" t="str">
        <v>吉田 2023/02/10 (金)
平日夜間</v>
      </c>
    </row>
    <row r="7924" spans="1:7" ht="16.149999999999999" x14ac:dyDescent="0.7">
      <c r="A7924" s="49">
        <v>44952.794135347227</v>
      </c>
      <c r="B7924" s="50" t="s">
        <v>16</v>
      </c>
      <c r="C7924" s="50" t="s">
        <v>655</v>
      </c>
      <c r="D7924" s="50" t="s">
        <v>263</v>
      </c>
      <c r="E7924" s="50">
        <v>-1</v>
      </c>
      <c r="F7924" s="51">
        <v>-0.56339081085229226</v>
      </c>
      <c r="G7924" s="51" t="str">
        <v>吉田 2023/02/11 (土)
休日午前</v>
      </c>
    </row>
    <row r="7925" spans="1:7" ht="16.149999999999999" x14ac:dyDescent="0.7">
      <c r="A7925" s="49">
        <v>44952.794135347227</v>
      </c>
      <c r="B7925" s="50" t="s">
        <v>16</v>
      </c>
      <c r="C7925" s="50" t="s">
        <v>656</v>
      </c>
      <c r="D7925" s="50" t="s">
        <v>261</v>
      </c>
      <c r="E7925" s="50">
        <v>0</v>
      </c>
      <c r="F7925" s="51">
        <v>0.81130797472058336</v>
      </c>
      <c r="G7925" s="51" t="str">
        <v>吉田 2023/02/11 (土)
休日午後</v>
      </c>
    </row>
    <row r="7926" spans="1:7" ht="16.149999999999999" x14ac:dyDescent="0.7">
      <c r="A7926" s="49">
        <v>44952.794135347227</v>
      </c>
      <c r="B7926" s="50" t="s">
        <v>16</v>
      </c>
      <c r="C7926" s="50" t="s">
        <v>657</v>
      </c>
      <c r="D7926" s="50" t="s">
        <v>263</v>
      </c>
      <c r="E7926" s="50">
        <v>0</v>
      </c>
      <c r="F7926" s="51">
        <v>0.63997674157448259</v>
      </c>
      <c r="G7926" s="51" t="str">
        <v>吉田 2023/02/12 (日)
休日午前</v>
      </c>
    </row>
    <row r="7927" spans="1:7" ht="16.149999999999999" x14ac:dyDescent="0.7">
      <c r="A7927" s="49">
        <v>44952.794135347227</v>
      </c>
      <c r="B7927" s="50" t="s">
        <v>16</v>
      </c>
      <c r="C7927" s="50" t="s">
        <v>658</v>
      </c>
      <c r="D7927" s="50" t="s">
        <v>261</v>
      </c>
      <c r="E7927" s="50">
        <v>0</v>
      </c>
      <c r="F7927" s="51">
        <v>0.88098627977162014</v>
      </c>
      <c r="G7927" s="51" t="str">
        <v>吉田 2023/02/12 (日)
休日午後</v>
      </c>
    </row>
    <row r="7928" spans="1:7" ht="16.149999999999999" x14ac:dyDescent="0.7">
      <c r="A7928" s="49">
        <v>44952.794135347227</v>
      </c>
      <c r="B7928" s="50" t="s">
        <v>16</v>
      </c>
      <c r="C7928" s="50" t="s">
        <v>659</v>
      </c>
      <c r="D7928" s="50" t="s">
        <v>259</v>
      </c>
      <c r="E7928" s="50">
        <v>0</v>
      </c>
      <c r="F7928" s="51">
        <v>0.76838428103861389</v>
      </c>
      <c r="G7928" s="51" t="str">
        <v>吉田 2023/02/13 (月)
平日夜間</v>
      </c>
    </row>
    <row r="7929" spans="1:7" ht="16.149999999999999" x14ac:dyDescent="0.7">
      <c r="A7929" s="49">
        <v>44952.794135347227</v>
      </c>
      <c r="B7929" s="50" t="s">
        <v>16</v>
      </c>
      <c r="C7929" s="50" t="s">
        <v>660</v>
      </c>
      <c r="D7929" s="50" t="s">
        <v>259</v>
      </c>
      <c r="E7929" s="50">
        <v>-1</v>
      </c>
      <c r="F7929" s="51">
        <v>-0.41727820780607883</v>
      </c>
      <c r="G7929" s="51" t="str">
        <v>吉田 2023/02/14 (火)
平日夜間</v>
      </c>
    </row>
    <row r="7930" spans="1:7" ht="16.149999999999999" x14ac:dyDescent="0.7">
      <c r="A7930" s="49">
        <v>44952.794135347227</v>
      </c>
      <c r="B7930" s="50" t="s">
        <v>16</v>
      </c>
      <c r="C7930" s="50" t="s">
        <v>661</v>
      </c>
      <c r="D7930" s="50" t="s">
        <v>259</v>
      </c>
      <c r="E7930" s="50">
        <v>-1</v>
      </c>
      <c r="F7930" s="51">
        <v>-9.9712166991594797E-2</v>
      </c>
      <c r="G7930" s="51" t="str">
        <v>吉田 2023/02/15 (水)
平日夜間</v>
      </c>
    </row>
    <row r="7931" spans="1:7" ht="16.149999999999999" x14ac:dyDescent="0.7">
      <c r="A7931" s="49">
        <v>44952.794135347227</v>
      </c>
      <c r="B7931" s="50" t="s">
        <v>16</v>
      </c>
      <c r="C7931" s="50" t="s">
        <v>662</v>
      </c>
      <c r="D7931" s="50" t="s">
        <v>259</v>
      </c>
      <c r="E7931" s="50">
        <v>0</v>
      </c>
      <c r="F7931" s="51">
        <v>0.12042789789921393</v>
      </c>
      <c r="G7931" s="51" t="str">
        <v>吉田 2023/02/16 (木)
平日夜間</v>
      </c>
    </row>
    <row r="7932" spans="1:7" ht="16.149999999999999" x14ac:dyDescent="0.7">
      <c r="A7932" s="49">
        <v>44952.794135347227</v>
      </c>
      <c r="B7932" s="50" t="s">
        <v>16</v>
      </c>
      <c r="C7932" s="50" t="s">
        <v>663</v>
      </c>
      <c r="D7932" s="50" t="s">
        <v>259</v>
      </c>
      <c r="E7932" s="50">
        <v>0</v>
      </c>
      <c r="F7932" s="51">
        <v>0.16075191718558024</v>
      </c>
      <c r="G7932" s="51" t="str">
        <v>吉田 2023/02/17 (金)
平日夜間</v>
      </c>
    </row>
    <row r="7933" spans="1:7" ht="16.149999999999999" x14ac:dyDescent="0.7">
      <c r="A7933" s="49">
        <v>44952.794135347227</v>
      </c>
      <c r="B7933" s="50" t="s">
        <v>16</v>
      </c>
      <c r="C7933" s="50" t="s">
        <v>664</v>
      </c>
      <c r="D7933" s="50" t="s">
        <v>263</v>
      </c>
      <c r="E7933" s="50">
        <v>0</v>
      </c>
      <c r="F7933" s="51">
        <v>9.2601791154370838E-2</v>
      </c>
      <c r="G7933" s="51" t="str">
        <v>吉田 2023/02/18 (土)
休日午前</v>
      </c>
    </row>
    <row r="7934" spans="1:7" ht="16.149999999999999" x14ac:dyDescent="0.7">
      <c r="A7934" s="49">
        <v>44952.794135347227</v>
      </c>
      <c r="B7934" s="50" t="s">
        <v>16</v>
      </c>
      <c r="C7934" s="50" t="s">
        <v>665</v>
      </c>
      <c r="D7934" s="50" t="s">
        <v>261</v>
      </c>
      <c r="E7934" s="50">
        <v>2</v>
      </c>
      <c r="F7934" s="51">
        <v>2.8445168615464196</v>
      </c>
      <c r="G7934" s="51" t="str">
        <v>吉田 2023/02/18 (土)
休日午後</v>
      </c>
    </row>
    <row r="7935" spans="1:7" ht="16.149999999999999" x14ac:dyDescent="0.7">
      <c r="A7935" s="49">
        <v>44952.794135347227</v>
      </c>
      <c r="B7935" s="50" t="s">
        <v>16</v>
      </c>
      <c r="C7935" s="50" t="s">
        <v>666</v>
      </c>
      <c r="D7935" s="50" t="s">
        <v>263</v>
      </c>
      <c r="E7935" s="50">
        <v>-1</v>
      </c>
      <c r="F7935" s="51">
        <v>-0.8215726752904422</v>
      </c>
      <c r="G7935" s="51" t="str">
        <v>吉田 2023/02/19 (日)
休日午前</v>
      </c>
    </row>
    <row r="7936" spans="1:7" ht="16.149999999999999" x14ac:dyDescent="0.7">
      <c r="A7936" s="49">
        <v>44952.794135347227</v>
      </c>
      <c r="B7936" s="50" t="s">
        <v>16</v>
      </c>
      <c r="C7936" s="50" t="s">
        <v>667</v>
      </c>
      <c r="D7936" s="50" t="s">
        <v>261</v>
      </c>
      <c r="E7936" s="50">
        <v>-1</v>
      </c>
      <c r="F7936" s="51">
        <v>-0.14481232340990458</v>
      </c>
      <c r="G7936" s="51" t="str">
        <v>吉田 2023/02/19 (日)
休日午後</v>
      </c>
    </row>
    <row r="7937" spans="1:7" ht="16.149999999999999" x14ac:dyDescent="0.7">
      <c r="A7937" s="49">
        <v>44952.794135347227</v>
      </c>
      <c r="B7937" s="50" t="s">
        <v>16</v>
      </c>
      <c r="C7937" s="50" t="s">
        <v>668</v>
      </c>
      <c r="D7937" s="50" t="s">
        <v>259</v>
      </c>
      <c r="E7937" s="50">
        <v>0</v>
      </c>
      <c r="F7937" s="51">
        <v>0.66501228394685574</v>
      </c>
      <c r="G7937" s="51" t="str">
        <v>吉田 2023/02/20 (月)
平日夜間</v>
      </c>
    </row>
    <row r="7938" spans="1:7" ht="16.149999999999999" x14ac:dyDescent="0.7">
      <c r="A7938" s="49">
        <v>44952.794135347227</v>
      </c>
      <c r="B7938" s="50" t="s">
        <v>16</v>
      </c>
      <c r="C7938" s="50" t="s">
        <v>669</v>
      </c>
      <c r="D7938" s="50" t="s">
        <v>259</v>
      </c>
      <c r="E7938" s="50">
        <v>-1</v>
      </c>
      <c r="F7938" s="51">
        <v>-0.8053396637427559</v>
      </c>
      <c r="G7938" s="51" t="str">
        <v>吉田 2023/02/21 (火)
平日夜間</v>
      </c>
    </row>
    <row r="7939" spans="1:7" ht="16.149999999999999" x14ac:dyDescent="0.7">
      <c r="A7939" s="49">
        <v>44952.794135347227</v>
      </c>
      <c r="B7939" s="50" t="s">
        <v>16</v>
      </c>
      <c r="C7939" s="50" t="s">
        <v>670</v>
      </c>
      <c r="D7939" s="50" t="s">
        <v>259</v>
      </c>
      <c r="E7939" s="50">
        <v>0</v>
      </c>
      <c r="F7939" s="51">
        <v>0.22307212787643849</v>
      </c>
      <c r="G7939" s="51" t="str">
        <v>吉田 2023/02/22 (水)
平日夜間</v>
      </c>
    </row>
    <row r="7940" spans="1:7" ht="16.149999999999999" x14ac:dyDescent="0.7">
      <c r="A7940" s="49">
        <v>44952.794135347227</v>
      </c>
      <c r="B7940" s="50" t="s">
        <v>16</v>
      </c>
      <c r="C7940" s="50" t="s">
        <v>671</v>
      </c>
      <c r="D7940" s="50" t="s">
        <v>263</v>
      </c>
      <c r="E7940" s="50">
        <v>0</v>
      </c>
      <c r="F7940" s="51">
        <v>0.30511311014904496</v>
      </c>
      <c r="G7940" s="51" t="str">
        <v>吉田 2023/02/23 (木)
休日午前</v>
      </c>
    </row>
    <row r="7941" spans="1:7" ht="16.149999999999999" x14ac:dyDescent="0.7">
      <c r="A7941" s="49">
        <v>44952.794135347227</v>
      </c>
      <c r="B7941" s="50" t="s">
        <v>16</v>
      </c>
      <c r="C7941" s="50" t="s">
        <v>672</v>
      </c>
      <c r="D7941" s="50" t="s">
        <v>261</v>
      </c>
      <c r="E7941" s="50">
        <v>0</v>
      </c>
      <c r="F7941" s="51">
        <v>0.69424674228271366</v>
      </c>
      <c r="G7941" s="51" t="str">
        <v>吉田 2023/02/23 (木)
休日午後</v>
      </c>
    </row>
    <row r="7942" spans="1:7" ht="16.149999999999999" x14ac:dyDescent="0.7">
      <c r="A7942" s="49">
        <v>44952.794135347227</v>
      </c>
      <c r="B7942" s="50" t="s">
        <v>16</v>
      </c>
      <c r="C7942" s="50" t="s">
        <v>673</v>
      </c>
      <c r="D7942" s="50" t="s">
        <v>259</v>
      </c>
      <c r="E7942" s="50">
        <v>-1</v>
      </c>
      <c r="F7942" s="51">
        <v>-0.94354832832663438</v>
      </c>
      <c r="G7942" s="51" t="str">
        <v>吉田 2023/02/24 (金)
平日夜間</v>
      </c>
    </row>
    <row r="7943" spans="1:7" ht="16.149999999999999" x14ac:dyDescent="0.7">
      <c r="A7943" s="49">
        <v>44952.794135347227</v>
      </c>
      <c r="B7943" s="50" t="s">
        <v>16</v>
      </c>
      <c r="C7943" s="50" t="s">
        <v>674</v>
      </c>
      <c r="D7943" s="50" t="s">
        <v>263</v>
      </c>
      <c r="E7943" s="50">
        <v>-1</v>
      </c>
      <c r="F7943" s="51">
        <v>-3.7831510603999918E-2</v>
      </c>
      <c r="G7943" s="51" t="str">
        <v>吉田 2023/02/25 (土)
休日午前</v>
      </c>
    </row>
    <row r="7944" spans="1:7" ht="16.149999999999999" x14ac:dyDescent="0.7">
      <c r="A7944" s="49">
        <v>44952.794135347227</v>
      </c>
      <c r="B7944" s="50" t="s">
        <v>16</v>
      </c>
      <c r="C7944" s="50" t="s">
        <v>675</v>
      </c>
      <c r="D7944" s="50" t="s">
        <v>261</v>
      </c>
      <c r="E7944" s="50">
        <v>-1</v>
      </c>
      <c r="F7944" s="51">
        <v>-0.96320868223771527</v>
      </c>
      <c r="G7944" s="51" t="str">
        <v>吉田 2023/02/25 (土)
休日午後</v>
      </c>
    </row>
    <row r="7945" spans="1:7" ht="16.149999999999999" x14ac:dyDescent="0.7">
      <c r="A7945" s="49">
        <v>44952.794135347227</v>
      </c>
      <c r="B7945" s="50" t="s">
        <v>16</v>
      </c>
      <c r="C7945" s="50" t="s">
        <v>676</v>
      </c>
      <c r="D7945" s="50" t="s">
        <v>263</v>
      </c>
      <c r="E7945" s="50">
        <v>0</v>
      </c>
      <c r="F7945" s="51">
        <v>0.89086963011502607</v>
      </c>
      <c r="G7945" s="51" t="str">
        <v>吉田 2023/02/26 (日)
休日午前</v>
      </c>
    </row>
    <row r="7946" spans="1:7" ht="16.149999999999999" x14ac:dyDescent="0.7">
      <c r="A7946" s="49">
        <v>44952.794135347227</v>
      </c>
      <c r="B7946" s="50" t="s">
        <v>16</v>
      </c>
      <c r="C7946" s="50" t="s">
        <v>677</v>
      </c>
      <c r="D7946" s="50" t="s">
        <v>261</v>
      </c>
      <c r="E7946" s="50">
        <v>0</v>
      </c>
      <c r="F7946" s="51">
        <v>0.97231830170951716</v>
      </c>
      <c r="G7946" s="51" t="str">
        <v>吉田 2023/02/26 (日)
休日午後</v>
      </c>
    </row>
    <row r="7947" spans="1:7" ht="16.149999999999999" x14ac:dyDescent="0.7">
      <c r="A7947" s="49">
        <v>44952.794135347227</v>
      </c>
      <c r="B7947" s="50" t="s">
        <v>16</v>
      </c>
      <c r="C7947" s="50" t="s">
        <v>678</v>
      </c>
      <c r="D7947" s="50" t="s">
        <v>259</v>
      </c>
      <c r="E7947" s="50">
        <v>0</v>
      </c>
      <c r="F7947" s="51">
        <v>0.70611282076074411</v>
      </c>
      <c r="G7947" s="51" t="str">
        <v>吉田 2023/02/27 (月)
平日夜間</v>
      </c>
    </row>
    <row r="7948" spans="1:7" ht="16.149999999999999" x14ac:dyDescent="0.7">
      <c r="A7948" s="49">
        <v>44952.794135347227</v>
      </c>
      <c r="B7948" s="50" t="s">
        <v>16</v>
      </c>
      <c r="C7948" s="50" t="s">
        <v>679</v>
      </c>
      <c r="D7948" s="50" t="s">
        <v>259</v>
      </c>
      <c r="E7948" s="50">
        <v>-1</v>
      </c>
      <c r="F7948" s="51">
        <v>-0.69599854854236831</v>
      </c>
      <c r="G7948" s="51" t="str">
        <v>吉田 2023/02/28 (火)
平日夜間</v>
      </c>
    </row>
    <row r="7949" spans="1:7" ht="16.149999999999999" x14ac:dyDescent="0.7">
      <c r="A7949" s="49">
        <v>44952.819366493059</v>
      </c>
      <c r="B7949" s="50" t="s">
        <v>10</v>
      </c>
      <c r="C7949" s="50" t="s">
        <v>643</v>
      </c>
      <c r="D7949" s="50" t="s">
        <v>259</v>
      </c>
      <c r="E7949" s="50">
        <v>0</v>
      </c>
      <c r="F7949" s="51">
        <v>0.52215232685685997</v>
      </c>
      <c r="G7949" s="51" t="str">
        <v>福井 2023/02/01 (水)
平日夜間</v>
      </c>
    </row>
    <row r="7950" spans="1:7" ht="16.149999999999999" x14ac:dyDescent="0.7">
      <c r="A7950" s="49">
        <v>44952.819366493059</v>
      </c>
      <c r="B7950" s="50" t="s">
        <v>10</v>
      </c>
      <c r="C7950" s="50" t="s">
        <v>644</v>
      </c>
      <c r="D7950" s="50" t="s">
        <v>259</v>
      </c>
      <c r="E7950" s="50">
        <v>0</v>
      </c>
      <c r="F7950" s="51">
        <v>0.96759220695488168</v>
      </c>
      <c r="G7950" s="51" t="str">
        <v>福井 2023/02/02 (木)
平日夜間</v>
      </c>
    </row>
    <row r="7951" spans="1:7" ht="16.149999999999999" x14ac:dyDescent="0.7">
      <c r="A7951" s="49">
        <v>44952.819366493059</v>
      </c>
      <c r="B7951" s="50" t="s">
        <v>10</v>
      </c>
      <c r="C7951" s="50" t="s">
        <v>645</v>
      </c>
      <c r="D7951" s="50" t="s">
        <v>259</v>
      </c>
      <c r="E7951" s="50">
        <v>0</v>
      </c>
      <c r="F7951" s="51">
        <v>0.71331379027898523</v>
      </c>
      <c r="G7951" s="51" t="str">
        <v>福井 2023/02/03 (金)
平日夜間</v>
      </c>
    </row>
    <row r="7952" spans="1:7" ht="16.149999999999999" x14ac:dyDescent="0.7">
      <c r="A7952" s="49">
        <v>44952.819366493059</v>
      </c>
      <c r="B7952" s="50" t="s">
        <v>10</v>
      </c>
      <c r="C7952" s="50" t="s">
        <v>646</v>
      </c>
      <c r="D7952" s="50" t="s">
        <v>263</v>
      </c>
      <c r="E7952" s="50">
        <v>0</v>
      </c>
      <c r="F7952" s="51">
        <v>0.5599186189817249</v>
      </c>
      <c r="G7952" s="51" t="str">
        <v>福井 2023/02/04 (土)
休日午前</v>
      </c>
    </row>
    <row r="7953" spans="1:7" ht="16.149999999999999" x14ac:dyDescent="0.7">
      <c r="A7953" s="49">
        <v>44952.819366493059</v>
      </c>
      <c r="B7953" s="50" t="s">
        <v>10</v>
      </c>
      <c r="C7953" s="50" t="s">
        <v>647</v>
      </c>
      <c r="D7953" s="50" t="s">
        <v>261</v>
      </c>
      <c r="E7953" s="50">
        <v>0</v>
      </c>
      <c r="F7953" s="51">
        <v>0.37117140310944374</v>
      </c>
      <c r="G7953" s="51" t="str">
        <v>福井 2023/02/04 (土)
休日午後</v>
      </c>
    </row>
    <row r="7954" spans="1:7" ht="16.149999999999999" x14ac:dyDescent="0.7">
      <c r="A7954" s="49">
        <v>44952.819366493059</v>
      </c>
      <c r="B7954" s="50" t="s">
        <v>10</v>
      </c>
      <c r="C7954" s="50" t="s">
        <v>648</v>
      </c>
      <c r="D7954" s="50" t="s">
        <v>263</v>
      </c>
      <c r="E7954" s="50">
        <v>0</v>
      </c>
      <c r="F7954" s="51">
        <v>2.5644402374473074E-2</v>
      </c>
      <c r="G7954" s="51" t="str">
        <v>福井 2023/02/05 (日)
休日午前</v>
      </c>
    </row>
    <row r="7955" spans="1:7" ht="16.149999999999999" x14ac:dyDescent="0.7">
      <c r="A7955" s="49">
        <v>44952.819366493059</v>
      </c>
      <c r="B7955" s="50" t="s">
        <v>10</v>
      </c>
      <c r="C7955" s="50" t="s">
        <v>649</v>
      </c>
      <c r="D7955" s="50" t="s">
        <v>261</v>
      </c>
      <c r="E7955" s="50">
        <v>0</v>
      </c>
      <c r="F7955" s="51">
        <v>0.58955452566544997</v>
      </c>
      <c r="G7955" s="51" t="str">
        <v>福井 2023/02/05 (日)
休日午後</v>
      </c>
    </row>
    <row r="7956" spans="1:7" ht="16.149999999999999" x14ac:dyDescent="0.7">
      <c r="A7956" s="49">
        <v>44952.819366493059</v>
      </c>
      <c r="B7956" s="50" t="s">
        <v>10</v>
      </c>
      <c r="C7956" s="50" t="s">
        <v>650</v>
      </c>
      <c r="D7956" s="50" t="s">
        <v>259</v>
      </c>
      <c r="E7956" s="50">
        <v>0</v>
      </c>
      <c r="F7956" s="51">
        <v>0.25633750198670335</v>
      </c>
      <c r="G7956" s="51" t="str">
        <v>福井 2023/02/06 (月)
平日夜間</v>
      </c>
    </row>
    <row r="7957" spans="1:7" ht="16.149999999999999" x14ac:dyDescent="0.7">
      <c r="A7957" s="49">
        <v>44952.819366493059</v>
      </c>
      <c r="B7957" s="50" t="s">
        <v>10</v>
      </c>
      <c r="C7957" s="50" t="s">
        <v>651</v>
      </c>
      <c r="D7957" s="50" t="s">
        <v>259</v>
      </c>
      <c r="E7957" s="50">
        <v>-1</v>
      </c>
      <c r="F7957" s="51">
        <v>-0.931703713704507</v>
      </c>
      <c r="G7957" s="51" t="str">
        <v>福井 2023/02/07 (火)
平日夜間</v>
      </c>
    </row>
    <row r="7958" spans="1:7" ht="16.149999999999999" x14ac:dyDescent="0.7">
      <c r="A7958" s="49">
        <v>44952.819366493059</v>
      </c>
      <c r="B7958" s="50" t="s">
        <v>10</v>
      </c>
      <c r="C7958" s="50" t="s">
        <v>652</v>
      </c>
      <c r="D7958" s="50" t="s">
        <v>259</v>
      </c>
      <c r="E7958" s="50">
        <v>0</v>
      </c>
      <c r="F7958" s="51">
        <v>0.3362475665943685</v>
      </c>
      <c r="G7958" s="51" t="str">
        <v>福井 2023/02/08 (水)
平日夜間</v>
      </c>
    </row>
    <row r="7959" spans="1:7" ht="16.149999999999999" x14ac:dyDescent="0.7">
      <c r="A7959" s="49">
        <v>44952.819366493059</v>
      </c>
      <c r="B7959" s="50" t="s">
        <v>10</v>
      </c>
      <c r="C7959" s="50" t="s">
        <v>653</v>
      </c>
      <c r="D7959" s="50" t="s">
        <v>259</v>
      </c>
      <c r="E7959" s="50">
        <v>-1</v>
      </c>
      <c r="F7959" s="51">
        <v>-0.8575636879084465</v>
      </c>
      <c r="G7959" s="51" t="str">
        <v>福井 2023/02/09 (木)
平日夜間</v>
      </c>
    </row>
    <row r="7960" spans="1:7" ht="16.149999999999999" x14ac:dyDescent="0.7">
      <c r="A7960" s="49">
        <v>44952.819366493059</v>
      </c>
      <c r="B7960" s="50" t="s">
        <v>10</v>
      </c>
      <c r="C7960" s="50" t="s">
        <v>654</v>
      </c>
      <c r="D7960" s="50" t="s">
        <v>259</v>
      </c>
      <c r="E7960" s="50">
        <v>-1</v>
      </c>
      <c r="F7960" s="51">
        <v>-8.1232118728616243E-2</v>
      </c>
      <c r="G7960" s="51" t="str">
        <v>福井 2023/02/10 (金)
平日夜間</v>
      </c>
    </row>
    <row r="7961" spans="1:7" ht="16.149999999999999" x14ac:dyDescent="0.7">
      <c r="A7961" s="49">
        <v>44952.819366493059</v>
      </c>
      <c r="B7961" s="50" t="s">
        <v>10</v>
      </c>
      <c r="C7961" s="50" t="s">
        <v>655</v>
      </c>
      <c r="D7961" s="50" t="s">
        <v>263</v>
      </c>
      <c r="E7961" s="50">
        <v>-1</v>
      </c>
      <c r="F7961" s="51">
        <v>-1.880619468823852E-2</v>
      </c>
      <c r="G7961" s="51" t="str">
        <v>福井 2023/02/11 (土)
休日午前</v>
      </c>
    </row>
    <row r="7962" spans="1:7" ht="16.149999999999999" x14ac:dyDescent="0.7">
      <c r="A7962" s="49">
        <v>44952.819366493059</v>
      </c>
      <c r="B7962" s="50" t="s">
        <v>10</v>
      </c>
      <c r="C7962" s="50" t="s">
        <v>656</v>
      </c>
      <c r="D7962" s="50" t="s">
        <v>261</v>
      </c>
      <c r="E7962" s="50">
        <v>-1</v>
      </c>
      <c r="F7962" s="51">
        <v>-0.32828989814355158</v>
      </c>
      <c r="G7962" s="51" t="str">
        <v>福井 2023/02/11 (土)
休日午後</v>
      </c>
    </row>
    <row r="7963" spans="1:7" ht="16.149999999999999" x14ac:dyDescent="0.7">
      <c r="A7963" s="49">
        <v>44952.819366493059</v>
      </c>
      <c r="B7963" s="50" t="s">
        <v>10</v>
      </c>
      <c r="C7963" s="50" t="s">
        <v>657</v>
      </c>
      <c r="D7963" s="50" t="s">
        <v>263</v>
      </c>
      <c r="E7963" s="50">
        <v>-1</v>
      </c>
      <c r="F7963" s="51">
        <v>-5.5289789564809455E-2</v>
      </c>
      <c r="G7963" s="51" t="str">
        <v>福井 2023/02/12 (日)
休日午前</v>
      </c>
    </row>
    <row r="7964" spans="1:7" ht="16.149999999999999" x14ac:dyDescent="0.7">
      <c r="A7964" s="49">
        <v>44952.819366493059</v>
      </c>
      <c r="B7964" s="50" t="s">
        <v>10</v>
      </c>
      <c r="C7964" s="50" t="s">
        <v>658</v>
      </c>
      <c r="D7964" s="50" t="s">
        <v>261</v>
      </c>
      <c r="E7964" s="50">
        <v>-1</v>
      </c>
      <c r="F7964" s="51">
        <v>-0.68781351029077209</v>
      </c>
      <c r="G7964" s="51" t="str">
        <v>福井 2023/02/12 (日)
休日午後</v>
      </c>
    </row>
    <row r="7965" spans="1:7" ht="16.149999999999999" x14ac:dyDescent="0.7">
      <c r="A7965" s="49">
        <v>44952.819366493059</v>
      </c>
      <c r="B7965" s="50" t="s">
        <v>10</v>
      </c>
      <c r="C7965" s="50" t="s">
        <v>659</v>
      </c>
      <c r="D7965" s="50" t="s">
        <v>259</v>
      </c>
      <c r="E7965" s="50">
        <v>0</v>
      </c>
      <c r="F7965" s="51">
        <v>0.18296713423708333</v>
      </c>
      <c r="G7965" s="51" t="str">
        <v>福井 2023/02/13 (月)
平日夜間</v>
      </c>
    </row>
    <row r="7966" spans="1:7" ht="16.149999999999999" x14ac:dyDescent="0.7">
      <c r="A7966" s="49">
        <v>44952.819366493059</v>
      </c>
      <c r="B7966" s="50" t="s">
        <v>10</v>
      </c>
      <c r="C7966" s="50" t="s">
        <v>660</v>
      </c>
      <c r="D7966" s="50" t="s">
        <v>259</v>
      </c>
      <c r="E7966" s="50">
        <v>-1</v>
      </c>
      <c r="F7966" s="51">
        <v>-0.48792661625595923</v>
      </c>
      <c r="G7966" s="51" t="str">
        <v>福井 2023/02/14 (火)
平日夜間</v>
      </c>
    </row>
    <row r="7967" spans="1:7" ht="16.149999999999999" x14ac:dyDescent="0.7">
      <c r="A7967" s="49">
        <v>44952.819366493059</v>
      </c>
      <c r="B7967" s="50" t="s">
        <v>10</v>
      </c>
      <c r="C7967" s="50" t="s">
        <v>661</v>
      </c>
      <c r="D7967" s="50" t="s">
        <v>259</v>
      </c>
      <c r="E7967" s="50">
        <v>0</v>
      </c>
      <c r="F7967" s="51">
        <v>0.36244200963389339</v>
      </c>
      <c r="G7967" s="51" t="str">
        <v>福井 2023/02/15 (水)
平日夜間</v>
      </c>
    </row>
    <row r="7968" spans="1:7" ht="16.149999999999999" x14ac:dyDescent="0.7">
      <c r="A7968" s="49">
        <v>44952.819366493059</v>
      </c>
      <c r="B7968" s="50" t="s">
        <v>10</v>
      </c>
      <c r="C7968" s="50" t="s">
        <v>662</v>
      </c>
      <c r="D7968" s="50" t="s">
        <v>259</v>
      </c>
      <c r="E7968" s="50">
        <v>0</v>
      </c>
      <c r="F7968" s="51">
        <v>0.83084345396041059</v>
      </c>
      <c r="G7968" s="51" t="str">
        <v>福井 2023/02/16 (木)
平日夜間</v>
      </c>
    </row>
    <row r="7969" spans="1:7" ht="16.149999999999999" x14ac:dyDescent="0.7">
      <c r="A7969" s="49">
        <v>44952.819366493059</v>
      </c>
      <c r="B7969" s="50" t="s">
        <v>10</v>
      </c>
      <c r="C7969" s="50" t="s">
        <v>663</v>
      </c>
      <c r="D7969" s="50" t="s">
        <v>259</v>
      </c>
      <c r="E7969" s="50">
        <v>-1</v>
      </c>
      <c r="F7969" s="51">
        <v>-0.60484171783261242</v>
      </c>
      <c r="G7969" s="51" t="str">
        <v>福井 2023/02/17 (金)
平日夜間</v>
      </c>
    </row>
    <row r="7970" spans="1:7" ht="16.149999999999999" x14ac:dyDescent="0.7">
      <c r="A7970" s="49">
        <v>44952.819366493059</v>
      </c>
      <c r="B7970" s="50" t="s">
        <v>10</v>
      </c>
      <c r="C7970" s="50" t="s">
        <v>664</v>
      </c>
      <c r="D7970" s="50" t="s">
        <v>263</v>
      </c>
      <c r="E7970" s="50">
        <v>-1</v>
      </c>
      <c r="F7970" s="51">
        <v>-0.34394441991726987</v>
      </c>
      <c r="G7970" s="51" t="str">
        <v>福井 2023/02/18 (土)
休日午前</v>
      </c>
    </row>
    <row r="7971" spans="1:7" ht="16.149999999999999" x14ac:dyDescent="0.7">
      <c r="A7971" s="49">
        <v>44952.819366493059</v>
      </c>
      <c r="B7971" s="50" t="s">
        <v>10</v>
      </c>
      <c r="C7971" s="50" t="s">
        <v>665</v>
      </c>
      <c r="D7971" s="50" t="s">
        <v>261</v>
      </c>
      <c r="E7971" s="50">
        <v>-1</v>
      </c>
      <c r="F7971" s="51">
        <v>-0.61606495055521338</v>
      </c>
      <c r="G7971" s="51" t="str">
        <v>福井 2023/02/18 (土)
休日午後</v>
      </c>
    </row>
    <row r="7972" spans="1:7" ht="16.149999999999999" x14ac:dyDescent="0.7">
      <c r="A7972" s="49">
        <v>44952.819366493059</v>
      </c>
      <c r="B7972" s="50" t="s">
        <v>10</v>
      </c>
      <c r="C7972" s="50" t="s">
        <v>666</v>
      </c>
      <c r="D7972" s="50" t="s">
        <v>263</v>
      </c>
      <c r="E7972" s="50">
        <v>-1</v>
      </c>
      <c r="F7972" s="51">
        <v>-0.61740629175056316</v>
      </c>
      <c r="G7972" s="51" t="str">
        <v>福井 2023/02/19 (日)
休日午前</v>
      </c>
    </row>
    <row r="7973" spans="1:7" ht="16.149999999999999" x14ac:dyDescent="0.7">
      <c r="A7973" s="49">
        <v>44952.819366493059</v>
      </c>
      <c r="B7973" s="50" t="s">
        <v>10</v>
      </c>
      <c r="C7973" s="50" t="s">
        <v>667</v>
      </c>
      <c r="D7973" s="50" t="s">
        <v>261</v>
      </c>
      <c r="E7973" s="50">
        <v>-1</v>
      </c>
      <c r="F7973" s="51">
        <v>-0.74057373319741315</v>
      </c>
      <c r="G7973" s="51" t="str">
        <v>福井 2023/02/19 (日)
休日午後</v>
      </c>
    </row>
    <row r="7974" spans="1:7" ht="16.149999999999999" x14ac:dyDescent="0.7">
      <c r="A7974" s="49">
        <v>44952.819366493059</v>
      </c>
      <c r="B7974" s="50" t="s">
        <v>10</v>
      </c>
      <c r="C7974" s="50" t="s">
        <v>668</v>
      </c>
      <c r="D7974" s="50" t="s">
        <v>259</v>
      </c>
      <c r="E7974" s="50">
        <v>-1</v>
      </c>
      <c r="F7974" s="51">
        <v>-0.85424208325254303</v>
      </c>
      <c r="G7974" s="51" t="str">
        <v>福井 2023/02/20 (月)
平日夜間</v>
      </c>
    </row>
    <row r="7975" spans="1:7" ht="16.149999999999999" x14ac:dyDescent="0.7">
      <c r="A7975" s="49">
        <v>44952.819366493059</v>
      </c>
      <c r="B7975" s="50" t="s">
        <v>10</v>
      </c>
      <c r="C7975" s="50" t="s">
        <v>669</v>
      </c>
      <c r="D7975" s="50" t="s">
        <v>259</v>
      </c>
      <c r="E7975" s="50">
        <v>-1</v>
      </c>
      <c r="F7975" s="51">
        <v>-0.54043995467475825</v>
      </c>
      <c r="G7975" s="51" t="str">
        <v>福井 2023/02/21 (火)
平日夜間</v>
      </c>
    </row>
    <row r="7976" spans="1:7" ht="16.149999999999999" x14ac:dyDescent="0.7">
      <c r="A7976" s="49">
        <v>44952.819366493059</v>
      </c>
      <c r="B7976" s="50" t="s">
        <v>10</v>
      </c>
      <c r="C7976" s="50" t="s">
        <v>670</v>
      </c>
      <c r="D7976" s="50" t="s">
        <v>259</v>
      </c>
      <c r="E7976" s="50">
        <v>0</v>
      </c>
      <c r="F7976" s="51">
        <v>0.62582229857814053</v>
      </c>
      <c r="G7976" s="51" t="str">
        <v>福井 2023/02/22 (水)
平日夜間</v>
      </c>
    </row>
    <row r="7977" spans="1:7" ht="16.149999999999999" x14ac:dyDescent="0.7">
      <c r="A7977" s="49">
        <v>44952.819366493059</v>
      </c>
      <c r="B7977" s="50" t="s">
        <v>10</v>
      </c>
      <c r="C7977" s="50" t="s">
        <v>671</v>
      </c>
      <c r="D7977" s="50" t="s">
        <v>263</v>
      </c>
      <c r="E7977" s="50">
        <v>0</v>
      </c>
      <c r="F7977" s="51">
        <v>0.64200192028158476</v>
      </c>
      <c r="G7977" s="51" t="str">
        <v>福井 2023/02/23 (木)
休日午前</v>
      </c>
    </row>
    <row r="7978" spans="1:7" ht="16.149999999999999" x14ac:dyDescent="0.7">
      <c r="A7978" s="49">
        <v>44952.819366493059</v>
      </c>
      <c r="B7978" s="50" t="s">
        <v>10</v>
      </c>
      <c r="C7978" s="50" t="s">
        <v>672</v>
      </c>
      <c r="D7978" s="50" t="s">
        <v>261</v>
      </c>
      <c r="E7978" s="50">
        <v>0</v>
      </c>
      <c r="F7978" s="51">
        <v>0.92735718611330342</v>
      </c>
      <c r="G7978" s="51" t="str">
        <v>福井 2023/02/23 (木)
休日午後</v>
      </c>
    </row>
    <row r="7979" spans="1:7" ht="16.149999999999999" x14ac:dyDescent="0.7">
      <c r="A7979" s="49">
        <v>44952.819366493059</v>
      </c>
      <c r="B7979" s="50" t="s">
        <v>10</v>
      </c>
      <c r="C7979" s="50" t="s">
        <v>673</v>
      </c>
      <c r="D7979" s="50" t="s">
        <v>259</v>
      </c>
      <c r="E7979" s="50">
        <v>0</v>
      </c>
      <c r="F7979" s="51">
        <v>0.95558211096130852</v>
      </c>
      <c r="G7979" s="51" t="str">
        <v>福井 2023/02/24 (金)
平日夜間</v>
      </c>
    </row>
    <row r="7980" spans="1:7" ht="16.149999999999999" x14ac:dyDescent="0.7">
      <c r="A7980" s="49">
        <v>44952.819366493059</v>
      </c>
      <c r="B7980" s="50" t="s">
        <v>10</v>
      </c>
      <c r="C7980" s="50" t="s">
        <v>674</v>
      </c>
      <c r="D7980" s="50" t="s">
        <v>263</v>
      </c>
      <c r="E7980" s="50">
        <v>0</v>
      </c>
      <c r="F7980" s="51">
        <v>0.63187715039565973</v>
      </c>
      <c r="G7980" s="51" t="str">
        <v>福井 2023/02/25 (土)
休日午前</v>
      </c>
    </row>
    <row r="7981" spans="1:7" ht="16.149999999999999" x14ac:dyDescent="0.7">
      <c r="A7981" s="49">
        <v>44952.819366493059</v>
      </c>
      <c r="B7981" s="50" t="s">
        <v>10</v>
      </c>
      <c r="C7981" s="50" t="s">
        <v>675</v>
      </c>
      <c r="D7981" s="50" t="s">
        <v>261</v>
      </c>
      <c r="E7981" s="50">
        <v>0</v>
      </c>
      <c r="F7981" s="51">
        <v>0.5576751062768972</v>
      </c>
      <c r="G7981" s="51" t="str">
        <v>福井 2023/02/25 (土)
休日午後</v>
      </c>
    </row>
    <row r="7982" spans="1:7" ht="16.149999999999999" x14ac:dyDescent="0.7">
      <c r="A7982" s="49">
        <v>44952.819366493059</v>
      </c>
      <c r="B7982" s="50" t="s">
        <v>10</v>
      </c>
      <c r="C7982" s="50" t="s">
        <v>676</v>
      </c>
      <c r="D7982" s="50" t="s">
        <v>263</v>
      </c>
      <c r="E7982" s="50">
        <v>-1</v>
      </c>
      <c r="F7982" s="51">
        <v>-0.25438087345984961</v>
      </c>
      <c r="G7982" s="51" t="str">
        <v>福井 2023/02/26 (日)
休日午前</v>
      </c>
    </row>
    <row r="7983" spans="1:7" ht="16.149999999999999" x14ac:dyDescent="0.7">
      <c r="A7983" s="49">
        <v>44952.819366493059</v>
      </c>
      <c r="B7983" s="50" t="s">
        <v>10</v>
      </c>
      <c r="C7983" s="50" t="s">
        <v>677</v>
      </c>
      <c r="D7983" s="50" t="s">
        <v>261</v>
      </c>
      <c r="E7983" s="50">
        <v>2</v>
      </c>
      <c r="F7983" s="51">
        <v>2.822092042464031</v>
      </c>
      <c r="G7983" s="51" t="str">
        <v>福井 2023/02/26 (日)
休日午後</v>
      </c>
    </row>
    <row r="7984" spans="1:7" ht="16.149999999999999" x14ac:dyDescent="0.7">
      <c r="A7984" s="49">
        <v>44952.819366493059</v>
      </c>
      <c r="B7984" s="50" t="s">
        <v>10</v>
      </c>
      <c r="C7984" s="50" t="s">
        <v>678</v>
      </c>
      <c r="D7984" s="50" t="s">
        <v>259</v>
      </c>
      <c r="E7984" s="50">
        <v>-1</v>
      </c>
      <c r="F7984" s="51">
        <v>-0.554415092560542</v>
      </c>
      <c r="G7984" s="51" t="str">
        <v>福井 2023/02/27 (月)
平日夜間</v>
      </c>
    </row>
    <row r="7985" spans="1:7" ht="16.149999999999999" x14ac:dyDescent="0.7">
      <c r="A7985" s="49">
        <v>44952.819366493059</v>
      </c>
      <c r="B7985" s="50" t="s">
        <v>10</v>
      </c>
      <c r="C7985" s="50" t="s">
        <v>679</v>
      </c>
      <c r="D7985" s="50" t="s">
        <v>259</v>
      </c>
      <c r="E7985" s="50">
        <v>1</v>
      </c>
      <c r="F7985" s="51">
        <v>1.9700529986011004</v>
      </c>
      <c r="G7985" s="51" t="str">
        <v>福井 2023/02/28 (火)
平日夜間</v>
      </c>
    </row>
    <row r="7986" spans="1:7" ht="16.149999999999999" x14ac:dyDescent="0.7">
      <c r="A7986" s="49">
        <v>44953.508846817131</v>
      </c>
      <c r="B7986" s="50" t="s">
        <v>9</v>
      </c>
      <c r="C7986" s="50" t="s">
        <v>643</v>
      </c>
      <c r="D7986" s="50" t="s">
        <v>259</v>
      </c>
      <c r="E7986" s="50">
        <v>-1</v>
      </c>
      <c r="F7986" s="51">
        <v>-0.21474143631221643</v>
      </c>
      <c r="G7986" s="51" t="str">
        <v>山口 2023/02/01 (水)
平日夜間</v>
      </c>
    </row>
    <row r="7987" spans="1:7" ht="16.149999999999999" x14ac:dyDescent="0.7">
      <c r="A7987" s="49">
        <v>44953.508846817131</v>
      </c>
      <c r="B7987" s="50" t="s">
        <v>9</v>
      </c>
      <c r="C7987" s="50" t="s">
        <v>644</v>
      </c>
      <c r="D7987" s="50" t="s">
        <v>259</v>
      </c>
      <c r="E7987" s="50">
        <v>0</v>
      </c>
      <c r="F7987" s="51">
        <v>0.92564668339008871</v>
      </c>
      <c r="G7987" s="51" t="str">
        <v>山口 2023/02/02 (木)
平日夜間</v>
      </c>
    </row>
    <row r="7988" spans="1:7" ht="16.149999999999999" x14ac:dyDescent="0.7">
      <c r="A7988" s="49">
        <v>44953.508846817131</v>
      </c>
      <c r="B7988" s="50" t="s">
        <v>9</v>
      </c>
      <c r="C7988" s="50" t="s">
        <v>645</v>
      </c>
      <c r="D7988" s="50" t="s">
        <v>259</v>
      </c>
      <c r="E7988" s="50">
        <v>0</v>
      </c>
      <c r="F7988" s="51">
        <v>0.35532015516908833</v>
      </c>
      <c r="G7988" s="51" t="str">
        <v>山口 2023/02/03 (金)
平日夜間</v>
      </c>
    </row>
    <row r="7989" spans="1:7" ht="16.149999999999999" x14ac:dyDescent="0.7">
      <c r="A7989" s="49">
        <v>44953.508846817131</v>
      </c>
      <c r="B7989" s="50" t="s">
        <v>9</v>
      </c>
      <c r="C7989" s="50" t="s">
        <v>646</v>
      </c>
      <c r="D7989" s="50" t="s">
        <v>263</v>
      </c>
      <c r="E7989" s="50">
        <v>0</v>
      </c>
      <c r="F7989" s="51">
        <v>0.40143594926796355</v>
      </c>
      <c r="G7989" s="51" t="str">
        <v>山口 2023/02/04 (土)
休日午前</v>
      </c>
    </row>
    <row r="7990" spans="1:7" ht="16.149999999999999" x14ac:dyDescent="0.7">
      <c r="A7990" s="49">
        <v>44953.508846817131</v>
      </c>
      <c r="B7990" s="50" t="s">
        <v>9</v>
      </c>
      <c r="C7990" s="50" t="s">
        <v>647</v>
      </c>
      <c r="D7990" s="50" t="s">
        <v>261</v>
      </c>
      <c r="E7990" s="50">
        <v>-1</v>
      </c>
      <c r="F7990" s="51">
        <v>-0.88971100745906218</v>
      </c>
      <c r="G7990" s="51" t="str">
        <v>山口 2023/02/04 (土)
休日午後</v>
      </c>
    </row>
    <row r="7991" spans="1:7" ht="16.149999999999999" x14ac:dyDescent="0.7">
      <c r="A7991" s="49">
        <v>44953.508846817131</v>
      </c>
      <c r="B7991" s="50" t="s">
        <v>9</v>
      </c>
      <c r="C7991" s="50" t="s">
        <v>648</v>
      </c>
      <c r="D7991" s="50" t="s">
        <v>263</v>
      </c>
      <c r="E7991" s="50">
        <v>0</v>
      </c>
      <c r="F7991" s="51">
        <v>0.94587403948315463</v>
      </c>
      <c r="G7991" s="51" t="str">
        <v>山口 2023/02/05 (日)
休日午前</v>
      </c>
    </row>
    <row r="7992" spans="1:7" ht="16.149999999999999" x14ac:dyDescent="0.7">
      <c r="A7992" s="49">
        <v>44953.508846817131</v>
      </c>
      <c r="B7992" s="50" t="s">
        <v>9</v>
      </c>
      <c r="C7992" s="50" t="s">
        <v>649</v>
      </c>
      <c r="D7992" s="50" t="s">
        <v>261</v>
      </c>
      <c r="E7992" s="50">
        <v>0</v>
      </c>
      <c r="F7992" s="51">
        <v>8.5635302565475246E-2</v>
      </c>
      <c r="G7992" s="51" t="str">
        <v>山口 2023/02/05 (日)
休日午後</v>
      </c>
    </row>
    <row r="7993" spans="1:7" ht="16.149999999999999" x14ac:dyDescent="0.7">
      <c r="A7993" s="49">
        <v>44953.508846817131</v>
      </c>
      <c r="B7993" s="50" t="s">
        <v>9</v>
      </c>
      <c r="C7993" s="50" t="s">
        <v>650</v>
      </c>
      <c r="D7993" s="50" t="s">
        <v>259</v>
      </c>
      <c r="E7993" s="50">
        <v>0</v>
      </c>
      <c r="F7993" s="51">
        <v>0.59514921883827276</v>
      </c>
      <c r="G7993" s="51" t="str">
        <v>山口 2023/02/06 (月)
平日夜間</v>
      </c>
    </row>
    <row r="7994" spans="1:7" ht="16.149999999999999" x14ac:dyDescent="0.7">
      <c r="A7994" s="49">
        <v>44953.508846817131</v>
      </c>
      <c r="B7994" s="50" t="s">
        <v>9</v>
      </c>
      <c r="C7994" s="50" t="s">
        <v>651</v>
      </c>
      <c r="D7994" s="50" t="s">
        <v>259</v>
      </c>
      <c r="E7994" s="50">
        <v>0</v>
      </c>
      <c r="F7994" s="51">
        <v>0.78465071572483303</v>
      </c>
      <c r="G7994" s="51" t="str">
        <v>山口 2023/02/07 (火)
平日夜間</v>
      </c>
    </row>
    <row r="7995" spans="1:7" ht="16.149999999999999" x14ac:dyDescent="0.7">
      <c r="A7995" s="49">
        <v>44953.508846817131</v>
      </c>
      <c r="B7995" s="50" t="s">
        <v>9</v>
      </c>
      <c r="C7995" s="50" t="s">
        <v>652</v>
      </c>
      <c r="D7995" s="50" t="s">
        <v>259</v>
      </c>
      <c r="E7995" s="50">
        <v>0</v>
      </c>
      <c r="F7995" s="51">
        <v>0.33376264849400195</v>
      </c>
      <c r="G7995" s="51" t="str">
        <v>山口 2023/02/08 (水)
平日夜間</v>
      </c>
    </row>
    <row r="7996" spans="1:7" ht="16.149999999999999" x14ac:dyDescent="0.7">
      <c r="A7996" s="49">
        <v>44953.508846817131</v>
      </c>
      <c r="B7996" s="50" t="s">
        <v>9</v>
      </c>
      <c r="C7996" s="50" t="s">
        <v>653</v>
      </c>
      <c r="D7996" s="50" t="s">
        <v>259</v>
      </c>
      <c r="E7996" s="50">
        <v>0</v>
      </c>
      <c r="F7996" s="51">
        <v>0.96157746553598544</v>
      </c>
      <c r="G7996" s="51" t="str">
        <v>山口 2023/02/09 (木)
平日夜間</v>
      </c>
    </row>
    <row r="7997" spans="1:7" ht="16.149999999999999" x14ac:dyDescent="0.7">
      <c r="A7997" s="49">
        <v>44953.508846817131</v>
      </c>
      <c r="B7997" s="50" t="s">
        <v>9</v>
      </c>
      <c r="C7997" s="50" t="s">
        <v>654</v>
      </c>
      <c r="D7997" s="50" t="s">
        <v>259</v>
      </c>
      <c r="E7997" s="50">
        <v>0</v>
      </c>
      <c r="F7997" s="51">
        <v>0.89820579004306289</v>
      </c>
      <c r="G7997" s="51" t="str">
        <v>山口 2023/02/10 (金)
平日夜間</v>
      </c>
    </row>
    <row r="7998" spans="1:7" ht="16.149999999999999" x14ac:dyDescent="0.7">
      <c r="A7998" s="49">
        <v>44953.508846817131</v>
      </c>
      <c r="B7998" s="50" t="s">
        <v>9</v>
      </c>
      <c r="C7998" s="50" t="s">
        <v>655</v>
      </c>
      <c r="D7998" s="50" t="s">
        <v>263</v>
      </c>
      <c r="E7998" s="50">
        <v>0</v>
      </c>
      <c r="F7998" s="51">
        <v>0.50064093803513754</v>
      </c>
      <c r="G7998" s="51" t="str">
        <v>山口 2023/02/11 (土)
休日午前</v>
      </c>
    </row>
    <row r="7999" spans="1:7" ht="16.149999999999999" x14ac:dyDescent="0.7">
      <c r="A7999" s="49">
        <v>44953.508846817131</v>
      </c>
      <c r="B7999" s="50" t="s">
        <v>9</v>
      </c>
      <c r="C7999" s="50" t="s">
        <v>656</v>
      </c>
      <c r="D7999" s="50" t="s">
        <v>261</v>
      </c>
      <c r="E7999" s="50">
        <v>0</v>
      </c>
      <c r="F7999" s="51">
        <v>0.53875898393557065</v>
      </c>
      <c r="G7999" s="51" t="str">
        <v>山口 2023/02/11 (土)
休日午後</v>
      </c>
    </row>
    <row r="8000" spans="1:7" ht="16.149999999999999" x14ac:dyDescent="0.7">
      <c r="A8000" s="49">
        <v>44953.508846817131</v>
      </c>
      <c r="B8000" s="50" t="s">
        <v>9</v>
      </c>
      <c r="C8000" s="50" t="s">
        <v>657</v>
      </c>
      <c r="D8000" s="50" t="s">
        <v>263</v>
      </c>
      <c r="E8000" s="50">
        <v>0</v>
      </c>
      <c r="F8000" s="51">
        <v>0.49684160527087906</v>
      </c>
      <c r="G8000" s="51" t="str">
        <v>山口 2023/02/12 (日)
休日午前</v>
      </c>
    </row>
    <row r="8001" spans="1:7" ht="16.149999999999999" x14ac:dyDescent="0.7">
      <c r="A8001" s="49">
        <v>44953.508846817131</v>
      </c>
      <c r="B8001" s="50" t="s">
        <v>9</v>
      </c>
      <c r="C8001" s="50" t="s">
        <v>658</v>
      </c>
      <c r="D8001" s="50" t="s">
        <v>261</v>
      </c>
      <c r="E8001" s="50">
        <v>0</v>
      </c>
      <c r="F8001" s="51">
        <v>0.32789941372963249</v>
      </c>
      <c r="G8001" s="51" t="str">
        <v>山口 2023/02/12 (日)
休日午後</v>
      </c>
    </row>
    <row r="8002" spans="1:7" ht="16.149999999999999" x14ac:dyDescent="0.7">
      <c r="A8002" s="49">
        <v>44953.508846817131</v>
      </c>
      <c r="B8002" s="50" t="s">
        <v>9</v>
      </c>
      <c r="C8002" s="50" t="s">
        <v>659</v>
      </c>
      <c r="D8002" s="50" t="s">
        <v>259</v>
      </c>
      <c r="E8002" s="50">
        <v>0</v>
      </c>
      <c r="F8002" s="51">
        <v>0.20491362768572596</v>
      </c>
      <c r="G8002" s="51" t="str">
        <v>山口 2023/02/13 (月)
平日夜間</v>
      </c>
    </row>
    <row r="8003" spans="1:7" ht="16.149999999999999" x14ac:dyDescent="0.7">
      <c r="A8003" s="49">
        <v>44953.508846817131</v>
      </c>
      <c r="B8003" s="50" t="s">
        <v>9</v>
      </c>
      <c r="C8003" s="50" t="s">
        <v>660</v>
      </c>
      <c r="D8003" s="50" t="s">
        <v>259</v>
      </c>
      <c r="E8003" s="50">
        <v>0</v>
      </c>
      <c r="F8003" s="51">
        <v>0.30836441063141873</v>
      </c>
      <c r="G8003" s="51" t="str">
        <v>山口 2023/02/14 (火)
平日夜間</v>
      </c>
    </row>
    <row r="8004" spans="1:7" ht="16.149999999999999" x14ac:dyDescent="0.7">
      <c r="A8004" s="49">
        <v>44953.508846817131</v>
      </c>
      <c r="B8004" s="50" t="s">
        <v>9</v>
      </c>
      <c r="C8004" s="50" t="s">
        <v>661</v>
      </c>
      <c r="D8004" s="50" t="s">
        <v>259</v>
      </c>
      <c r="E8004" s="50">
        <v>0</v>
      </c>
      <c r="F8004" s="51">
        <v>0.73676213906137433</v>
      </c>
      <c r="G8004" s="51" t="str">
        <v>山口 2023/02/15 (水)
平日夜間</v>
      </c>
    </row>
    <row r="8005" spans="1:7" ht="16.149999999999999" x14ac:dyDescent="0.7">
      <c r="A8005" s="49">
        <v>44953.508846817131</v>
      </c>
      <c r="B8005" s="50" t="s">
        <v>9</v>
      </c>
      <c r="C8005" s="50" t="s">
        <v>662</v>
      </c>
      <c r="D8005" s="50" t="s">
        <v>259</v>
      </c>
      <c r="E8005" s="50">
        <v>-1</v>
      </c>
      <c r="F8005" s="51">
        <v>-0.66495088876178321</v>
      </c>
      <c r="G8005" s="51" t="str">
        <v>山口 2023/02/16 (木)
平日夜間</v>
      </c>
    </row>
    <row r="8006" spans="1:7" ht="16.149999999999999" x14ac:dyDescent="0.7">
      <c r="A8006" s="49">
        <v>44953.508846817131</v>
      </c>
      <c r="B8006" s="50" t="s">
        <v>9</v>
      </c>
      <c r="C8006" s="50" t="s">
        <v>663</v>
      </c>
      <c r="D8006" s="50" t="s">
        <v>259</v>
      </c>
      <c r="E8006" s="50">
        <v>-1</v>
      </c>
      <c r="F8006" s="51">
        <v>-0.60202222470231437</v>
      </c>
      <c r="G8006" s="51" t="str">
        <v>山口 2023/02/17 (金)
平日夜間</v>
      </c>
    </row>
    <row r="8007" spans="1:7" ht="16.149999999999999" x14ac:dyDescent="0.7">
      <c r="A8007" s="49">
        <v>44953.508846817131</v>
      </c>
      <c r="B8007" s="50" t="s">
        <v>9</v>
      </c>
      <c r="C8007" s="50" t="s">
        <v>664</v>
      </c>
      <c r="D8007" s="50" t="s">
        <v>263</v>
      </c>
      <c r="E8007" s="50">
        <v>-1</v>
      </c>
      <c r="F8007" s="51">
        <v>-0.80485880290366407</v>
      </c>
      <c r="G8007" s="51" t="str">
        <v>山口 2023/02/18 (土)
休日午前</v>
      </c>
    </row>
    <row r="8008" spans="1:7" ht="16.149999999999999" x14ac:dyDescent="0.7">
      <c r="A8008" s="49">
        <v>44953.508846817131</v>
      </c>
      <c r="B8008" s="50" t="s">
        <v>9</v>
      </c>
      <c r="C8008" s="50" t="s">
        <v>665</v>
      </c>
      <c r="D8008" s="50" t="s">
        <v>261</v>
      </c>
      <c r="E8008" s="50">
        <v>-1</v>
      </c>
      <c r="F8008" s="51">
        <v>-0.36654711224260739</v>
      </c>
      <c r="G8008" s="51" t="str">
        <v>山口 2023/02/18 (土)
休日午後</v>
      </c>
    </row>
    <row r="8009" spans="1:7" ht="16.149999999999999" x14ac:dyDescent="0.7">
      <c r="A8009" s="49">
        <v>44953.508846817131</v>
      </c>
      <c r="B8009" s="50" t="s">
        <v>9</v>
      </c>
      <c r="C8009" s="50" t="s">
        <v>666</v>
      </c>
      <c r="D8009" s="50" t="s">
        <v>263</v>
      </c>
      <c r="E8009" s="50">
        <v>-1</v>
      </c>
      <c r="F8009" s="51">
        <v>-0.42389214008524223</v>
      </c>
      <c r="G8009" s="51" t="str">
        <v>山口 2023/02/19 (日)
休日午前</v>
      </c>
    </row>
    <row r="8010" spans="1:7" ht="16.149999999999999" x14ac:dyDescent="0.7">
      <c r="A8010" s="49">
        <v>44953.508846817131</v>
      </c>
      <c r="B8010" s="50" t="s">
        <v>9</v>
      </c>
      <c r="C8010" s="50" t="s">
        <v>667</v>
      </c>
      <c r="D8010" s="50" t="s">
        <v>261</v>
      </c>
      <c r="E8010" s="50">
        <v>-1</v>
      </c>
      <c r="F8010" s="51">
        <v>-0.92931066300193432</v>
      </c>
      <c r="G8010" s="51" t="str">
        <v>山口 2023/02/19 (日)
休日午後</v>
      </c>
    </row>
    <row r="8011" spans="1:7" ht="16.149999999999999" x14ac:dyDescent="0.7">
      <c r="A8011" s="49">
        <v>44953.508846817131</v>
      </c>
      <c r="B8011" s="50" t="s">
        <v>9</v>
      </c>
      <c r="C8011" s="50" t="s">
        <v>668</v>
      </c>
      <c r="D8011" s="50" t="s">
        <v>259</v>
      </c>
      <c r="E8011" s="50">
        <v>0</v>
      </c>
      <c r="F8011" s="51">
        <v>1.1962116893868835E-2</v>
      </c>
      <c r="G8011" s="51" t="str">
        <v>山口 2023/02/20 (月)
平日夜間</v>
      </c>
    </row>
    <row r="8012" spans="1:7" ht="16.149999999999999" x14ac:dyDescent="0.7">
      <c r="A8012" s="49">
        <v>44953.508846817131</v>
      </c>
      <c r="B8012" s="50" t="s">
        <v>9</v>
      </c>
      <c r="C8012" s="50" t="s">
        <v>669</v>
      </c>
      <c r="D8012" s="50" t="s">
        <v>259</v>
      </c>
      <c r="E8012" s="50">
        <v>0</v>
      </c>
      <c r="F8012" s="51">
        <v>0.53320462703289428</v>
      </c>
      <c r="G8012" s="51" t="str">
        <v>山口 2023/02/21 (火)
平日夜間</v>
      </c>
    </row>
    <row r="8013" spans="1:7" ht="16.149999999999999" x14ac:dyDescent="0.7">
      <c r="A8013" s="49">
        <v>44953.508846817131</v>
      </c>
      <c r="B8013" s="50" t="s">
        <v>9</v>
      </c>
      <c r="C8013" s="50" t="s">
        <v>670</v>
      </c>
      <c r="D8013" s="50" t="s">
        <v>259</v>
      </c>
      <c r="E8013" s="50">
        <v>0</v>
      </c>
      <c r="F8013" s="51">
        <v>0.21742674529179351</v>
      </c>
      <c r="G8013" s="51" t="str">
        <v>山口 2023/02/22 (水)
平日夜間</v>
      </c>
    </row>
    <row r="8014" spans="1:7" ht="16.149999999999999" x14ac:dyDescent="0.7">
      <c r="A8014" s="49">
        <v>44953.508846817131</v>
      </c>
      <c r="B8014" s="50" t="s">
        <v>9</v>
      </c>
      <c r="C8014" s="50" t="s">
        <v>671</v>
      </c>
      <c r="D8014" s="50" t="s">
        <v>263</v>
      </c>
      <c r="E8014" s="50">
        <v>0</v>
      </c>
      <c r="F8014" s="51">
        <v>0.28399884310263857</v>
      </c>
      <c r="G8014" s="51" t="str">
        <v>山口 2023/02/23 (木)
休日午前</v>
      </c>
    </row>
    <row r="8015" spans="1:7" ht="16.149999999999999" x14ac:dyDescent="0.7">
      <c r="A8015" s="49">
        <v>44953.508846817131</v>
      </c>
      <c r="B8015" s="50" t="s">
        <v>9</v>
      </c>
      <c r="C8015" s="50" t="s">
        <v>672</v>
      </c>
      <c r="D8015" s="50" t="s">
        <v>261</v>
      </c>
      <c r="E8015" s="50">
        <v>-1</v>
      </c>
      <c r="F8015" s="51">
        <v>-0.43296671742374704</v>
      </c>
      <c r="G8015" s="51" t="str">
        <v>山口 2023/02/23 (木)
休日午後</v>
      </c>
    </row>
    <row r="8016" spans="1:7" ht="16.149999999999999" x14ac:dyDescent="0.7">
      <c r="A8016" s="49">
        <v>44953.508846817131</v>
      </c>
      <c r="B8016" s="50" t="s">
        <v>9</v>
      </c>
      <c r="C8016" s="50" t="s">
        <v>673</v>
      </c>
      <c r="D8016" s="50" t="s">
        <v>259</v>
      </c>
      <c r="E8016" s="50">
        <v>0</v>
      </c>
      <c r="F8016" s="51">
        <v>0.54359654463128826</v>
      </c>
      <c r="G8016" s="51" t="str">
        <v>山口 2023/02/24 (金)
平日夜間</v>
      </c>
    </row>
    <row r="8017" spans="1:7" ht="16.149999999999999" x14ac:dyDescent="0.7">
      <c r="A8017" s="49">
        <v>44953.508846817131</v>
      </c>
      <c r="B8017" s="50" t="s">
        <v>9</v>
      </c>
      <c r="C8017" s="50" t="s">
        <v>674</v>
      </c>
      <c r="D8017" s="50" t="s">
        <v>263</v>
      </c>
      <c r="E8017" s="50">
        <v>-1</v>
      </c>
      <c r="F8017" s="51">
        <v>-0.67679616401935916</v>
      </c>
      <c r="G8017" s="51" t="str">
        <v>山口 2023/02/25 (土)
休日午前</v>
      </c>
    </row>
    <row r="8018" spans="1:7" ht="16.149999999999999" x14ac:dyDescent="0.7">
      <c r="A8018" s="49">
        <v>44953.508846817131</v>
      </c>
      <c r="B8018" s="50" t="s">
        <v>9</v>
      </c>
      <c r="C8018" s="50" t="s">
        <v>675</v>
      </c>
      <c r="D8018" s="50" t="s">
        <v>261</v>
      </c>
      <c r="E8018" s="50">
        <v>-1</v>
      </c>
      <c r="F8018" s="51">
        <v>-0.58589020949297654</v>
      </c>
      <c r="G8018" s="51" t="str">
        <v>山口 2023/02/25 (土)
休日午後</v>
      </c>
    </row>
    <row r="8019" spans="1:7" ht="16.149999999999999" x14ac:dyDescent="0.7">
      <c r="A8019" s="49">
        <v>44953.508846817131</v>
      </c>
      <c r="B8019" s="50" t="s">
        <v>9</v>
      </c>
      <c r="C8019" s="50" t="s">
        <v>676</v>
      </c>
      <c r="D8019" s="50" t="s">
        <v>263</v>
      </c>
      <c r="E8019" s="50">
        <v>-1</v>
      </c>
      <c r="F8019" s="51">
        <v>-0.33710329930567751</v>
      </c>
      <c r="G8019" s="51" t="str">
        <v>山口 2023/02/26 (日)
休日午前</v>
      </c>
    </row>
    <row r="8020" spans="1:7" ht="16.149999999999999" x14ac:dyDescent="0.7">
      <c r="A8020" s="49">
        <v>44953.508846817131</v>
      </c>
      <c r="B8020" s="50" t="s">
        <v>9</v>
      </c>
      <c r="C8020" s="50" t="s">
        <v>677</v>
      </c>
      <c r="D8020" s="50" t="s">
        <v>261</v>
      </c>
      <c r="E8020" s="50">
        <v>-1</v>
      </c>
      <c r="F8020" s="51">
        <v>-0.12090383342624067</v>
      </c>
      <c r="G8020" s="51" t="str">
        <v>山口 2023/02/26 (日)
休日午後</v>
      </c>
    </row>
    <row r="8021" spans="1:7" ht="16.149999999999999" x14ac:dyDescent="0.7">
      <c r="A8021" s="49">
        <v>44953.508846817131</v>
      </c>
      <c r="B8021" s="50" t="s">
        <v>9</v>
      </c>
      <c r="C8021" s="50" t="s">
        <v>678</v>
      </c>
      <c r="D8021" s="50" t="s">
        <v>259</v>
      </c>
      <c r="E8021" s="50">
        <v>-1</v>
      </c>
      <c r="F8021" s="51">
        <v>-0.72818075997522347</v>
      </c>
      <c r="G8021" s="51" t="str">
        <v>山口 2023/02/27 (月)
平日夜間</v>
      </c>
    </row>
    <row r="8022" spans="1:7" ht="16.149999999999999" x14ac:dyDescent="0.7">
      <c r="A8022" s="49">
        <v>44953.508846817131</v>
      </c>
      <c r="B8022" s="50" t="s">
        <v>9</v>
      </c>
      <c r="C8022" s="50" t="s">
        <v>679</v>
      </c>
      <c r="D8022" s="50" t="s">
        <v>259</v>
      </c>
      <c r="E8022" s="50">
        <v>0</v>
      </c>
      <c r="F8022" s="51">
        <v>0.64125454457928299</v>
      </c>
      <c r="G8022" s="51" t="str">
        <v>山口 2023/02/28 (火)
平日夜間</v>
      </c>
    </row>
    <row r="8023" spans="1:7" ht="16.149999999999999" x14ac:dyDescent="0.7">
      <c r="A8023" s="49">
        <v>44967.60580542824</v>
      </c>
      <c r="B8023" s="50" t="s">
        <v>2</v>
      </c>
      <c r="C8023" s="50" t="s">
        <v>680</v>
      </c>
      <c r="D8023" s="50" t="s">
        <v>259</v>
      </c>
      <c r="E8023" s="50">
        <v>0</v>
      </c>
      <c r="F8023" s="51">
        <v>0.95237385662042207</v>
      </c>
      <c r="G8023" s="51" t="str">
        <v>伊藤 2023/03/01 (水)
平日夜間</v>
      </c>
    </row>
    <row r="8024" spans="1:7" ht="16.149999999999999" x14ac:dyDescent="0.7">
      <c r="A8024" s="49">
        <v>44967.60580542824</v>
      </c>
      <c r="B8024" s="50" t="s">
        <v>2</v>
      </c>
      <c r="C8024" s="50" t="s">
        <v>681</v>
      </c>
      <c r="D8024" s="50" t="s">
        <v>259</v>
      </c>
      <c r="E8024" s="50">
        <v>0</v>
      </c>
      <c r="F8024" s="51">
        <v>0.50909115084867484</v>
      </c>
      <c r="G8024" s="51" t="str">
        <v>伊藤 2023/03/02 (木)
平日夜間</v>
      </c>
    </row>
    <row r="8025" spans="1:7" ht="16.149999999999999" x14ac:dyDescent="0.7">
      <c r="A8025" s="49">
        <v>44967.60580542824</v>
      </c>
      <c r="B8025" s="50" t="s">
        <v>2</v>
      </c>
      <c r="C8025" s="50" t="s">
        <v>682</v>
      </c>
      <c r="D8025" s="50" t="s">
        <v>259</v>
      </c>
      <c r="E8025" s="50">
        <v>-1</v>
      </c>
      <c r="F8025" s="51">
        <v>-0.82658811007870625</v>
      </c>
      <c r="G8025" s="51" t="str">
        <v>伊藤 2023/03/03 (金)
平日夜間</v>
      </c>
    </row>
    <row r="8026" spans="1:7" ht="16.149999999999999" x14ac:dyDescent="0.7">
      <c r="A8026" s="49">
        <v>44967.60580542824</v>
      </c>
      <c r="B8026" s="50" t="s">
        <v>2</v>
      </c>
      <c r="C8026" s="50" t="s">
        <v>683</v>
      </c>
      <c r="D8026" s="50" t="s">
        <v>263</v>
      </c>
      <c r="E8026" s="50">
        <v>-1</v>
      </c>
      <c r="F8026" s="51">
        <v>-0.24606854505232967</v>
      </c>
      <c r="G8026" s="51" t="str">
        <v>伊藤 2023/03/04 (土)
休日午前</v>
      </c>
    </row>
    <row r="8027" spans="1:7" ht="16.149999999999999" x14ac:dyDescent="0.7">
      <c r="A8027" s="49">
        <v>44967.60580542824</v>
      </c>
      <c r="B8027" s="50" t="s">
        <v>2</v>
      </c>
      <c r="C8027" s="50" t="s">
        <v>684</v>
      </c>
      <c r="D8027" s="50" t="s">
        <v>261</v>
      </c>
      <c r="E8027" s="50">
        <v>-1</v>
      </c>
      <c r="F8027" s="51">
        <v>-0.50826781218482786</v>
      </c>
      <c r="G8027" s="51" t="str">
        <v>伊藤 2023/03/04 (土)
休日午後</v>
      </c>
    </row>
    <row r="8028" spans="1:7" ht="16.149999999999999" x14ac:dyDescent="0.7">
      <c r="A8028" s="49">
        <v>44967.60580542824</v>
      </c>
      <c r="B8028" s="50" t="s">
        <v>2</v>
      </c>
      <c r="C8028" s="50" t="s">
        <v>685</v>
      </c>
      <c r="D8028" s="50" t="s">
        <v>263</v>
      </c>
      <c r="E8028" s="50">
        <v>0</v>
      </c>
      <c r="F8028" s="51">
        <v>0.59380270767841981</v>
      </c>
      <c r="G8028" s="51" t="str">
        <v>伊藤 2023/03/05 (日)
休日午前</v>
      </c>
    </row>
    <row r="8029" spans="1:7" ht="16.149999999999999" x14ac:dyDescent="0.7">
      <c r="A8029" s="49">
        <v>44967.60580542824</v>
      </c>
      <c r="B8029" s="50" t="s">
        <v>2</v>
      </c>
      <c r="C8029" s="50" t="s">
        <v>686</v>
      </c>
      <c r="D8029" s="50" t="s">
        <v>261</v>
      </c>
      <c r="E8029" s="50">
        <v>0</v>
      </c>
      <c r="F8029" s="51">
        <v>0.72807376063818907</v>
      </c>
      <c r="G8029" s="51" t="str">
        <v>伊藤 2023/03/05 (日)
休日午後</v>
      </c>
    </row>
    <row r="8030" spans="1:7" ht="16.149999999999999" x14ac:dyDescent="0.7">
      <c r="A8030" s="49">
        <v>44967.60580542824</v>
      </c>
      <c r="B8030" s="50" t="s">
        <v>2</v>
      </c>
      <c r="C8030" s="50" t="s">
        <v>687</v>
      </c>
      <c r="D8030" s="50" t="s">
        <v>259</v>
      </c>
      <c r="E8030" s="50">
        <v>0</v>
      </c>
      <c r="F8030" s="51">
        <v>0.1106713107812678</v>
      </c>
      <c r="G8030" s="51" t="str">
        <v>伊藤 2023/03/06 (月)
平日夜間</v>
      </c>
    </row>
    <row r="8031" spans="1:7" ht="16.149999999999999" x14ac:dyDescent="0.7">
      <c r="A8031" s="49">
        <v>44967.60580542824</v>
      </c>
      <c r="B8031" s="50" t="s">
        <v>2</v>
      </c>
      <c r="C8031" s="50" t="s">
        <v>688</v>
      </c>
      <c r="D8031" s="50" t="s">
        <v>259</v>
      </c>
      <c r="E8031" s="50">
        <v>0</v>
      </c>
      <c r="F8031" s="51">
        <v>0.6928173412667884</v>
      </c>
      <c r="G8031" s="51" t="str">
        <v>伊藤 2023/03/07 (火)
平日夜間</v>
      </c>
    </row>
    <row r="8032" spans="1:7" ht="16.149999999999999" x14ac:dyDescent="0.7">
      <c r="A8032" s="49">
        <v>44967.60580542824</v>
      </c>
      <c r="B8032" s="50" t="s">
        <v>2</v>
      </c>
      <c r="C8032" s="50" t="s">
        <v>689</v>
      </c>
      <c r="D8032" s="50" t="s">
        <v>259</v>
      </c>
      <c r="E8032" s="50">
        <v>0</v>
      </c>
      <c r="F8032" s="51">
        <v>6.5019934288994108E-2</v>
      </c>
      <c r="G8032" s="51" t="str">
        <v>伊藤 2023/03/08 (水)
平日夜間</v>
      </c>
    </row>
    <row r="8033" spans="1:7" ht="16.149999999999999" x14ac:dyDescent="0.7">
      <c r="A8033" s="49">
        <v>44967.60580542824</v>
      </c>
      <c r="B8033" s="50" t="s">
        <v>2</v>
      </c>
      <c r="C8033" s="50" t="s">
        <v>690</v>
      </c>
      <c r="D8033" s="50" t="s">
        <v>259</v>
      </c>
      <c r="E8033" s="50">
        <v>0</v>
      </c>
      <c r="F8033" s="51">
        <v>0.73765815663163581</v>
      </c>
      <c r="G8033" s="51" t="str">
        <v>伊藤 2023/03/09 (木)
平日夜間</v>
      </c>
    </row>
    <row r="8034" spans="1:7" ht="16.149999999999999" x14ac:dyDescent="0.7">
      <c r="A8034" s="49">
        <v>44967.60580542824</v>
      </c>
      <c r="B8034" s="50" t="s">
        <v>2</v>
      </c>
      <c r="C8034" s="50" t="s">
        <v>691</v>
      </c>
      <c r="D8034" s="50" t="s">
        <v>259</v>
      </c>
      <c r="E8034" s="50">
        <v>-1</v>
      </c>
      <c r="F8034" s="51">
        <v>-0.69991005927857541</v>
      </c>
      <c r="G8034" s="51" t="str">
        <v>伊藤 2023/03/10 (金)
平日夜間</v>
      </c>
    </row>
    <row r="8035" spans="1:7" ht="16.149999999999999" x14ac:dyDescent="0.7">
      <c r="A8035" s="49">
        <v>44967.60580542824</v>
      </c>
      <c r="B8035" s="50" t="s">
        <v>2</v>
      </c>
      <c r="C8035" s="50" t="s">
        <v>692</v>
      </c>
      <c r="D8035" s="50" t="s">
        <v>263</v>
      </c>
      <c r="E8035" s="50">
        <v>-1</v>
      </c>
      <c r="F8035" s="51">
        <v>-0.23844895374917363</v>
      </c>
      <c r="G8035" s="51" t="str">
        <v>伊藤 2023/03/11 (土)
休日午前</v>
      </c>
    </row>
    <row r="8036" spans="1:7" ht="16.149999999999999" x14ac:dyDescent="0.7">
      <c r="A8036" s="49">
        <v>44967.60580542824</v>
      </c>
      <c r="B8036" s="50" t="s">
        <v>2</v>
      </c>
      <c r="C8036" s="50" t="s">
        <v>693</v>
      </c>
      <c r="D8036" s="50" t="s">
        <v>261</v>
      </c>
      <c r="E8036" s="50">
        <v>-1</v>
      </c>
      <c r="F8036" s="51">
        <v>-0.39118217398111699</v>
      </c>
      <c r="G8036" s="51" t="str">
        <v>伊藤 2023/03/11 (土)
休日午後</v>
      </c>
    </row>
    <row r="8037" spans="1:7" ht="16.149999999999999" x14ac:dyDescent="0.7">
      <c r="A8037" s="49">
        <v>44967.60580542824</v>
      </c>
      <c r="B8037" s="50" t="s">
        <v>2</v>
      </c>
      <c r="C8037" s="50" t="s">
        <v>694</v>
      </c>
      <c r="D8037" s="50" t="s">
        <v>263</v>
      </c>
      <c r="E8037" s="50">
        <v>0</v>
      </c>
      <c r="F8037" s="51">
        <v>0.55102036340754035</v>
      </c>
      <c r="G8037" s="51" t="str">
        <v>伊藤 2023/03/12 (日)
休日午前</v>
      </c>
    </row>
    <row r="8038" spans="1:7" ht="16.149999999999999" x14ac:dyDescent="0.7">
      <c r="A8038" s="49">
        <v>44967.60580542824</v>
      </c>
      <c r="B8038" s="50" t="s">
        <v>2</v>
      </c>
      <c r="C8038" s="50" t="s">
        <v>695</v>
      </c>
      <c r="D8038" s="50" t="s">
        <v>261</v>
      </c>
      <c r="E8038" s="50">
        <v>0</v>
      </c>
      <c r="F8038" s="51">
        <v>0.39934795393394151</v>
      </c>
      <c r="G8038" s="51" t="str">
        <v>伊藤 2023/03/12 (日)
休日午後</v>
      </c>
    </row>
    <row r="8039" spans="1:7" ht="16.149999999999999" x14ac:dyDescent="0.7">
      <c r="A8039" s="49">
        <v>44967.60580542824</v>
      </c>
      <c r="B8039" s="50" t="s">
        <v>2</v>
      </c>
      <c r="C8039" s="50" t="s">
        <v>696</v>
      </c>
      <c r="D8039" s="50" t="s">
        <v>259</v>
      </c>
      <c r="E8039" s="50">
        <v>0</v>
      </c>
      <c r="F8039" s="51">
        <v>0.8570859657439247</v>
      </c>
      <c r="G8039" s="51" t="str">
        <v>伊藤 2023/03/13 (月)
平日夜間</v>
      </c>
    </row>
    <row r="8040" spans="1:7" ht="16.149999999999999" x14ac:dyDescent="0.7">
      <c r="A8040" s="49">
        <v>44967.60580542824</v>
      </c>
      <c r="B8040" s="50" t="s">
        <v>2</v>
      </c>
      <c r="C8040" s="50" t="s">
        <v>697</v>
      </c>
      <c r="D8040" s="50" t="s">
        <v>259</v>
      </c>
      <c r="E8040" s="50">
        <v>0</v>
      </c>
      <c r="F8040" s="51">
        <v>0.88904277923989117</v>
      </c>
      <c r="G8040" s="51" t="str">
        <v>伊藤 2023/03/14 (火)
平日夜間</v>
      </c>
    </row>
    <row r="8041" spans="1:7" ht="16.149999999999999" x14ac:dyDescent="0.7">
      <c r="A8041" s="49">
        <v>44967.60580542824</v>
      </c>
      <c r="B8041" s="50" t="s">
        <v>2</v>
      </c>
      <c r="C8041" s="50" t="s">
        <v>698</v>
      </c>
      <c r="D8041" s="50" t="s">
        <v>259</v>
      </c>
      <c r="E8041" s="50">
        <v>0</v>
      </c>
      <c r="F8041" s="51">
        <v>0.22902381527979254</v>
      </c>
      <c r="G8041" s="51" t="str">
        <v>伊藤 2023/03/15 (水)
平日夜間</v>
      </c>
    </row>
    <row r="8042" spans="1:7" ht="16.149999999999999" x14ac:dyDescent="0.7">
      <c r="A8042" s="49">
        <v>44967.60580542824</v>
      </c>
      <c r="B8042" s="50" t="s">
        <v>2</v>
      </c>
      <c r="C8042" s="50" t="s">
        <v>699</v>
      </c>
      <c r="D8042" s="50" t="s">
        <v>259</v>
      </c>
      <c r="E8042" s="50">
        <v>0</v>
      </c>
      <c r="F8042" s="51">
        <v>0.33129364902337377</v>
      </c>
      <c r="G8042" s="51" t="str">
        <v>伊藤 2023/03/16 (木)
平日夜間</v>
      </c>
    </row>
    <row r="8043" spans="1:7" ht="16.149999999999999" x14ac:dyDescent="0.7">
      <c r="A8043" s="49">
        <v>44967.60580542824</v>
      </c>
      <c r="B8043" s="50" t="s">
        <v>2</v>
      </c>
      <c r="C8043" s="50" t="s">
        <v>700</v>
      </c>
      <c r="D8043" s="50" t="s">
        <v>259</v>
      </c>
      <c r="E8043" s="50">
        <v>-1</v>
      </c>
      <c r="F8043" s="51">
        <v>-0.40989971463909725</v>
      </c>
      <c r="G8043" s="51" t="str">
        <v>伊藤 2023/03/17 (金)
平日夜間</v>
      </c>
    </row>
    <row r="8044" spans="1:7" ht="16.149999999999999" x14ac:dyDescent="0.7">
      <c r="A8044" s="49">
        <v>44967.60580542824</v>
      </c>
      <c r="B8044" s="50" t="s">
        <v>2</v>
      </c>
      <c r="C8044" s="50" t="s">
        <v>701</v>
      </c>
      <c r="D8044" s="50" t="s">
        <v>263</v>
      </c>
      <c r="E8044" s="50">
        <v>-1</v>
      </c>
      <c r="F8044" s="51">
        <v>-0.28101271585811238</v>
      </c>
      <c r="G8044" s="51" t="str">
        <v>伊藤 2023/03/18 (土)
休日午前</v>
      </c>
    </row>
    <row r="8045" spans="1:7" ht="16.149999999999999" x14ac:dyDescent="0.7">
      <c r="A8045" s="49">
        <v>44967.60580542824</v>
      </c>
      <c r="B8045" s="50" t="s">
        <v>2</v>
      </c>
      <c r="C8045" s="50" t="s">
        <v>702</v>
      </c>
      <c r="D8045" s="50" t="s">
        <v>261</v>
      </c>
      <c r="E8045" s="50">
        <v>-1</v>
      </c>
      <c r="F8045" s="51">
        <v>-0.87105798064103568</v>
      </c>
      <c r="G8045" s="51" t="str">
        <v>伊藤 2023/03/18 (土)
休日午後</v>
      </c>
    </row>
    <row r="8046" spans="1:7" ht="16.149999999999999" x14ac:dyDescent="0.7">
      <c r="A8046" s="49">
        <v>44967.60580542824</v>
      </c>
      <c r="B8046" s="50" t="s">
        <v>2</v>
      </c>
      <c r="C8046" s="50" t="s">
        <v>703</v>
      </c>
      <c r="D8046" s="50" t="s">
        <v>263</v>
      </c>
      <c r="E8046" s="50">
        <v>0</v>
      </c>
      <c r="F8046" s="51">
        <v>0.24481661973155977</v>
      </c>
      <c r="G8046" s="51" t="str">
        <v>伊藤 2023/03/19 (日)
休日午前</v>
      </c>
    </row>
    <row r="8047" spans="1:7" ht="16.149999999999999" x14ac:dyDescent="0.7">
      <c r="A8047" s="49">
        <v>44967.60580542824</v>
      </c>
      <c r="B8047" s="50" t="s">
        <v>2</v>
      </c>
      <c r="C8047" s="50" t="s">
        <v>704</v>
      </c>
      <c r="D8047" s="50" t="s">
        <v>261</v>
      </c>
      <c r="E8047" s="50">
        <v>0</v>
      </c>
      <c r="F8047" s="51">
        <v>0.23443843594977509</v>
      </c>
      <c r="G8047" s="51" t="str">
        <v>伊藤 2023/03/19 (日)
休日午後</v>
      </c>
    </row>
    <row r="8048" spans="1:7" ht="16.149999999999999" x14ac:dyDescent="0.7">
      <c r="A8048" s="49">
        <v>44967.60580542824</v>
      </c>
      <c r="B8048" s="50" t="s">
        <v>2</v>
      </c>
      <c r="C8048" s="50" t="s">
        <v>705</v>
      </c>
      <c r="D8048" s="50" t="s">
        <v>259</v>
      </c>
      <c r="E8048" s="50">
        <v>0</v>
      </c>
      <c r="F8048" s="51">
        <v>0.22163501106381123</v>
      </c>
      <c r="G8048" s="51" t="str">
        <v>伊藤 2023/03/20 (月)
平日夜間</v>
      </c>
    </row>
    <row r="8049" spans="1:7" ht="16.149999999999999" x14ac:dyDescent="0.7">
      <c r="A8049" s="49">
        <v>44967.60580542824</v>
      </c>
      <c r="B8049" s="50" t="s">
        <v>2</v>
      </c>
      <c r="C8049" s="50" t="s">
        <v>706</v>
      </c>
      <c r="D8049" s="50" t="s">
        <v>263</v>
      </c>
      <c r="E8049" s="50">
        <v>0</v>
      </c>
      <c r="F8049" s="51">
        <v>0.37255899414821281</v>
      </c>
      <c r="G8049" s="51" t="str">
        <v>伊藤 2023/03/21 (火)
休日午前</v>
      </c>
    </row>
    <row r="8050" spans="1:7" ht="16.149999999999999" x14ac:dyDescent="0.7">
      <c r="A8050" s="49">
        <v>44967.60580542824</v>
      </c>
      <c r="B8050" s="50" t="s">
        <v>2</v>
      </c>
      <c r="C8050" s="50" t="s">
        <v>707</v>
      </c>
      <c r="D8050" s="50" t="s">
        <v>261</v>
      </c>
      <c r="E8050" s="50">
        <v>0</v>
      </c>
      <c r="F8050" s="51">
        <v>0.69956789389066332</v>
      </c>
      <c r="G8050" s="51" t="str">
        <v>伊藤 2023/03/21 (火)
休日午後</v>
      </c>
    </row>
    <row r="8051" spans="1:7" ht="16.149999999999999" x14ac:dyDescent="0.7">
      <c r="A8051" s="49">
        <v>44967.60580542824</v>
      </c>
      <c r="B8051" s="50" t="s">
        <v>2</v>
      </c>
      <c r="C8051" s="50" t="s">
        <v>708</v>
      </c>
      <c r="D8051" s="50" t="s">
        <v>259</v>
      </c>
      <c r="E8051" s="50">
        <v>0</v>
      </c>
      <c r="F8051" s="51">
        <v>0.39745659091777052</v>
      </c>
      <c r="G8051" s="51" t="str">
        <v>伊藤 2023/03/22 (水)
平日夜間</v>
      </c>
    </row>
    <row r="8052" spans="1:7" ht="16.149999999999999" x14ac:dyDescent="0.7">
      <c r="A8052" s="49">
        <v>44967.60580542824</v>
      </c>
      <c r="B8052" s="50" t="s">
        <v>2</v>
      </c>
      <c r="C8052" s="50" t="s">
        <v>709</v>
      </c>
      <c r="D8052" s="50" t="s">
        <v>259</v>
      </c>
      <c r="E8052" s="50">
        <v>0</v>
      </c>
      <c r="F8052" s="51">
        <v>0.89965190780398219</v>
      </c>
      <c r="G8052" s="51" t="str">
        <v>伊藤 2023/03/23 (木)
平日夜間</v>
      </c>
    </row>
    <row r="8053" spans="1:7" ht="16.149999999999999" x14ac:dyDescent="0.7">
      <c r="A8053" s="49">
        <v>44967.60580542824</v>
      </c>
      <c r="B8053" s="50" t="s">
        <v>2</v>
      </c>
      <c r="C8053" s="50" t="s">
        <v>710</v>
      </c>
      <c r="D8053" s="50" t="s">
        <v>259</v>
      </c>
      <c r="E8053" s="50">
        <v>-1</v>
      </c>
      <c r="F8053" s="51">
        <v>-0.97839814123321589</v>
      </c>
      <c r="G8053" s="51" t="str">
        <v>伊藤 2023/03/24 (金)
平日夜間</v>
      </c>
    </row>
    <row r="8054" spans="1:7" ht="16.149999999999999" x14ac:dyDescent="0.7">
      <c r="A8054" s="49">
        <v>44967.60580542824</v>
      </c>
      <c r="B8054" s="50" t="s">
        <v>2</v>
      </c>
      <c r="C8054" s="50" t="s">
        <v>711</v>
      </c>
      <c r="D8054" s="50" t="s">
        <v>263</v>
      </c>
      <c r="E8054" s="50">
        <v>-1</v>
      </c>
      <c r="F8054" s="51">
        <v>-0.4431690660927905</v>
      </c>
      <c r="G8054" s="51" t="str">
        <v>伊藤 2023/03/25 (土)
休日午前</v>
      </c>
    </row>
    <row r="8055" spans="1:7" ht="16.149999999999999" x14ac:dyDescent="0.7">
      <c r="A8055" s="49">
        <v>44967.60580542824</v>
      </c>
      <c r="B8055" s="50" t="s">
        <v>2</v>
      </c>
      <c r="C8055" s="50" t="s">
        <v>712</v>
      </c>
      <c r="D8055" s="50" t="s">
        <v>261</v>
      </c>
      <c r="E8055" s="50">
        <v>-1</v>
      </c>
      <c r="F8055" s="51">
        <v>-0.21824821682198392</v>
      </c>
      <c r="G8055" s="51" t="str">
        <v>伊藤 2023/03/25 (土)
休日午後</v>
      </c>
    </row>
    <row r="8056" spans="1:7" ht="16.149999999999999" x14ac:dyDescent="0.7">
      <c r="A8056" s="49">
        <v>44967.60580542824</v>
      </c>
      <c r="B8056" s="50" t="s">
        <v>2</v>
      </c>
      <c r="C8056" s="50" t="s">
        <v>713</v>
      </c>
      <c r="D8056" s="50" t="s">
        <v>263</v>
      </c>
      <c r="E8056" s="50">
        <v>0</v>
      </c>
      <c r="F8056" s="51">
        <v>0.69364046642808441</v>
      </c>
      <c r="G8056" s="51" t="str">
        <v>伊藤 2023/03/26 (日)
休日午前</v>
      </c>
    </row>
    <row r="8057" spans="1:7" ht="16.149999999999999" x14ac:dyDescent="0.7">
      <c r="A8057" s="49">
        <v>44967.60580542824</v>
      </c>
      <c r="B8057" s="50" t="s">
        <v>2</v>
      </c>
      <c r="C8057" s="50" t="s">
        <v>714</v>
      </c>
      <c r="D8057" s="50" t="s">
        <v>261</v>
      </c>
      <c r="E8057" s="50">
        <v>0</v>
      </c>
      <c r="F8057" s="51">
        <v>0.73113450528958945</v>
      </c>
      <c r="G8057" s="51" t="str">
        <v>伊藤 2023/03/26 (日)
休日午後</v>
      </c>
    </row>
    <row r="8058" spans="1:7" ht="16.149999999999999" x14ac:dyDescent="0.7">
      <c r="A8058" s="49">
        <v>44967.60580542824</v>
      </c>
      <c r="B8058" s="50" t="s">
        <v>2</v>
      </c>
      <c r="C8058" s="50" t="s">
        <v>715</v>
      </c>
      <c r="D8058" s="50" t="s">
        <v>259</v>
      </c>
      <c r="E8058" s="50">
        <v>0</v>
      </c>
      <c r="F8058" s="51">
        <v>0.83372472219199256</v>
      </c>
      <c r="G8058" s="51" t="str">
        <v>伊藤 2023/03/27 (月)
平日夜間</v>
      </c>
    </row>
    <row r="8059" spans="1:7" ht="16.149999999999999" x14ac:dyDescent="0.7">
      <c r="A8059" s="49">
        <v>44967.60580542824</v>
      </c>
      <c r="B8059" s="50" t="s">
        <v>2</v>
      </c>
      <c r="C8059" s="50" t="s">
        <v>716</v>
      </c>
      <c r="D8059" s="50" t="s">
        <v>259</v>
      </c>
      <c r="E8059" s="50">
        <v>0</v>
      </c>
      <c r="F8059" s="51">
        <v>0.69677506205826889</v>
      </c>
      <c r="G8059" s="51" t="str">
        <v>伊藤 2023/03/28 (火)
平日夜間</v>
      </c>
    </row>
    <row r="8060" spans="1:7" ht="16.149999999999999" x14ac:dyDescent="0.7">
      <c r="A8060" s="49">
        <v>44967.60580542824</v>
      </c>
      <c r="B8060" s="50" t="s">
        <v>2</v>
      </c>
      <c r="C8060" s="50" t="s">
        <v>717</v>
      </c>
      <c r="D8060" s="50" t="s">
        <v>259</v>
      </c>
      <c r="E8060" s="50">
        <v>0</v>
      </c>
      <c r="F8060" s="51">
        <v>0.29763450240869727</v>
      </c>
      <c r="G8060" s="51" t="str">
        <v>伊藤 2023/03/29 (水)
平日夜間</v>
      </c>
    </row>
    <row r="8061" spans="1:7" ht="16.149999999999999" x14ac:dyDescent="0.7">
      <c r="A8061" s="49">
        <v>44967.60580542824</v>
      </c>
      <c r="B8061" s="50" t="s">
        <v>2</v>
      </c>
      <c r="C8061" s="50" t="s">
        <v>718</v>
      </c>
      <c r="D8061" s="50" t="s">
        <v>259</v>
      </c>
      <c r="E8061" s="50">
        <v>0</v>
      </c>
      <c r="F8061" s="51">
        <v>2.9060956612576794E-2</v>
      </c>
      <c r="G8061" s="51" t="str">
        <v>伊藤 2023/03/30 (木)
平日夜間</v>
      </c>
    </row>
    <row r="8062" spans="1:7" ht="16.149999999999999" x14ac:dyDescent="0.7">
      <c r="A8062" s="49">
        <v>44967.60580542824</v>
      </c>
      <c r="B8062" s="50" t="s">
        <v>2</v>
      </c>
      <c r="C8062" s="50" t="s">
        <v>719</v>
      </c>
      <c r="D8062" s="50" t="s">
        <v>259</v>
      </c>
      <c r="E8062" s="50">
        <v>-1</v>
      </c>
      <c r="F8062" s="51">
        <v>-0.92682238203509337</v>
      </c>
      <c r="G8062" s="51" t="str">
        <v>伊藤 2023/03/31 (金)
平日夜間</v>
      </c>
    </row>
    <row r="8063" spans="1:7" ht="16.149999999999999" x14ac:dyDescent="0.7">
      <c r="A8063" s="49">
        <v>44967.781847604172</v>
      </c>
      <c r="B8063" s="50" t="s">
        <v>14</v>
      </c>
      <c r="C8063" s="50" t="s">
        <v>680</v>
      </c>
      <c r="D8063" s="50" t="s">
        <v>259</v>
      </c>
      <c r="E8063" s="50">
        <v>0</v>
      </c>
      <c r="F8063" s="51">
        <v>0.62439200568228848</v>
      </c>
      <c r="G8063" s="51" t="str">
        <v>林智 2023/03/01 (水)
平日夜間</v>
      </c>
    </row>
    <row r="8064" spans="1:7" ht="16.149999999999999" x14ac:dyDescent="0.7">
      <c r="A8064" s="49">
        <v>44967.781847604172</v>
      </c>
      <c r="B8064" s="50" t="s">
        <v>14</v>
      </c>
      <c r="C8064" s="50" t="s">
        <v>681</v>
      </c>
      <c r="D8064" s="50" t="s">
        <v>259</v>
      </c>
      <c r="E8064" s="50">
        <v>0</v>
      </c>
      <c r="F8064" s="51">
        <v>0.68287578098461155</v>
      </c>
      <c r="G8064" s="51" t="str">
        <v>林智 2023/03/02 (木)
平日夜間</v>
      </c>
    </row>
    <row r="8065" spans="1:7" ht="16.149999999999999" x14ac:dyDescent="0.7">
      <c r="A8065" s="49">
        <v>44967.781847604172</v>
      </c>
      <c r="B8065" s="50" t="s">
        <v>14</v>
      </c>
      <c r="C8065" s="50" t="s">
        <v>682</v>
      </c>
      <c r="D8065" s="50" t="s">
        <v>259</v>
      </c>
      <c r="E8065" s="50">
        <v>0</v>
      </c>
      <c r="F8065" s="51">
        <v>0.25854652525020838</v>
      </c>
      <c r="G8065" s="51" t="str">
        <v>林智 2023/03/03 (金)
平日夜間</v>
      </c>
    </row>
    <row r="8066" spans="1:7" ht="16.149999999999999" x14ac:dyDescent="0.7">
      <c r="A8066" s="49">
        <v>44967.781847604172</v>
      </c>
      <c r="B8066" s="50" t="s">
        <v>14</v>
      </c>
      <c r="C8066" s="50" t="s">
        <v>683</v>
      </c>
      <c r="D8066" s="50" t="s">
        <v>263</v>
      </c>
      <c r="E8066" s="50">
        <v>-1</v>
      </c>
      <c r="F8066" s="51">
        <v>-0.24454996850236466</v>
      </c>
      <c r="G8066" s="51" t="str">
        <v>林智 2023/03/04 (土)
休日午前</v>
      </c>
    </row>
    <row r="8067" spans="1:7" ht="16.149999999999999" x14ac:dyDescent="0.7">
      <c r="A8067" s="49">
        <v>44967.781847604172</v>
      </c>
      <c r="B8067" s="50" t="s">
        <v>14</v>
      </c>
      <c r="C8067" s="50" t="s">
        <v>684</v>
      </c>
      <c r="D8067" s="50" t="s">
        <v>261</v>
      </c>
      <c r="E8067" s="50">
        <v>-1</v>
      </c>
      <c r="F8067" s="51">
        <v>-0.33587656480351713</v>
      </c>
      <c r="G8067" s="51" t="str">
        <v>林智 2023/03/04 (土)
休日午後</v>
      </c>
    </row>
    <row r="8068" spans="1:7" ht="16.149999999999999" x14ac:dyDescent="0.7">
      <c r="A8068" s="49">
        <v>44967.781847604172</v>
      </c>
      <c r="B8068" s="50" t="s">
        <v>14</v>
      </c>
      <c r="C8068" s="50" t="s">
        <v>685</v>
      </c>
      <c r="D8068" s="50" t="s">
        <v>263</v>
      </c>
      <c r="E8068" s="50">
        <v>-1</v>
      </c>
      <c r="F8068" s="51">
        <v>-0.35230591210415674</v>
      </c>
      <c r="G8068" s="51" t="str">
        <v>林智 2023/03/05 (日)
休日午前</v>
      </c>
    </row>
    <row r="8069" spans="1:7" ht="16.149999999999999" x14ac:dyDescent="0.7">
      <c r="A8069" s="49">
        <v>44967.781847604172</v>
      </c>
      <c r="B8069" s="50" t="s">
        <v>14</v>
      </c>
      <c r="C8069" s="50" t="s">
        <v>686</v>
      </c>
      <c r="D8069" s="50" t="s">
        <v>261</v>
      </c>
      <c r="E8069" s="50">
        <v>-1</v>
      </c>
      <c r="F8069" s="51">
        <v>-0.18662644924642025</v>
      </c>
      <c r="G8069" s="51" t="str">
        <v>林智 2023/03/05 (日)
休日午後</v>
      </c>
    </row>
    <row r="8070" spans="1:7" ht="16.149999999999999" x14ac:dyDescent="0.7">
      <c r="A8070" s="49">
        <v>44967.781847604172</v>
      </c>
      <c r="B8070" s="50" t="s">
        <v>14</v>
      </c>
      <c r="C8070" s="50" t="s">
        <v>687</v>
      </c>
      <c r="D8070" s="50" t="s">
        <v>259</v>
      </c>
      <c r="E8070" s="50">
        <v>0</v>
      </c>
      <c r="F8070" s="51">
        <v>0.57501219528374126</v>
      </c>
      <c r="G8070" s="51" t="str">
        <v>林智 2023/03/06 (月)
平日夜間</v>
      </c>
    </row>
    <row r="8071" spans="1:7" ht="16.149999999999999" x14ac:dyDescent="0.7">
      <c r="A8071" s="49">
        <v>44967.781847604172</v>
      </c>
      <c r="B8071" s="50" t="s">
        <v>14</v>
      </c>
      <c r="C8071" s="50" t="s">
        <v>688</v>
      </c>
      <c r="D8071" s="50" t="s">
        <v>259</v>
      </c>
      <c r="E8071" s="50">
        <v>0</v>
      </c>
      <c r="F8071" s="51">
        <v>0.38335169905934352</v>
      </c>
      <c r="G8071" s="51" t="str">
        <v>林智 2023/03/07 (火)
平日夜間</v>
      </c>
    </row>
    <row r="8072" spans="1:7" ht="16.149999999999999" x14ac:dyDescent="0.7">
      <c r="A8072" s="49">
        <v>44967.781847604172</v>
      </c>
      <c r="B8072" s="50" t="s">
        <v>14</v>
      </c>
      <c r="C8072" s="50" t="s">
        <v>689</v>
      </c>
      <c r="D8072" s="50" t="s">
        <v>259</v>
      </c>
      <c r="E8072" s="50">
        <v>0</v>
      </c>
      <c r="F8072" s="51">
        <v>0.64614431023329422</v>
      </c>
      <c r="G8072" s="51" t="str">
        <v>林智 2023/03/08 (水)
平日夜間</v>
      </c>
    </row>
    <row r="8073" spans="1:7" ht="16.149999999999999" x14ac:dyDescent="0.7">
      <c r="A8073" s="49">
        <v>44967.781847604172</v>
      </c>
      <c r="B8073" s="50" t="s">
        <v>14</v>
      </c>
      <c r="C8073" s="50" t="s">
        <v>690</v>
      </c>
      <c r="D8073" s="50" t="s">
        <v>259</v>
      </c>
      <c r="E8073" s="50">
        <v>0</v>
      </c>
      <c r="F8073" s="51">
        <v>0.85531212284558467</v>
      </c>
      <c r="G8073" s="51" t="str">
        <v>林智 2023/03/09 (木)
平日夜間</v>
      </c>
    </row>
    <row r="8074" spans="1:7" ht="16.149999999999999" x14ac:dyDescent="0.7">
      <c r="A8074" s="49">
        <v>44967.781847604172</v>
      </c>
      <c r="B8074" s="50" t="s">
        <v>14</v>
      </c>
      <c r="C8074" s="50" t="s">
        <v>691</v>
      </c>
      <c r="D8074" s="50" t="s">
        <v>259</v>
      </c>
      <c r="E8074" s="50">
        <v>2</v>
      </c>
      <c r="F8074" s="51">
        <v>2.1008949756077699</v>
      </c>
      <c r="G8074" s="51" t="str">
        <v>林智 2023/03/10 (金)
平日夜間</v>
      </c>
    </row>
    <row r="8075" spans="1:7" ht="16.149999999999999" x14ac:dyDescent="0.7">
      <c r="A8075" s="49">
        <v>44967.781847604172</v>
      </c>
      <c r="B8075" s="50" t="s">
        <v>14</v>
      </c>
      <c r="C8075" s="50" t="s">
        <v>692</v>
      </c>
      <c r="D8075" s="50" t="s">
        <v>263</v>
      </c>
      <c r="E8075" s="50">
        <v>-1</v>
      </c>
      <c r="F8075" s="51">
        <v>-0.84040404298347449</v>
      </c>
      <c r="G8075" s="51" t="str">
        <v>林智 2023/03/11 (土)
休日午前</v>
      </c>
    </row>
    <row r="8076" spans="1:7" ht="16.149999999999999" x14ac:dyDescent="0.7">
      <c r="A8076" s="49">
        <v>44967.781847604172</v>
      </c>
      <c r="B8076" s="50" t="s">
        <v>14</v>
      </c>
      <c r="C8076" s="50" t="s">
        <v>693</v>
      </c>
      <c r="D8076" s="50" t="s">
        <v>261</v>
      </c>
      <c r="E8076" s="50">
        <v>-1</v>
      </c>
      <c r="F8076" s="51">
        <v>-0.171455515045847</v>
      </c>
      <c r="G8076" s="51" t="str">
        <v>林智 2023/03/11 (土)
休日午後</v>
      </c>
    </row>
    <row r="8077" spans="1:7" ht="16.149999999999999" x14ac:dyDescent="0.7">
      <c r="A8077" s="49">
        <v>44967.781847604172</v>
      </c>
      <c r="B8077" s="50" t="s">
        <v>14</v>
      </c>
      <c r="C8077" s="50" t="s">
        <v>694</v>
      </c>
      <c r="D8077" s="50" t="s">
        <v>263</v>
      </c>
      <c r="E8077" s="50">
        <v>-1</v>
      </c>
      <c r="F8077" s="51">
        <v>-0.5702323230124946</v>
      </c>
      <c r="G8077" s="51" t="str">
        <v>林智 2023/03/12 (日)
休日午前</v>
      </c>
    </row>
    <row r="8078" spans="1:7" ht="16.149999999999999" x14ac:dyDescent="0.7">
      <c r="A8078" s="49">
        <v>44967.781847604172</v>
      </c>
      <c r="B8078" s="50" t="s">
        <v>14</v>
      </c>
      <c r="C8078" s="50" t="s">
        <v>695</v>
      </c>
      <c r="D8078" s="50" t="s">
        <v>261</v>
      </c>
      <c r="E8078" s="50">
        <v>-1</v>
      </c>
      <c r="F8078" s="51">
        <v>-0.31493281317135446</v>
      </c>
      <c r="G8078" s="51" t="str">
        <v>林智 2023/03/12 (日)
休日午後</v>
      </c>
    </row>
    <row r="8079" spans="1:7" ht="16.149999999999999" x14ac:dyDescent="0.7">
      <c r="A8079" s="49">
        <v>44967.781847604172</v>
      </c>
      <c r="B8079" s="50" t="s">
        <v>14</v>
      </c>
      <c r="C8079" s="50" t="s">
        <v>696</v>
      </c>
      <c r="D8079" s="50" t="s">
        <v>259</v>
      </c>
      <c r="E8079" s="50">
        <v>0</v>
      </c>
      <c r="F8079" s="51">
        <v>0.59521023613708568</v>
      </c>
      <c r="G8079" s="51" t="str">
        <v>林智 2023/03/13 (月)
平日夜間</v>
      </c>
    </row>
    <row r="8080" spans="1:7" ht="16.149999999999999" x14ac:dyDescent="0.7">
      <c r="A8080" s="49">
        <v>44967.781847604172</v>
      </c>
      <c r="B8080" s="50" t="s">
        <v>14</v>
      </c>
      <c r="C8080" s="50" t="s">
        <v>697</v>
      </c>
      <c r="D8080" s="50" t="s">
        <v>259</v>
      </c>
      <c r="E8080" s="50">
        <v>0</v>
      </c>
      <c r="F8080" s="51">
        <v>0.83686767565777753</v>
      </c>
      <c r="G8080" s="51" t="str">
        <v>林智 2023/03/14 (火)
平日夜間</v>
      </c>
    </row>
    <row r="8081" spans="1:7" ht="16.149999999999999" x14ac:dyDescent="0.7">
      <c r="A8081" s="49">
        <v>44967.781847604172</v>
      </c>
      <c r="B8081" s="50" t="s">
        <v>14</v>
      </c>
      <c r="C8081" s="50" t="s">
        <v>698</v>
      </c>
      <c r="D8081" s="50" t="s">
        <v>259</v>
      </c>
      <c r="E8081" s="50">
        <v>0</v>
      </c>
      <c r="F8081" s="51">
        <v>0.25960422124998961</v>
      </c>
      <c r="G8081" s="51" t="str">
        <v>林智 2023/03/15 (水)
平日夜間</v>
      </c>
    </row>
    <row r="8082" spans="1:7" ht="16.149999999999999" x14ac:dyDescent="0.7">
      <c r="A8082" s="49">
        <v>44967.781847604172</v>
      </c>
      <c r="B8082" s="50" t="s">
        <v>14</v>
      </c>
      <c r="C8082" s="50" t="s">
        <v>699</v>
      </c>
      <c r="D8082" s="50" t="s">
        <v>259</v>
      </c>
      <c r="E8082" s="50">
        <v>-1</v>
      </c>
      <c r="F8082" s="51">
        <v>-0.8175694071795292</v>
      </c>
      <c r="G8082" s="51" t="str">
        <v>林智 2023/03/16 (木)
平日夜間</v>
      </c>
    </row>
    <row r="8083" spans="1:7" ht="16.149999999999999" x14ac:dyDescent="0.7">
      <c r="A8083" s="49">
        <v>44967.781847604172</v>
      </c>
      <c r="B8083" s="50" t="s">
        <v>14</v>
      </c>
      <c r="C8083" s="50" t="s">
        <v>700</v>
      </c>
      <c r="D8083" s="50" t="s">
        <v>259</v>
      </c>
      <c r="E8083" s="50">
        <v>0</v>
      </c>
      <c r="F8083" s="51">
        <v>0.39662909941377977</v>
      </c>
      <c r="G8083" s="51" t="str">
        <v>林智 2023/03/17 (金)
平日夜間</v>
      </c>
    </row>
    <row r="8084" spans="1:7" ht="16.149999999999999" x14ac:dyDescent="0.7">
      <c r="A8084" s="49">
        <v>44967.781847604172</v>
      </c>
      <c r="B8084" s="50" t="s">
        <v>14</v>
      </c>
      <c r="C8084" s="50" t="s">
        <v>701</v>
      </c>
      <c r="D8084" s="50" t="s">
        <v>263</v>
      </c>
      <c r="E8084" s="50">
        <v>0</v>
      </c>
      <c r="F8084" s="51">
        <v>0.33325184809907316</v>
      </c>
      <c r="G8084" s="51" t="str">
        <v>林智 2023/03/18 (土)
休日午前</v>
      </c>
    </row>
    <row r="8085" spans="1:7" ht="16.149999999999999" x14ac:dyDescent="0.7">
      <c r="A8085" s="49">
        <v>44967.781847604172</v>
      </c>
      <c r="B8085" s="50" t="s">
        <v>14</v>
      </c>
      <c r="C8085" s="50" t="s">
        <v>702</v>
      </c>
      <c r="D8085" s="50" t="s">
        <v>261</v>
      </c>
      <c r="E8085" s="50">
        <v>-1</v>
      </c>
      <c r="F8085" s="51">
        <v>-0.91303716296232507</v>
      </c>
      <c r="G8085" s="51" t="str">
        <v>林智 2023/03/18 (土)
休日午後</v>
      </c>
    </row>
    <row r="8086" spans="1:7" ht="16.149999999999999" x14ac:dyDescent="0.7">
      <c r="A8086" s="49">
        <v>44967.781847604172</v>
      </c>
      <c r="B8086" s="50" t="s">
        <v>14</v>
      </c>
      <c r="C8086" s="50" t="s">
        <v>703</v>
      </c>
      <c r="D8086" s="50" t="s">
        <v>263</v>
      </c>
      <c r="E8086" s="50">
        <v>0</v>
      </c>
      <c r="F8086" s="51">
        <v>0.73165118333702139</v>
      </c>
      <c r="G8086" s="51" t="str">
        <v>林智 2023/03/19 (日)
休日午前</v>
      </c>
    </row>
    <row r="8087" spans="1:7" ht="16.149999999999999" x14ac:dyDescent="0.7">
      <c r="A8087" s="49">
        <v>44967.781847604172</v>
      </c>
      <c r="B8087" s="50" t="s">
        <v>14</v>
      </c>
      <c r="C8087" s="50" t="s">
        <v>704</v>
      </c>
      <c r="D8087" s="50" t="s">
        <v>261</v>
      </c>
      <c r="E8087" s="50">
        <v>-1</v>
      </c>
      <c r="F8087" s="51">
        <v>-0.52668311253851585</v>
      </c>
      <c r="G8087" s="51" t="str">
        <v>林智 2023/03/19 (日)
休日午後</v>
      </c>
    </row>
    <row r="8088" spans="1:7" ht="16.149999999999999" x14ac:dyDescent="0.7">
      <c r="A8088" s="49">
        <v>44967.781847604172</v>
      </c>
      <c r="B8088" s="50" t="s">
        <v>14</v>
      </c>
      <c r="C8088" s="50" t="s">
        <v>705</v>
      </c>
      <c r="D8088" s="50" t="s">
        <v>259</v>
      </c>
      <c r="E8088" s="50">
        <v>-1</v>
      </c>
      <c r="F8088" s="51">
        <v>-0.84216488431827496</v>
      </c>
      <c r="G8088" s="51" t="str">
        <v>林智 2023/03/20 (月)
平日夜間</v>
      </c>
    </row>
    <row r="8089" spans="1:7" ht="16.149999999999999" x14ac:dyDescent="0.7">
      <c r="A8089" s="49">
        <v>44967.781847604172</v>
      </c>
      <c r="B8089" s="50" t="s">
        <v>14</v>
      </c>
      <c r="C8089" s="50" t="s">
        <v>706</v>
      </c>
      <c r="D8089" s="50" t="s">
        <v>263</v>
      </c>
      <c r="E8089" s="50">
        <v>0</v>
      </c>
      <c r="F8089" s="51">
        <v>0.15997975772356288</v>
      </c>
      <c r="G8089" s="51" t="str">
        <v>林智 2023/03/21 (火)
休日午前</v>
      </c>
    </row>
    <row r="8090" spans="1:7" ht="16.149999999999999" x14ac:dyDescent="0.7">
      <c r="A8090" s="49">
        <v>44967.781847604172</v>
      </c>
      <c r="B8090" s="50" t="s">
        <v>14</v>
      </c>
      <c r="C8090" s="50" t="s">
        <v>707</v>
      </c>
      <c r="D8090" s="50" t="s">
        <v>261</v>
      </c>
      <c r="E8090" s="50">
        <v>-1</v>
      </c>
      <c r="F8090" s="51">
        <v>-0.44716637717455066</v>
      </c>
      <c r="G8090" s="51" t="str">
        <v>林智 2023/03/21 (火)
休日午後</v>
      </c>
    </row>
    <row r="8091" spans="1:7" ht="16.149999999999999" x14ac:dyDescent="0.7">
      <c r="A8091" s="49">
        <v>44967.781847604172</v>
      </c>
      <c r="B8091" s="50" t="s">
        <v>14</v>
      </c>
      <c r="C8091" s="50" t="s">
        <v>708</v>
      </c>
      <c r="D8091" s="50" t="s">
        <v>259</v>
      </c>
      <c r="E8091" s="50">
        <v>0</v>
      </c>
      <c r="F8091" s="51">
        <v>0.3089687723735226</v>
      </c>
      <c r="G8091" s="51" t="str">
        <v>林智 2023/03/22 (水)
平日夜間</v>
      </c>
    </row>
    <row r="8092" spans="1:7" ht="16.149999999999999" x14ac:dyDescent="0.7">
      <c r="A8092" s="49">
        <v>44967.781847604172</v>
      </c>
      <c r="B8092" s="50" t="s">
        <v>14</v>
      </c>
      <c r="C8092" s="50" t="s">
        <v>709</v>
      </c>
      <c r="D8092" s="50" t="s">
        <v>259</v>
      </c>
      <c r="E8092" s="50">
        <v>0</v>
      </c>
      <c r="F8092" s="51">
        <v>0.10325847237497587</v>
      </c>
      <c r="G8092" s="51" t="str">
        <v>林智 2023/03/23 (木)
平日夜間</v>
      </c>
    </row>
    <row r="8093" spans="1:7" ht="16.149999999999999" x14ac:dyDescent="0.7">
      <c r="A8093" s="49">
        <v>44967.781847604172</v>
      </c>
      <c r="B8093" s="50" t="s">
        <v>14</v>
      </c>
      <c r="C8093" s="50" t="s">
        <v>710</v>
      </c>
      <c r="D8093" s="50" t="s">
        <v>259</v>
      </c>
      <c r="E8093" s="50">
        <v>0</v>
      </c>
      <c r="F8093" s="51">
        <v>0.1722940771959014</v>
      </c>
      <c r="G8093" s="51" t="str">
        <v>林智 2023/03/24 (金)
平日夜間</v>
      </c>
    </row>
    <row r="8094" spans="1:7" ht="16.149999999999999" x14ac:dyDescent="0.7">
      <c r="A8094" s="49">
        <v>44967.781847604172</v>
      </c>
      <c r="B8094" s="50" t="s">
        <v>14</v>
      </c>
      <c r="C8094" s="50" t="s">
        <v>711</v>
      </c>
      <c r="D8094" s="50" t="s">
        <v>263</v>
      </c>
      <c r="E8094" s="50">
        <v>-1</v>
      </c>
      <c r="F8094" s="51">
        <v>-0.84456979402228916</v>
      </c>
      <c r="G8094" s="51" t="str">
        <v>林智 2023/03/25 (土)
休日午前</v>
      </c>
    </row>
    <row r="8095" spans="1:7" ht="16.149999999999999" x14ac:dyDescent="0.7">
      <c r="A8095" s="49">
        <v>44967.781847604172</v>
      </c>
      <c r="B8095" s="50" t="s">
        <v>14</v>
      </c>
      <c r="C8095" s="50" t="s">
        <v>712</v>
      </c>
      <c r="D8095" s="50" t="s">
        <v>261</v>
      </c>
      <c r="E8095" s="50">
        <v>-1</v>
      </c>
      <c r="F8095" s="51">
        <v>-0.16467918547527538</v>
      </c>
      <c r="G8095" s="51" t="str">
        <v>林智 2023/03/25 (土)
休日午後</v>
      </c>
    </row>
    <row r="8096" spans="1:7" ht="16.149999999999999" x14ac:dyDescent="0.7">
      <c r="A8096" s="49">
        <v>44967.781847604172</v>
      </c>
      <c r="B8096" s="50" t="s">
        <v>14</v>
      </c>
      <c r="C8096" s="50" t="s">
        <v>713</v>
      </c>
      <c r="D8096" s="50" t="s">
        <v>263</v>
      </c>
      <c r="E8096" s="50">
        <v>-1</v>
      </c>
      <c r="F8096" s="51">
        <v>-0.9400272382045689</v>
      </c>
      <c r="G8096" s="51" t="str">
        <v>林智 2023/03/26 (日)
休日午前</v>
      </c>
    </row>
    <row r="8097" spans="1:7" ht="16.149999999999999" x14ac:dyDescent="0.7">
      <c r="A8097" s="49">
        <v>44967.781847604172</v>
      </c>
      <c r="B8097" s="50" t="s">
        <v>14</v>
      </c>
      <c r="C8097" s="50" t="s">
        <v>714</v>
      </c>
      <c r="D8097" s="50" t="s">
        <v>261</v>
      </c>
      <c r="E8097" s="50">
        <v>-1</v>
      </c>
      <c r="F8097" s="51">
        <v>-0.76027716331760486</v>
      </c>
      <c r="G8097" s="51" t="str">
        <v>林智 2023/03/26 (日)
休日午後</v>
      </c>
    </row>
    <row r="8098" spans="1:7" ht="16.149999999999999" x14ac:dyDescent="0.7">
      <c r="A8098" s="49">
        <v>44967.781847604172</v>
      </c>
      <c r="B8098" s="50" t="s">
        <v>14</v>
      </c>
      <c r="C8098" s="50" t="s">
        <v>715</v>
      </c>
      <c r="D8098" s="50" t="s">
        <v>259</v>
      </c>
      <c r="E8098" s="50">
        <v>0</v>
      </c>
      <c r="F8098" s="51">
        <v>0.96868643444016334</v>
      </c>
      <c r="G8098" s="51" t="str">
        <v>林智 2023/03/27 (月)
平日夜間</v>
      </c>
    </row>
    <row r="8099" spans="1:7" ht="16.149999999999999" x14ac:dyDescent="0.7">
      <c r="A8099" s="49">
        <v>44967.781847604172</v>
      </c>
      <c r="B8099" s="50" t="s">
        <v>14</v>
      </c>
      <c r="C8099" s="50" t="s">
        <v>716</v>
      </c>
      <c r="D8099" s="50" t="s">
        <v>259</v>
      </c>
      <c r="E8099" s="50">
        <v>2</v>
      </c>
      <c r="F8099" s="51">
        <v>2.3130768064875449</v>
      </c>
      <c r="G8099" s="51" t="str">
        <v>林智 2023/03/28 (火)
平日夜間</v>
      </c>
    </row>
    <row r="8100" spans="1:7" ht="16.149999999999999" x14ac:dyDescent="0.7">
      <c r="A8100" s="49">
        <v>44967.781847604172</v>
      </c>
      <c r="B8100" s="50" t="s">
        <v>14</v>
      </c>
      <c r="C8100" s="50" t="s">
        <v>717</v>
      </c>
      <c r="D8100" s="50" t="s">
        <v>259</v>
      </c>
      <c r="E8100" s="50">
        <v>0</v>
      </c>
      <c r="F8100" s="51">
        <v>0.2301109569212263</v>
      </c>
      <c r="G8100" s="51" t="str">
        <v>林智 2023/03/29 (水)
平日夜間</v>
      </c>
    </row>
    <row r="8101" spans="1:7" ht="16.149999999999999" x14ac:dyDescent="0.7">
      <c r="A8101" s="49">
        <v>44967.781847604172</v>
      </c>
      <c r="B8101" s="50" t="s">
        <v>14</v>
      </c>
      <c r="C8101" s="50" t="s">
        <v>718</v>
      </c>
      <c r="D8101" s="50" t="s">
        <v>259</v>
      </c>
      <c r="E8101" s="50">
        <v>0</v>
      </c>
      <c r="F8101" s="51">
        <v>0.84182736151804316</v>
      </c>
      <c r="G8101" s="51" t="str">
        <v>林智 2023/03/30 (木)
平日夜間</v>
      </c>
    </row>
    <row r="8102" spans="1:7" ht="16.149999999999999" x14ac:dyDescent="0.7">
      <c r="A8102" s="49">
        <v>44967.781847604172</v>
      </c>
      <c r="B8102" s="50" t="s">
        <v>14</v>
      </c>
      <c r="C8102" s="50" t="s">
        <v>719</v>
      </c>
      <c r="D8102" s="50" t="s">
        <v>259</v>
      </c>
      <c r="E8102" s="50">
        <v>0</v>
      </c>
      <c r="F8102" s="51">
        <v>0.4765362239400297</v>
      </c>
      <c r="G8102" s="51" t="str">
        <v>林智 2023/03/31 (金)
平日夜間</v>
      </c>
    </row>
    <row r="8103" spans="1:7" ht="16.149999999999999" x14ac:dyDescent="0.7">
      <c r="A8103" s="49">
        <v>44970.434039143518</v>
      </c>
      <c r="B8103" s="50" t="s">
        <v>17</v>
      </c>
      <c r="C8103" s="50" t="s">
        <v>680</v>
      </c>
      <c r="D8103" s="50" t="s">
        <v>259</v>
      </c>
      <c r="E8103" s="50">
        <v>0</v>
      </c>
      <c r="F8103" s="51">
        <v>0.20076612376936409</v>
      </c>
      <c r="G8103" s="51" t="str">
        <v>尾田 2023/03/01 (水)
平日夜間</v>
      </c>
    </row>
    <row r="8104" spans="1:7" ht="16.149999999999999" x14ac:dyDescent="0.7">
      <c r="A8104" s="49">
        <v>44970.434039143518</v>
      </c>
      <c r="B8104" s="50" t="s">
        <v>17</v>
      </c>
      <c r="C8104" s="50" t="s">
        <v>681</v>
      </c>
      <c r="D8104" s="50" t="s">
        <v>259</v>
      </c>
      <c r="E8104" s="50">
        <v>-1</v>
      </c>
      <c r="F8104" s="51">
        <v>-9.9791507201206331E-2</v>
      </c>
      <c r="G8104" s="51" t="str">
        <v>尾田 2023/03/02 (木)
平日夜間</v>
      </c>
    </row>
    <row r="8105" spans="1:7" ht="16.149999999999999" x14ac:dyDescent="0.7">
      <c r="A8105" s="49">
        <v>44970.434039143518</v>
      </c>
      <c r="B8105" s="50" t="s">
        <v>17</v>
      </c>
      <c r="C8105" s="50" t="s">
        <v>682</v>
      </c>
      <c r="D8105" s="50" t="s">
        <v>259</v>
      </c>
      <c r="E8105" s="50">
        <v>-1</v>
      </c>
      <c r="F8105" s="51">
        <v>-7.6236459697909487E-2</v>
      </c>
      <c r="G8105" s="51" t="str">
        <v>尾田 2023/03/03 (金)
平日夜間</v>
      </c>
    </row>
    <row r="8106" spans="1:7" ht="16.149999999999999" x14ac:dyDescent="0.7">
      <c r="A8106" s="49">
        <v>44970.434039143518</v>
      </c>
      <c r="B8106" s="50" t="s">
        <v>17</v>
      </c>
      <c r="C8106" s="50" t="s">
        <v>683</v>
      </c>
      <c r="D8106" s="50" t="s">
        <v>263</v>
      </c>
      <c r="E8106" s="50">
        <v>-1</v>
      </c>
      <c r="F8106" s="51">
        <v>-0.70572635468427625</v>
      </c>
      <c r="G8106" s="51" t="str">
        <v>尾田 2023/03/04 (土)
休日午前</v>
      </c>
    </row>
    <row r="8107" spans="1:7" ht="16.149999999999999" x14ac:dyDescent="0.7">
      <c r="A8107" s="49">
        <v>44970.434039143518</v>
      </c>
      <c r="B8107" s="50" t="s">
        <v>17</v>
      </c>
      <c r="C8107" s="50" t="s">
        <v>684</v>
      </c>
      <c r="D8107" s="50" t="s">
        <v>261</v>
      </c>
      <c r="E8107" s="50">
        <v>-1</v>
      </c>
      <c r="F8107" s="51">
        <v>-0.83559053520606308</v>
      </c>
      <c r="G8107" s="51" t="str">
        <v>尾田 2023/03/04 (土)
休日午後</v>
      </c>
    </row>
    <row r="8108" spans="1:7" ht="16.149999999999999" x14ac:dyDescent="0.7">
      <c r="A8108" s="49">
        <v>44970.434039143518</v>
      </c>
      <c r="B8108" s="50" t="s">
        <v>17</v>
      </c>
      <c r="C8108" s="50" t="s">
        <v>685</v>
      </c>
      <c r="D8108" s="50" t="s">
        <v>263</v>
      </c>
      <c r="E8108" s="50">
        <v>-1</v>
      </c>
      <c r="F8108" s="51">
        <v>-0.33543529576149478</v>
      </c>
      <c r="G8108" s="51" t="str">
        <v>尾田 2023/03/05 (日)
休日午前</v>
      </c>
    </row>
    <row r="8109" spans="1:7" ht="16.149999999999999" x14ac:dyDescent="0.7">
      <c r="A8109" s="49">
        <v>44970.434039143518</v>
      </c>
      <c r="B8109" s="50" t="s">
        <v>17</v>
      </c>
      <c r="C8109" s="50" t="s">
        <v>686</v>
      </c>
      <c r="D8109" s="50" t="s">
        <v>261</v>
      </c>
      <c r="E8109" s="50">
        <v>-1</v>
      </c>
      <c r="F8109" s="51">
        <v>-0.48350667764500566</v>
      </c>
      <c r="G8109" s="51" t="str">
        <v>尾田 2023/03/05 (日)
休日午後</v>
      </c>
    </row>
    <row r="8110" spans="1:7" ht="16.149999999999999" x14ac:dyDescent="0.7">
      <c r="A8110" s="49">
        <v>44970.434039143518</v>
      </c>
      <c r="B8110" s="50" t="s">
        <v>17</v>
      </c>
      <c r="C8110" s="50" t="s">
        <v>687</v>
      </c>
      <c r="D8110" s="50" t="s">
        <v>259</v>
      </c>
      <c r="E8110" s="50">
        <v>0</v>
      </c>
      <c r="F8110" s="51">
        <v>0.51770373180657625</v>
      </c>
      <c r="G8110" s="51" t="str">
        <v>尾田 2023/03/06 (月)
平日夜間</v>
      </c>
    </row>
    <row r="8111" spans="1:7" ht="16.149999999999999" x14ac:dyDescent="0.7">
      <c r="A8111" s="49">
        <v>44970.434039143518</v>
      </c>
      <c r="B8111" s="50" t="s">
        <v>17</v>
      </c>
      <c r="C8111" s="50" t="s">
        <v>688</v>
      </c>
      <c r="D8111" s="50" t="s">
        <v>259</v>
      </c>
      <c r="E8111" s="50">
        <v>0</v>
      </c>
      <c r="F8111" s="51">
        <v>3.739118703145472E-3</v>
      </c>
      <c r="G8111" s="51" t="str">
        <v>尾田 2023/03/07 (火)
平日夜間</v>
      </c>
    </row>
    <row r="8112" spans="1:7" ht="16.149999999999999" x14ac:dyDescent="0.7">
      <c r="A8112" s="49">
        <v>44970.434039143518</v>
      </c>
      <c r="B8112" s="50" t="s">
        <v>17</v>
      </c>
      <c r="C8112" s="50" t="s">
        <v>689</v>
      </c>
      <c r="D8112" s="50" t="s">
        <v>259</v>
      </c>
      <c r="E8112" s="50">
        <v>0</v>
      </c>
      <c r="F8112" s="51">
        <v>0.95851116679393678</v>
      </c>
      <c r="G8112" s="51" t="str">
        <v>尾田 2023/03/08 (水)
平日夜間</v>
      </c>
    </row>
    <row r="8113" spans="1:7" ht="16.149999999999999" x14ac:dyDescent="0.7">
      <c r="A8113" s="49">
        <v>44970.434039143518</v>
      </c>
      <c r="B8113" s="50" t="s">
        <v>17</v>
      </c>
      <c r="C8113" s="50" t="s">
        <v>690</v>
      </c>
      <c r="D8113" s="50" t="s">
        <v>259</v>
      </c>
      <c r="E8113" s="50">
        <v>-1</v>
      </c>
      <c r="F8113" s="51">
        <v>-0.24062309043975127</v>
      </c>
      <c r="G8113" s="51" t="str">
        <v>尾田 2023/03/09 (木)
平日夜間</v>
      </c>
    </row>
    <row r="8114" spans="1:7" ht="16.149999999999999" x14ac:dyDescent="0.7">
      <c r="A8114" s="49">
        <v>44970.434039143518</v>
      </c>
      <c r="B8114" s="50" t="s">
        <v>17</v>
      </c>
      <c r="C8114" s="50" t="s">
        <v>691</v>
      </c>
      <c r="D8114" s="50" t="s">
        <v>259</v>
      </c>
      <c r="E8114" s="50">
        <v>-1</v>
      </c>
      <c r="F8114" s="51">
        <v>-2.4734758457991113E-2</v>
      </c>
      <c r="G8114" s="51" t="str">
        <v>尾田 2023/03/10 (金)
平日夜間</v>
      </c>
    </row>
    <row r="8115" spans="1:7" ht="16.149999999999999" x14ac:dyDescent="0.7">
      <c r="A8115" s="49">
        <v>44970.434039143518</v>
      </c>
      <c r="B8115" s="50" t="s">
        <v>17</v>
      </c>
      <c r="C8115" s="50" t="s">
        <v>692</v>
      </c>
      <c r="D8115" s="50" t="s">
        <v>263</v>
      </c>
      <c r="E8115" s="50">
        <v>-1</v>
      </c>
      <c r="F8115" s="51">
        <v>-0.34703616942576998</v>
      </c>
      <c r="G8115" s="51" t="str">
        <v>尾田 2023/03/11 (土)
休日午前</v>
      </c>
    </row>
    <row r="8116" spans="1:7" ht="16.149999999999999" x14ac:dyDescent="0.7">
      <c r="A8116" s="49">
        <v>44970.434039143518</v>
      </c>
      <c r="B8116" s="50" t="s">
        <v>17</v>
      </c>
      <c r="C8116" s="50" t="s">
        <v>693</v>
      </c>
      <c r="D8116" s="50" t="s">
        <v>261</v>
      </c>
      <c r="E8116" s="50">
        <v>-1</v>
      </c>
      <c r="F8116" s="51">
        <v>-0.12888663936747391</v>
      </c>
      <c r="G8116" s="51" t="str">
        <v>尾田 2023/03/11 (土)
休日午後</v>
      </c>
    </row>
    <row r="8117" spans="1:7" ht="16.149999999999999" x14ac:dyDescent="0.7">
      <c r="A8117" s="49">
        <v>44970.434039143518</v>
      </c>
      <c r="B8117" s="50" t="s">
        <v>17</v>
      </c>
      <c r="C8117" s="50" t="s">
        <v>694</v>
      </c>
      <c r="D8117" s="50" t="s">
        <v>263</v>
      </c>
      <c r="E8117" s="50">
        <v>-1</v>
      </c>
      <c r="F8117" s="51">
        <v>-0.78767748994310338</v>
      </c>
      <c r="G8117" s="51" t="str">
        <v>尾田 2023/03/12 (日)
休日午前</v>
      </c>
    </row>
    <row r="8118" spans="1:7" ht="16.149999999999999" x14ac:dyDescent="0.7">
      <c r="A8118" s="49">
        <v>44970.434039143518</v>
      </c>
      <c r="B8118" s="50" t="s">
        <v>17</v>
      </c>
      <c r="C8118" s="50" t="s">
        <v>695</v>
      </c>
      <c r="D8118" s="50" t="s">
        <v>261</v>
      </c>
      <c r="E8118" s="50">
        <v>-1</v>
      </c>
      <c r="F8118" s="51">
        <v>-8.1352113528771364E-2</v>
      </c>
      <c r="G8118" s="51" t="str">
        <v>尾田 2023/03/12 (日)
休日午後</v>
      </c>
    </row>
    <row r="8119" spans="1:7" ht="16.149999999999999" x14ac:dyDescent="0.7">
      <c r="A8119" s="49">
        <v>44970.434039143518</v>
      </c>
      <c r="B8119" s="50" t="s">
        <v>17</v>
      </c>
      <c r="C8119" s="50" t="s">
        <v>696</v>
      </c>
      <c r="D8119" s="50" t="s">
        <v>259</v>
      </c>
      <c r="E8119" s="50">
        <v>0</v>
      </c>
      <c r="F8119" s="51">
        <v>7.8610871645647729E-2</v>
      </c>
      <c r="G8119" s="51" t="str">
        <v>尾田 2023/03/13 (月)
平日夜間</v>
      </c>
    </row>
    <row r="8120" spans="1:7" ht="16.149999999999999" x14ac:dyDescent="0.7">
      <c r="A8120" s="49">
        <v>44970.434039143518</v>
      </c>
      <c r="B8120" s="50" t="s">
        <v>17</v>
      </c>
      <c r="C8120" s="50" t="s">
        <v>697</v>
      </c>
      <c r="D8120" s="50" t="s">
        <v>259</v>
      </c>
      <c r="E8120" s="50">
        <v>0</v>
      </c>
      <c r="F8120" s="51">
        <v>0.55674117138139612</v>
      </c>
      <c r="G8120" s="51" t="str">
        <v>尾田 2023/03/14 (火)
平日夜間</v>
      </c>
    </row>
    <row r="8121" spans="1:7" ht="16.149999999999999" x14ac:dyDescent="0.7">
      <c r="A8121" s="49">
        <v>44970.434039143518</v>
      </c>
      <c r="B8121" s="50" t="s">
        <v>17</v>
      </c>
      <c r="C8121" s="50" t="s">
        <v>698</v>
      </c>
      <c r="D8121" s="50" t="s">
        <v>259</v>
      </c>
      <c r="E8121" s="50">
        <v>0</v>
      </c>
      <c r="F8121" s="51">
        <v>0.59921038336476395</v>
      </c>
      <c r="G8121" s="51" t="str">
        <v>尾田 2023/03/15 (水)
平日夜間</v>
      </c>
    </row>
    <row r="8122" spans="1:7" ht="16.149999999999999" x14ac:dyDescent="0.7">
      <c r="A8122" s="49">
        <v>44970.434039143518</v>
      </c>
      <c r="B8122" s="50" t="s">
        <v>17</v>
      </c>
      <c r="C8122" s="50" t="s">
        <v>699</v>
      </c>
      <c r="D8122" s="50" t="s">
        <v>259</v>
      </c>
      <c r="E8122" s="50">
        <v>-1</v>
      </c>
      <c r="F8122" s="51">
        <v>-0.76759944268657843</v>
      </c>
      <c r="G8122" s="51" t="str">
        <v>尾田 2023/03/16 (木)
平日夜間</v>
      </c>
    </row>
    <row r="8123" spans="1:7" ht="16.149999999999999" x14ac:dyDescent="0.7">
      <c r="A8123" s="49">
        <v>44970.434039143518</v>
      </c>
      <c r="B8123" s="50" t="s">
        <v>17</v>
      </c>
      <c r="C8123" s="50" t="s">
        <v>700</v>
      </c>
      <c r="D8123" s="50" t="s">
        <v>259</v>
      </c>
      <c r="E8123" s="50">
        <v>-1</v>
      </c>
      <c r="F8123" s="51">
        <v>-0.36530506593351686</v>
      </c>
      <c r="G8123" s="51" t="str">
        <v>尾田 2023/03/17 (金)
平日夜間</v>
      </c>
    </row>
    <row r="8124" spans="1:7" ht="16.149999999999999" x14ac:dyDescent="0.7">
      <c r="A8124" s="49">
        <v>44970.434039143518</v>
      </c>
      <c r="B8124" s="50" t="s">
        <v>17</v>
      </c>
      <c r="C8124" s="50" t="s">
        <v>701</v>
      </c>
      <c r="D8124" s="50" t="s">
        <v>263</v>
      </c>
      <c r="E8124" s="50">
        <v>-1</v>
      </c>
      <c r="F8124" s="51">
        <v>-0.564772729560864</v>
      </c>
      <c r="G8124" s="51" t="str">
        <v>尾田 2023/03/18 (土)
休日午前</v>
      </c>
    </row>
    <row r="8125" spans="1:7" ht="16.149999999999999" x14ac:dyDescent="0.7">
      <c r="A8125" s="49">
        <v>44970.434039143518</v>
      </c>
      <c r="B8125" s="50" t="s">
        <v>17</v>
      </c>
      <c r="C8125" s="50" t="s">
        <v>702</v>
      </c>
      <c r="D8125" s="50" t="s">
        <v>261</v>
      </c>
      <c r="E8125" s="50">
        <v>-1</v>
      </c>
      <c r="F8125" s="51">
        <v>-0.53670492975888329</v>
      </c>
      <c r="G8125" s="51" t="str">
        <v>尾田 2023/03/18 (土)
休日午後</v>
      </c>
    </row>
    <row r="8126" spans="1:7" ht="16.149999999999999" x14ac:dyDescent="0.7">
      <c r="A8126" s="49">
        <v>44970.434039143518</v>
      </c>
      <c r="B8126" s="50" t="s">
        <v>17</v>
      </c>
      <c r="C8126" s="50" t="s">
        <v>703</v>
      </c>
      <c r="D8126" s="50" t="s">
        <v>263</v>
      </c>
      <c r="E8126" s="50">
        <v>-1</v>
      </c>
      <c r="F8126" s="51">
        <v>-0.56319815379584837</v>
      </c>
      <c r="G8126" s="51" t="str">
        <v>尾田 2023/03/19 (日)
休日午前</v>
      </c>
    </row>
    <row r="8127" spans="1:7" ht="16.149999999999999" x14ac:dyDescent="0.7">
      <c r="A8127" s="49">
        <v>44970.434039143518</v>
      </c>
      <c r="B8127" s="50" t="s">
        <v>17</v>
      </c>
      <c r="C8127" s="50" t="s">
        <v>704</v>
      </c>
      <c r="D8127" s="50" t="s">
        <v>261</v>
      </c>
      <c r="E8127" s="50">
        <v>-1</v>
      </c>
      <c r="F8127" s="51">
        <v>-0.28511098851910455</v>
      </c>
      <c r="G8127" s="51" t="str">
        <v>尾田 2023/03/19 (日)
休日午後</v>
      </c>
    </row>
    <row r="8128" spans="1:7" ht="16.149999999999999" x14ac:dyDescent="0.7">
      <c r="A8128" s="49">
        <v>44970.434039143518</v>
      </c>
      <c r="B8128" s="50" t="s">
        <v>17</v>
      </c>
      <c r="C8128" s="50" t="s">
        <v>705</v>
      </c>
      <c r="D8128" s="50" t="s">
        <v>259</v>
      </c>
      <c r="E8128" s="50">
        <v>-1</v>
      </c>
      <c r="F8128" s="51">
        <v>-0.45778676023683351</v>
      </c>
      <c r="G8128" s="51" t="str">
        <v>尾田 2023/03/20 (月)
平日夜間</v>
      </c>
    </row>
    <row r="8129" spans="1:7" ht="16.149999999999999" x14ac:dyDescent="0.7">
      <c r="A8129" s="49">
        <v>44970.434039143518</v>
      </c>
      <c r="B8129" s="50" t="s">
        <v>17</v>
      </c>
      <c r="C8129" s="50" t="s">
        <v>706</v>
      </c>
      <c r="D8129" s="50" t="s">
        <v>263</v>
      </c>
      <c r="E8129" s="50">
        <v>-1</v>
      </c>
      <c r="F8129" s="51">
        <v>-0.53448816626157014</v>
      </c>
      <c r="G8129" s="51" t="str">
        <v>尾田 2023/03/21 (火)
休日午前</v>
      </c>
    </row>
    <row r="8130" spans="1:7" ht="16.149999999999999" x14ac:dyDescent="0.7">
      <c r="A8130" s="49">
        <v>44970.434039143518</v>
      </c>
      <c r="B8130" s="50" t="s">
        <v>17</v>
      </c>
      <c r="C8130" s="50" t="s">
        <v>707</v>
      </c>
      <c r="D8130" s="50" t="s">
        <v>261</v>
      </c>
      <c r="E8130" s="50">
        <v>-1</v>
      </c>
      <c r="F8130" s="51">
        <v>-0.26482388292553805</v>
      </c>
      <c r="G8130" s="51" t="str">
        <v>尾田 2023/03/21 (火)
休日午後</v>
      </c>
    </row>
    <row r="8131" spans="1:7" ht="16.149999999999999" x14ac:dyDescent="0.7">
      <c r="A8131" s="49">
        <v>44970.434039143518</v>
      </c>
      <c r="B8131" s="50" t="s">
        <v>17</v>
      </c>
      <c r="C8131" s="50" t="s">
        <v>708</v>
      </c>
      <c r="D8131" s="50" t="s">
        <v>259</v>
      </c>
      <c r="E8131" s="50">
        <v>0</v>
      </c>
      <c r="F8131" s="51">
        <v>0.23761033629701234</v>
      </c>
      <c r="G8131" s="51" t="str">
        <v>尾田 2023/03/22 (水)
平日夜間</v>
      </c>
    </row>
    <row r="8132" spans="1:7" ht="16.149999999999999" x14ac:dyDescent="0.7">
      <c r="A8132" s="49">
        <v>44970.434039143518</v>
      </c>
      <c r="B8132" s="50" t="s">
        <v>17</v>
      </c>
      <c r="C8132" s="50" t="s">
        <v>709</v>
      </c>
      <c r="D8132" s="50" t="s">
        <v>259</v>
      </c>
      <c r="E8132" s="50">
        <v>-1</v>
      </c>
      <c r="F8132" s="51">
        <v>-0.89870624567512802</v>
      </c>
      <c r="G8132" s="51" t="str">
        <v>尾田 2023/03/23 (木)
平日夜間</v>
      </c>
    </row>
    <row r="8133" spans="1:7" ht="16.149999999999999" x14ac:dyDescent="0.7">
      <c r="A8133" s="49">
        <v>44970.434039143518</v>
      </c>
      <c r="B8133" s="50" t="s">
        <v>17</v>
      </c>
      <c r="C8133" s="50" t="s">
        <v>710</v>
      </c>
      <c r="D8133" s="50" t="s">
        <v>259</v>
      </c>
      <c r="E8133" s="50">
        <v>-1</v>
      </c>
      <c r="F8133" s="51">
        <v>-0.18741000199301783</v>
      </c>
      <c r="G8133" s="51" t="str">
        <v>尾田 2023/03/24 (金)
平日夜間</v>
      </c>
    </row>
    <row r="8134" spans="1:7" ht="16.149999999999999" x14ac:dyDescent="0.7">
      <c r="A8134" s="49">
        <v>44970.434039143518</v>
      </c>
      <c r="B8134" s="50" t="s">
        <v>17</v>
      </c>
      <c r="C8134" s="50" t="s">
        <v>711</v>
      </c>
      <c r="D8134" s="50" t="s">
        <v>263</v>
      </c>
      <c r="E8134" s="50">
        <v>-1</v>
      </c>
      <c r="F8134" s="51">
        <v>-0.56586174351050067</v>
      </c>
      <c r="G8134" s="51" t="str">
        <v>尾田 2023/03/25 (土)
休日午前</v>
      </c>
    </row>
    <row r="8135" spans="1:7" ht="16.149999999999999" x14ac:dyDescent="0.7">
      <c r="A8135" s="49">
        <v>44970.434039143518</v>
      </c>
      <c r="B8135" s="50" t="s">
        <v>17</v>
      </c>
      <c r="C8135" s="50" t="s">
        <v>712</v>
      </c>
      <c r="D8135" s="50" t="s">
        <v>261</v>
      </c>
      <c r="E8135" s="50">
        <v>-1</v>
      </c>
      <c r="F8135" s="51">
        <v>-0.72834837684626419</v>
      </c>
      <c r="G8135" s="51" t="str">
        <v>尾田 2023/03/25 (土)
休日午後</v>
      </c>
    </row>
    <row r="8136" spans="1:7" ht="16.149999999999999" x14ac:dyDescent="0.7">
      <c r="A8136" s="49">
        <v>44970.434039143518</v>
      </c>
      <c r="B8136" s="50" t="s">
        <v>17</v>
      </c>
      <c r="C8136" s="50" t="s">
        <v>713</v>
      </c>
      <c r="D8136" s="50" t="s">
        <v>263</v>
      </c>
      <c r="E8136" s="50">
        <v>-1</v>
      </c>
      <c r="F8136" s="51">
        <v>-7.1250703455373543E-2</v>
      </c>
      <c r="G8136" s="51" t="str">
        <v>尾田 2023/03/26 (日)
休日午前</v>
      </c>
    </row>
    <row r="8137" spans="1:7" ht="16.149999999999999" x14ac:dyDescent="0.7">
      <c r="A8137" s="49">
        <v>44970.434039143518</v>
      </c>
      <c r="B8137" s="50" t="s">
        <v>17</v>
      </c>
      <c r="C8137" s="50" t="s">
        <v>714</v>
      </c>
      <c r="D8137" s="50" t="s">
        <v>261</v>
      </c>
      <c r="E8137" s="50">
        <v>-1</v>
      </c>
      <c r="F8137" s="51">
        <v>-0.57818558639674311</v>
      </c>
      <c r="G8137" s="51" t="str">
        <v>尾田 2023/03/26 (日)
休日午後</v>
      </c>
    </row>
    <row r="8138" spans="1:7" ht="16.149999999999999" x14ac:dyDescent="0.7">
      <c r="A8138" s="49">
        <v>44970.434039143518</v>
      </c>
      <c r="B8138" s="50" t="s">
        <v>17</v>
      </c>
      <c r="C8138" s="50" t="s">
        <v>715</v>
      </c>
      <c r="D8138" s="50" t="s">
        <v>259</v>
      </c>
      <c r="E8138" s="50">
        <v>0</v>
      </c>
      <c r="F8138" s="51">
        <v>0.20357402513703282</v>
      </c>
      <c r="G8138" s="51" t="str">
        <v>尾田 2023/03/27 (月)
平日夜間</v>
      </c>
    </row>
    <row r="8139" spans="1:7" ht="16.149999999999999" x14ac:dyDescent="0.7">
      <c r="A8139" s="49">
        <v>44970.434039143518</v>
      </c>
      <c r="B8139" s="50" t="s">
        <v>17</v>
      </c>
      <c r="C8139" s="50" t="s">
        <v>716</v>
      </c>
      <c r="D8139" s="50" t="s">
        <v>259</v>
      </c>
      <c r="E8139" s="50">
        <v>0</v>
      </c>
      <c r="F8139" s="51">
        <v>7.1424520417433968E-2</v>
      </c>
      <c r="G8139" s="51" t="str">
        <v>尾田 2023/03/28 (火)
平日夜間</v>
      </c>
    </row>
    <row r="8140" spans="1:7" ht="16.149999999999999" x14ac:dyDescent="0.7">
      <c r="A8140" s="49">
        <v>44970.434039143518</v>
      </c>
      <c r="B8140" s="50" t="s">
        <v>17</v>
      </c>
      <c r="C8140" s="50" t="s">
        <v>717</v>
      </c>
      <c r="D8140" s="50" t="s">
        <v>259</v>
      </c>
      <c r="E8140" s="50">
        <v>0</v>
      </c>
      <c r="F8140" s="51">
        <v>0.59648474999749834</v>
      </c>
      <c r="G8140" s="51" t="str">
        <v>尾田 2023/03/29 (水)
平日夜間</v>
      </c>
    </row>
    <row r="8141" spans="1:7" ht="16.149999999999999" x14ac:dyDescent="0.7">
      <c r="A8141" s="49">
        <v>44970.434039143518</v>
      </c>
      <c r="B8141" s="50" t="s">
        <v>17</v>
      </c>
      <c r="C8141" s="50" t="s">
        <v>718</v>
      </c>
      <c r="D8141" s="50" t="s">
        <v>259</v>
      </c>
      <c r="E8141" s="50">
        <v>-1</v>
      </c>
      <c r="F8141" s="51">
        <v>-2.8727120547427321E-2</v>
      </c>
      <c r="G8141" s="51" t="str">
        <v>尾田 2023/03/30 (木)
平日夜間</v>
      </c>
    </row>
    <row r="8142" spans="1:7" ht="16.149999999999999" x14ac:dyDescent="0.7">
      <c r="A8142" s="49">
        <v>44970.434039143518</v>
      </c>
      <c r="B8142" s="50" t="s">
        <v>17</v>
      </c>
      <c r="C8142" s="50" t="s">
        <v>719</v>
      </c>
      <c r="D8142" s="50" t="s">
        <v>259</v>
      </c>
      <c r="E8142" s="50">
        <v>-1</v>
      </c>
      <c r="F8142" s="51">
        <v>-0.32789304289067767</v>
      </c>
      <c r="G8142" s="51" t="str">
        <v>尾田 2023/03/31 (金)
平日夜間</v>
      </c>
    </row>
    <row r="8143" spans="1:7" ht="16.149999999999999" x14ac:dyDescent="0.7">
      <c r="A8143" s="49">
        <v>44970.943944467595</v>
      </c>
      <c r="B8143" s="50" t="s">
        <v>8</v>
      </c>
      <c r="C8143" s="50" t="s">
        <v>680</v>
      </c>
      <c r="D8143" s="50" t="s">
        <v>259</v>
      </c>
      <c r="E8143" s="50">
        <v>0</v>
      </c>
      <c r="F8143" s="51">
        <v>0.86363977565523653</v>
      </c>
      <c r="G8143" s="51" t="str">
        <v>宗 2023/03/01 (水)
平日夜間</v>
      </c>
    </row>
    <row r="8144" spans="1:7" ht="16.149999999999999" x14ac:dyDescent="0.7">
      <c r="A8144" s="49">
        <v>44970.943944467595</v>
      </c>
      <c r="B8144" s="50" t="s">
        <v>8</v>
      </c>
      <c r="C8144" s="50" t="s">
        <v>681</v>
      </c>
      <c r="D8144" s="50" t="s">
        <v>259</v>
      </c>
      <c r="E8144" s="50">
        <v>0</v>
      </c>
      <c r="F8144" s="51">
        <v>0.11603985067911915</v>
      </c>
      <c r="G8144" s="51" t="str">
        <v>宗 2023/03/02 (木)
平日夜間</v>
      </c>
    </row>
    <row r="8145" spans="1:7" ht="16.149999999999999" x14ac:dyDescent="0.7">
      <c r="A8145" s="49">
        <v>44970.943944467595</v>
      </c>
      <c r="B8145" s="50" t="s">
        <v>8</v>
      </c>
      <c r="C8145" s="50" t="s">
        <v>682</v>
      </c>
      <c r="D8145" s="50" t="s">
        <v>259</v>
      </c>
      <c r="E8145" s="50">
        <v>-1</v>
      </c>
      <c r="F8145" s="51">
        <v>-0.74652296293054143</v>
      </c>
      <c r="G8145" s="51" t="str">
        <v>宗 2023/03/03 (金)
平日夜間</v>
      </c>
    </row>
    <row r="8146" spans="1:7" ht="16.149999999999999" x14ac:dyDescent="0.7">
      <c r="A8146" s="49">
        <v>44970.943944467595</v>
      </c>
      <c r="B8146" s="50" t="s">
        <v>8</v>
      </c>
      <c r="C8146" s="50" t="s">
        <v>683</v>
      </c>
      <c r="D8146" s="50" t="s">
        <v>263</v>
      </c>
      <c r="E8146" s="50">
        <v>-1</v>
      </c>
      <c r="F8146" s="51">
        <v>-0.95588262839647564</v>
      </c>
      <c r="G8146" s="51" t="str">
        <v>宗 2023/03/04 (土)
休日午前</v>
      </c>
    </row>
    <row r="8147" spans="1:7" ht="16.149999999999999" x14ac:dyDescent="0.7">
      <c r="A8147" s="49">
        <v>44970.943944467595</v>
      </c>
      <c r="B8147" s="50" t="s">
        <v>8</v>
      </c>
      <c r="C8147" s="50" t="s">
        <v>684</v>
      </c>
      <c r="D8147" s="50" t="s">
        <v>261</v>
      </c>
      <c r="E8147" s="50">
        <v>-1</v>
      </c>
      <c r="F8147" s="51">
        <v>-9.6551523611121404E-3</v>
      </c>
      <c r="G8147" s="51" t="str">
        <v>宗 2023/03/04 (土)
休日午後</v>
      </c>
    </row>
    <row r="8148" spans="1:7" ht="16.149999999999999" x14ac:dyDescent="0.7">
      <c r="A8148" s="49">
        <v>44970.943944467595</v>
      </c>
      <c r="B8148" s="50" t="s">
        <v>8</v>
      </c>
      <c r="C8148" s="50" t="s">
        <v>685</v>
      </c>
      <c r="D8148" s="50" t="s">
        <v>263</v>
      </c>
      <c r="E8148" s="50">
        <v>0</v>
      </c>
      <c r="F8148" s="51">
        <v>0.61388390321279673</v>
      </c>
      <c r="G8148" s="51" t="str">
        <v>宗 2023/03/05 (日)
休日午前</v>
      </c>
    </row>
    <row r="8149" spans="1:7" ht="16.149999999999999" x14ac:dyDescent="0.7">
      <c r="A8149" s="49">
        <v>44970.943944467595</v>
      </c>
      <c r="B8149" s="50" t="s">
        <v>8</v>
      </c>
      <c r="C8149" s="50" t="s">
        <v>686</v>
      </c>
      <c r="D8149" s="50" t="s">
        <v>261</v>
      </c>
      <c r="E8149" s="50">
        <v>0</v>
      </c>
      <c r="F8149" s="51">
        <v>0.3467531466824576</v>
      </c>
      <c r="G8149" s="51" t="str">
        <v>宗 2023/03/05 (日)
休日午後</v>
      </c>
    </row>
    <row r="8150" spans="1:7" ht="16.149999999999999" x14ac:dyDescent="0.7">
      <c r="A8150" s="49">
        <v>44970.943944467595</v>
      </c>
      <c r="B8150" s="50" t="s">
        <v>8</v>
      </c>
      <c r="C8150" s="50" t="s">
        <v>687</v>
      </c>
      <c r="D8150" s="50" t="s">
        <v>259</v>
      </c>
      <c r="E8150" s="50">
        <v>0</v>
      </c>
      <c r="F8150" s="51">
        <v>1.1457178299848048E-2</v>
      </c>
      <c r="G8150" s="51" t="str">
        <v>宗 2023/03/06 (月)
平日夜間</v>
      </c>
    </row>
    <row r="8151" spans="1:7" ht="16.149999999999999" x14ac:dyDescent="0.7">
      <c r="A8151" s="49">
        <v>44970.943944467595</v>
      </c>
      <c r="B8151" s="50" t="s">
        <v>8</v>
      </c>
      <c r="C8151" s="50" t="s">
        <v>688</v>
      </c>
      <c r="D8151" s="50" t="s">
        <v>259</v>
      </c>
      <c r="E8151" s="50">
        <v>0</v>
      </c>
      <c r="F8151" s="51">
        <v>0.75564880452308958</v>
      </c>
      <c r="G8151" s="51" t="str">
        <v>宗 2023/03/07 (火)
平日夜間</v>
      </c>
    </row>
    <row r="8152" spans="1:7" ht="16.149999999999999" x14ac:dyDescent="0.7">
      <c r="A8152" s="49">
        <v>44970.943944467595</v>
      </c>
      <c r="B8152" s="50" t="s">
        <v>8</v>
      </c>
      <c r="C8152" s="50" t="s">
        <v>689</v>
      </c>
      <c r="D8152" s="50" t="s">
        <v>259</v>
      </c>
      <c r="E8152" s="50">
        <v>0</v>
      </c>
      <c r="F8152" s="51">
        <v>0.54845217614608432</v>
      </c>
      <c r="G8152" s="51" t="str">
        <v>宗 2023/03/08 (水)
平日夜間</v>
      </c>
    </row>
    <row r="8153" spans="1:7" ht="16.149999999999999" x14ac:dyDescent="0.7">
      <c r="A8153" s="49">
        <v>44970.943944467595</v>
      </c>
      <c r="B8153" s="50" t="s">
        <v>8</v>
      </c>
      <c r="C8153" s="50" t="s">
        <v>690</v>
      </c>
      <c r="D8153" s="50" t="s">
        <v>259</v>
      </c>
      <c r="E8153" s="50">
        <v>0</v>
      </c>
      <c r="F8153" s="51">
        <v>9.9771658249520501E-2</v>
      </c>
      <c r="G8153" s="51" t="str">
        <v>宗 2023/03/09 (木)
平日夜間</v>
      </c>
    </row>
    <row r="8154" spans="1:7" ht="16.149999999999999" x14ac:dyDescent="0.7">
      <c r="A8154" s="49">
        <v>44970.943944467595</v>
      </c>
      <c r="B8154" s="50" t="s">
        <v>8</v>
      </c>
      <c r="C8154" s="50" t="s">
        <v>691</v>
      </c>
      <c r="D8154" s="50" t="s">
        <v>259</v>
      </c>
      <c r="E8154" s="50">
        <v>0</v>
      </c>
      <c r="F8154" s="51">
        <v>0.16431710123489807</v>
      </c>
      <c r="G8154" s="51" t="str">
        <v>宗 2023/03/10 (金)
平日夜間</v>
      </c>
    </row>
    <row r="8155" spans="1:7" ht="16.149999999999999" x14ac:dyDescent="0.7">
      <c r="A8155" s="49">
        <v>44970.943944467595</v>
      </c>
      <c r="B8155" s="50" t="s">
        <v>8</v>
      </c>
      <c r="C8155" s="50" t="s">
        <v>692</v>
      </c>
      <c r="D8155" s="50" t="s">
        <v>263</v>
      </c>
      <c r="E8155" s="50">
        <v>0</v>
      </c>
      <c r="F8155" s="51">
        <v>0.92822204438176681</v>
      </c>
      <c r="G8155" s="51" t="str">
        <v>宗 2023/03/11 (土)
休日午前</v>
      </c>
    </row>
    <row r="8156" spans="1:7" ht="16.149999999999999" x14ac:dyDescent="0.7">
      <c r="A8156" s="49">
        <v>44970.943944467595</v>
      </c>
      <c r="B8156" s="50" t="s">
        <v>8</v>
      </c>
      <c r="C8156" s="50" t="s">
        <v>693</v>
      </c>
      <c r="D8156" s="50" t="s">
        <v>261</v>
      </c>
      <c r="E8156" s="50">
        <v>0</v>
      </c>
      <c r="F8156" s="51">
        <v>0.91011729065629776</v>
      </c>
      <c r="G8156" s="51" t="str">
        <v>宗 2023/03/11 (土)
休日午後</v>
      </c>
    </row>
    <row r="8157" spans="1:7" ht="16.149999999999999" x14ac:dyDescent="0.7">
      <c r="A8157" s="49">
        <v>44970.943944467595</v>
      </c>
      <c r="B8157" s="50" t="s">
        <v>8</v>
      </c>
      <c r="C8157" s="50" t="s">
        <v>694</v>
      </c>
      <c r="D8157" s="50" t="s">
        <v>263</v>
      </c>
      <c r="E8157" s="50">
        <v>0</v>
      </c>
      <c r="F8157" s="51">
        <v>0.75105449797341972</v>
      </c>
      <c r="G8157" s="51" t="str">
        <v>宗 2023/03/12 (日)
休日午前</v>
      </c>
    </row>
    <row r="8158" spans="1:7" ht="16.149999999999999" x14ac:dyDescent="0.7">
      <c r="A8158" s="49">
        <v>44970.943944467595</v>
      </c>
      <c r="B8158" s="50" t="s">
        <v>8</v>
      </c>
      <c r="C8158" s="50" t="s">
        <v>695</v>
      </c>
      <c r="D8158" s="50" t="s">
        <v>261</v>
      </c>
      <c r="E8158" s="50">
        <v>0</v>
      </c>
      <c r="F8158" s="51">
        <v>0.61623224125850706</v>
      </c>
      <c r="G8158" s="51" t="str">
        <v>宗 2023/03/12 (日)
休日午後</v>
      </c>
    </row>
    <row r="8159" spans="1:7" ht="16.149999999999999" x14ac:dyDescent="0.7">
      <c r="A8159" s="49">
        <v>44970.943944467595</v>
      </c>
      <c r="B8159" s="50" t="s">
        <v>8</v>
      </c>
      <c r="C8159" s="50" t="s">
        <v>696</v>
      </c>
      <c r="D8159" s="50" t="s">
        <v>259</v>
      </c>
      <c r="E8159" s="50">
        <v>0</v>
      </c>
      <c r="F8159" s="51">
        <v>0.67832922196734469</v>
      </c>
      <c r="G8159" s="51" t="str">
        <v>宗 2023/03/13 (月)
平日夜間</v>
      </c>
    </row>
    <row r="8160" spans="1:7" ht="16.149999999999999" x14ac:dyDescent="0.7">
      <c r="A8160" s="49">
        <v>44970.943944467595</v>
      </c>
      <c r="B8160" s="50" t="s">
        <v>8</v>
      </c>
      <c r="C8160" s="50" t="s">
        <v>697</v>
      </c>
      <c r="D8160" s="50" t="s">
        <v>259</v>
      </c>
      <c r="E8160" s="50">
        <v>0</v>
      </c>
      <c r="F8160" s="51">
        <v>0.12188806353430537</v>
      </c>
      <c r="G8160" s="51" t="str">
        <v>宗 2023/03/14 (火)
平日夜間</v>
      </c>
    </row>
    <row r="8161" spans="1:7" ht="16.149999999999999" x14ac:dyDescent="0.7">
      <c r="A8161" s="49">
        <v>44970.943944467595</v>
      </c>
      <c r="B8161" s="50" t="s">
        <v>8</v>
      </c>
      <c r="C8161" s="50" t="s">
        <v>698</v>
      </c>
      <c r="D8161" s="50" t="s">
        <v>259</v>
      </c>
      <c r="E8161" s="50">
        <v>0</v>
      </c>
      <c r="F8161" s="51">
        <v>0.70676720444338748</v>
      </c>
      <c r="G8161" s="51" t="str">
        <v>宗 2023/03/15 (水)
平日夜間</v>
      </c>
    </row>
    <row r="8162" spans="1:7" ht="16.149999999999999" x14ac:dyDescent="0.7">
      <c r="A8162" s="49">
        <v>44970.943944467595</v>
      </c>
      <c r="B8162" s="50" t="s">
        <v>8</v>
      </c>
      <c r="C8162" s="50" t="s">
        <v>699</v>
      </c>
      <c r="D8162" s="50" t="s">
        <v>259</v>
      </c>
      <c r="E8162" s="50">
        <v>0</v>
      </c>
      <c r="F8162" s="51">
        <v>9.3895757489725451E-2</v>
      </c>
      <c r="G8162" s="51" t="str">
        <v>宗 2023/03/16 (木)
平日夜間</v>
      </c>
    </row>
    <row r="8163" spans="1:7" ht="16.149999999999999" x14ac:dyDescent="0.7">
      <c r="A8163" s="49">
        <v>44970.943944467595</v>
      </c>
      <c r="B8163" s="50" t="s">
        <v>8</v>
      </c>
      <c r="C8163" s="50" t="s">
        <v>700</v>
      </c>
      <c r="D8163" s="50" t="s">
        <v>259</v>
      </c>
      <c r="E8163" s="50">
        <v>0</v>
      </c>
      <c r="F8163" s="51">
        <v>0.1736128929015599</v>
      </c>
      <c r="G8163" s="51" t="str">
        <v>宗 2023/03/17 (金)
平日夜間</v>
      </c>
    </row>
    <row r="8164" spans="1:7" ht="16.149999999999999" x14ac:dyDescent="0.7">
      <c r="A8164" s="49">
        <v>44970.943944467595</v>
      </c>
      <c r="B8164" s="50" t="s">
        <v>8</v>
      </c>
      <c r="C8164" s="50" t="s">
        <v>701</v>
      </c>
      <c r="D8164" s="50" t="s">
        <v>263</v>
      </c>
      <c r="E8164" s="50">
        <v>0</v>
      </c>
      <c r="F8164" s="51">
        <v>4.8159744671012028E-2</v>
      </c>
      <c r="G8164" s="51" t="str">
        <v>宗 2023/03/18 (土)
休日午前</v>
      </c>
    </row>
    <row r="8165" spans="1:7" ht="16.149999999999999" x14ac:dyDescent="0.7">
      <c r="A8165" s="49">
        <v>44970.943944467595</v>
      </c>
      <c r="B8165" s="50" t="s">
        <v>8</v>
      </c>
      <c r="C8165" s="50" t="s">
        <v>702</v>
      </c>
      <c r="D8165" s="50" t="s">
        <v>261</v>
      </c>
      <c r="E8165" s="50">
        <v>0</v>
      </c>
      <c r="F8165" s="51">
        <v>0.71918995316277057</v>
      </c>
      <c r="G8165" s="51" t="str">
        <v>宗 2023/03/18 (土)
休日午後</v>
      </c>
    </row>
    <row r="8166" spans="1:7" ht="16.149999999999999" x14ac:dyDescent="0.7">
      <c r="A8166" s="49">
        <v>44970.943944467595</v>
      </c>
      <c r="B8166" s="50" t="s">
        <v>8</v>
      </c>
      <c r="C8166" s="50" t="s">
        <v>703</v>
      </c>
      <c r="D8166" s="50" t="s">
        <v>263</v>
      </c>
      <c r="E8166" s="50">
        <v>0</v>
      </c>
      <c r="F8166" s="51">
        <v>0.20537036697278865</v>
      </c>
      <c r="G8166" s="51" t="str">
        <v>宗 2023/03/19 (日)
休日午前</v>
      </c>
    </row>
    <row r="8167" spans="1:7" ht="16.149999999999999" x14ac:dyDescent="0.7">
      <c r="A8167" s="49">
        <v>44970.943944467595</v>
      </c>
      <c r="B8167" s="50" t="s">
        <v>8</v>
      </c>
      <c r="C8167" s="50" t="s">
        <v>704</v>
      </c>
      <c r="D8167" s="50" t="s">
        <v>261</v>
      </c>
      <c r="E8167" s="50">
        <v>0</v>
      </c>
      <c r="F8167" s="51">
        <v>0.67161597655048544</v>
      </c>
      <c r="G8167" s="51" t="str">
        <v>宗 2023/03/19 (日)
休日午後</v>
      </c>
    </row>
    <row r="8168" spans="1:7" ht="16.149999999999999" x14ac:dyDescent="0.7">
      <c r="A8168" s="49">
        <v>44970.943944467595</v>
      </c>
      <c r="B8168" s="50" t="s">
        <v>8</v>
      </c>
      <c r="C8168" s="50" t="s">
        <v>705</v>
      </c>
      <c r="D8168" s="50" t="s">
        <v>259</v>
      </c>
      <c r="E8168" s="50">
        <v>0</v>
      </c>
      <c r="F8168" s="51">
        <v>0.86739829249880773</v>
      </c>
      <c r="G8168" s="51" t="str">
        <v>宗 2023/03/20 (月)
平日夜間</v>
      </c>
    </row>
    <row r="8169" spans="1:7" ht="16.149999999999999" x14ac:dyDescent="0.7">
      <c r="A8169" s="49">
        <v>44970.943944467595</v>
      </c>
      <c r="B8169" s="50" t="s">
        <v>8</v>
      </c>
      <c r="C8169" s="50" t="s">
        <v>706</v>
      </c>
      <c r="D8169" s="50" t="s">
        <v>263</v>
      </c>
      <c r="E8169" s="50">
        <v>0</v>
      </c>
      <c r="F8169" s="51">
        <v>7.8549907530407248E-2</v>
      </c>
      <c r="G8169" s="51" t="str">
        <v>宗 2023/03/21 (火)
休日午前</v>
      </c>
    </row>
    <row r="8170" spans="1:7" ht="16.149999999999999" x14ac:dyDescent="0.7">
      <c r="A8170" s="49">
        <v>44970.943944467595</v>
      </c>
      <c r="B8170" s="50" t="s">
        <v>8</v>
      </c>
      <c r="C8170" s="50" t="s">
        <v>707</v>
      </c>
      <c r="D8170" s="50" t="s">
        <v>261</v>
      </c>
      <c r="E8170" s="50">
        <v>2</v>
      </c>
      <c r="F8170" s="51">
        <v>2.3034524357524493</v>
      </c>
      <c r="G8170" s="51" t="str">
        <v>宗 2023/03/21 (火)
休日午後</v>
      </c>
    </row>
    <row r="8171" spans="1:7" ht="16.149999999999999" x14ac:dyDescent="0.7">
      <c r="A8171" s="49">
        <v>44970.943944467595</v>
      </c>
      <c r="B8171" s="50" t="s">
        <v>8</v>
      </c>
      <c r="C8171" s="50" t="s">
        <v>708</v>
      </c>
      <c r="D8171" s="50" t="s">
        <v>259</v>
      </c>
      <c r="E8171" s="50">
        <v>2</v>
      </c>
      <c r="F8171" s="51">
        <v>2.8669174333821701</v>
      </c>
      <c r="G8171" s="51" t="str">
        <v>宗 2023/03/22 (水)
平日夜間</v>
      </c>
    </row>
    <row r="8172" spans="1:7" ht="16.149999999999999" x14ac:dyDescent="0.7">
      <c r="A8172" s="49">
        <v>44970.943944467595</v>
      </c>
      <c r="B8172" s="50" t="s">
        <v>8</v>
      </c>
      <c r="C8172" s="50" t="s">
        <v>709</v>
      </c>
      <c r="D8172" s="50" t="s">
        <v>259</v>
      </c>
      <c r="E8172" s="50">
        <v>0</v>
      </c>
      <c r="F8172" s="51">
        <v>0.411263701057762</v>
      </c>
      <c r="G8172" s="51" t="str">
        <v>宗 2023/03/23 (木)
平日夜間</v>
      </c>
    </row>
    <row r="8173" spans="1:7" ht="16.149999999999999" x14ac:dyDescent="0.7">
      <c r="A8173" s="49">
        <v>44970.943944467595</v>
      </c>
      <c r="B8173" s="50" t="s">
        <v>8</v>
      </c>
      <c r="C8173" s="50" t="s">
        <v>710</v>
      </c>
      <c r="D8173" s="50" t="s">
        <v>259</v>
      </c>
      <c r="E8173" s="50">
        <v>0</v>
      </c>
      <c r="F8173" s="51">
        <v>0.32464729609376852</v>
      </c>
      <c r="G8173" s="51" t="str">
        <v>宗 2023/03/24 (金)
平日夜間</v>
      </c>
    </row>
    <row r="8174" spans="1:7" ht="16.149999999999999" x14ac:dyDescent="0.7">
      <c r="A8174" s="49">
        <v>44970.943944467595</v>
      </c>
      <c r="B8174" s="50" t="s">
        <v>8</v>
      </c>
      <c r="C8174" s="50" t="s">
        <v>711</v>
      </c>
      <c r="D8174" s="50" t="s">
        <v>263</v>
      </c>
      <c r="E8174" s="50">
        <v>-1</v>
      </c>
      <c r="F8174" s="51">
        <v>-0.16522873197565358</v>
      </c>
      <c r="G8174" s="51" t="str">
        <v>宗 2023/03/25 (土)
休日午前</v>
      </c>
    </row>
    <row r="8175" spans="1:7" ht="16.149999999999999" x14ac:dyDescent="0.7">
      <c r="A8175" s="49">
        <v>44970.943944467595</v>
      </c>
      <c r="B8175" s="50" t="s">
        <v>8</v>
      </c>
      <c r="C8175" s="50" t="s">
        <v>712</v>
      </c>
      <c r="D8175" s="50" t="s">
        <v>261</v>
      </c>
      <c r="E8175" s="50">
        <v>-1</v>
      </c>
      <c r="F8175" s="51">
        <v>-0.29411778500897112</v>
      </c>
      <c r="G8175" s="51" t="str">
        <v>宗 2023/03/25 (土)
休日午後</v>
      </c>
    </row>
    <row r="8176" spans="1:7" ht="16.149999999999999" x14ac:dyDescent="0.7">
      <c r="A8176" s="49">
        <v>44971.820457662034</v>
      </c>
      <c r="B8176" s="50" t="s">
        <v>4</v>
      </c>
      <c r="C8176" s="50" t="s">
        <v>680</v>
      </c>
      <c r="D8176" s="50" t="s">
        <v>259</v>
      </c>
      <c r="E8176" s="50">
        <v>-1</v>
      </c>
      <c r="F8176" s="51">
        <v>-0.34175628241733391</v>
      </c>
      <c r="G8176" s="51" t="str">
        <v>井上 2023/03/01 (水)
平日夜間</v>
      </c>
    </row>
    <row r="8177" spans="1:7" ht="16.149999999999999" x14ac:dyDescent="0.7">
      <c r="A8177" s="49">
        <v>44971.820457662034</v>
      </c>
      <c r="B8177" s="50" t="s">
        <v>4</v>
      </c>
      <c r="C8177" s="50" t="s">
        <v>681</v>
      </c>
      <c r="D8177" s="50" t="s">
        <v>259</v>
      </c>
      <c r="E8177" s="50">
        <v>0</v>
      </c>
      <c r="F8177" s="51">
        <v>0.6757201569862914</v>
      </c>
      <c r="G8177" s="51" t="str">
        <v>井上 2023/03/02 (木)
平日夜間</v>
      </c>
    </row>
    <row r="8178" spans="1:7" ht="16.149999999999999" x14ac:dyDescent="0.7">
      <c r="A8178" s="49">
        <v>44971.820457662034</v>
      </c>
      <c r="B8178" s="50" t="s">
        <v>4</v>
      </c>
      <c r="C8178" s="50" t="s">
        <v>682</v>
      </c>
      <c r="D8178" s="50" t="s">
        <v>259</v>
      </c>
      <c r="E8178" s="50">
        <v>0</v>
      </c>
      <c r="F8178" s="51">
        <v>0.42327468476093166</v>
      </c>
      <c r="G8178" s="51" t="str">
        <v>井上 2023/03/03 (金)
平日夜間</v>
      </c>
    </row>
    <row r="8179" spans="1:7" ht="16.149999999999999" x14ac:dyDescent="0.7">
      <c r="A8179" s="49">
        <v>44971.820457662034</v>
      </c>
      <c r="B8179" s="50" t="s">
        <v>4</v>
      </c>
      <c r="C8179" s="50" t="s">
        <v>683</v>
      </c>
      <c r="D8179" s="50" t="s">
        <v>263</v>
      </c>
      <c r="E8179" s="50">
        <v>0</v>
      </c>
      <c r="F8179" s="51">
        <v>9.2878203560702755E-2</v>
      </c>
      <c r="G8179" s="51" t="str">
        <v>井上 2023/03/04 (土)
休日午前</v>
      </c>
    </row>
    <row r="8180" spans="1:7" ht="16.149999999999999" x14ac:dyDescent="0.7">
      <c r="A8180" s="49">
        <v>44971.820457662034</v>
      </c>
      <c r="B8180" s="50" t="s">
        <v>4</v>
      </c>
      <c r="C8180" s="50" t="s">
        <v>684</v>
      </c>
      <c r="D8180" s="50" t="s">
        <v>261</v>
      </c>
      <c r="E8180" s="50">
        <v>-1</v>
      </c>
      <c r="F8180" s="51">
        <v>-0.76652178152221362</v>
      </c>
      <c r="G8180" s="51" t="str">
        <v>井上 2023/03/04 (土)
休日午後</v>
      </c>
    </row>
    <row r="8181" spans="1:7" ht="16.149999999999999" x14ac:dyDescent="0.7">
      <c r="A8181" s="49">
        <v>44971.820457662034</v>
      </c>
      <c r="B8181" s="50" t="s">
        <v>4</v>
      </c>
      <c r="C8181" s="50" t="s">
        <v>685</v>
      </c>
      <c r="D8181" s="50" t="s">
        <v>263</v>
      </c>
      <c r="E8181" s="50">
        <v>0</v>
      </c>
      <c r="F8181" s="51">
        <v>0.22503317408011747</v>
      </c>
      <c r="G8181" s="51" t="str">
        <v>井上 2023/03/05 (日)
休日午前</v>
      </c>
    </row>
    <row r="8182" spans="1:7" ht="16.149999999999999" x14ac:dyDescent="0.7">
      <c r="A8182" s="49">
        <v>44971.820457662034</v>
      </c>
      <c r="B8182" s="50" t="s">
        <v>4</v>
      </c>
      <c r="C8182" s="50" t="s">
        <v>686</v>
      </c>
      <c r="D8182" s="50" t="s">
        <v>261</v>
      </c>
      <c r="E8182" s="50">
        <v>-1</v>
      </c>
      <c r="F8182" s="51">
        <v>-0.58931441070253254</v>
      </c>
      <c r="G8182" s="51" t="str">
        <v>井上 2023/03/05 (日)
休日午後</v>
      </c>
    </row>
    <row r="8183" spans="1:7" ht="16.149999999999999" x14ac:dyDescent="0.7">
      <c r="A8183" s="49">
        <v>44971.820457662034</v>
      </c>
      <c r="B8183" s="50" t="s">
        <v>4</v>
      </c>
      <c r="C8183" s="50" t="s">
        <v>687</v>
      </c>
      <c r="D8183" s="50" t="s">
        <v>259</v>
      </c>
      <c r="E8183" s="50">
        <v>0</v>
      </c>
      <c r="F8183" s="51">
        <v>0.30742813555618298</v>
      </c>
      <c r="G8183" s="51" t="str">
        <v>井上 2023/03/06 (月)
平日夜間</v>
      </c>
    </row>
    <row r="8184" spans="1:7" ht="16.149999999999999" x14ac:dyDescent="0.7">
      <c r="A8184" s="49">
        <v>44971.820457662034</v>
      </c>
      <c r="B8184" s="50" t="s">
        <v>4</v>
      </c>
      <c r="C8184" s="50" t="s">
        <v>688</v>
      </c>
      <c r="D8184" s="50" t="s">
        <v>259</v>
      </c>
      <c r="E8184" s="50">
        <v>-1</v>
      </c>
      <c r="F8184" s="51">
        <v>-0.3325491485608143</v>
      </c>
      <c r="G8184" s="51" t="str">
        <v>井上 2023/03/07 (火)
平日夜間</v>
      </c>
    </row>
    <row r="8185" spans="1:7" ht="16.149999999999999" x14ac:dyDescent="0.7">
      <c r="A8185" s="49">
        <v>44971.820457662034</v>
      </c>
      <c r="B8185" s="50" t="s">
        <v>4</v>
      </c>
      <c r="C8185" s="50" t="s">
        <v>689</v>
      </c>
      <c r="D8185" s="50" t="s">
        <v>259</v>
      </c>
      <c r="E8185" s="50">
        <v>0</v>
      </c>
      <c r="F8185" s="51">
        <v>0.52734927992740643</v>
      </c>
      <c r="G8185" s="51" t="str">
        <v>井上 2023/03/08 (水)
平日夜間</v>
      </c>
    </row>
    <row r="8186" spans="1:7" ht="16.149999999999999" x14ac:dyDescent="0.7">
      <c r="A8186" s="49">
        <v>44971.820457662034</v>
      </c>
      <c r="B8186" s="50" t="s">
        <v>4</v>
      </c>
      <c r="C8186" s="50" t="s">
        <v>690</v>
      </c>
      <c r="D8186" s="50" t="s">
        <v>259</v>
      </c>
      <c r="E8186" s="50">
        <v>0</v>
      </c>
      <c r="F8186" s="51">
        <v>0.84270143247888196</v>
      </c>
      <c r="G8186" s="51" t="str">
        <v>井上 2023/03/09 (木)
平日夜間</v>
      </c>
    </row>
    <row r="8187" spans="1:7" ht="16.149999999999999" x14ac:dyDescent="0.7">
      <c r="A8187" s="49">
        <v>44971.820457662034</v>
      </c>
      <c r="B8187" s="50" t="s">
        <v>4</v>
      </c>
      <c r="C8187" s="50" t="s">
        <v>691</v>
      </c>
      <c r="D8187" s="50" t="s">
        <v>259</v>
      </c>
      <c r="E8187" s="50">
        <v>0</v>
      </c>
      <c r="F8187" s="51">
        <v>0.2626029343860059</v>
      </c>
      <c r="G8187" s="51" t="str">
        <v>井上 2023/03/10 (金)
平日夜間</v>
      </c>
    </row>
    <row r="8188" spans="1:7" ht="16.149999999999999" x14ac:dyDescent="0.7">
      <c r="A8188" s="49">
        <v>44971.820457662034</v>
      </c>
      <c r="B8188" s="50" t="s">
        <v>4</v>
      </c>
      <c r="C8188" s="50" t="s">
        <v>692</v>
      </c>
      <c r="D8188" s="50" t="s">
        <v>263</v>
      </c>
      <c r="E8188" s="50">
        <v>0</v>
      </c>
      <c r="F8188" s="51">
        <v>0.95919625510416928</v>
      </c>
      <c r="G8188" s="51" t="str">
        <v>井上 2023/03/11 (土)
休日午前</v>
      </c>
    </row>
    <row r="8189" spans="1:7" ht="16.149999999999999" x14ac:dyDescent="0.7">
      <c r="A8189" s="49">
        <v>44971.820457662034</v>
      </c>
      <c r="B8189" s="50" t="s">
        <v>4</v>
      </c>
      <c r="C8189" s="50" t="s">
        <v>693</v>
      </c>
      <c r="D8189" s="50" t="s">
        <v>261</v>
      </c>
      <c r="E8189" s="50">
        <v>0</v>
      </c>
      <c r="F8189" s="51">
        <v>5.7049479420136162E-2</v>
      </c>
      <c r="G8189" s="51" t="str">
        <v>井上 2023/03/11 (土)
休日午後</v>
      </c>
    </row>
    <row r="8190" spans="1:7" ht="16.149999999999999" x14ac:dyDescent="0.7">
      <c r="A8190" s="49">
        <v>44971.820457662034</v>
      </c>
      <c r="B8190" s="50" t="s">
        <v>4</v>
      </c>
      <c r="C8190" s="50" t="s">
        <v>694</v>
      </c>
      <c r="D8190" s="50" t="s">
        <v>263</v>
      </c>
      <c r="E8190" s="50">
        <v>0</v>
      </c>
      <c r="F8190" s="51">
        <v>0.75768843054636847</v>
      </c>
      <c r="G8190" s="51" t="str">
        <v>井上 2023/03/12 (日)
休日午前</v>
      </c>
    </row>
    <row r="8191" spans="1:7" ht="16.149999999999999" x14ac:dyDescent="0.7">
      <c r="A8191" s="49">
        <v>44971.820457662034</v>
      </c>
      <c r="B8191" s="50" t="s">
        <v>4</v>
      </c>
      <c r="C8191" s="50" t="s">
        <v>695</v>
      </c>
      <c r="D8191" s="50" t="s">
        <v>261</v>
      </c>
      <c r="E8191" s="50">
        <v>-1</v>
      </c>
      <c r="F8191" s="51">
        <v>-0.63943271937874879</v>
      </c>
      <c r="G8191" s="51" t="str">
        <v>井上 2023/03/12 (日)
休日午後</v>
      </c>
    </row>
    <row r="8192" spans="1:7" ht="16.149999999999999" x14ac:dyDescent="0.7">
      <c r="A8192" s="49">
        <v>44971.820457662034</v>
      </c>
      <c r="B8192" s="50" t="s">
        <v>4</v>
      </c>
      <c r="C8192" s="50" t="s">
        <v>696</v>
      </c>
      <c r="D8192" s="50" t="s">
        <v>259</v>
      </c>
      <c r="E8192" s="50">
        <v>-1</v>
      </c>
      <c r="F8192" s="51">
        <v>-0.37870728843568036</v>
      </c>
      <c r="G8192" s="51" t="str">
        <v>井上 2023/03/13 (月)
平日夜間</v>
      </c>
    </row>
    <row r="8193" spans="1:7" ht="16.149999999999999" x14ac:dyDescent="0.7">
      <c r="A8193" s="49">
        <v>44971.820457662034</v>
      </c>
      <c r="B8193" s="50" t="s">
        <v>4</v>
      </c>
      <c r="C8193" s="50" t="s">
        <v>697</v>
      </c>
      <c r="D8193" s="50" t="s">
        <v>259</v>
      </c>
      <c r="E8193" s="50">
        <v>-1</v>
      </c>
      <c r="F8193" s="51">
        <v>-0.48161455617878235</v>
      </c>
      <c r="G8193" s="51" t="str">
        <v>井上 2023/03/14 (火)
平日夜間</v>
      </c>
    </row>
    <row r="8194" spans="1:7" ht="16.149999999999999" x14ac:dyDescent="0.7">
      <c r="A8194" s="49">
        <v>44971.820457662034</v>
      </c>
      <c r="B8194" s="50" t="s">
        <v>4</v>
      </c>
      <c r="C8194" s="50" t="s">
        <v>698</v>
      </c>
      <c r="D8194" s="50" t="s">
        <v>259</v>
      </c>
      <c r="E8194" s="50">
        <v>0</v>
      </c>
      <c r="F8194" s="51">
        <v>9.6660019377576401E-2</v>
      </c>
      <c r="G8194" s="51" t="str">
        <v>井上 2023/03/15 (水)
平日夜間</v>
      </c>
    </row>
    <row r="8195" spans="1:7" ht="16.149999999999999" x14ac:dyDescent="0.7">
      <c r="A8195" s="49">
        <v>44971.820457662034</v>
      </c>
      <c r="B8195" s="50" t="s">
        <v>4</v>
      </c>
      <c r="C8195" s="50" t="s">
        <v>699</v>
      </c>
      <c r="D8195" s="50" t="s">
        <v>259</v>
      </c>
      <c r="E8195" s="50">
        <v>-1</v>
      </c>
      <c r="F8195" s="51">
        <v>-0.70238699753408329</v>
      </c>
      <c r="G8195" s="51" t="str">
        <v>井上 2023/03/16 (木)
平日夜間</v>
      </c>
    </row>
    <row r="8196" spans="1:7" ht="16.149999999999999" x14ac:dyDescent="0.7">
      <c r="A8196" s="49">
        <v>44971.820457662034</v>
      </c>
      <c r="B8196" s="50" t="s">
        <v>4</v>
      </c>
      <c r="C8196" s="50" t="s">
        <v>700</v>
      </c>
      <c r="D8196" s="50" t="s">
        <v>259</v>
      </c>
      <c r="E8196" s="50">
        <v>0</v>
      </c>
      <c r="F8196" s="51">
        <v>9.6349870852715513E-2</v>
      </c>
      <c r="G8196" s="51" t="str">
        <v>井上 2023/03/17 (金)
平日夜間</v>
      </c>
    </row>
    <row r="8197" spans="1:7" ht="16.149999999999999" x14ac:dyDescent="0.7">
      <c r="A8197" s="49">
        <v>44971.820457662034</v>
      </c>
      <c r="B8197" s="50" t="s">
        <v>4</v>
      </c>
      <c r="C8197" s="50" t="s">
        <v>701</v>
      </c>
      <c r="D8197" s="50" t="s">
        <v>263</v>
      </c>
      <c r="E8197" s="50">
        <v>0</v>
      </c>
      <c r="F8197" s="51">
        <v>0.5287081989290443</v>
      </c>
      <c r="G8197" s="51" t="str">
        <v>井上 2023/03/18 (土)
休日午前</v>
      </c>
    </row>
    <row r="8198" spans="1:7" ht="16.149999999999999" x14ac:dyDescent="0.7">
      <c r="A8198" s="49">
        <v>44971.820457662034</v>
      </c>
      <c r="B8198" s="50" t="s">
        <v>4</v>
      </c>
      <c r="C8198" s="50" t="s">
        <v>702</v>
      </c>
      <c r="D8198" s="50" t="s">
        <v>261</v>
      </c>
      <c r="E8198" s="50">
        <v>0</v>
      </c>
      <c r="F8198" s="51">
        <v>0.49374865069155138</v>
      </c>
      <c r="G8198" s="51" t="str">
        <v>井上 2023/03/18 (土)
休日午後</v>
      </c>
    </row>
    <row r="8199" spans="1:7" ht="16.149999999999999" x14ac:dyDescent="0.7">
      <c r="A8199" s="49">
        <v>44971.820457662034</v>
      </c>
      <c r="B8199" s="50" t="s">
        <v>4</v>
      </c>
      <c r="C8199" s="50" t="s">
        <v>703</v>
      </c>
      <c r="D8199" s="50" t="s">
        <v>263</v>
      </c>
      <c r="E8199" s="50">
        <v>-1</v>
      </c>
      <c r="F8199" s="51">
        <v>-0.88907815266788393</v>
      </c>
      <c r="G8199" s="51" t="str">
        <v>井上 2023/03/19 (日)
休日午前</v>
      </c>
    </row>
    <row r="8200" spans="1:7" ht="16.149999999999999" x14ac:dyDescent="0.7">
      <c r="A8200" s="49">
        <v>44971.820457662034</v>
      </c>
      <c r="B8200" s="50" t="s">
        <v>4</v>
      </c>
      <c r="C8200" s="50" t="s">
        <v>704</v>
      </c>
      <c r="D8200" s="50" t="s">
        <v>261</v>
      </c>
      <c r="E8200" s="50">
        <v>-1</v>
      </c>
      <c r="F8200" s="51">
        <v>-5.7864652337245026E-3</v>
      </c>
      <c r="G8200" s="51" t="str">
        <v>井上 2023/03/19 (日)
休日午後</v>
      </c>
    </row>
    <row r="8201" spans="1:7" ht="16.149999999999999" x14ac:dyDescent="0.7">
      <c r="A8201" s="49">
        <v>44971.820457662034</v>
      </c>
      <c r="B8201" s="50" t="s">
        <v>4</v>
      </c>
      <c r="C8201" s="50" t="s">
        <v>705</v>
      </c>
      <c r="D8201" s="50" t="s">
        <v>259</v>
      </c>
      <c r="E8201" s="50">
        <v>2</v>
      </c>
      <c r="F8201" s="51">
        <v>2.3705024403622499</v>
      </c>
      <c r="G8201" s="51" t="str">
        <v>井上 2023/03/20 (月)
平日夜間</v>
      </c>
    </row>
    <row r="8202" spans="1:7" ht="16.149999999999999" x14ac:dyDescent="0.7">
      <c r="A8202" s="49">
        <v>44971.820457662034</v>
      </c>
      <c r="B8202" s="50" t="s">
        <v>4</v>
      </c>
      <c r="C8202" s="50" t="s">
        <v>706</v>
      </c>
      <c r="D8202" s="50" t="s">
        <v>263</v>
      </c>
      <c r="E8202" s="50">
        <v>-1</v>
      </c>
      <c r="F8202" s="51">
        <v>-0.93327132552706549</v>
      </c>
      <c r="G8202" s="51" t="str">
        <v>井上 2023/03/21 (火)
休日午前</v>
      </c>
    </row>
    <row r="8203" spans="1:7" ht="16.149999999999999" x14ac:dyDescent="0.7">
      <c r="A8203" s="49">
        <v>44971.820457662034</v>
      </c>
      <c r="B8203" s="50" t="s">
        <v>4</v>
      </c>
      <c r="C8203" s="50" t="s">
        <v>707</v>
      </c>
      <c r="D8203" s="50" t="s">
        <v>261</v>
      </c>
      <c r="E8203" s="50">
        <v>-1</v>
      </c>
      <c r="F8203" s="51">
        <v>-0.63449501136069952</v>
      </c>
      <c r="G8203" s="51" t="str">
        <v>井上 2023/03/21 (火)
休日午後</v>
      </c>
    </row>
    <row r="8204" spans="1:7" ht="16.149999999999999" x14ac:dyDescent="0.7">
      <c r="A8204" s="49">
        <v>44971.820457662034</v>
      </c>
      <c r="B8204" s="50" t="s">
        <v>4</v>
      </c>
      <c r="C8204" s="50" t="s">
        <v>708</v>
      </c>
      <c r="D8204" s="50" t="s">
        <v>259</v>
      </c>
      <c r="E8204" s="50">
        <v>0</v>
      </c>
      <c r="F8204" s="51">
        <v>2.5368010149119158E-2</v>
      </c>
      <c r="G8204" s="51" t="str">
        <v>井上 2023/03/22 (水)
平日夜間</v>
      </c>
    </row>
    <row r="8205" spans="1:7" ht="16.149999999999999" x14ac:dyDescent="0.7">
      <c r="A8205" s="49">
        <v>44971.820457662034</v>
      </c>
      <c r="B8205" s="50" t="s">
        <v>4</v>
      </c>
      <c r="C8205" s="50" t="s">
        <v>709</v>
      </c>
      <c r="D8205" s="50" t="s">
        <v>259</v>
      </c>
      <c r="E8205" s="50">
        <v>0</v>
      </c>
      <c r="F8205" s="51">
        <v>0.46535386741467089</v>
      </c>
      <c r="G8205" s="51" t="str">
        <v>井上 2023/03/23 (木)
平日夜間</v>
      </c>
    </row>
    <row r="8206" spans="1:7" ht="16.149999999999999" x14ac:dyDescent="0.7">
      <c r="A8206" s="49">
        <v>44971.820457662034</v>
      </c>
      <c r="B8206" s="50" t="s">
        <v>4</v>
      </c>
      <c r="C8206" s="50" t="s">
        <v>710</v>
      </c>
      <c r="D8206" s="50" t="s">
        <v>259</v>
      </c>
      <c r="E8206" s="50">
        <v>0</v>
      </c>
      <c r="F8206" s="51">
        <v>0.18285970369509208</v>
      </c>
      <c r="G8206" s="51" t="str">
        <v>井上 2023/03/24 (金)
平日夜間</v>
      </c>
    </row>
    <row r="8207" spans="1:7" ht="16.149999999999999" x14ac:dyDescent="0.7">
      <c r="A8207" s="49">
        <v>44971.820457662034</v>
      </c>
      <c r="B8207" s="50" t="s">
        <v>4</v>
      </c>
      <c r="C8207" s="50" t="s">
        <v>711</v>
      </c>
      <c r="D8207" s="50" t="s">
        <v>263</v>
      </c>
      <c r="E8207" s="50">
        <v>-1</v>
      </c>
      <c r="F8207" s="51">
        <v>-0.26793183268733967</v>
      </c>
      <c r="G8207" s="51" t="str">
        <v>井上 2023/03/25 (土)
休日午前</v>
      </c>
    </row>
    <row r="8208" spans="1:7" ht="16.149999999999999" x14ac:dyDescent="0.7">
      <c r="A8208" s="49">
        <v>44971.820457662034</v>
      </c>
      <c r="B8208" s="50" t="s">
        <v>4</v>
      </c>
      <c r="C8208" s="50" t="s">
        <v>712</v>
      </c>
      <c r="D8208" s="50" t="s">
        <v>261</v>
      </c>
      <c r="E8208" s="50">
        <v>-1</v>
      </c>
      <c r="F8208" s="51">
        <v>-0.82664457253398682</v>
      </c>
      <c r="G8208" s="51" t="str">
        <v>井上 2023/03/25 (土)
休日午後</v>
      </c>
    </row>
    <row r="8209" spans="1:7" ht="16.149999999999999" x14ac:dyDescent="0.7">
      <c r="A8209" s="49">
        <v>44971.820457662034</v>
      </c>
      <c r="B8209" s="50" t="s">
        <v>4</v>
      </c>
      <c r="C8209" s="50" t="s">
        <v>713</v>
      </c>
      <c r="D8209" s="50" t="s">
        <v>263</v>
      </c>
      <c r="E8209" s="50">
        <v>-1</v>
      </c>
      <c r="F8209" s="51">
        <v>-0.11070269875674077</v>
      </c>
      <c r="G8209" s="51" t="str">
        <v>井上 2023/03/26 (日)
休日午前</v>
      </c>
    </row>
    <row r="8210" spans="1:7" ht="16.149999999999999" x14ac:dyDescent="0.7">
      <c r="A8210" s="49">
        <v>44971.820457662034</v>
      </c>
      <c r="B8210" s="50" t="s">
        <v>4</v>
      </c>
      <c r="C8210" s="50" t="s">
        <v>714</v>
      </c>
      <c r="D8210" s="50" t="s">
        <v>261</v>
      </c>
      <c r="E8210" s="50">
        <v>-1</v>
      </c>
      <c r="F8210" s="51">
        <v>-0.57364599270642458</v>
      </c>
      <c r="G8210" s="51" t="str">
        <v>井上 2023/03/26 (日)
休日午後</v>
      </c>
    </row>
    <row r="8211" spans="1:7" ht="16.149999999999999" x14ac:dyDescent="0.7">
      <c r="A8211" s="49">
        <v>44971.820457662034</v>
      </c>
      <c r="B8211" s="50" t="s">
        <v>4</v>
      </c>
      <c r="C8211" s="50" t="s">
        <v>715</v>
      </c>
      <c r="D8211" s="50" t="s">
        <v>259</v>
      </c>
      <c r="E8211" s="50">
        <v>2</v>
      </c>
      <c r="F8211" s="51">
        <v>2.1356284228199458</v>
      </c>
      <c r="G8211" s="51" t="str">
        <v>井上 2023/03/27 (月)
平日夜間</v>
      </c>
    </row>
    <row r="8212" spans="1:7" ht="16.149999999999999" x14ac:dyDescent="0.7">
      <c r="A8212" s="49">
        <v>44971.820457662034</v>
      </c>
      <c r="B8212" s="50" t="s">
        <v>4</v>
      </c>
      <c r="C8212" s="50" t="s">
        <v>716</v>
      </c>
      <c r="D8212" s="50" t="s">
        <v>259</v>
      </c>
      <c r="E8212" s="50">
        <v>-1</v>
      </c>
      <c r="F8212" s="51">
        <v>-0.80017966184407552</v>
      </c>
      <c r="G8212" s="51" t="str">
        <v>井上 2023/03/28 (火)
平日夜間</v>
      </c>
    </row>
    <row r="8213" spans="1:7" ht="16.149999999999999" x14ac:dyDescent="0.7">
      <c r="A8213" s="49">
        <v>44971.820457662034</v>
      </c>
      <c r="B8213" s="50" t="s">
        <v>4</v>
      </c>
      <c r="C8213" s="50" t="s">
        <v>717</v>
      </c>
      <c r="D8213" s="50" t="s">
        <v>259</v>
      </c>
      <c r="E8213" s="50">
        <v>-1</v>
      </c>
      <c r="F8213" s="51">
        <v>-0.56731539994594304</v>
      </c>
      <c r="G8213" s="51" t="str">
        <v>井上 2023/03/29 (水)
平日夜間</v>
      </c>
    </row>
    <row r="8214" spans="1:7" ht="16.149999999999999" x14ac:dyDescent="0.7">
      <c r="A8214" s="49">
        <v>44971.820457662034</v>
      </c>
      <c r="B8214" s="50" t="s">
        <v>4</v>
      </c>
      <c r="C8214" s="50" t="s">
        <v>718</v>
      </c>
      <c r="D8214" s="50" t="s">
        <v>259</v>
      </c>
      <c r="E8214" s="50">
        <v>-1</v>
      </c>
      <c r="F8214" s="51">
        <v>-0.59736141798115772</v>
      </c>
      <c r="G8214" s="51" t="str">
        <v>井上 2023/03/30 (木)
平日夜間</v>
      </c>
    </row>
    <row r="8215" spans="1:7" ht="16.149999999999999" x14ac:dyDescent="0.7">
      <c r="A8215" s="49">
        <v>44971.820457662034</v>
      </c>
      <c r="B8215" s="50" t="s">
        <v>4</v>
      </c>
      <c r="C8215" s="50" t="s">
        <v>719</v>
      </c>
      <c r="D8215" s="50" t="s">
        <v>259</v>
      </c>
      <c r="E8215" s="50">
        <v>-1</v>
      </c>
      <c r="F8215" s="51">
        <v>-0.30509618288116491</v>
      </c>
      <c r="G8215" s="51" t="str">
        <v>井上 2023/03/31 (金)
平日夜間</v>
      </c>
    </row>
    <row r="8216" spans="1:7" ht="16.149999999999999" x14ac:dyDescent="0.7">
      <c r="A8216" s="49">
        <v>44972.515937627315</v>
      </c>
      <c r="B8216" s="50" t="s">
        <v>8</v>
      </c>
      <c r="C8216" s="50" t="s">
        <v>680</v>
      </c>
      <c r="D8216" s="50" t="s">
        <v>259</v>
      </c>
      <c r="E8216" s="50">
        <v>0</v>
      </c>
      <c r="F8216" s="51">
        <v>0.29835212435426217</v>
      </c>
      <c r="G8216" s="51" t="str">
        <v>宗 2023/03/01 (水)
平日夜間</v>
      </c>
    </row>
    <row r="8217" spans="1:7" ht="16.149999999999999" x14ac:dyDescent="0.7">
      <c r="A8217" s="49">
        <v>44972.515937627315</v>
      </c>
      <c r="B8217" s="50" t="s">
        <v>8</v>
      </c>
      <c r="C8217" s="50" t="s">
        <v>681</v>
      </c>
      <c r="D8217" s="50" t="s">
        <v>259</v>
      </c>
      <c r="E8217" s="50">
        <v>-1</v>
      </c>
      <c r="F8217" s="51">
        <v>-0.42984848602639092</v>
      </c>
      <c r="G8217" s="51" t="str">
        <v>宗 2023/03/02 (木)
平日夜間</v>
      </c>
    </row>
    <row r="8218" spans="1:7" ht="16.149999999999999" x14ac:dyDescent="0.7">
      <c r="A8218" s="49">
        <v>44972.515937627315</v>
      </c>
      <c r="B8218" s="50" t="s">
        <v>8</v>
      </c>
      <c r="C8218" s="50" t="s">
        <v>682</v>
      </c>
      <c r="D8218" s="50" t="s">
        <v>259</v>
      </c>
      <c r="E8218" s="50">
        <v>0</v>
      </c>
      <c r="F8218" s="51">
        <v>0.52433948017789533</v>
      </c>
      <c r="G8218" s="51" t="str">
        <v>宗 2023/03/03 (金)
平日夜間</v>
      </c>
    </row>
    <row r="8219" spans="1:7" ht="16.149999999999999" x14ac:dyDescent="0.7">
      <c r="A8219" s="49">
        <v>44972.515937627315</v>
      </c>
      <c r="B8219" s="50" t="s">
        <v>8</v>
      </c>
      <c r="C8219" s="50" t="s">
        <v>683</v>
      </c>
      <c r="D8219" s="50" t="s">
        <v>263</v>
      </c>
      <c r="E8219" s="50">
        <v>-1</v>
      </c>
      <c r="F8219" s="51">
        <v>-0.48934774591817209</v>
      </c>
      <c r="G8219" s="51" t="str">
        <v>宗 2023/03/04 (土)
休日午前</v>
      </c>
    </row>
    <row r="8220" spans="1:7" ht="16.149999999999999" x14ac:dyDescent="0.7">
      <c r="A8220" s="49">
        <v>44972.515937627315</v>
      </c>
      <c r="B8220" s="50" t="s">
        <v>8</v>
      </c>
      <c r="C8220" s="50" t="s">
        <v>684</v>
      </c>
      <c r="D8220" s="50" t="s">
        <v>261</v>
      </c>
      <c r="E8220" s="50">
        <v>-1</v>
      </c>
      <c r="F8220" s="51">
        <v>-4.7944810852695863E-3</v>
      </c>
      <c r="G8220" s="51" t="str">
        <v>宗 2023/03/04 (土)
休日午後</v>
      </c>
    </row>
    <row r="8221" spans="1:7" ht="16.149999999999999" x14ac:dyDescent="0.7">
      <c r="A8221" s="49">
        <v>44972.515937627315</v>
      </c>
      <c r="B8221" s="50" t="s">
        <v>8</v>
      </c>
      <c r="C8221" s="50" t="s">
        <v>685</v>
      </c>
      <c r="D8221" s="50" t="s">
        <v>263</v>
      </c>
      <c r="E8221" s="50">
        <v>-1</v>
      </c>
      <c r="F8221" s="51">
        <v>-7.5140885665874402E-2</v>
      </c>
      <c r="G8221" s="51" t="str">
        <v>宗 2023/03/05 (日)
休日午前</v>
      </c>
    </row>
    <row r="8222" spans="1:7" ht="16.149999999999999" x14ac:dyDescent="0.7">
      <c r="A8222" s="49">
        <v>44972.515937627315</v>
      </c>
      <c r="B8222" s="50" t="s">
        <v>8</v>
      </c>
      <c r="C8222" s="50" t="s">
        <v>686</v>
      </c>
      <c r="D8222" s="50" t="s">
        <v>261</v>
      </c>
      <c r="E8222" s="50">
        <v>-1</v>
      </c>
      <c r="F8222" s="51">
        <v>-0.30889265103501873</v>
      </c>
      <c r="G8222" s="51" t="str">
        <v>宗 2023/03/05 (日)
休日午後</v>
      </c>
    </row>
    <row r="8223" spans="1:7" ht="16.149999999999999" x14ac:dyDescent="0.7">
      <c r="A8223" s="49">
        <v>44972.515937627315</v>
      </c>
      <c r="B8223" s="50" t="s">
        <v>8</v>
      </c>
      <c r="C8223" s="50" t="s">
        <v>687</v>
      </c>
      <c r="D8223" s="50" t="s">
        <v>259</v>
      </c>
      <c r="E8223" s="50">
        <v>0</v>
      </c>
      <c r="F8223" s="51">
        <v>0.64030134667177396</v>
      </c>
      <c r="G8223" s="51" t="str">
        <v>宗 2023/03/06 (月)
平日夜間</v>
      </c>
    </row>
    <row r="8224" spans="1:7" ht="16.149999999999999" x14ac:dyDescent="0.7">
      <c r="A8224" s="49">
        <v>44972.515937627315</v>
      </c>
      <c r="B8224" s="50" t="s">
        <v>8</v>
      </c>
      <c r="C8224" s="50" t="s">
        <v>688</v>
      </c>
      <c r="D8224" s="50" t="s">
        <v>259</v>
      </c>
      <c r="E8224" s="50">
        <v>0</v>
      </c>
      <c r="F8224" s="51">
        <v>0.74385567634449701</v>
      </c>
      <c r="G8224" s="51" t="str">
        <v>宗 2023/03/07 (火)
平日夜間</v>
      </c>
    </row>
    <row r="8225" spans="1:7" ht="16.149999999999999" x14ac:dyDescent="0.7">
      <c r="A8225" s="49">
        <v>44972.515937627315</v>
      </c>
      <c r="B8225" s="50" t="s">
        <v>8</v>
      </c>
      <c r="C8225" s="50" t="s">
        <v>689</v>
      </c>
      <c r="D8225" s="50" t="s">
        <v>259</v>
      </c>
      <c r="E8225" s="50">
        <v>0</v>
      </c>
      <c r="F8225" s="51">
        <v>0.84697398791625567</v>
      </c>
      <c r="G8225" s="51" t="str">
        <v>宗 2023/03/08 (水)
平日夜間</v>
      </c>
    </row>
    <row r="8226" spans="1:7" ht="16.149999999999999" x14ac:dyDescent="0.7">
      <c r="A8226" s="49">
        <v>44972.515937627315</v>
      </c>
      <c r="B8226" s="50" t="s">
        <v>8</v>
      </c>
      <c r="C8226" s="50" t="s">
        <v>690</v>
      </c>
      <c r="D8226" s="50" t="s">
        <v>259</v>
      </c>
      <c r="E8226" s="50">
        <v>0</v>
      </c>
      <c r="F8226" s="51">
        <v>0.80155619026641678</v>
      </c>
      <c r="G8226" s="51" t="str">
        <v>宗 2023/03/09 (木)
平日夜間</v>
      </c>
    </row>
    <row r="8227" spans="1:7" ht="16.149999999999999" x14ac:dyDescent="0.7">
      <c r="A8227" s="49">
        <v>44972.515937627315</v>
      </c>
      <c r="B8227" s="50" t="s">
        <v>8</v>
      </c>
      <c r="C8227" s="50" t="s">
        <v>691</v>
      </c>
      <c r="D8227" s="50" t="s">
        <v>259</v>
      </c>
      <c r="E8227" s="50">
        <v>0</v>
      </c>
      <c r="F8227" s="51">
        <v>0.86824665015754143</v>
      </c>
      <c r="G8227" s="51" t="str">
        <v>宗 2023/03/10 (金)
平日夜間</v>
      </c>
    </row>
    <row r="8228" spans="1:7" ht="16.149999999999999" x14ac:dyDescent="0.7">
      <c r="A8228" s="49">
        <v>44972.515937627315</v>
      </c>
      <c r="B8228" s="50" t="s">
        <v>8</v>
      </c>
      <c r="C8228" s="50" t="s">
        <v>692</v>
      </c>
      <c r="D8228" s="50" t="s">
        <v>263</v>
      </c>
      <c r="E8228" s="50">
        <v>2</v>
      </c>
      <c r="F8228" s="51">
        <v>2.1139729089827406</v>
      </c>
      <c r="G8228" s="51" t="str">
        <v>宗 2023/03/11 (土)
休日午前</v>
      </c>
    </row>
    <row r="8229" spans="1:7" ht="16.149999999999999" x14ac:dyDescent="0.7">
      <c r="A8229" s="49">
        <v>44972.515937627315</v>
      </c>
      <c r="B8229" s="50" t="s">
        <v>8</v>
      </c>
      <c r="C8229" s="50" t="s">
        <v>693</v>
      </c>
      <c r="D8229" s="50" t="s">
        <v>261</v>
      </c>
      <c r="E8229" s="50">
        <v>2</v>
      </c>
      <c r="F8229" s="51">
        <v>2.8795341412796525</v>
      </c>
      <c r="G8229" s="51" t="str">
        <v>宗 2023/03/11 (土)
休日午後</v>
      </c>
    </row>
    <row r="8230" spans="1:7" ht="16.149999999999999" x14ac:dyDescent="0.7">
      <c r="A8230" s="49">
        <v>44972.515937627315</v>
      </c>
      <c r="B8230" s="50" t="s">
        <v>8</v>
      </c>
      <c r="C8230" s="50" t="s">
        <v>694</v>
      </c>
      <c r="D8230" s="50" t="s">
        <v>263</v>
      </c>
      <c r="E8230" s="50">
        <v>-1</v>
      </c>
      <c r="F8230" s="51">
        <v>-0.56148200655528435</v>
      </c>
      <c r="G8230" s="51" t="str">
        <v>宗 2023/03/12 (日)
休日午前</v>
      </c>
    </row>
    <row r="8231" spans="1:7" ht="16.149999999999999" x14ac:dyDescent="0.7">
      <c r="A8231" s="49">
        <v>44972.515937627315</v>
      </c>
      <c r="B8231" s="50" t="s">
        <v>8</v>
      </c>
      <c r="C8231" s="50" t="s">
        <v>695</v>
      </c>
      <c r="D8231" s="50" t="s">
        <v>261</v>
      </c>
      <c r="E8231" s="50">
        <v>-1</v>
      </c>
      <c r="F8231" s="51">
        <v>-0.84730986203536962</v>
      </c>
      <c r="G8231" s="51" t="str">
        <v>宗 2023/03/12 (日)
休日午後</v>
      </c>
    </row>
    <row r="8232" spans="1:7" ht="16.149999999999999" x14ac:dyDescent="0.7">
      <c r="A8232" s="49">
        <v>44972.515937627315</v>
      </c>
      <c r="B8232" s="50" t="s">
        <v>8</v>
      </c>
      <c r="C8232" s="50" t="s">
        <v>696</v>
      </c>
      <c r="D8232" s="50" t="s">
        <v>259</v>
      </c>
      <c r="E8232" s="50">
        <v>0</v>
      </c>
      <c r="F8232" s="51">
        <v>0.55875192227258008</v>
      </c>
      <c r="G8232" s="51" t="str">
        <v>宗 2023/03/13 (月)
平日夜間</v>
      </c>
    </row>
    <row r="8233" spans="1:7" ht="16.149999999999999" x14ac:dyDescent="0.7">
      <c r="A8233" s="49">
        <v>44972.515937627315</v>
      </c>
      <c r="B8233" s="50" t="s">
        <v>8</v>
      </c>
      <c r="C8233" s="50" t="s">
        <v>697</v>
      </c>
      <c r="D8233" s="50" t="s">
        <v>259</v>
      </c>
      <c r="E8233" s="50">
        <v>0</v>
      </c>
      <c r="F8233" s="51">
        <v>0.31165062255774401</v>
      </c>
      <c r="G8233" s="51" t="str">
        <v>宗 2023/03/14 (火)
平日夜間</v>
      </c>
    </row>
    <row r="8234" spans="1:7" ht="16.149999999999999" x14ac:dyDescent="0.7">
      <c r="A8234" s="49">
        <v>44972.515937627315</v>
      </c>
      <c r="B8234" s="50" t="s">
        <v>8</v>
      </c>
      <c r="C8234" s="50" t="s">
        <v>698</v>
      </c>
      <c r="D8234" s="50" t="s">
        <v>259</v>
      </c>
      <c r="E8234" s="50">
        <v>0</v>
      </c>
      <c r="F8234" s="51">
        <v>0.54689005611468078</v>
      </c>
      <c r="G8234" s="51" t="str">
        <v>宗 2023/03/15 (水)
平日夜間</v>
      </c>
    </row>
    <row r="8235" spans="1:7" ht="16.149999999999999" x14ac:dyDescent="0.7">
      <c r="A8235" s="49">
        <v>44972.515937627315</v>
      </c>
      <c r="B8235" s="50" t="s">
        <v>8</v>
      </c>
      <c r="C8235" s="50" t="s">
        <v>699</v>
      </c>
      <c r="D8235" s="50" t="s">
        <v>259</v>
      </c>
      <c r="E8235" s="50">
        <v>0</v>
      </c>
      <c r="F8235" s="51">
        <v>0.74596840014965271</v>
      </c>
      <c r="G8235" s="51" t="str">
        <v>宗 2023/03/16 (木)
平日夜間</v>
      </c>
    </row>
    <row r="8236" spans="1:7" ht="16.149999999999999" x14ac:dyDescent="0.7">
      <c r="A8236" s="49">
        <v>44972.515937627315</v>
      </c>
      <c r="B8236" s="50" t="s">
        <v>8</v>
      </c>
      <c r="C8236" s="50" t="s">
        <v>700</v>
      </c>
      <c r="D8236" s="50" t="s">
        <v>259</v>
      </c>
      <c r="E8236" s="50">
        <v>0</v>
      </c>
      <c r="F8236" s="51">
        <v>0.63672716262158291</v>
      </c>
      <c r="G8236" s="51" t="str">
        <v>宗 2023/03/17 (金)
平日夜間</v>
      </c>
    </row>
    <row r="8237" spans="1:7" ht="16.149999999999999" x14ac:dyDescent="0.7">
      <c r="A8237" s="49">
        <v>44972.515937627315</v>
      </c>
      <c r="B8237" s="50" t="s">
        <v>8</v>
      </c>
      <c r="C8237" s="50" t="s">
        <v>701</v>
      </c>
      <c r="D8237" s="50" t="s">
        <v>263</v>
      </c>
      <c r="E8237" s="50">
        <v>-1</v>
      </c>
      <c r="F8237" s="51">
        <v>-0.82940718980407713</v>
      </c>
      <c r="G8237" s="51" t="str">
        <v>宗 2023/03/18 (土)
休日午前</v>
      </c>
    </row>
    <row r="8238" spans="1:7" ht="16.149999999999999" x14ac:dyDescent="0.7">
      <c r="A8238" s="49">
        <v>44972.515937627315</v>
      </c>
      <c r="B8238" s="50" t="s">
        <v>8</v>
      </c>
      <c r="C8238" s="50" t="s">
        <v>702</v>
      </c>
      <c r="D8238" s="50" t="s">
        <v>261</v>
      </c>
      <c r="E8238" s="50">
        <v>-1</v>
      </c>
      <c r="F8238" s="51">
        <v>-0.76657334555983114</v>
      </c>
      <c r="G8238" s="51" t="str">
        <v>宗 2023/03/18 (土)
休日午後</v>
      </c>
    </row>
    <row r="8239" spans="1:7" ht="16.149999999999999" x14ac:dyDescent="0.7">
      <c r="A8239" s="49">
        <v>44972.515937627315</v>
      </c>
      <c r="B8239" s="50" t="s">
        <v>8</v>
      </c>
      <c r="C8239" s="50" t="s">
        <v>703</v>
      </c>
      <c r="D8239" s="50" t="s">
        <v>263</v>
      </c>
      <c r="E8239" s="50">
        <v>-1</v>
      </c>
      <c r="F8239" s="51">
        <v>-0.34536329284960954</v>
      </c>
      <c r="G8239" s="51" t="str">
        <v>宗 2023/03/19 (日)
休日午前</v>
      </c>
    </row>
    <row r="8240" spans="1:7" ht="16.149999999999999" x14ac:dyDescent="0.7">
      <c r="A8240" s="49">
        <v>44972.515937627315</v>
      </c>
      <c r="B8240" s="50" t="s">
        <v>8</v>
      </c>
      <c r="C8240" s="50" t="s">
        <v>704</v>
      </c>
      <c r="D8240" s="50" t="s">
        <v>261</v>
      </c>
      <c r="E8240" s="50">
        <v>-1</v>
      </c>
      <c r="F8240" s="51">
        <v>-0.25275252614609456</v>
      </c>
      <c r="G8240" s="51" t="str">
        <v>宗 2023/03/19 (日)
休日午後</v>
      </c>
    </row>
    <row r="8241" spans="1:7" ht="16.149999999999999" x14ac:dyDescent="0.7">
      <c r="A8241" s="49">
        <v>44972.515937627315</v>
      </c>
      <c r="B8241" s="50" t="s">
        <v>8</v>
      </c>
      <c r="C8241" s="50" t="s">
        <v>705</v>
      </c>
      <c r="D8241" s="50" t="s">
        <v>259</v>
      </c>
      <c r="E8241" s="50">
        <v>0</v>
      </c>
      <c r="F8241" s="51">
        <v>0.4939631701737115</v>
      </c>
      <c r="G8241" s="51" t="str">
        <v>宗 2023/03/20 (月)
平日夜間</v>
      </c>
    </row>
    <row r="8242" spans="1:7" ht="16.149999999999999" x14ac:dyDescent="0.7">
      <c r="A8242" s="49">
        <v>44972.515937627315</v>
      </c>
      <c r="B8242" s="50" t="s">
        <v>8</v>
      </c>
      <c r="C8242" s="50" t="s">
        <v>706</v>
      </c>
      <c r="D8242" s="50" t="s">
        <v>263</v>
      </c>
      <c r="E8242" s="50">
        <v>-1</v>
      </c>
      <c r="F8242" s="51">
        <v>-0.27802378222113355</v>
      </c>
      <c r="G8242" s="51" t="str">
        <v>宗 2023/03/21 (火)
休日午前</v>
      </c>
    </row>
    <row r="8243" spans="1:7" ht="16.149999999999999" x14ac:dyDescent="0.7">
      <c r="A8243" s="49">
        <v>44972.515937627315</v>
      </c>
      <c r="B8243" s="50" t="s">
        <v>8</v>
      </c>
      <c r="C8243" s="50" t="s">
        <v>707</v>
      </c>
      <c r="D8243" s="50" t="s">
        <v>261</v>
      </c>
      <c r="E8243" s="50">
        <v>-1</v>
      </c>
      <c r="F8243" s="51">
        <v>-0.73331969842096889</v>
      </c>
      <c r="G8243" s="51" t="str">
        <v>宗 2023/03/21 (火)
休日午後</v>
      </c>
    </row>
    <row r="8244" spans="1:7" ht="16.149999999999999" x14ac:dyDescent="0.7">
      <c r="A8244" s="49">
        <v>44972.515937627315</v>
      </c>
      <c r="B8244" s="50" t="s">
        <v>8</v>
      </c>
      <c r="C8244" s="50" t="s">
        <v>708</v>
      </c>
      <c r="D8244" s="50" t="s">
        <v>259</v>
      </c>
      <c r="E8244" s="50">
        <v>-1</v>
      </c>
      <c r="F8244" s="51">
        <v>-0.59456627286868557</v>
      </c>
      <c r="G8244" s="51" t="str">
        <v>宗 2023/03/22 (水)
平日夜間</v>
      </c>
    </row>
    <row r="8245" spans="1:7" ht="16.149999999999999" x14ac:dyDescent="0.7">
      <c r="A8245" s="49">
        <v>44972.515937627315</v>
      </c>
      <c r="B8245" s="50" t="s">
        <v>8</v>
      </c>
      <c r="C8245" s="50" t="s">
        <v>709</v>
      </c>
      <c r="D8245" s="50" t="s">
        <v>259</v>
      </c>
      <c r="E8245" s="50">
        <v>0</v>
      </c>
      <c r="F8245" s="51">
        <v>7.9775012662370859E-3</v>
      </c>
      <c r="G8245" s="51" t="str">
        <v>宗 2023/03/23 (木)
平日夜間</v>
      </c>
    </row>
    <row r="8246" spans="1:7" ht="16.149999999999999" x14ac:dyDescent="0.7">
      <c r="A8246" s="49">
        <v>44972.515937627315</v>
      </c>
      <c r="B8246" s="50" t="s">
        <v>8</v>
      </c>
      <c r="C8246" s="50" t="s">
        <v>710</v>
      </c>
      <c r="D8246" s="50" t="s">
        <v>259</v>
      </c>
      <c r="E8246" s="50">
        <v>0</v>
      </c>
      <c r="F8246" s="51">
        <v>0.56670081095068148</v>
      </c>
      <c r="G8246" s="51" t="str">
        <v>宗 2023/03/24 (金)
平日夜間</v>
      </c>
    </row>
    <row r="8247" spans="1:7" ht="16.149999999999999" x14ac:dyDescent="0.7">
      <c r="A8247" s="49">
        <v>44972.515937627315</v>
      </c>
      <c r="B8247" s="50" t="s">
        <v>8</v>
      </c>
      <c r="C8247" s="50" t="s">
        <v>711</v>
      </c>
      <c r="D8247" s="50" t="s">
        <v>263</v>
      </c>
      <c r="E8247" s="50">
        <v>-1</v>
      </c>
      <c r="F8247" s="51">
        <v>-0.10267669396274282</v>
      </c>
      <c r="G8247" s="51" t="str">
        <v>宗 2023/03/25 (土)
休日午前</v>
      </c>
    </row>
    <row r="8248" spans="1:7" ht="16.149999999999999" x14ac:dyDescent="0.7">
      <c r="A8248" s="49">
        <v>44972.515937627315</v>
      </c>
      <c r="B8248" s="50" t="s">
        <v>8</v>
      </c>
      <c r="C8248" s="50" t="s">
        <v>712</v>
      </c>
      <c r="D8248" s="50" t="s">
        <v>261</v>
      </c>
      <c r="E8248" s="50">
        <v>-1</v>
      </c>
      <c r="F8248" s="51">
        <v>-0.19425145030251589</v>
      </c>
      <c r="G8248" s="51" t="str">
        <v>宗 2023/03/25 (土)
休日午後</v>
      </c>
    </row>
    <row r="8249" spans="1:7" ht="16.149999999999999" x14ac:dyDescent="0.7">
      <c r="A8249" s="49">
        <v>44972.515937627315</v>
      </c>
      <c r="B8249" s="50" t="s">
        <v>8</v>
      </c>
      <c r="C8249" s="50" t="s">
        <v>713</v>
      </c>
      <c r="D8249" s="50" t="s">
        <v>263</v>
      </c>
      <c r="E8249" s="50">
        <v>-1</v>
      </c>
      <c r="F8249" s="51">
        <v>-0.27897398760558589</v>
      </c>
      <c r="G8249" s="51" t="str">
        <v>宗 2023/03/26 (日)
休日午前</v>
      </c>
    </row>
    <row r="8250" spans="1:7" ht="16.149999999999999" x14ac:dyDescent="0.7">
      <c r="A8250" s="49">
        <v>44972.515937627315</v>
      </c>
      <c r="B8250" s="50" t="s">
        <v>8</v>
      </c>
      <c r="C8250" s="50" t="s">
        <v>714</v>
      </c>
      <c r="D8250" s="50" t="s">
        <v>261</v>
      </c>
      <c r="E8250" s="50">
        <v>-1</v>
      </c>
      <c r="F8250" s="51">
        <v>-0.53922366949351597</v>
      </c>
      <c r="G8250" s="51" t="str">
        <v>宗 2023/03/26 (日)
休日午後</v>
      </c>
    </row>
    <row r="8251" spans="1:7" ht="16.149999999999999" x14ac:dyDescent="0.7">
      <c r="A8251" s="49">
        <v>44972.515937627315</v>
      </c>
      <c r="B8251" s="50" t="s">
        <v>8</v>
      </c>
      <c r="C8251" s="50" t="s">
        <v>715</v>
      </c>
      <c r="D8251" s="50" t="s">
        <v>259</v>
      </c>
      <c r="E8251" s="50">
        <v>0</v>
      </c>
      <c r="F8251" s="51">
        <v>0.51909772004666688</v>
      </c>
      <c r="G8251" s="51" t="str">
        <v>宗 2023/03/27 (月)
平日夜間</v>
      </c>
    </row>
    <row r="8252" spans="1:7" ht="16.149999999999999" x14ac:dyDescent="0.7">
      <c r="A8252" s="49">
        <v>44972.515937627315</v>
      </c>
      <c r="B8252" s="50" t="s">
        <v>8</v>
      </c>
      <c r="C8252" s="50" t="s">
        <v>716</v>
      </c>
      <c r="D8252" s="50" t="s">
        <v>259</v>
      </c>
      <c r="E8252" s="50">
        <v>0</v>
      </c>
      <c r="F8252" s="51">
        <v>0.3992024171834534</v>
      </c>
      <c r="G8252" s="51" t="str">
        <v>宗 2023/03/28 (火)
平日夜間</v>
      </c>
    </row>
    <row r="8253" spans="1:7" ht="16.149999999999999" x14ac:dyDescent="0.7">
      <c r="A8253" s="49">
        <v>44972.515937627315</v>
      </c>
      <c r="B8253" s="50" t="s">
        <v>8</v>
      </c>
      <c r="C8253" s="50" t="s">
        <v>717</v>
      </c>
      <c r="D8253" s="50" t="s">
        <v>259</v>
      </c>
      <c r="E8253" s="50">
        <v>0</v>
      </c>
      <c r="F8253" s="51">
        <v>8.5291381467649252E-2</v>
      </c>
      <c r="G8253" s="51" t="str">
        <v>宗 2023/03/29 (水)
平日夜間</v>
      </c>
    </row>
    <row r="8254" spans="1:7" ht="16.149999999999999" x14ac:dyDescent="0.7">
      <c r="A8254" s="49">
        <v>44972.515937627315</v>
      </c>
      <c r="B8254" s="50" t="s">
        <v>8</v>
      </c>
      <c r="C8254" s="50" t="s">
        <v>718</v>
      </c>
      <c r="D8254" s="50" t="s">
        <v>259</v>
      </c>
      <c r="E8254" s="50">
        <v>0</v>
      </c>
      <c r="F8254" s="51">
        <v>0.32310248972754207</v>
      </c>
      <c r="G8254" s="51" t="str">
        <v>宗 2023/03/30 (木)
平日夜間</v>
      </c>
    </row>
    <row r="8255" spans="1:7" ht="16.149999999999999" x14ac:dyDescent="0.7">
      <c r="A8255" s="49">
        <v>44972.515937627315</v>
      </c>
      <c r="B8255" s="50" t="s">
        <v>8</v>
      </c>
      <c r="C8255" s="50" t="s">
        <v>719</v>
      </c>
      <c r="D8255" s="50" t="s">
        <v>259</v>
      </c>
      <c r="E8255" s="50">
        <v>-1</v>
      </c>
      <c r="F8255" s="51">
        <v>-0.14999370324699735</v>
      </c>
      <c r="G8255" s="51" t="str">
        <v>宗 2023/03/31 (金)
平日夜間</v>
      </c>
    </row>
    <row r="8256" spans="1:7" ht="16.149999999999999" x14ac:dyDescent="0.7">
      <c r="A8256" s="49">
        <v>44975.457456296295</v>
      </c>
      <c r="B8256" s="50" t="s">
        <v>11</v>
      </c>
      <c r="C8256" s="50" t="s">
        <v>680</v>
      </c>
      <c r="D8256" s="50" t="s">
        <v>259</v>
      </c>
      <c r="E8256" s="50">
        <v>0</v>
      </c>
      <c r="F8256" s="51">
        <v>0.70873147367181444</v>
      </c>
      <c r="G8256" s="51" t="str">
        <v>宮坂 2023/03/01 (水)
平日夜間</v>
      </c>
    </row>
    <row r="8257" spans="1:7" ht="16.149999999999999" x14ac:dyDescent="0.7">
      <c r="A8257" s="49">
        <v>44975.457456296295</v>
      </c>
      <c r="B8257" s="50" t="s">
        <v>11</v>
      </c>
      <c r="C8257" s="50" t="s">
        <v>681</v>
      </c>
      <c r="D8257" s="50" t="s">
        <v>259</v>
      </c>
      <c r="E8257" s="50">
        <v>0</v>
      </c>
      <c r="F8257" s="51">
        <v>0.476124003368261</v>
      </c>
      <c r="G8257" s="51" t="str">
        <v>宮坂 2023/03/02 (木)
平日夜間</v>
      </c>
    </row>
    <row r="8258" spans="1:7" ht="16.149999999999999" x14ac:dyDescent="0.7">
      <c r="A8258" s="49">
        <v>44975.457456296295</v>
      </c>
      <c r="B8258" s="50" t="s">
        <v>11</v>
      </c>
      <c r="C8258" s="50" t="s">
        <v>682</v>
      </c>
      <c r="D8258" s="50" t="s">
        <v>259</v>
      </c>
      <c r="E8258" s="50">
        <v>1</v>
      </c>
      <c r="F8258" s="51">
        <v>1.3173838396548472</v>
      </c>
      <c r="G8258" s="51" t="str">
        <v>宮坂 2023/03/03 (金)
平日夜間</v>
      </c>
    </row>
    <row r="8259" spans="1:7" ht="16.149999999999999" x14ac:dyDescent="0.7">
      <c r="A8259" s="49">
        <v>44975.457456296295</v>
      </c>
      <c r="B8259" s="50" t="s">
        <v>11</v>
      </c>
      <c r="C8259" s="50" t="s">
        <v>683</v>
      </c>
      <c r="D8259" s="50" t="s">
        <v>263</v>
      </c>
      <c r="E8259" s="50">
        <v>1</v>
      </c>
      <c r="F8259" s="51">
        <v>1.9574447710626826</v>
      </c>
      <c r="G8259" s="51" t="str">
        <v>宮坂 2023/03/04 (土)
休日午前</v>
      </c>
    </row>
    <row r="8260" spans="1:7" ht="16.149999999999999" x14ac:dyDescent="0.7">
      <c r="A8260" s="49">
        <v>44975.457456296295</v>
      </c>
      <c r="B8260" s="50" t="s">
        <v>11</v>
      </c>
      <c r="C8260" s="50" t="s">
        <v>684</v>
      </c>
      <c r="D8260" s="50" t="s">
        <v>261</v>
      </c>
      <c r="E8260" s="50">
        <v>0</v>
      </c>
      <c r="F8260" s="51">
        <v>0.15030068258284901</v>
      </c>
      <c r="G8260" s="51" t="str">
        <v>宮坂 2023/03/04 (土)
休日午後</v>
      </c>
    </row>
    <row r="8261" spans="1:7" ht="16.149999999999999" x14ac:dyDescent="0.7">
      <c r="A8261" s="49">
        <v>44975.457456296295</v>
      </c>
      <c r="B8261" s="50" t="s">
        <v>11</v>
      </c>
      <c r="C8261" s="50" t="s">
        <v>685</v>
      </c>
      <c r="D8261" s="50" t="s">
        <v>263</v>
      </c>
      <c r="E8261" s="50">
        <v>1</v>
      </c>
      <c r="F8261" s="51">
        <v>1.0781969760534802</v>
      </c>
      <c r="G8261" s="51" t="str">
        <v>宮坂 2023/03/05 (日)
休日午前</v>
      </c>
    </row>
    <row r="8262" spans="1:7" ht="16.149999999999999" x14ac:dyDescent="0.7">
      <c r="A8262" s="49">
        <v>44975.457456296295</v>
      </c>
      <c r="B8262" s="50" t="s">
        <v>11</v>
      </c>
      <c r="C8262" s="50" t="s">
        <v>686</v>
      </c>
      <c r="D8262" s="50" t="s">
        <v>261</v>
      </c>
      <c r="E8262" s="50">
        <v>0</v>
      </c>
      <c r="F8262" s="51">
        <v>2.7028227497622792E-2</v>
      </c>
      <c r="G8262" s="51" t="str">
        <v>宮坂 2023/03/05 (日)
休日午後</v>
      </c>
    </row>
    <row r="8263" spans="1:7" ht="16.149999999999999" x14ac:dyDescent="0.7">
      <c r="A8263" s="49">
        <v>44975.457456296295</v>
      </c>
      <c r="B8263" s="50" t="s">
        <v>11</v>
      </c>
      <c r="C8263" s="50" t="s">
        <v>687</v>
      </c>
      <c r="D8263" s="50" t="s">
        <v>259</v>
      </c>
      <c r="E8263" s="50">
        <v>0</v>
      </c>
      <c r="F8263" s="51">
        <v>0.88140260581796381</v>
      </c>
      <c r="G8263" s="51" t="str">
        <v>宮坂 2023/03/06 (月)
平日夜間</v>
      </c>
    </row>
    <row r="8264" spans="1:7" ht="16.149999999999999" x14ac:dyDescent="0.7">
      <c r="A8264" s="49">
        <v>44975.457456296295</v>
      </c>
      <c r="B8264" s="50" t="s">
        <v>11</v>
      </c>
      <c r="C8264" s="50" t="s">
        <v>688</v>
      </c>
      <c r="D8264" s="50" t="s">
        <v>259</v>
      </c>
      <c r="E8264" s="50">
        <v>0</v>
      </c>
      <c r="F8264" s="51">
        <v>0.34175284961683472</v>
      </c>
      <c r="G8264" s="51" t="str">
        <v>宮坂 2023/03/07 (火)
平日夜間</v>
      </c>
    </row>
    <row r="8265" spans="1:7" ht="16.149999999999999" x14ac:dyDescent="0.7">
      <c r="A8265" s="49">
        <v>44975.457456296295</v>
      </c>
      <c r="B8265" s="50" t="s">
        <v>11</v>
      </c>
      <c r="C8265" s="50" t="s">
        <v>689</v>
      </c>
      <c r="D8265" s="50" t="s">
        <v>259</v>
      </c>
      <c r="E8265" s="50">
        <v>-1</v>
      </c>
      <c r="F8265" s="51">
        <v>-0.91811256010205455</v>
      </c>
      <c r="G8265" s="51" t="str">
        <v>宮坂 2023/03/08 (水)
平日夜間</v>
      </c>
    </row>
    <row r="8266" spans="1:7" ht="16.149999999999999" x14ac:dyDescent="0.7">
      <c r="A8266" s="49">
        <v>44975.457456296295</v>
      </c>
      <c r="B8266" s="50" t="s">
        <v>11</v>
      </c>
      <c r="C8266" s="50" t="s">
        <v>690</v>
      </c>
      <c r="D8266" s="50" t="s">
        <v>259</v>
      </c>
      <c r="E8266" s="50">
        <v>-1</v>
      </c>
      <c r="F8266" s="51">
        <v>-2.1828803286989551E-2</v>
      </c>
      <c r="G8266" s="51" t="str">
        <v>宮坂 2023/03/09 (木)
平日夜間</v>
      </c>
    </row>
    <row r="8267" spans="1:7" ht="16.149999999999999" x14ac:dyDescent="0.7">
      <c r="A8267" s="49">
        <v>44975.457456296295</v>
      </c>
      <c r="B8267" s="50" t="s">
        <v>11</v>
      </c>
      <c r="C8267" s="50" t="s">
        <v>691</v>
      </c>
      <c r="D8267" s="50" t="s">
        <v>259</v>
      </c>
      <c r="E8267" s="50">
        <v>-1</v>
      </c>
      <c r="F8267" s="51">
        <v>-0.67099789034010238</v>
      </c>
      <c r="G8267" s="51" t="str">
        <v>宮坂 2023/03/10 (金)
平日夜間</v>
      </c>
    </row>
    <row r="8268" spans="1:7" ht="16.149999999999999" x14ac:dyDescent="0.7">
      <c r="A8268" s="49">
        <v>44975.457456296295</v>
      </c>
      <c r="B8268" s="50" t="s">
        <v>11</v>
      </c>
      <c r="C8268" s="50" t="s">
        <v>692</v>
      </c>
      <c r="D8268" s="50" t="s">
        <v>263</v>
      </c>
      <c r="E8268" s="50">
        <v>-1</v>
      </c>
      <c r="F8268" s="51">
        <v>-0.36604976090381225</v>
      </c>
      <c r="G8268" s="51" t="str">
        <v>宮坂 2023/03/11 (土)
休日午前</v>
      </c>
    </row>
    <row r="8269" spans="1:7" ht="16.149999999999999" x14ac:dyDescent="0.7">
      <c r="A8269" s="49">
        <v>44975.457456296295</v>
      </c>
      <c r="B8269" s="50" t="s">
        <v>11</v>
      </c>
      <c r="C8269" s="50" t="s">
        <v>693</v>
      </c>
      <c r="D8269" s="50" t="s">
        <v>261</v>
      </c>
      <c r="E8269" s="50">
        <v>-1</v>
      </c>
      <c r="F8269" s="51">
        <v>-0.22777185413873657</v>
      </c>
      <c r="G8269" s="51" t="str">
        <v>宮坂 2023/03/11 (土)
休日午後</v>
      </c>
    </row>
    <row r="8270" spans="1:7" ht="16.149999999999999" x14ac:dyDescent="0.7">
      <c r="A8270" s="49">
        <v>44975.457456296295</v>
      </c>
      <c r="B8270" s="50" t="s">
        <v>11</v>
      </c>
      <c r="C8270" s="50" t="s">
        <v>694</v>
      </c>
      <c r="D8270" s="50" t="s">
        <v>263</v>
      </c>
      <c r="E8270" s="50">
        <v>-1</v>
      </c>
      <c r="F8270" s="51">
        <v>-0.25659026500576942</v>
      </c>
      <c r="G8270" s="51" t="str">
        <v>宮坂 2023/03/12 (日)
休日午前</v>
      </c>
    </row>
    <row r="8271" spans="1:7" ht="16.149999999999999" x14ac:dyDescent="0.7">
      <c r="A8271" s="49">
        <v>44975.457456296295</v>
      </c>
      <c r="B8271" s="50" t="s">
        <v>11</v>
      </c>
      <c r="C8271" s="50" t="s">
        <v>695</v>
      </c>
      <c r="D8271" s="50" t="s">
        <v>261</v>
      </c>
      <c r="E8271" s="50">
        <v>-1</v>
      </c>
      <c r="F8271" s="51">
        <v>-0.4622429673128472</v>
      </c>
      <c r="G8271" s="51" t="str">
        <v>宮坂 2023/03/12 (日)
休日午後</v>
      </c>
    </row>
    <row r="8272" spans="1:7" ht="16.149999999999999" x14ac:dyDescent="0.7">
      <c r="A8272" s="49">
        <v>44975.457456296295</v>
      </c>
      <c r="B8272" s="50" t="s">
        <v>11</v>
      </c>
      <c r="C8272" s="50" t="s">
        <v>696</v>
      </c>
      <c r="D8272" s="50" t="s">
        <v>259</v>
      </c>
      <c r="E8272" s="50">
        <v>0</v>
      </c>
      <c r="F8272" s="51">
        <v>3.185179823233808E-2</v>
      </c>
      <c r="G8272" s="51" t="str">
        <v>宮坂 2023/03/13 (月)
平日夜間</v>
      </c>
    </row>
    <row r="8273" spans="1:7" ht="16.149999999999999" x14ac:dyDescent="0.7">
      <c r="A8273" s="49">
        <v>44975.457456296295</v>
      </c>
      <c r="B8273" s="50" t="s">
        <v>11</v>
      </c>
      <c r="C8273" s="50" t="s">
        <v>697</v>
      </c>
      <c r="D8273" s="50" t="s">
        <v>259</v>
      </c>
      <c r="E8273" s="50">
        <v>-1</v>
      </c>
      <c r="F8273" s="51">
        <v>-0.16707130301880158</v>
      </c>
      <c r="G8273" s="51" t="str">
        <v>宮坂 2023/03/14 (火)
平日夜間</v>
      </c>
    </row>
    <row r="8274" spans="1:7" ht="16.149999999999999" x14ac:dyDescent="0.7">
      <c r="A8274" s="49">
        <v>44975.457456296295</v>
      </c>
      <c r="B8274" s="50" t="s">
        <v>11</v>
      </c>
      <c r="C8274" s="50" t="s">
        <v>698</v>
      </c>
      <c r="D8274" s="50" t="s">
        <v>259</v>
      </c>
      <c r="E8274" s="50">
        <v>-1</v>
      </c>
      <c r="F8274" s="51">
        <v>-0.69431894115982629</v>
      </c>
      <c r="G8274" s="51" t="str">
        <v>宮坂 2023/03/15 (水)
平日夜間</v>
      </c>
    </row>
    <row r="8275" spans="1:7" ht="16.149999999999999" x14ac:dyDescent="0.7">
      <c r="A8275" s="49">
        <v>44975.457456296295</v>
      </c>
      <c r="B8275" s="50" t="s">
        <v>11</v>
      </c>
      <c r="C8275" s="50" t="s">
        <v>699</v>
      </c>
      <c r="D8275" s="50" t="s">
        <v>259</v>
      </c>
      <c r="E8275" s="50">
        <v>0</v>
      </c>
      <c r="F8275" s="51">
        <v>0.21727617685412404</v>
      </c>
      <c r="G8275" s="51" t="str">
        <v>宮坂 2023/03/16 (木)
平日夜間</v>
      </c>
    </row>
    <row r="8276" spans="1:7" ht="16.149999999999999" x14ac:dyDescent="0.7">
      <c r="A8276" s="49">
        <v>44975.457456296295</v>
      </c>
      <c r="B8276" s="50" t="s">
        <v>11</v>
      </c>
      <c r="C8276" s="50" t="s">
        <v>700</v>
      </c>
      <c r="D8276" s="50" t="s">
        <v>259</v>
      </c>
      <c r="E8276" s="50">
        <v>0</v>
      </c>
      <c r="F8276" s="51">
        <v>5.1303441164125996E-2</v>
      </c>
      <c r="G8276" s="51" t="str">
        <v>宮坂 2023/03/17 (金)
平日夜間</v>
      </c>
    </row>
    <row r="8277" spans="1:7" ht="16.149999999999999" x14ac:dyDescent="0.7">
      <c r="A8277" s="49">
        <v>44975.457456296295</v>
      </c>
      <c r="B8277" s="50" t="s">
        <v>11</v>
      </c>
      <c r="C8277" s="50" t="s">
        <v>701</v>
      </c>
      <c r="D8277" s="50" t="s">
        <v>263</v>
      </c>
      <c r="E8277" s="50">
        <v>0</v>
      </c>
      <c r="F8277" s="51">
        <v>0.99692401548081033</v>
      </c>
      <c r="G8277" s="51" t="str">
        <v>宮坂 2023/03/18 (土)
休日午前</v>
      </c>
    </row>
    <row r="8278" spans="1:7" ht="16.149999999999999" x14ac:dyDescent="0.7">
      <c r="A8278" s="49">
        <v>44975.457456296295</v>
      </c>
      <c r="B8278" s="50" t="s">
        <v>11</v>
      </c>
      <c r="C8278" s="50" t="s">
        <v>702</v>
      </c>
      <c r="D8278" s="50" t="s">
        <v>261</v>
      </c>
      <c r="E8278" s="50">
        <v>2</v>
      </c>
      <c r="F8278" s="51">
        <v>2.1820815636470874</v>
      </c>
      <c r="G8278" s="51" t="str">
        <v>宮坂 2023/03/18 (土)
休日午後</v>
      </c>
    </row>
    <row r="8279" spans="1:7" ht="16.149999999999999" x14ac:dyDescent="0.7">
      <c r="A8279" s="49">
        <v>44975.457456296295</v>
      </c>
      <c r="B8279" s="50" t="s">
        <v>11</v>
      </c>
      <c r="C8279" s="50" t="s">
        <v>703</v>
      </c>
      <c r="D8279" s="50" t="s">
        <v>263</v>
      </c>
      <c r="E8279" s="50">
        <v>-1</v>
      </c>
      <c r="F8279" s="51">
        <v>-0.86537290184777027</v>
      </c>
      <c r="G8279" s="51" t="str">
        <v>宮坂 2023/03/19 (日)
休日午前</v>
      </c>
    </row>
    <row r="8280" spans="1:7" ht="16.149999999999999" x14ac:dyDescent="0.7">
      <c r="A8280" s="49">
        <v>44975.457456296295</v>
      </c>
      <c r="B8280" s="50" t="s">
        <v>11</v>
      </c>
      <c r="C8280" s="50" t="s">
        <v>704</v>
      </c>
      <c r="D8280" s="50" t="s">
        <v>261</v>
      </c>
      <c r="E8280" s="50">
        <v>-1</v>
      </c>
      <c r="F8280" s="51">
        <v>-0.28255656582706967</v>
      </c>
      <c r="G8280" s="51" t="str">
        <v>宮坂 2023/03/19 (日)
休日午後</v>
      </c>
    </row>
    <row r="8281" spans="1:7" ht="16.149999999999999" x14ac:dyDescent="0.7">
      <c r="A8281" s="49">
        <v>44975.457456296295</v>
      </c>
      <c r="B8281" s="50" t="s">
        <v>11</v>
      </c>
      <c r="C8281" s="50" t="s">
        <v>705</v>
      </c>
      <c r="D8281" s="50" t="s">
        <v>259</v>
      </c>
      <c r="E8281" s="50">
        <v>0</v>
      </c>
      <c r="F8281" s="51">
        <v>0.19211919836066538</v>
      </c>
      <c r="G8281" s="51" t="str">
        <v>宮坂 2023/03/20 (月)
平日夜間</v>
      </c>
    </row>
    <row r="8282" spans="1:7" ht="16.149999999999999" x14ac:dyDescent="0.7">
      <c r="A8282" s="49">
        <v>44975.457456296295</v>
      </c>
      <c r="B8282" s="50" t="s">
        <v>11</v>
      </c>
      <c r="C8282" s="50" t="s">
        <v>706</v>
      </c>
      <c r="D8282" s="50" t="s">
        <v>263</v>
      </c>
      <c r="E8282" s="50">
        <v>1</v>
      </c>
      <c r="F8282" s="51">
        <v>1.6347388201295077</v>
      </c>
      <c r="G8282" s="51" t="str">
        <v>宮坂 2023/03/21 (火)
休日午前</v>
      </c>
    </row>
    <row r="8283" spans="1:7" ht="16.149999999999999" x14ac:dyDescent="0.7">
      <c r="A8283" s="49">
        <v>44975.457456296295</v>
      </c>
      <c r="B8283" s="50" t="s">
        <v>11</v>
      </c>
      <c r="C8283" s="50" t="s">
        <v>707</v>
      </c>
      <c r="D8283" s="50" t="s">
        <v>261</v>
      </c>
      <c r="E8283" s="50">
        <v>0</v>
      </c>
      <c r="F8283" s="51">
        <v>0.23225720606202893</v>
      </c>
      <c r="G8283" s="51" t="str">
        <v>宮坂 2023/03/21 (火)
休日午後</v>
      </c>
    </row>
    <row r="8284" spans="1:7" ht="16.149999999999999" x14ac:dyDescent="0.7">
      <c r="A8284" s="49">
        <v>44975.457456296295</v>
      </c>
      <c r="B8284" s="50" t="s">
        <v>11</v>
      </c>
      <c r="C8284" s="50" t="s">
        <v>708</v>
      </c>
      <c r="D8284" s="50" t="s">
        <v>259</v>
      </c>
      <c r="E8284" s="50">
        <v>0</v>
      </c>
      <c r="F8284" s="51">
        <v>0.16189797989752419</v>
      </c>
      <c r="G8284" s="51" t="str">
        <v>宮坂 2023/03/22 (水)
平日夜間</v>
      </c>
    </row>
    <row r="8285" spans="1:7" ht="16.149999999999999" x14ac:dyDescent="0.7">
      <c r="A8285" s="49">
        <v>44975.457456296295</v>
      </c>
      <c r="B8285" s="50" t="s">
        <v>11</v>
      </c>
      <c r="C8285" s="50" t="s">
        <v>709</v>
      </c>
      <c r="D8285" s="50" t="s">
        <v>259</v>
      </c>
      <c r="E8285" s="50">
        <v>0</v>
      </c>
      <c r="F8285" s="51">
        <v>0.39380329420842353</v>
      </c>
      <c r="G8285" s="51" t="str">
        <v>宮坂 2023/03/23 (木)
平日夜間</v>
      </c>
    </row>
    <row r="8286" spans="1:7" ht="16.149999999999999" x14ac:dyDescent="0.7">
      <c r="A8286" s="49">
        <v>44975.457456296295</v>
      </c>
      <c r="B8286" s="50" t="s">
        <v>11</v>
      </c>
      <c r="C8286" s="50" t="s">
        <v>710</v>
      </c>
      <c r="D8286" s="50" t="s">
        <v>259</v>
      </c>
      <c r="E8286" s="50">
        <v>0</v>
      </c>
      <c r="F8286" s="51">
        <v>0.48141672770072685</v>
      </c>
      <c r="G8286" s="51" t="str">
        <v>宮坂 2023/03/24 (金)
平日夜間</v>
      </c>
    </row>
    <row r="8287" spans="1:7" ht="16.149999999999999" x14ac:dyDescent="0.7">
      <c r="A8287" s="49">
        <v>44975.457456296295</v>
      </c>
      <c r="B8287" s="50" t="s">
        <v>11</v>
      </c>
      <c r="C8287" s="50" t="s">
        <v>711</v>
      </c>
      <c r="D8287" s="50" t="s">
        <v>263</v>
      </c>
      <c r="E8287" s="50">
        <v>0</v>
      </c>
      <c r="F8287" s="51">
        <v>0.99500285151387868</v>
      </c>
      <c r="G8287" s="51" t="str">
        <v>宮坂 2023/03/25 (土)
休日午前</v>
      </c>
    </row>
    <row r="8288" spans="1:7" ht="16.149999999999999" x14ac:dyDescent="0.7">
      <c r="A8288" s="49">
        <v>44975.457456296295</v>
      </c>
      <c r="B8288" s="50" t="s">
        <v>11</v>
      </c>
      <c r="C8288" s="50" t="s">
        <v>712</v>
      </c>
      <c r="D8288" s="50" t="s">
        <v>261</v>
      </c>
      <c r="E8288" s="50">
        <v>-1</v>
      </c>
      <c r="F8288" s="51">
        <v>-0.40426002581709919</v>
      </c>
      <c r="G8288" s="51" t="str">
        <v>宮坂 2023/03/25 (土)
休日午後</v>
      </c>
    </row>
    <row r="8289" spans="1:7" ht="16.149999999999999" x14ac:dyDescent="0.7">
      <c r="A8289" s="49">
        <v>44975.457456296295</v>
      </c>
      <c r="B8289" s="50" t="s">
        <v>11</v>
      </c>
      <c r="C8289" s="50" t="s">
        <v>713</v>
      </c>
      <c r="D8289" s="50" t="s">
        <v>263</v>
      </c>
      <c r="E8289" s="50">
        <v>-1</v>
      </c>
      <c r="F8289" s="51">
        <v>-0.78062768370352509</v>
      </c>
      <c r="G8289" s="51" t="str">
        <v>宮坂 2023/03/26 (日)
休日午前</v>
      </c>
    </row>
    <row r="8290" spans="1:7" ht="16.149999999999999" x14ac:dyDescent="0.7">
      <c r="A8290" s="49">
        <v>44975.457456296295</v>
      </c>
      <c r="B8290" s="50" t="s">
        <v>11</v>
      </c>
      <c r="C8290" s="50" t="s">
        <v>714</v>
      </c>
      <c r="D8290" s="50" t="s">
        <v>261</v>
      </c>
      <c r="E8290" s="50">
        <v>-1</v>
      </c>
      <c r="F8290" s="51">
        <v>-0.60428586327276923</v>
      </c>
      <c r="G8290" s="51" t="str">
        <v>宮坂 2023/03/26 (日)
休日午後</v>
      </c>
    </row>
    <row r="8291" spans="1:7" ht="16.149999999999999" x14ac:dyDescent="0.7">
      <c r="A8291" s="49">
        <v>44975.457456296295</v>
      </c>
      <c r="B8291" s="50" t="s">
        <v>11</v>
      </c>
      <c r="C8291" s="50" t="s">
        <v>715</v>
      </c>
      <c r="D8291" s="50" t="s">
        <v>259</v>
      </c>
      <c r="E8291" s="50">
        <v>0</v>
      </c>
      <c r="F8291" s="51">
        <v>0.86913794423651747</v>
      </c>
      <c r="G8291" s="51" t="str">
        <v>宮坂 2023/03/27 (月)
平日夜間</v>
      </c>
    </row>
    <row r="8292" spans="1:7" ht="16.149999999999999" x14ac:dyDescent="0.7">
      <c r="A8292" s="49">
        <v>44975.457456296295</v>
      </c>
      <c r="B8292" s="50" t="s">
        <v>11</v>
      </c>
      <c r="C8292" s="50" t="s">
        <v>716</v>
      </c>
      <c r="D8292" s="50" t="s">
        <v>259</v>
      </c>
      <c r="E8292" s="50">
        <v>0</v>
      </c>
      <c r="F8292" s="51">
        <v>0.56460942873711017</v>
      </c>
      <c r="G8292" s="51" t="str">
        <v>宮坂 2023/03/28 (火)
平日夜間</v>
      </c>
    </row>
    <row r="8293" spans="1:7" ht="16.149999999999999" x14ac:dyDescent="0.7">
      <c r="A8293" s="49">
        <v>44975.457456296295</v>
      </c>
      <c r="B8293" s="50" t="s">
        <v>11</v>
      </c>
      <c r="C8293" s="50" t="s">
        <v>717</v>
      </c>
      <c r="D8293" s="50" t="s">
        <v>259</v>
      </c>
      <c r="E8293" s="50">
        <v>0</v>
      </c>
      <c r="F8293" s="51">
        <v>0.66805337645975094</v>
      </c>
      <c r="G8293" s="51" t="str">
        <v>宮坂 2023/03/29 (水)
平日夜間</v>
      </c>
    </row>
    <row r="8294" spans="1:7" ht="16.149999999999999" x14ac:dyDescent="0.7">
      <c r="A8294" s="49">
        <v>44975.457456296295</v>
      </c>
      <c r="B8294" s="50" t="s">
        <v>11</v>
      </c>
      <c r="C8294" s="50" t="s">
        <v>718</v>
      </c>
      <c r="D8294" s="50" t="s">
        <v>259</v>
      </c>
      <c r="E8294" s="50">
        <v>0</v>
      </c>
      <c r="F8294" s="51">
        <v>0.84175025529721137</v>
      </c>
      <c r="G8294" s="51" t="str">
        <v>宮坂 2023/03/30 (木)
平日夜間</v>
      </c>
    </row>
    <row r="8295" spans="1:7" ht="16.149999999999999" x14ac:dyDescent="0.7">
      <c r="A8295" s="49">
        <v>44975.457456296295</v>
      </c>
      <c r="B8295" s="50" t="s">
        <v>11</v>
      </c>
      <c r="C8295" s="50" t="s">
        <v>719</v>
      </c>
      <c r="D8295" s="50" t="s">
        <v>259</v>
      </c>
      <c r="E8295" s="50">
        <v>1</v>
      </c>
      <c r="F8295" s="51">
        <v>1.2079165322998089</v>
      </c>
      <c r="G8295" s="51" t="str">
        <v>宮坂 2023/03/31 (金)
平日夜間</v>
      </c>
    </row>
    <row r="8296" spans="1:7" ht="16.149999999999999" x14ac:dyDescent="0.7">
      <c r="A8296" s="49">
        <v>44975.506663958338</v>
      </c>
      <c r="B8296" s="50" t="s">
        <v>16</v>
      </c>
      <c r="C8296" s="50" t="s">
        <v>680</v>
      </c>
      <c r="D8296" s="50" t="s">
        <v>259</v>
      </c>
      <c r="E8296" s="50">
        <v>0</v>
      </c>
      <c r="F8296" s="51">
        <v>0.61890989021540088</v>
      </c>
      <c r="G8296" s="51" t="str">
        <v>吉田 2023/03/01 (水)
平日夜間</v>
      </c>
    </row>
    <row r="8297" spans="1:7" ht="16.149999999999999" x14ac:dyDescent="0.7">
      <c r="A8297" s="49">
        <v>44975.506663958338</v>
      </c>
      <c r="B8297" s="50" t="s">
        <v>16</v>
      </c>
      <c r="C8297" s="50" t="s">
        <v>681</v>
      </c>
      <c r="D8297" s="50" t="s">
        <v>259</v>
      </c>
      <c r="E8297" s="50">
        <v>-1</v>
      </c>
      <c r="F8297" s="51">
        <v>-0.72506546335804956</v>
      </c>
      <c r="G8297" s="51" t="str">
        <v>吉田 2023/03/02 (木)
平日夜間</v>
      </c>
    </row>
    <row r="8298" spans="1:7" ht="16.149999999999999" x14ac:dyDescent="0.7">
      <c r="A8298" s="49">
        <v>44975.506663958338</v>
      </c>
      <c r="B8298" s="50" t="s">
        <v>16</v>
      </c>
      <c r="C8298" s="50" t="s">
        <v>682</v>
      </c>
      <c r="D8298" s="50" t="s">
        <v>259</v>
      </c>
      <c r="E8298" s="50">
        <v>-1</v>
      </c>
      <c r="F8298" s="51">
        <v>-0.47759826589289167</v>
      </c>
      <c r="G8298" s="51" t="str">
        <v>吉田 2023/03/03 (金)
平日夜間</v>
      </c>
    </row>
    <row r="8299" spans="1:7" ht="16.149999999999999" x14ac:dyDescent="0.7">
      <c r="A8299" s="49">
        <v>44975.506663958338</v>
      </c>
      <c r="B8299" s="50" t="s">
        <v>16</v>
      </c>
      <c r="C8299" s="50" t="s">
        <v>683</v>
      </c>
      <c r="D8299" s="50" t="s">
        <v>263</v>
      </c>
      <c r="E8299" s="50">
        <v>-1</v>
      </c>
      <c r="F8299" s="51">
        <v>-0.52943125569196003</v>
      </c>
      <c r="G8299" s="51" t="str">
        <v>吉田 2023/03/04 (土)
休日午前</v>
      </c>
    </row>
    <row r="8300" spans="1:7" ht="16.149999999999999" x14ac:dyDescent="0.7">
      <c r="A8300" s="49">
        <v>44975.506663958338</v>
      </c>
      <c r="B8300" s="50" t="s">
        <v>16</v>
      </c>
      <c r="C8300" s="50" t="s">
        <v>684</v>
      </c>
      <c r="D8300" s="50" t="s">
        <v>261</v>
      </c>
      <c r="E8300" s="50">
        <v>-1</v>
      </c>
      <c r="F8300" s="51">
        <v>-0.36715467284108505</v>
      </c>
      <c r="G8300" s="51" t="str">
        <v>吉田 2023/03/04 (土)
休日午後</v>
      </c>
    </row>
    <row r="8301" spans="1:7" ht="16.149999999999999" x14ac:dyDescent="0.7">
      <c r="A8301" s="49">
        <v>44975.506663958338</v>
      </c>
      <c r="B8301" s="50" t="s">
        <v>16</v>
      </c>
      <c r="C8301" s="50" t="s">
        <v>685</v>
      </c>
      <c r="D8301" s="50" t="s">
        <v>263</v>
      </c>
      <c r="E8301" s="50">
        <v>-1</v>
      </c>
      <c r="F8301" s="51">
        <v>-0.70388143429028127</v>
      </c>
      <c r="G8301" s="51" t="str">
        <v>吉田 2023/03/05 (日)
休日午前</v>
      </c>
    </row>
    <row r="8302" spans="1:7" ht="16.149999999999999" x14ac:dyDescent="0.7">
      <c r="A8302" s="49">
        <v>44975.506663958338</v>
      </c>
      <c r="B8302" s="50" t="s">
        <v>16</v>
      </c>
      <c r="C8302" s="50" t="s">
        <v>686</v>
      </c>
      <c r="D8302" s="50" t="s">
        <v>261</v>
      </c>
      <c r="E8302" s="50">
        <v>-1</v>
      </c>
      <c r="F8302" s="51">
        <v>-0.28828378021859313</v>
      </c>
      <c r="G8302" s="51" t="str">
        <v>吉田 2023/03/05 (日)
休日午後</v>
      </c>
    </row>
    <row r="8303" spans="1:7" ht="16.149999999999999" x14ac:dyDescent="0.7">
      <c r="A8303" s="49">
        <v>44975.506663958338</v>
      </c>
      <c r="B8303" s="50" t="s">
        <v>16</v>
      </c>
      <c r="C8303" s="50" t="s">
        <v>687</v>
      </c>
      <c r="D8303" s="50" t="s">
        <v>259</v>
      </c>
      <c r="E8303" s="50">
        <v>2</v>
      </c>
      <c r="F8303" s="51">
        <v>2.2182050692523694</v>
      </c>
      <c r="G8303" s="51" t="str">
        <v>吉田 2023/03/06 (月)
平日夜間</v>
      </c>
    </row>
    <row r="8304" spans="1:7" ht="16.149999999999999" x14ac:dyDescent="0.7">
      <c r="A8304" s="49">
        <v>44975.506663958338</v>
      </c>
      <c r="B8304" s="50" t="s">
        <v>16</v>
      </c>
      <c r="C8304" s="50" t="s">
        <v>688</v>
      </c>
      <c r="D8304" s="50" t="s">
        <v>259</v>
      </c>
      <c r="E8304" s="50">
        <v>-1</v>
      </c>
      <c r="F8304" s="51">
        <v>-0.69058074855803198</v>
      </c>
      <c r="G8304" s="51" t="str">
        <v>吉田 2023/03/07 (火)
平日夜間</v>
      </c>
    </row>
    <row r="8305" spans="1:7" ht="16.149999999999999" x14ac:dyDescent="0.7">
      <c r="A8305" s="49">
        <v>44975.506663958338</v>
      </c>
      <c r="B8305" s="50" t="s">
        <v>16</v>
      </c>
      <c r="C8305" s="50" t="s">
        <v>689</v>
      </c>
      <c r="D8305" s="50" t="s">
        <v>259</v>
      </c>
      <c r="E8305" s="50">
        <v>0</v>
      </c>
      <c r="F8305" s="51">
        <v>0.48451602686567963</v>
      </c>
      <c r="G8305" s="51" t="str">
        <v>吉田 2023/03/08 (水)
平日夜間</v>
      </c>
    </row>
    <row r="8306" spans="1:7" ht="16.149999999999999" x14ac:dyDescent="0.7">
      <c r="A8306" s="49">
        <v>44975.506663958338</v>
      </c>
      <c r="B8306" s="50" t="s">
        <v>16</v>
      </c>
      <c r="C8306" s="50" t="s">
        <v>690</v>
      </c>
      <c r="D8306" s="50" t="s">
        <v>259</v>
      </c>
      <c r="E8306" s="50">
        <v>0</v>
      </c>
      <c r="F8306" s="51">
        <v>0.31921140967626238</v>
      </c>
      <c r="G8306" s="51" t="str">
        <v>吉田 2023/03/09 (木)
平日夜間</v>
      </c>
    </row>
    <row r="8307" spans="1:7" ht="16.149999999999999" x14ac:dyDescent="0.7">
      <c r="A8307" s="49">
        <v>44975.506663958338</v>
      </c>
      <c r="B8307" s="50" t="s">
        <v>16</v>
      </c>
      <c r="C8307" s="50" t="s">
        <v>691</v>
      </c>
      <c r="D8307" s="50" t="s">
        <v>259</v>
      </c>
      <c r="E8307" s="50">
        <v>0</v>
      </c>
      <c r="F8307" s="51">
        <v>0.87951276292961889</v>
      </c>
      <c r="G8307" s="51" t="str">
        <v>吉田 2023/03/10 (金)
平日夜間</v>
      </c>
    </row>
    <row r="8308" spans="1:7" ht="16.149999999999999" x14ac:dyDescent="0.7">
      <c r="A8308" s="49">
        <v>44975.506663958338</v>
      </c>
      <c r="B8308" s="50" t="s">
        <v>16</v>
      </c>
      <c r="C8308" s="50" t="s">
        <v>692</v>
      </c>
      <c r="D8308" s="50" t="s">
        <v>263</v>
      </c>
      <c r="E8308" s="50">
        <v>-1</v>
      </c>
      <c r="F8308" s="51">
        <v>-3.5264697666508305E-2</v>
      </c>
      <c r="G8308" s="51" t="str">
        <v>吉田 2023/03/11 (土)
休日午前</v>
      </c>
    </row>
    <row r="8309" spans="1:7" ht="16.149999999999999" x14ac:dyDescent="0.7">
      <c r="A8309" s="49">
        <v>44975.506663958338</v>
      </c>
      <c r="B8309" s="50" t="s">
        <v>16</v>
      </c>
      <c r="C8309" s="50" t="s">
        <v>693</v>
      </c>
      <c r="D8309" s="50" t="s">
        <v>261</v>
      </c>
      <c r="E8309" s="50">
        <v>-1</v>
      </c>
      <c r="F8309" s="51">
        <v>-0.13505687811316625</v>
      </c>
      <c r="G8309" s="51" t="str">
        <v>吉田 2023/03/11 (土)
休日午後</v>
      </c>
    </row>
    <row r="8310" spans="1:7" ht="16.149999999999999" x14ac:dyDescent="0.7">
      <c r="A8310" s="49">
        <v>44975.506663958338</v>
      </c>
      <c r="B8310" s="50" t="s">
        <v>16</v>
      </c>
      <c r="C8310" s="50" t="s">
        <v>694</v>
      </c>
      <c r="D8310" s="50" t="s">
        <v>263</v>
      </c>
      <c r="E8310" s="50">
        <v>0</v>
      </c>
      <c r="F8310" s="51">
        <v>0.1468553608506864</v>
      </c>
      <c r="G8310" s="51" t="str">
        <v>吉田 2023/03/12 (日)
休日午前</v>
      </c>
    </row>
    <row r="8311" spans="1:7" ht="16.149999999999999" x14ac:dyDescent="0.7">
      <c r="A8311" s="49">
        <v>44975.506663958338</v>
      </c>
      <c r="B8311" s="50" t="s">
        <v>16</v>
      </c>
      <c r="C8311" s="50" t="s">
        <v>695</v>
      </c>
      <c r="D8311" s="50" t="s">
        <v>261</v>
      </c>
      <c r="E8311" s="50">
        <v>0</v>
      </c>
      <c r="F8311" s="51">
        <v>0.61859135639819263</v>
      </c>
      <c r="G8311" s="51" t="str">
        <v>吉田 2023/03/12 (日)
休日午後</v>
      </c>
    </row>
    <row r="8312" spans="1:7" ht="16.149999999999999" x14ac:dyDescent="0.7">
      <c r="A8312" s="49">
        <v>44975.506663958338</v>
      </c>
      <c r="B8312" s="50" t="s">
        <v>16</v>
      </c>
      <c r="C8312" s="50" t="s">
        <v>696</v>
      </c>
      <c r="D8312" s="50" t="s">
        <v>259</v>
      </c>
      <c r="E8312" s="50">
        <v>0</v>
      </c>
      <c r="F8312" s="51">
        <v>0.25595891208383303</v>
      </c>
      <c r="G8312" s="51" t="str">
        <v>吉田 2023/03/13 (月)
平日夜間</v>
      </c>
    </row>
    <row r="8313" spans="1:7" ht="16.149999999999999" x14ac:dyDescent="0.7">
      <c r="A8313" s="49">
        <v>44975.506663958338</v>
      </c>
      <c r="B8313" s="50" t="s">
        <v>16</v>
      </c>
      <c r="C8313" s="50" t="s">
        <v>697</v>
      </c>
      <c r="D8313" s="50" t="s">
        <v>259</v>
      </c>
      <c r="E8313" s="50">
        <v>-1</v>
      </c>
      <c r="F8313" s="51">
        <v>-0.43258627569426022</v>
      </c>
      <c r="G8313" s="51" t="str">
        <v>吉田 2023/03/14 (火)
平日夜間</v>
      </c>
    </row>
    <row r="8314" spans="1:7" ht="16.149999999999999" x14ac:dyDescent="0.7">
      <c r="A8314" s="49">
        <v>44975.506663958338</v>
      </c>
      <c r="B8314" s="50" t="s">
        <v>16</v>
      </c>
      <c r="C8314" s="50" t="s">
        <v>698</v>
      </c>
      <c r="D8314" s="50" t="s">
        <v>259</v>
      </c>
      <c r="E8314" s="50">
        <v>-1</v>
      </c>
      <c r="F8314" s="51">
        <v>-0.49922534033578692</v>
      </c>
      <c r="G8314" s="51" t="str">
        <v>吉田 2023/03/15 (水)
平日夜間</v>
      </c>
    </row>
    <row r="8315" spans="1:7" ht="16.149999999999999" x14ac:dyDescent="0.7">
      <c r="A8315" s="49">
        <v>44975.506663958338</v>
      </c>
      <c r="B8315" s="50" t="s">
        <v>16</v>
      </c>
      <c r="C8315" s="50" t="s">
        <v>699</v>
      </c>
      <c r="D8315" s="50" t="s">
        <v>259</v>
      </c>
      <c r="E8315" s="50">
        <v>0</v>
      </c>
      <c r="F8315" s="51">
        <v>0.45505862173458245</v>
      </c>
      <c r="G8315" s="51" t="str">
        <v>吉田 2023/03/16 (木)
平日夜間</v>
      </c>
    </row>
    <row r="8316" spans="1:7" ht="16.149999999999999" x14ac:dyDescent="0.7">
      <c r="A8316" s="49">
        <v>44975.506663958338</v>
      </c>
      <c r="B8316" s="50" t="s">
        <v>16</v>
      </c>
      <c r="C8316" s="50" t="s">
        <v>700</v>
      </c>
      <c r="D8316" s="50" t="s">
        <v>259</v>
      </c>
      <c r="E8316" s="50">
        <v>2</v>
      </c>
      <c r="F8316" s="51">
        <v>2.7400946958130046</v>
      </c>
      <c r="G8316" s="51" t="str">
        <v>吉田 2023/03/17 (金)
平日夜間</v>
      </c>
    </row>
    <row r="8317" spans="1:7" ht="16.149999999999999" x14ac:dyDescent="0.7">
      <c r="A8317" s="49">
        <v>44975.506663958338</v>
      </c>
      <c r="B8317" s="50" t="s">
        <v>16</v>
      </c>
      <c r="C8317" s="50" t="s">
        <v>701</v>
      </c>
      <c r="D8317" s="50" t="s">
        <v>263</v>
      </c>
      <c r="E8317" s="50">
        <v>-1</v>
      </c>
      <c r="F8317" s="51">
        <v>-0.96291640379368859</v>
      </c>
      <c r="G8317" s="51" t="str">
        <v>吉田 2023/03/18 (土)
休日午前</v>
      </c>
    </row>
    <row r="8318" spans="1:7" ht="16.149999999999999" x14ac:dyDescent="0.7">
      <c r="A8318" s="49">
        <v>44975.506663958338</v>
      </c>
      <c r="B8318" s="50" t="s">
        <v>16</v>
      </c>
      <c r="C8318" s="50" t="s">
        <v>702</v>
      </c>
      <c r="D8318" s="50" t="s">
        <v>261</v>
      </c>
      <c r="E8318" s="50">
        <v>-1</v>
      </c>
      <c r="F8318" s="51">
        <v>-0.4572512810239473</v>
      </c>
      <c r="G8318" s="51" t="str">
        <v>吉田 2023/03/18 (土)
休日午後</v>
      </c>
    </row>
    <row r="8319" spans="1:7" ht="16.149999999999999" x14ac:dyDescent="0.7">
      <c r="A8319" s="49">
        <v>44975.506663958338</v>
      </c>
      <c r="B8319" s="50" t="s">
        <v>16</v>
      </c>
      <c r="C8319" s="50" t="s">
        <v>703</v>
      </c>
      <c r="D8319" s="50" t="s">
        <v>263</v>
      </c>
      <c r="E8319" s="50">
        <v>0</v>
      </c>
      <c r="F8319" s="51">
        <v>0.78434733081194374</v>
      </c>
      <c r="G8319" s="51" t="str">
        <v>吉田 2023/03/19 (日)
休日午前</v>
      </c>
    </row>
    <row r="8320" spans="1:7" ht="16.149999999999999" x14ac:dyDescent="0.7">
      <c r="A8320" s="49">
        <v>44975.506663958338</v>
      </c>
      <c r="B8320" s="50" t="s">
        <v>16</v>
      </c>
      <c r="C8320" s="50" t="s">
        <v>704</v>
      </c>
      <c r="D8320" s="50" t="s">
        <v>261</v>
      </c>
      <c r="E8320" s="50">
        <v>0</v>
      </c>
      <c r="F8320" s="51">
        <v>2.8245481197368472E-2</v>
      </c>
      <c r="G8320" s="51" t="str">
        <v>吉田 2023/03/19 (日)
休日午後</v>
      </c>
    </row>
    <row r="8321" spans="1:7" ht="16.149999999999999" x14ac:dyDescent="0.7">
      <c r="A8321" s="49">
        <v>44975.506663958338</v>
      </c>
      <c r="B8321" s="50" t="s">
        <v>16</v>
      </c>
      <c r="C8321" s="50" t="s">
        <v>705</v>
      </c>
      <c r="D8321" s="50" t="s">
        <v>259</v>
      </c>
      <c r="E8321" s="50">
        <v>0</v>
      </c>
      <c r="F8321" s="51">
        <v>0.89547624196789632</v>
      </c>
      <c r="G8321" s="51" t="str">
        <v>吉田 2023/03/20 (月)
平日夜間</v>
      </c>
    </row>
    <row r="8322" spans="1:7" ht="16.149999999999999" x14ac:dyDescent="0.7">
      <c r="A8322" s="49">
        <v>44975.506663958338</v>
      </c>
      <c r="B8322" s="50" t="s">
        <v>16</v>
      </c>
      <c r="C8322" s="50" t="s">
        <v>706</v>
      </c>
      <c r="D8322" s="50" t="s">
        <v>263</v>
      </c>
      <c r="E8322" s="50">
        <v>-1</v>
      </c>
      <c r="F8322" s="51">
        <v>-0.77949525674108378</v>
      </c>
      <c r="G8322" s="51" t="str">
        <v>吉田 2023/03/21 (火)
休日午前</v>
      </c>
    </row>
    <row r="8323" spans="1:7" ht="16.149999999999999" x14ac:dyDescent="0.7">
      <c r="A8323" s="49">
        <v>44975.506663958338</v>
      </c>
      <c r="B8323" s="50" t="s">
        <v>16</v>
      </c>
      <c r="C8323" s="50" t="s">
        <v>707</v>
      </c>
      <c r="D8323" s="50" t="s">
        <v>261</v>
      </c>
      <c r="E8323" s="50">
        <v>-1</v>
      </c>
      <c r="F8323" s="51">
        <v>-0.59084085098248718</v>
      </c>
      <c r="G8323" s="51" t="str">
        <v>吉田 2023/03/21 (火)
休日午後</v>
      </c>
    </row>
    <row r="8324" spans="1:7" ht="16.149999999999999" x14ac:dyDescent="0.7">
      <c r="A8324" s="49">
        <v>44975.506663958338</v>
      </c>
      <c r="B8324" s="50" t="s">
        <v>16</v>
      </c>
      <c r="C8324" s="50" t="s">
        <v>708</v>
      </c>
      <c r="D8324" s="50" t="s">
        <v>259</v>
      </c>
      <c r="E8324" s="50">
        <v>0</v>
      </c>
      <c r="F8324" s="51">
        <v>0.17696267250196018</v>
      </c>
      <c r="G8324" s="51" t="str">
        <v>吉田 2023/03/22 (水)
平日夜間</v>
      </c>
    </row>
    <row r="8325" spans="1:7" ht="16.149999999999999" x14ac:dyDescent="0.7">
      <c r="A8325" s="49">
        <v>44975.506663958338</v>
      </c>
      <c r="B8325" s="50" t="s">
        <v>16</v>
      </c>
      <c r="C8325" s="50" t="s">
        <v>709</v>
      </c>
      <c r="D8325" s="50" t="s">
        <v>259</v>
      </c>
      <c r="E8325" s="50">
        <v>0</v>
      </c>
      <c r="F8325" s="51">
        <v>0.30559683394757142</v>
      </c>
      <c r="G8325" s="51" t="str">
        <v>吉田 2023/03/23 (木)
平日夜間</v>
      </c>
    </row>
    <row r="8326" spans="1:7" ht="16.149999999999999" x14ac:dyDescent="0.7">
      <c r="A8326" s="49">
        <v>44975.506663958338</v>
      </c>
      <c r="B8326" s="50" t="s">
        <v>16</v>
      </c>
      <c r="C8326" s="50" t="s">
        <v>710</v>
      </c>
      <c r="D8326" s="50" t="s">
        <v>259</v>
      </c>
      <c r="E8326" s="50">
        <v>0</v>
      </c>
      <c r="F8326" s="51">
        <v>0.34776749948206875</v>
      </c>
      <c r="G8326" s="51" t="str">
        <v>吉田 2023/03/24 (金)
平日夜間</v>
      </c>
    </row>
    <row r="8327" spans="1:7" ht="16.149999999999999" x14ac:dyDescent="0.7">
      <c r="A8327" s="49">
        <v>44975.506663958338</v>
      </c>
      <c r="B8327" s="50" t="s">
        <v>16</v>
      </c>
      <c r="C8327" s="50" t="s">
        <v>711</v>
      </c>
      <c r="D8327" s="50" t="s">
        <v>263</v>
      </c>
      <c r="E8327" s="50">
        <v>-1</v>
      </c>
      <c r="F8327" s="51">
        <v>-0.95063089038070925</v>
      </c>
      <c r="G8327" s="51" t="str">
        <v>吉田 2023/03/25 (土)
休日午前</v>
      </c>
    </row>
    <row r="8328" spans="1:7" ht="16.149999999999999" x14ac:dyDescent="0.7">
      <c r="A8328" s="49">
        <v>44975.506663958338</v>
      </c>
      <c r="B8328" s="50" t="s">
        <v>16</v>
      </c>
      <c r="C8328" s="50" t="s">
        <v>712</v>
      </c>
      <c r="D8328" s="50" t="s">
        <v>261</v>
      </c>
      <c r="E8328" s="50">
        <v>0</v>
      </c>
      <c r="F8328" s="51">
        <v>0.46113182774690253</v>
      </c>
      <c r="G8328" s="51" t="str">
        <v>吉田 2023/03/25 (土)
休日午後</v>
      </c>
    </row>
    <row r="8329" spans="1:7" ht="16.149999999999999" x14ac:dyDescent="0.7">
      <c r="A8329" s="49">
        <v>44975.902071053242</v>
      </c>
      <c r="B8329" s="50" t="s">
        <v>6</v>
      </c>
      <c r="C8329" s="50" t="s">
        <v>680</v>
      </c>
      <c r="D8329" s="50" t="s">
        <v>259</v>
      </c>
      <c r="E8329" s="50">
        <v>1</v>
      </c>
      <c r="F8329" s="51">
        <v>1.3379861149614971</v>
      </c>
      <c r="G8329" s="51" t="str">
        <v>西谷 2023/03/01 (水)
平日夜間</v>
      </c>
    </row>
    <row r="8330" spans="1:7" ht="16.149999999999999" x14ac:dyDescent="0.7">
      <c r="A8330" s="49">
        <v>44975.902071053242</v>
      </c>
      <c r="B8330" s="50" t="s">
        <v>6</v>
      </c>
      <c r="C8330" s="50" t="s">
        <v>681</v>
      </c>
      <c r="D8330" s="50" t="s">
        <v>259</v>
      </c>
      <c r="E8330" s="50">
        <v>-1</v>
      </c>
      <c r="F8330" s="51">
        <v>-0.49821812136400245</v>
      </c>
      <c r="G8330" s="51" t="str">
        <v>西谷 2023/03/02 (木)
平日夜間</v>
      </c>
    </row>
    <row r="8331" spans="1:7" ht="16.149999999999999" x14ac:dyDescent="0.7">
      <c r="A8331" s="49">
        <v>44975.902071053242</v>
      </c>
      <c r="B8331" s="50" t="s">
        <v>6</v>
      </c>
      <c r="C8331" s="50" t="s">
        <v>682</v>
      </c>
      <c r="D8331" s="50" t="s">
        <v>259</v>
      </c>
      <c r="E8331" s="50">
        <v>-1</v>
      </c>
      <c r="F8331" s="51">
        <v>-0.70968870975189735</v>
      </c>
      <c r="G8331" s="51" t="str">
        <v>西谷 2023/03/03 (金)
平日夜間</v>
      </c>
    </row>
    <row r="8332" spans="1:7" ht="16.149999999999999" x14ac:dyDescent="0.7">
      <c r="A8332" s="49">
        <v>44975.902071053242</v>
      </c>
      <c r="B8332" s="50" t="s">
        <v>6</v>
      </c>
      <c r="C8332" s="50" t="s">
        <v>683</v>
      </c>
      <c r="D8332" s="50" t="s">
        <v>263</v>
      </c>
      <c r="E8332" s="50">
        <v>-1</v>
      </c>
      <c r="F8332" s="51">
        <v>-0.65303342651218155</v>
      </c>
      <c r="G8332" s="51" t="str">
        <v>西谷 2023/03/04 (土)
休日午前</v>
      </c>
    </row>
    <row r="8333" spans="1:7" ht="16.149999999999999" x14ac:dyDescent="0.7">
      <c r="A8333" s="49">
        <v>44975.902071053242</v>
      </c>
      <c r="B8333" s="50" t="s">
        <v>6</v>
      </c>
      <c r="C8333" s="50" t="s">
        <v>684</v>
      </c>
      <c r="D8333" s="50" t="s">
        <v>261</v>
      </c>
      <c r="E8333" s="50">
        <v>-1</v>
      </c>
      <c r="F8333" s="51">
        <v>-0.25535432429380434</v>
      </c>
      <c r="G8333" s="51" t="str">
        <v>西谷 2023/03/04 (土)
休日午後</v>
      </c>
    </row>
    <row r="8334" spans="1:7" ht="16.149999999999999" x14ac:dyDescent="0.7">
      <c r="A8334" s="49">
        <v>44975.902071053242</v>
      </c>
      <c r="B8334" s="50" t="s">
        <v>6</v>
      </c>
      <c r="C8334" s="50" t="s">
        <v>685</v>
      </c>
      <c r="D8334" s="50" t="s">
        <v>263</v>
      </c>
      <c r="E8334" s="50">
        <v>-1</v>
      </c>
      <c r="F8334" s="51">
        <v>-0.74662129269783772</v>
      </c>
      <c r="G8334" s="51" t="str">
        <v>西谷 2023/03/05 (日)
休日午前</v>
      </c>
    </row>
    <row r="8335" spans="1:7" ht="16.149999999999999" x14ac:dyDescent="0.7">
      <c r="A8335" s="49">
        <v>44975.902071053242</v>
      </c>
      <c r="B8335" s="50" t="s">
        <v>6</v>
      </c>
      <c r="C8335" s="50" t="s">
        <v>686</v>
      </c>
      <c r="D8335" s="50" t="s">
        <v>261</v>
      </c>
      <c r="E8335" s="50">
        <v>-1</v>
      </c>
      <c r="F8335" s="51">
        <v>-0.21590945554246366</v>
      </c>
      <c r="G8335" s="51" t="str">
        <v>西谷 2023/03/05 (日)
休日午後</v>
      </c>
    </row>
    <row r="8336" spans="1:7" ht="16.149999999999999" x14ac:dyDescent="0.7">
      <c r="A8336" s="49">
        <v>44975.902071053242</v>
      </c>
      <c r="B8336" s="50" t="s">
        <v>6</v>
      </c>
      <c r="C8336" s="50" t="s">
        <v>687</v>
      </c>
      <c r="D8336" s="50" t="s">
        <v>259</v>
      </c>
      <c r="E8336" s="50">
        <v>0</v>
      </c>
      <c r="F8336" s="51">
        <v>3.8759530309364187E-2</v>
      </c>
      <c r="G8336" s="51" t="str">
        <v>西谷 2023/03/06 (月)
平日夜間</v>
      </c>
    </row>
    <row r="8337" spans="1:7" ht="16.149999999999999" x14ac:dyDescent="0.7">
      <c r="A8337" s="49">
        <v>44975.902071053242</v>
      </c>
      <c r="B8337" s="50" t="s">
        <v>6</v>
      </c>
      <c r="C8337" s="50" t="s">
        <v>688</v>
      </c>
      <c r="D8337" s="50" t="s">
        <v>259</v>
      </c>
      <c r="E8337" s="50">
        <v>0</v>
      </c>
      <c r="F8337" s="51">
        <v>0.1956653535625188</v>
      </c>
      <c r="G8337" s="51" t="str">
        <v>西谷 2023/03/07 (火)
平日夜間</v>
      </c>
    </row>
    <row r="8338" spans="1:7" ht="16.149999999999999" x14ac:dyDescent="0.7">
      <c r="A8338" s="49">
        <v>44975.902071053242</v>
      </c>
      <c r="B8338" s="50" t="s">
        <v>6</v>
      </c>
      <c r="C8338" s="50" t="s">
        <v>689</v>
      </c>
      <c r="D8338" s="50" t="s">
        <v>259</v>
      </c>
      <c r="E8338" s="50">
        <v>2</v>
      </c>
      <c r="F8338" s="51">
        <v>2.8674330589914296</v>
      </c>
      <c r="G8338" s="51" t="str">
        <v>西谷 2023/03/08 (水)
平日夜間</v>
      </c>
    </row>
    <row r="8339" spans="1:7" ht="16.149999999999999" x14ac:dyDescent="0.7">
      <c r="A8339" s="49">
        <v>44975.902071053242</v>
      </c>
      <c r="B8339" s="50" t="s">
        <v>6</v>
      </c>
      <c r="C8339" s="50" t="s">
        <v>690</v>
      </c>
      <c r="D8339" s="50" t="s">
        <v>259</v>
      </c>
      <c r="E8339" s="50">
        <v>0</v>
      </c>
      <c r="F8339" s="51">
        <v>0.8085436983888481</v>
      </c>
      <c r="G8339" s="51" t="str">
        <v>西谷 2023/03/09 (木)
平日夜間</v>
      </c>
    </row>
    <row r="8340" spans="1:7" ht="16.149999999999999" x14ac:dyDescent="0.7">
      <c r="A8340" s="49">
        <v>44975.902071053242</v>
      </c>
      <c r="B8340" s="50" t="s">
        <v>6</v>
      </c>
      <c r="C8340" s="50" t="s">
        <v>691</v>
      </c>
      <c r="D8340" s="50" t="s">
        <v>259</v>
      </c>
      <c r="E8340" s="50">
        <v>-1</v>
      </c>
      <c r="F8340" s="51">
        <v>-0.71447821241722331</v>
      </c>
      <c r="G8340" s="51" t="str">
        <v>西谷 2023/03/10 (金)
平日夜間</v>
      </c>
    </row>
    <row r="8341" spans="1:7" ht="16.149999999999999" x14ac:dyDescent="0.7">
      <c r="A8341" s="49">
        <v>44975.902071053242</v>
      </c>
      <c r="B8341" s="50" t="s">
        <v>6</v>
      </c>
      <c r="C8341" s="50" t="s">
        <v>692</v>
      </c>
      <c r="D8341" s="50" t="s">
        <v>263</v>
      </c>
      <c r="E8341" s="50">
        <v>0</v>
      </c>
      <c r="F8341" s="51">
        <v>0.92992978258723547</v>
      </c>
      <c r="G8341" s="51" t="str">
        <v>西谷 2023/03/11 (土)
休日午前</v>
      </c>
    </row>
    <row r="8342" spans="1:7" ht="16.149999999999999" x14ac:dyDescent="0.7">
      <c r="A8342" s="49">
        <v>44975.902071053242</v>
      </c>
      <c r="B8342" s="50" t="s">
        <v>6</v>
      </c>
      <c r="C8342" s="50" t="s">
        <v>693</v>
      </c>
      <c r="D8342" s="50" t="s">
        <v>261</v>
      </c>
      <c r="E8342" s="50">
        <v>0</v>
      </c>
      <c r="F8342" s="51">
        <v>0.93406215683891425</v>
      </c>
      <c r="G8342" s="51" t="str">
        <v>西谷 2023/03/11 (土)
休日午後</v>
      </c>
    </row>
    <row r="8343" spans="1:7" ht="16.149999999999999" x14ac:dyDescent="0.7">
      <c r="A8343" s="49">
        <v>44975.902071053242</v>
      </c>
      <c r="B8343" s="50" t="s">
        <v>6</v>
      </c>
      <c r="C8343" s="50" t="s">
        <v>694</v>
      </c>
      <c r="D8343" s="50" t="s">
        <v>263</v>
      </c>
      <c r="E8343" s="50">
        <v>0</v>
      </c>
      <c r="F8343" s="51">
        <v>3.0592087084535313E-2</v>
      </c>
      <c r="G8343" s="51" t="str">
        <v>西谷 2023/03/12 (日)
休日午前</v>
      </c>
    </row>
    <row r="8344" spans="1:7" ht="16.149999999999999" x14ac:dyDescent="0.7">
      <c r="A8344" s="49">
        <v>44975.902071053242</v>
      </c>
      <c r="B8344" s="50" t="s">
        <v>6</v>
      </c>
      <c r="C8344" s="50" t="s">
        <v>695</v>
      </c>
      <c r="D8344" s="50" t="s">
        <v>261</v>
      </c>
      <c r="E8344" s="50">
        <v>0</v>
      </c>
      <c r="F8344" s="51">
        <v>0.27249165486165072</v>
      </c>
      <c r="G8344" s="51" t="str">
        <v>西谷 2023/03/12 (日)
休日午後</v>
      </c>
    </row>
    <row r="8345" spans="1:7" ht="16.149999999999999" x14ac:dyDescent="0.7">
      <c r="A8345" s="49">
        <v>44975.902071053242</v>
      </c>
      <c r="B8345" s="50" t="s">
        <v>6</v>
      </c>
      <c r="C8345" s="50" t="s">
        <v>696</v>
      </c>
      <c r="D8345" s="50" t="s">
        <v>259</v>
      </c>
      <c r="E8345" s="50">
        <v>0</v>
      </c>
      <c r="F8345" s="51">
        <v>0.30925012251421657</v>
      </c>
      <c r="G8345" s="51" t="str">
        <v>西谷 2023/03/13 (月)
平日夜間</v>
      </c>
    </row>
    <row r="8346" spans="1:7" ht="16.149999999999999" x14ac:dyDescent="0.7">
      <c r="A8346" s="49">
        <v>44975.902071053242</v>
      </c>
      <c r="B8346" s="50" t="s">
        <v>6</v>
      </c>
      <c r="C8346" s="50" t="s">
        <v>697</v>
      </c>
      <c r="D8346" s="50" t="s">
        <v>259</v>
      </c>
      <c r="E8346" s="50">
        <v>0</v>
      </c>
      <c r="F8346" s="51">
        <v>0.27582982762722508</v>
      </c>
      <c r="G8346" s="51" t="str">
        <v>西谷 2023/03/14 (火)
平日夜間</v>
      </c>
    </row>
    <row r="8347" spans="1:7" ht="16.149999999999999" x14ac:dyDescent="0.7">
      <c r="A8347" s="49">
        <v>44975.902071053242</v>
      </c>
      <c r="B8347" s="50" t="s">
        <v>6</v>
      </c>
      <c r="C8347" s="50" t="s">
        <v>698</v>
      </c>
      <c r="D8347" s="50" t="s">
        <v>259</v>
      </c>
      <c r="E8347" s="50">
        <v>0</v>
      </c>
      <c r="F8347" s="51">
        <v>0.78973850775859789</v>
      </c>
      <c r="G8347" s="51" t="str">
        <v>西谷 2023/03/15 (水)
平日夜間</v>
      </c>
    </row>
    <row r="8348" spans="1:7" ht="16.149999999999999" x14ac:dyDescent="0.7">
      <c r="A8348" s="49">
        <v>44975.902071053242</v>
      </c>
      <c r="B8348" s="50" t="s">
        <v>6</v>
      </c>
      <c r="C8348" s="50" t="s">
        <v>699</v>
      </c>
      <c r="D8348" s="50" t="s">
        <v>259</v>
      </c>
      <c r="E8348" s="50">
        <v>0</v>
      </c>
      <c r="F8348" s="51">
        <v>0.93959957185390075</v>
      </c>
      <c r="G8348" s="51" t="str">
        <v>西谷 2023/03/16 (木)
平日夜間</v>
      </c>
    </row>
    <row r="8349" spans="1:7" ht="16.149999999999999" x14ac:dyDescent="0.7">
      <c r="A8349" s="49">
        <v>44975.902071053242</v>
      </c>
      <c r="B8349" s="50" t="s">
        <v>6</v>
      </c>
      <c r="C8349" s="50" t="s">
        <v>700</v>
      </c>
      <c r="D8349" s="50" t="s">
        <v>259</v>
      </c>
      <c r="E8349" s="50">
        <v>0</v>
      </c>
      <c r="F8349" s="51">
        <v>0.67494399399749638</v>
      </c>
      <c r="G8349" s="51" t="str">
        <v>西谷 2023/03/17 (金)
平日夜間</v>
      </c>
    </row>
    <row r="8350" spans="1:7" ht="16.149999999999999" x14ac:dyDescent="0.7">
      <c r="A8350" s="49">
        <v>44975.902071053242</v>
      </c>
      <c r="B8350" s="50" t="s">
        <v>6</v>
      </c>
      <c r="C8350" s="50" t="s">
        <v>701</v>
      </c>
      <c r="D8350" s="50" t="s">
        <v>263</v>
      </c>
      <c r="E8350" s="50">
        <v>0</v>
      </c>
      <c r="F8350" s="51">
        <v>1.2504026038878457E-2</v>
      </c>
      <c r="G8350" s="51" t="str">
        <v>西谷 2023/03/18 (土)
休日午前</v>
      </c>
    </row>
    <row r="8351" spans="1:7" ht="16.149999999999999" x14ac:dyDescent="0.7">
      <c r="A8351" s="49">
        <v>44975.902071053242</v>
      </c>
      <c r="B8351" s="50" t="s">
        <v>6</v>
      </c>
      <c r="C8351" s="50" t="s">
        <v>702</v>
      </c>
      <c r="D8351" s="50" t="s">
        <v>261</v>
      </c>
      <c r="E8351" s="50">
        <v>0</v>
      </c>
      <c r="F8351" s="51">
        <v>0.13876325474118856</v>
      </c>
      <c r="G8351" s="51" t="str">
        <v>西谷 2023/03/18 (土)
休日午後</v>
      </c>
    </row>
    <row r="8352" spans="1:7" ht="16.149999999999999" x14ac:dyDescent="0.7">
      <c r="A8352" s="49">
        <v>44975.902071053242</v>
      </c>
      <c r="B8352" s="50" t="s">
        <v>6</v>
      </c>
      <c r="C8352" s="50" t="s">
        <v>703</v>
      </c>
      <c r="D8352" s="50" t="s">
        <v>263</v>
      </c>
      <c r="E8352" s="50">
        <v>0</v>
      </c>
      <c r="F8352" s="51">
        <v>0.71253235212883825</v>
      </c>
      <c r="G8352" s="51" t="str">
        <v>西谷 2023/03/19 (日)
休日午前</v>
      </c>
    </row>
    <row r="8353" spans="1:7" ht="16.149999999999999" x14ac:dyDescent="0.7">
      <c r="A8353" s="49">
        <v>44975.902071053242</v>
      </c>
      <c r="B8353" s="50" t="s">
        <v>6</v>
      </c>
      <c r="C8353" s="50" t="s">
        <v>704</v>
      </c>
      <c r="D8353" s="50" t="s">
        <v>261</v>
      </c>
      <c r="E8353" s="50">
        <v>0</v>
      </c>
      <c r="F8353" s="51">
        <v>0.68564572670453994</v>
      </c>
      <c r="G8353" s="51" t="str">
        <v>西谷 2023/03/19 (日)
休日午後</v>
      </c>
    </row>
    <row r="8354" spans="1:7" ht="16.149999999999999" x14ac:dyDescent="0.7">
      <c r="A8354" s="49">
        <v>44975.902071053242</v>
      </c>
      <c r="B8354" s="50" t="s">
        <v>6</v>
      </c>
      <c r="C8354" s="50" t="s">
        <v>705</v>
      </c>
      <c r="D8354" s="50" t="s">
        <v>259</v>
      </c>
      <c r="E8354" s="50">
        <v>-1</v>
      </c>
      <c r="F8354" s="51">
        <v>-0.11212849866302266</v>
      </c>
      <c r="G8354" s="51" t="str">
        <v>西谷 2023/03/20 (月)
平日夜間</v>
      </c>
    </row>
    <row r="8355" spans="1:7" ht="16.149999999999999" x14ac:dyDescent="0.7">
      <c r="A8355" s="49">
        <v>44975.902071053242</v>
      </c>
      <c r="B8355" s="50" t="s">
        <v>6</v>
      </c>
      <c r="C8355" s="50" t="s">
        <v>706</v>
      </c>
      <c r="D8355" s="50" t="s">
        <v>263</v>
      </c>
      <c r="E8355" s="50">
        <v>0</v>
      </c>
      <c r="F8355" s="51">
        <v>0.61696443764360587</v>
      </c>
      <c r="G8355" s="51" t="str">
        <v>西谷 2023/03/21 (火)
休日午前</v>
      </c>
    </row>
    <row r="8356" spans="1:7" ht="16.149999999999999" x14ac:dyDescent="0.7">
      <c r="A8356" s="49">
        <v>44975.902071053242</v>
      </c>
      <c r="B8356" s="50" t="s">
        <v>6</v>
      </c>
      <c r="C8356" s="50" t="s">
        <v>707</v>
      </c>
      <c r="D8356" s="50" t="s">
        <v>261</v>
      </c>
      <c r="E8356" s="50">
        <v>0</v>
      </c>
      <c r="F8356" s="51">
        <v>0.31286217955750883</v>
      </c>
      <c r="G8356" s="51" t="str">
        <v>西谷 2023/03/21 (火)
休日午後</v>
      </c>
    </row>
    <row r="8357" spans="1:7" ht="16.149999999999999" x14ac:dyDescent="0.7">
      <c r="A8357" s="49">
        <v>44975.902071053242</v>
      </c>
      <c r="B8357" s="50" t="s">
        <v>6</v>
      </c>
      <c r="C8357" s="50" t="s">
        <v>708</v>
      </c>
      <c r="D8357" s="50" t="s">
        <v>259</v>
      </c>
      <c r="E8357" s="50">
        <v>0</v>
      </c>
      <c r="F8357" s="51">
        <v>5.329260242102829E-2</v>
      </c>
      <c r="G8357" s="51" t="str">
        <v>西谷 2023/03/22 (水)
平日夜間</v>
      </c>
    </row>
    <row r="8358" spans="1:7" ht="16.149999999999999" x14ac:dyDescent="0.7">
      <c r="A8358" s="49">
        <v>44975.902071053242</v>
      </c>
      <c r="B8358" s="50" t="s">
        <v>6</v>
      </c>
      <c r="C8358" s="50" t="s">
        <v>709</v>
      </c>
      <c r="D8358" s="50" t="s">
        <v>259</v>
      </c>
      <c r="E8358" s="50">
        <v>0</v>
      </c>
      <c r="F8358" s="51">
        <v>0.58160898524389326</v>
      </c>
      <c r="G8358" s="51" t="str">
        <v>西谷 2023/03/23 (木)
平日夜間</v>
      </c>
    </row>
    <row r="8359" spans="1:7" ht="16.149999999999999" x14ac:dyDescent="0.7">
      <c r="A8359" s="49">
        <v>44975.902071053242</v>
      </c>
      <c r="B8359" s="50" t="s">
        <v>6</v>
      </c>
      <c r="C8359" s="50" t="s">
        <v>710</v>
      </c>
      <c r="D8359" s="50" t="s">
        <v>259</v>
      </c>
      <c r="E8359" s="50">
        <v>-1</v>
      </c>
      <c r="F8359" s="51">
        <v>-0.97010998479102528</v>
      </c>
      <c r="G8359" s="51" t="str">
        <v>西谷 2023/03/24 (金)
平日夜間</v>
      </c>
    </row>
    <row r="8360" spans="1:7" ht="16.149999999999999" x14ac:dyDescent="0.7">
      <c r="A8360" s="49">
        <v>44975.902071053242</v>
      </c>
      <c r="B8360" s="50" t="s">
        <v>6</v>
      </c>
      <c r="C8360" s="50" t="s">
        <v>711</v>
      </c>
      <c r="D8360" s="50" t="s">
        <v>263</v>
      </c>
      <c r="E8360" s="50">
        <v>-1</v>
      </c>
      <c r="F8360" s="51">
        <v>-0.47734664820318695</v>
      </c>
      <c r="G8360" s="51" t="str">
        <v>西谷 2023/03/25 (土)
休日午前</v>
      </c>
    </row>
    <row r="8361" spans="1:7" ht="16.149999999999999" x14ac:dyDescent="0.7">
      <c r="A8361" s="49">
        <v>44975.902071053242</v>
      </c>
      <c r="B8361" s="50" t="s">
        <v>6</v>
      </c>
      <c r="C8361" s="50" t="s">
        <v>712</v>
      </c>
      <c r="D8361" s="50" t="s">
        <v>261</v>
      </c>
      <c r="E8361" s="50">
        <v>-1</v>
      </c>
      <c r="F8361" s="51">
        <v>-0.42732834027152844</v>
      </c>
      <c r="G8361" s="51" t="str">
        <v>西谷 2023/03/25 (土)
休日午後</v>
      </c>
    </row>
    <row r="8362" spans="1:7" ht="16.149999999999999" x14ac:dyDescent="0.7">
      <c r="A8362" s="49">
        <v>44975.902071053242</v>
      </c>
      <c r="B8362" s="50" t="s">
        <v>6</v>
      </c>
      <c r="C8362" s="50" t="s">
        <v>713</v>
      </c>
      <c r="D8362" s="50" t="s">
        <v>263</v>
      </c>
      <c r="E8362" s="50">
        <v>-1</v>
      </c>
      <c r="F8362" s="51">
        <v>-1.2187967209312145E-2</v>
      </c>
      <c r="G8362" s="51" t="str">
        <v>西谷 2023/03/26 (日)
休日午前</v>
      </c>
    </row>
    <row r="8363" spans="1:7" ht="16.149999999999999" x14ac:dyDescent="0.7">
      <c r="A8363" s="49">
        <v>44975.902071053242</v>
      </c>
      <c r="B8363" s="50" t="s">
        <v>6</v>
      </c>
      <c r="C8363" s="50" t="s">
        <v>714</v>
      </c>
      <c r="D8363" s="50" t="s">
        <v>261</v>
      </c>
      <c r="E8363" s="50">
        <v>-1</v>
      </c>
      <c r="F8363" s="51">
        <v>-0.63223049772625073</v>
      </c>
      <c r="G8363" s="51" t="str">
        <v>西谷 2023/03/26 (日)
休日午後</v>
      </c>
    </row>
    <row r="8364" spans="1:7" ht="16.149999999999999" x14ac:dyDescent="0.7">
      <c r="A8364" s="49">
        <v>44975.902071053242</v>
      </c>
      <c r="B8364" s="50" t="s">
        <v>6</v>
      </c>
      <c r="C8364" s="50" t="s">
        <v>715</v>
      </c>
      <c r="D8364" s="50" t="s">
        <v>259</v>
      </c>
      <c r="E8364" s="50">
        <v>-1</v>
      </c>
      <c r="F8364" s="51">
        <v>-0.39661440593737973</v>
      </c>
      <c r="G8364" s="51" t="str">
        <v>西谷 2023/03/27 (月)
平日夜間</v>
      </c>
    </row>
    <row r="8365" spans="1:7" ht="16.149999999999999" x14ac:dyDescent="0.7">
      <c r="A8365" s="49">
        <v>44975.902071053242</v>
      </c>
      <c r="B8365" s="50" t="s">
        <v>6</v>
      </c>
      <c r="C8365" s="50" t="s">
        <v>716</v>
      </c>
      <c r="D8365" s="50" t="s">
        <v>259</v>
      </c>
      <c r="E8365" s="50">
        <v>-1</v>
      </c>
      <c r="F8365" s="51">
        <v>-0.48195525966064712</v>
      </c>
      <c r="G8365" s="51" t="str">
        <v>西谷 2023/03/28 (火)
平日夜間</v>
      </c>
    </row>
    <row r="8366" spans="1:7" ht="16.149999999999999" x14ac:dyDescent="0.7">
      <c r="A8366" s="49">
        <v>44975.902071053242</v>
      </c>
      <c r="B8366" s="50" t="s">
        <v>6</v>
      </c>
      <c r="C8366" s="50" t="s">
        <v>717</v>
      </c>
      <c r="D8366" s="50" t="s">
        <v>259</v>
      </c>
      <c r="E8366" s="50">
        <v>-1</v>
      </c>
      <c r="F8366" s="51">
        <v>-0.78509889081371442</v>
      </c>
      <c r="G8366" s="51" t="str">
        <v>西谷 2023/03/29 (水)
平日夜間</v>
      </c>
    </row>
    <row r="8367" spans="1:7" ht="16.149999999999999" x14ac:dyDescent="0.7">
      <c r="A8367" s="49">
        <v>44975.902071053242</v>
      </c>
      <c r="B8367" s="50" t="s">
        <v>6</v>
      </c>
      <c r="C8367" s="50" t="s">
        <v>718</v>
      </c>
      <c r="D8367" s="50" t="s">
        <v>259</v>
      </c>
      <c r="E8367" s="50">
        <v>-1</v>
      </c>
      <c r="F8367" s="51">
        <v>-0.45327040906073979</v>
      </c>
      <c r="G8367" s="51" t="str">
        <v>西谷 2023/03/30 (木)
平日夜間</v>
      </c>
    </row>
    <row r="8368" spans="1:7" ht="16.149999999999999" x14ac:dyDescent="0.7">
      <c r="A8368" s="49">
        <v>44975.902071053242</v>
      </c>
      <c r="B8368" s="50" t="s">
        <v>6</v>
      </c>
      <c r="C8368" s="50" t="s">
        <v>719</v>
      </c>
      <c r="D8368" s="50" t="s">
        <v>259</v>
      </c>
      <c r="E8368" s="50">
        <v>-1</v>
      </c>
      <c r="F8368" s="51">
        <v>-0.82696335728947656</v>
      </c>
      <c r="G8368" s="51" t="str">
        <v>西谷 2023/03/31 (金)
平日夜間</v>
      </c>
    </row>
    <row r="8369" spans="1:7" ht="16.149999999999999" x14ac:dyDescent="0.7">
      <c r="A8369" s="49">
        <v>44976.445373229166</v>
      </c>
      <c r="B8369" s="50" t="s">
        <v>18</v>
      </c>
      <c r="C8369" s="50" t="s">
        <v>680</v>
      </c>
      <c r="D8369" s="50" t="s">
        <v>259</v>
      </c>
      <c r="E8369" s="50">
        <v>-1</v>
      </c>
      <c r="F8369" s="51">
        <v>-0.38649812994664767</v>
      </c>
      <c r="G8369" s="51" t="str">
        <v>中瀬 2023/03/01 (水)
平日夜間</v>
      </c>
    </row>
    <row r="8370" spans="1:7" ht="16.149999999999999" x14ac:dyDescent="0.7">
      <c r="A8370" s="49">
        <v>44976.445373229166</v>
      </c>
      <c r="B8370" s="50" t="s">
        <v>18</v>
      </c>
      <c r="C8370" s="50" t="s">
        <v>681</v>
      </c>
      <c r="D8370" s="50" t="s">
        <v>259</v>
      </c>
      <c r="E8370" s="50">
        <v>-1</v>
      </c>
      <c r="F8370" s="51">
        <v>-0.25975427329342615</v>
      </c>
      <c r="G8370" s="51" t="str">
        <v>中瀬 2023/03/02 (木)
平日夜間</v>
      </c>
    </row>
    <row r="8371" spans="1:7" ht="16.149999999999999" x14ac:dyDescent="0.7">
      <c r="A8371" s="49">
        <v>44976.445373229166</v>
      </c>
      <c r="B8371" s="50" t="s">
        <v>18</v>
      </c>
      <c r="C8371" s="50" t="s">
        <v>682</v>
      </c>
      <c r="D8371" s="50" t="s">
        <v>259</v>
      </c>
      <c r="E8371" s="50">
        <v>0</v>
      </c>
      <c r="F8371" s="51">
        <v>0.31621556751880742</v>
      </c>
      <c r="G8371" s="51" t="str">
        <v>中瀬 2023/03/03 (金)
平日夜間</v>
      </c>
    </row>
    <row r="8372" spans="1:7" ht="16.149999999999999" x14ac:dyDescent="0.7">
      <c r="A8372" s="49">
        <v>44976.445373229166</v>
      </c>
      <c r="B8372" s="50" t="s">
        <v>18</v>
      </c>
      <c r="C8372" s="50" t="s">
        <v>683</v>
      </c>
      <c r="D8372" s="50" t="s">
        <v>263</v>
      </c>
      <c r="E8372" s="50">
        <v>0</v>
      </c>
      <c r="F8372" s="51">
        <v>9.463142850026296E-2</v>
      </c>
      <c r="G8372" s="51" t="str">
        <v>中瀬 2023/03/04 (土)
休日午前</v>
      </c>
    </row>
    <row r="8373" spans="1:7" ht="16.149999999999999" x14ac:dyDescent="0.7">
      <c r="A8373" s="49">
        <v>44976.445373229166</v>
      </c>
      <c r="B8373" s="50" t="s">
        <v>18</v>
      </c>
      <c r="C8373" s="50" t="s">
        <v>684</v>
      </c>
      <c r="D8373" s="50" t="s">
        <v>261</v>
      </c>
      <c r="E8373" s="50">
        <v>0</v>
      </c>
      <c r="F8373" s="51">
        <v>0.80838519624411997</v>
      </c>
      <c r="G8373" s="51" t="str">
        <v>中瀬 2023/03/04 (土)
休日午後</v>
      </c>
    </row>
    <row r="8374" spans="1:7" ht="16.149999999999999" x14ac:dyDescent="0.7">
      <c r="A8374" s="49">
        <v>44976.445373229166</v>
      </c>
      <c r="B8374" s="50" t="s">
        <v>18</v>
      </c>
      <c r="C8374" s="50" t="s">
        <v>685</v>
      </c>
      <c r="D8374" s="50" t="s">
        <v>263</v>
      </c>
      <c r="E8374" s="50">
        <v>0</v>
      </c>
      <c r="F8374" s="51">
        <v>0.57142082066888533</v>
      </c>
      <c r="G8374" s="51" t="str">
        <v>中瀬 2023/03/05 (日)
休日午前</v>
      </c>
    </row>
    <row r="8375" spans="1:7" ht="16.149999999999999" x14ac:dyDescent="0.7">
      <c r="A8375" s="49">
        <v>44976.445373229166</v>
      </c>
      <c r="B8375" s="50" t="s">
        <v>18</v>
      </c>
      <c r="C8375" s="50" t="s">
        <v>686</v>
      </c>
      <c r="D8375" s="50" t="s">
        <v>261</v>
      </c>
      <c r="E8375" s="50">
        <v>0</v>
      </c>
      <c r="F8375" s="51">
        <v>0.70774649529634925</v>
      </c>
      <c r="G8375" s="51" t="str">
        <v>中瀬 2023/03/05 (日)
休日午後</v>
      </c>
    </row>
    <row r="8376" spans="1:7" ht="16.149999999999999" x14ac:dyDescent="0.7">
      <c r="A8376" s="49">
        <v>44976.445373229166</v>
      </c>
      <c r="B8376" s="50" t="s">
        <v>18</v>
      </c>
      <c r="C8376" s="50" t="s">
        <v>687</v>
      </c>
      <c r="D8376" s="50" t="s">
        <v>259</v>
      </c>
      <c r="E8376" s="50">
        <v>-1</v>
      </c>
      <c r="F8376" s="51">
        <v>-0.27658288258007269</v>
      </c>
      <c r="G8376" s="51" t="str">
        <v>中瀬 2023/03/06 (月)
平日夜間</v>
      </c>
    </row>
    <row r="8377" spans="1:7" ht="16.149999999999999" x14ac:dyDescent="0.7">
      <c r="A8377" s="49">
        <v>44976.445373229166</v>
      </c>
      <c r="B8377" s="50" t="s">
        <v>18</v>
      </c>
      <c r="C8377" s="50" t="s">
        <v>688</v>
      </c>
      <c r="D8377" s="50" t="s">
        <v>259</v>
      </c>
      <c r="E8377" s="50">
        <v>0</v>
      </c>
      <c r="F8377" s="51">
        <v>0.60328252168208873</v>
      </c>
      <c r="G8377" s="51" t="str">
        <v>中瀬 2023/03/07 (火)
平日夜間</v>
      </c>
    </row>
    <row r="8378" spans="1:7" ht="16.149999999999999" x14ac:dyDescent="0.7">
      <c r="A8378" s="49">
        <v>44976.445373229166</v>
      </c>
      <c r="B8378" s="50" t="s">
        <v>18</v>
      </c>
      <c r="C8378" s="50" t="s">
        <v>689</v>
      </c>
      <c r="D8378" s="50" t="s">
        <v>259</v>
      </c>
      <c r="E8378" s="50">
        <v>-1</v>
      </c>
      <c r="F8378" s="51">
        <v>-0.26053945811102142</v>
      </c>
      <c r="G8378" s="51" t="str">
        <v>中瀬 2023/03/08 (水)
平日夜間</v>
      </c>
    </row>
    <row r="8379" spans="1:7" ht="16.149999999999999" x14ac:dyDescent="0.7">
      <c r="A8379" s="49">
        <v>44976.445373229166</v>
      </c>
      <c r="B8379" s="50" t="s">
        <v>18</v>
      </c>
      <c r="C8379" s="50" t="s">
        <v>690</v>
      </c>
      <c r="D8379" s="50" t="s">
        <v>259</v>
      </c>
      <c r="E8379" s="50">
        <v>-1</v>
      </c>
      <c r="F8379" s="51">
        <v>-7.588365129958996E-2</v>
      </c>
      <c r="G8379" s="51" t="str">
        <v>中瀬 2023/03/09 (木)
平日夜間</v>
      </c>
    </row>
    <row r="8380" spans="1:7" ht="16.149999999999999" x14ac:dyDescent="0.7">
      <c r="A8380" s="49">
        <v>44976.445373229166</v>
      </c>
      <c r="B8380" s="50" t="s">
        <v>18</v>
      </c>
      <c r="C8380" s="50" t="s">
        <v>691</v>
      </c>
      <c r="D8380" s="50" t="s">
        <v>259</v>
      </c>
      <c r="E8380" s="50">
        <v>0</v>
      </c>
      <c r="F8380" s="51">
        <v>0.92674240324685542</v>
      </c>
      <c r="G8380" s="51" t="str">
        <v>中瀬 2023/03/10 (金)
平日夜間</v>
      </c>
    </row>
    <row r="8381" spans="1:7" ht="16.149999999999999" x14ac:dyDescent="0.7">
      <c r="A8381" s="49">
        <v>44976.445373229166</v>
      </c>
      <c r="B8381" s="50" t="s">
        <v>18</v>
      </c>
      <c r="C8381" s="50" t="s">
        <v>692</v>
      </c>
      <c r="D8381" s="50" t="s">
        <v>263</v>
      </c>
      <c r="E8381" s="50">
        <v>0</v>
      </c>
      <c r="F8381" s="51">
        <v>0.20500936631174516</v>
      </c>
      <c r="G8381" s="51" t="str">
        <v>中瀬 2023/03/11 (土)
休日午前</v>
      </c>
    </row>
    <row r="8382" spans="1:7" ht="16.149999999999999" x14ac:dyDescent="0.7">
      <c r="A8382" s="49">
        <v>44976.445373229166</v>
      </c>
      <c r="B8382" s="50" t="s">
        <v>18</v>
      </c>
      <c r="C8382" s="50" t="s">
        <v>693</v>
      </c>
      <c r="D8382" s="50" t="s">
        <v>261</v>
      </c>
      <c r="E8382" s="50">
        <v>0</v>
      </c>
      <c r="F8382" s="51">
        <v>0.90069106213627315</v>
      </c>
      <c r="G8382" s="51" t="str">
        <v>中瀬 2023/03/11 (土)
休日午後</v>
      </c>
    </row>
    <row r="8383" spans="1:7" ht="16.149999999999999" x14ac:dyDescent="0.7">
      <c r="A8383" s="49">
        <v>44976.445373229166</v>
      </c>
      <c r="B8383" s="50" t="s">
        <v>18</v>
      </c>
      <c r="C8383" s="50" t="s">
        <v>694</v>
      </c>
      <c r="D8383" s="50" t="s">
        <v>263</v>
      </c>
      <c r="E8383" s="50">
        <v>0</v>
      </c>
      <c r="F8383" s="51">
        <v>0.57181885863633286</v>
      </c>
      <c r="G8383" s="51" t="str">
        <v>中瀬 2023/03/12 (日)
休日午前</v>
      </c>
    </row>
    <row r="8384" spans="1:7" ht="16.149999999999999" x14ac:dyDescent="0.7">
      <c r="A8384" s="49">
        <v>44976.445373229166</v>
      </c>
      <c r="B8384" s="50" t="s">
        <v>18</v>
      </c>
      <c r="C8384" s="50" t="s">
        <v>695</v>
      </c>
      <c r="D8384" s="50" t="s">
        <v>261</v>
      </c>
      <c r="E8384" s="50">
        <v>0</v>
      </c>
      <c r="F8384" s="51">
        <v>0.96861726186488983</v>
      </c>
      <c r="G8384" s="51" t="str">
        <v>中瀬 2023/03/12 (日)
休日午後</v>
      </c>
    </row>
    <row r="8385" spans="1:7" ht="16.149999999999999" x14ac:dyDescent="0.7">
      <c r="A8385" s="49">
        <v>44976.445373229166</v>
      </c>
      <c r="B8385" s="50" t="s">
        <v>18</v>
      </c>
      <c r="C8385" s="50" t="s">
        <v>696</v>
      </c>
      <c r="D8385" s="50" t="s">
        <v>259</v>
      </c>
      <c r="E8385" s="50">
        <v>0</v>
      </c>
      <c r="F8385" s="51">
        <v>0.19936100701413184</v>
      </c>
      <c r="G8385" s="51" t="str">
        <v>中瀬 2023/03/13 (月)
平日夜間</v>
      </c>
    </row>
    <row r="8386" spans="1:7" ht="16.149999999999999" x14ac:dyDescent="0.7">
      <c r="A8386" s="49">
        <v>44976.445373229166</v>
      </c>
      <c r="B8386" s="50" t="s">
        <v>18</v>
      </c>
      <c r="C8386" s="50" t="s">
        <v>697</v>
      </c>
      <c r="D8386" s="50" t="s">
        <v>259</v>
      </c>
      <c r="E8386" s="50">
        <v>-1</v>
      </c>
      <c r="F8386" s="51">
        <v>-0.8451874389434828</v>
      </c>
      <c r="G8386" s="51" t="str">
        <v>中瀬 2023/03/14 (火)
平日夜間</v>
      </c>
    </row>
    <row r="8387" spans="1:7" ht="16.149999999999999" x14ac:dyDescent="0.7">
      <c r="A8387" s="49">
        <v>44976.445373229166</v>
      </c>
      <c r="B8387" s="50" t="s">
        <v>18</v>
      </c>
      <c r="C8387" s="50" t="s">
        <v>698</v>
      </c>
      <c r="D8387" s="50" t="s">
        <v>259</v>
      </c>
      <c r="E8387" s="50">
        <v>-1</v>
      </c>
      <c r="F8387" s="51">
        <v>-0.91208624739176125</v>
      </c>
      <c r="G8387" s="51" t="str">
        <v>中瀬 2023/03/15 (水)
平日夜間</v>
      </c>
    </row>
    <row r="8388" spans="1:7" ht="16.149999999999999" x14ac:dyDescent="0.7">
      <c r="A8388" s="49">
        <v>44976.445373229166</v>
      </c>
      <c r="B8388" s="50" t="s">
        <v>18</v>
      </c>
      <c r="C8388" s="50" t="s">
        <v>699</v>
      </c>
      <c r="D8388" s="50" t="s">
        <v>259</v>
      </c>
      <c r="E8388" s="50">
        <v>-1</v>
      </c>
      <c r="F8388" s="51">
        <v>-0.37489586269927289</v>
      </c>
      <c r="G8388" s="51" t="str">
        <v>中瀬 2023/03/16 (木)
平日夜間</v>
      </c>
    </row>
    <row r="8389" spans="1:7" ht="16.149999999999999" x14ac:dyDescent="0.7">
      <c r="A8389" s="49">
        <v>44976.445373229166</v>
      </c>
      <c r="B8389" s="50" t="s">
        <v>18</v>
      </c>
      <c r="C8389" s="50" t="s">
        <v>700</v>
      </c>
      <c r="D8389" s="50" t="s">
        <v>259</v>
      </c>
      <c r="E8389" s="50">
        <v>0</v>
      </c>
      <c r="F8389" s="51">
        <v>0.69857919417172987</v>
      </c>
      <c r="G8389" s="51" t="str">
        <v>中瀬 2023/03/17 (金)
平日夜間</v>
      </c>
    </row>
    <row r="8390" spans="1:7" ht="16.149999999999999" x14ac:dyDescent="0.7">
      <c r="A8390" s="49">
        <v>44976.445373229166</v>
      </c>
      <c r="B8390" s="50" t="s">
        <v>18</v>
      </c>
      <c r="C8390" s="50" t="s">
        <v>701</v>
      </c>
      <c r="D8390" s="50" t="s">
        <v>263</v>
      </c>
      <c r="E8390" s="50">
        <v>-1</v>
      </c>
      <c r="F8390" s="51">
        <v>-0.39505320412530787</v>
      </c>
      <c r="G8390" s="51" t="str">
        <v>中瀬 2023/03/18 (土)
休日午前</v>
      </c>
    </row>
    <row r="8391" spans="1:7" ht="16.149999999999999" x14ac:dyDescent="0.7">
      <c r="A8391" s="49">
        <v>44976.445373229166</v>
      </c>
      <c r="B8391" s="50" t="s">
        <v>18</v>
      </c>
      <c r="C8391" s="50" t="s">
        <v>702</v>
      </c>
      <c r="D8391" s="50" t="s">
        <v>261</v>
      </c>
      <c r="E8391" s="50">
        <v>-1</v>
      </c>
      <c r="F8391" s="51">
        <v>-0.10920503176582042</v>
      </c>
      <c r="G8391" s="51" t="str">
        <v>中瀬 2023/03/18 (土)
休日午後</v>
      </c>
    </row>
    <row r="8392" spans="1:7" ht="16.149999999999999" x14ac:dyDescent="0.7">
      <c r="A8392" s="49">
        <v>44976.445373229166</v>
      </c>
      <c r="B8392" s="50" t="s">
        <v>18</v>
      </c>
      <c r="C8392" s="50" t="s">
        <v>703</v>
      </c>
      <c r="D8392" s="50" t="s">
        <v>263</v>
      </c>
      <c r="E8392" s="50">
        <v>-1</v>
      </c>
      <c r="F8392" s="51">
        <v>-0.95766968093631144</v>
      </c>
      <c r="G8392" s="51" t="str">
        <v>中瀬 2023/03/19 (日)
休日午前</v>
      </c>
    </row>
    <row r="8393" spans="1:7" ht="16.149999999999999" x14ac:dyDescent="0.7">
      <c r="A8393" s="49">
        <v>44976.445373229166</v>
      </c>
      <c r="B8393" s="50" t="s">
        <v>18</v>
      </c>
      <c r="C8393" s="50" t="s">
        <v>704</v>
      </c>
      <c r="D8393" s="50" t="s">
        <v>261</v>
      </c>
      <c r="E8393" s="50">
        <v>-1</v>
      </c>
      <c r="F8393" s="51">
        <v>-0.84420898126592525</v>
      </c>
      <c r="G8393" s="51" t="str">
        <v>中瀬 2023/03/19 (日)
休日午後</v>
      </c>
    </row>
    <row r="8394" spans="1:7" ht="16.149999999999999" x14ac:dyDescent="0.7">
      <c r="A8394" s="49">
        <v>44976.445373229166</v>
      </c>
      <c r="B8394" s="50" t="s">
        <v>18</v>
      </c>
      <c r="C8394" s="50" t="s">
        <v>705</v>
      </c>
      <c r="D8394" s="50" t="s">
        <v>259</v>
      </c>
      <c r="E8394" s="50">
        <v>0</v>
      </c>
      <c r="F8394" s="51">
        <v>0.2009045026965155</v>
      </c>
      <c r="G8394" s="51" t="str">
        <v>中瀬 2023/03/20 (月)
平日夜間</v>
      </c>
    </row>
    <row r="8395" spans="1:7" ht="16.149999999999999" x14ac:dyDescent="0.7">
      <c r="A8395" s="49">
        <v>44976.445373229166</v>
      </c>
      <c r="B8395" s="50" t="s">
        <v>18</v>
      </c>
      <c r="C8395" s="50" t="s">
        <v>706</v>
      </c>
      <c r="D8395" s="50" t="s">
        <v>263</v>
      </c>
      <c r="E8395" s="50">
        <v>0</v>
      </c>
      <c r="F8395" s="51">
        <v>0.82612356913761009</v>
      </c>
      <c r="G8395" s="51" t="str">
        <v>中瀬 2023/03/21 (火)
休日午前</v>
      </c>
    </row>
    <row r="8396" spans="1:7" ht="16.149999999999999" x14ac:dyDescent="0.7">
      <c r="A8396" s="49">
        <v>44976.445373229166</v>
      </c>
      <c r="B8396" s="50" t="s">
        <v>18</v>
      </c>
      <c r="C8396" s="50" t="s">
        <v>707</v>
      </c>
      <c r="D8396" s="50" t="s">
        <v>261</v>
      </c>
      <c r="E8396" s="50">
        <v>0</v>
      </c>
      <c r="F8396" s="51">
        <v>0.4855007661300923</v>
      </c>
      <c r="G8396" s="51" t="str">
        <v>中瀬 2023/03/21 (火)
休日午後</v>
      </c>
    </row>
    <row r="8397" spans="1:7" ht="16.149999999999999" x14ac:dyDescent="0.7">
      <c r="A8397" s="49">
        <v>44976.445373229166</v>
      </c>
      <c r="B8397" s="50" t="s">
        <v>18</v>
      </c>
      <c r="C8397" s="50" t="s">
        <v>708</v>
      </c>
      <c r="D8397" s="50" t="s">
        <v>259</v>
      </c>
      <c r="E8397" s="50">
        <v>-1</v>
      </c>
      <c r="F8397" s="51">
        <v>-0.53145744242804582</v>
      </c>
      <c r="G8397" s="51" t="str">
        <v>中瀬 2023/03/22 (水)
平日夜間</v>
      </c>
    </row>
    <row r="8398" spans="1:7" ht="16.149999999999999" x14ac:dyDescent="0.7">
      <c r="A8398" s="49">
        <v>44976.445373229166</v>
      </c>
      <c r="B8398" s="50" t="s">
        <v>18</v>
      </c>
      <c r="C8398" s="50" t="s">
        <v>709</v>
      </c>
      <c r="D8398" s="50" t="s">
        <v>259</v>
      </c>
      <c r="E8398" s="50">
        <v>-1</v>
      </c>
      <c r="F8398" s="51">
        <v>-7.6175581772272238E-2</v>
      </c>
      <c r="G8398" s="51" t="str">
        <v>中瀬 2023/03/23 (木)
平日夜間</v>
      </c>
    </row>
    <row r="8399" spans="1:7" ht="16.149999999999999" x14ac:dyDescent="0.7">
      <c r="A8399" s="49">
        <v>44976.445373229166</v>
      </c>
      <c r="B8399" s="50" t="s">
        <v>18</v>
      </c>
      <c r="C8399" s="50" t="s">
        <v>710</v>
      </c>
      <c r="D8399" s="50" t="s">
        <v>259</v>
      </c>
      <c r="E8399" s="50">
        <v>0</v>
      </c>
      <c r="F8399" s="51">
        <v>0.2262719433658642</v>
      </c>
      <c r="G8399" s="51" t="str">
        <v>中瀬 2023/03/24 (金)
平日夜間</v>
      </c>
    </row>
    <row r="8400" spans="1:7" ht="16.149999999999999" x14ac:dyDescent="0.7">
      <c r="A8400" s="49">
        <v>44976.445373229166</v>
      </c>
      <c r="B8400" s="50" t="s">
        <v>18</v>
      </c>
      <c r="C8400" s="50" t="s">
        <v>711</v>
      </c>
      <c r="D8400" s="50" t="s">
        <v>263</v>
      </c>
      <c r="E8400" s="50">
        <v>-1</v>
      </c>
      <c r="F8400" s="51">
        <v>-0.91958752226725138</v>
      </c>
      <c r="G8400" s="51" t="str">
        <v>中瀬 2023/03/25 (土)
休日午前</v>
      </c>
    </row>
    <row r="8401" spans="1:7" ht="16.149999999999999" x14ac:dyDescent="0.7">
      <c r="A8401" s="49">
        <v>44976.445373229166</v>
      </c>
      <c r="B8401" s="50" t="s">
        <v>18</v>
      </c>
      <c r="C8401" s="50" t="s">
        <v>712</v>
      </c>
      <c r="D8401" s="50" t="s">
        <v>261</v>
      </c>
      <c r="E8401" s="50">
        <v>2</v>
      </c>
      <c r="F8401" s="51">
        <v>2.8899231919404818</v>
      </c>
      <c r="G8401" s="51" t="str">
        <v>中瀬 2023/03/25 (土)
休日午後</v>
      </c>
    </row>
    <row r="8402" spans="1:7" ht="16.149999999999999" x14ac:dyDescent="0.7">
      <c r="A8402" s="49">
        <v>44976.445373229166</v>
      </c>
      <c r="B8402" s="50" t="s">
        <v>18</v>
      </c>
      <c r="C8402" s="50" t="s">
        <v>713</v>
      </c>
      <c r="D8402" s="50" t="s">
        <v>263</v>
      </c>
      <c r="E8402" s="50">
        <v>-1</v>
      </c>
      <c r="F8402" s="51">
        <v>-0.28827199272134152</v>
      </c>
      <c r="G8402" s="51" t="str">
        <v>中瀬 2023/03/26 (日)
休日午前</v>
      </c>
    </row>
    <row r="8403" spans="1:7" ht="16.149999999999999" x14ac:dyDescent="0.7">
      <c r="A8403" s="49">
        <v>44976.445373229166</v>
      </c>
      <c r="B8403" s="50" t="s">
        <v>18</v>
      </c>
      <c r="C8403" s="50" t="s">
        <v>714</v>
      </c>
      <c r="D8403" s="50" t="s">
        <v>261</v>
      </c>
      <c r="E8403" s="50">
        <v>-1</v>
      </c>
      <c r="F8403" s="51">
        <v>-0.53559528151004443</v>
      </c>
      <c r="G8403" s="51" t="str">
        <v>中瀬 2023/03/26 (日)
休日午後</v>
      </c>
    </row>
    <row r="8404" spans="1:7" ht="16.149999999999999" x14ac:dyDescent="0.7">
      <c r="A8404" s="49">
        <v>44976.445373229166</v>
      </c>
      <c r="B8404" s="50" t="s">
        <v>18</v>
      </c>
      <c r="C8404" s="50" t="s">
        <v>715</v>
      </c>
      <c r="D8404" s="50" t="s">
        <v>259</v>
      </c>
      <c r="E8404" s="50">
        <v>0</v>
      </c>
      <c r="F8404" s="51">
        <v>0.37073691106349949</v>
      </c>
      <c r="G8404" s="51" t="str">
        <v>中瀬 2023/03/27 (月)
平日夜間</v>
      </c>
    </row>
    <row r="8405" spans="1:7" ht="16.149999999999999" x14ac:dyDescent="0.7">
      <c r="A8405" s="49">
        <v>44976.445373229166</v>
      </c>
      <c r="B8405" s="50" t="s">
        <v>18</v>
      </c>
      <c r="C8405" s="50" t="s">
        <v>716</v>
      </c>
      <c r="D8405" s="50" t="s">
        <v>259</v>
      </c>
      <c r="E8405" s="50">
        <v>2</v>
      </c>
      <c r="F8405" s="51">
        <v>2.2884090402487773</v>
      </c>
      <c r="G8405" s="51" t="str">
        <v>中瀬 2023/03/28 (火)
平日夜間</v>
      </c>
    </row>
    <row r="8406" spans="1:7" ht="16.149999999999999" x14ac:dyDescent="0.7">
      <c r="A8406" s="49">
        <v>44976.445373229166</v>
      </c>
      <c r="B8406" s="50" t="s">
        <v>18</v>
      </c>
      <c r="C8406" s="50" t="s">
        <v>717</v>
      </c>
      <c r="D8406" s="50" t="s">
        <v>259</v>
      </c>
      <c r="E8406" s="50">
        <v>-1</v>
      </c>
      <c r="F8406" s="51">
        <v>-0.38480633019765254</v>
      </c>
      <c r="G8406" s="51" t="str">
        <v>中瀬 2023/03/29 (水)
平日夜間</v>
      </c>
    </row>
    <row r="8407" spans="1:7" ht="16.149999999999999" x14ac:dyDescent="0.7">
      <c r="A8407" s="49">
        <v>44976.445373229166</v>
      </c>
      <c r="B8407" s="50" t="s">
        <v>18</v>
      </c>
      <c r="C8407" s="50" t="s">
        <v>718</v>
      </c>
      <c r="D8407" s="50" t="s">
        <v>259</v>
      </c>
      <c r="E8407" s="50">
        <v>-1</v>
      </c>
      <c r="F8407" s="51">
        <v>-0.26272387426033506</v>
      </c>
      <c r="G8407" s="51" t="str">
        <v>中瀬 2023/03/30 (木)
平日夜間</v>
      </c>
    </row>
    <row r="8408" spans="1:7" ht="16.149999999999999" x14ac:dyDescent="0.7">
      <c r="A8408" s="49">
        <v>44976.445373229166</v>
      </c>
      <c r="B8408" s="50" t="s">
        <v>18</v>
      </c>
      <c r="C8408" s="50" t="s">
        <v>719</v>
      </c>
      <c r="D8408" s="50" t="s">
        <v>259</v>
      </c>
      <c r="E8408" s="50">
        <v>0</v>
      </c>
      <c r="F8408" s="51">
        <v>0.89889905222908695</v>
      </c>
      <c r="G8408" s="51" t="str">
        <v>中瀬 2023/03/31 (金)
平日夜間</v>
      </c>
    </row>
    <row r="8409" spans="1:7" ht="16.149999999999999" x14ac:dyDescent="0.7">
      <c r="A8409" s="49">
        <v>44976.690926909723</v>
      </c>
      <c r="B8409" s="50" t="s">
        <v>10</v>
      </c>
      <c r="C8409" s="50" t="s">
        <v>680</v>
      </c>
      <c r="D8409" s="50" t="s">
        <v>259</v>
      </c>
      <c r="E8409" s="50">
        <v>0</v>
      </c>
      <c r="F8409" s="51">
        <v>0.22036662790438966</v>
      </c>
      <c r="G8409" s="51" t="str">
        <v>福井 2023/03/01 (水)
平日夜間</v>
      </c>
    </row>
    <row r="8410" spans="1:7" ht="16.149999999999999" x14ac:dyDescent="0.7">
      <c r="A8410" s="49">
        <v>44976.690926909723</v>
      </c>
      <c r="B8410" s="50" t="s">
        <v>10</v>
      </c>
      <c r="C8410" s="50" t="s">
        <v>681</v>
      </c>
      <c r="D8410" s="50" t="s">
        <v>259</v>
      </c>
      <c r="E8410" s="50">
        <v>-1</v>
      </c>
      <c r="F8410" s="51">
        <v>-0.13972575885026672</v>
      </c>
      <c r="G8410" s="51" t="str">
        <v>福井 2023/03/02 (木)
平日夜間</v>
      </c>
    </row>
    <row r="8411" spans="1:7" ht="16.149999999999999" x14ac:dyDescent="0.7">
      <c r="A8411" s="49">
        <v>44976.690926909723</v>
      </c>
      <c r="B8411" s="50" t="s">
        <v>10</v>
      </c>
      <c r="C8411" s="50" t="s">
        <v>682</v>
      </c>
      <c r="D8411" s="50" t="s">
        <v>259</v>
      </c>
      <c r="E8411" s="50">
        <v>-1</v>
      </c>
      <c r="F8411" s="51">
        <v>-0.98517085258076831</v>
      </c>
      <c r="G8411" s="51" t="str">
        <v>福井 2023/03/03 (金)
平日夜間</v>
      </c>
    </row>
    <row r="8412" spans="1:7" ht="16.149999999999999" x14ac:dyDescent="0.7">
      <c r="A8412" s="49">
        <v>44976.690926909723</v>
      </c>
      <c r="B8412" s="50" t="s">
        <v>10</v>
      </c>
      <c r="C8412" s="50" t="s">
        <v>683</v>
      </c>
      <c r="D8412" s="50" t="s">
        <v>263</v>
      </c>
      <c r="E8412" s="50">
        <v>1</v>
      </c>
      <c r="F8412" s="51">
        <v>1.0419015685535651</v>
      </c>
      <c r="G8412" s="51" t="str">
        <v>福井 2023/03/04 (土)
休日午前</v>
      </c>
    </row>
    <row r="8413" spans="1:7" ht="16.149999999999999" x14ac:dyDescent="0.7">
      <c r="A8413" s="49">
        <v>44976.690926909723</v>
      </c>
      <c r="B8413" s="50" t="s">
        <v>10</v>
      </c>
      <c r="C8413" s="50" t="s">
        <v>684</v>
      </c>
      <c r="D8413" s="50" t="s">
        <v>261</v>
      </c>
      <c r="E8413" s="50">
        <v>1</v>
      </c>
      <c r="F8413" s="51">
        <v>1.0274740524934511</v>
      </c>
      <c r="G8413" s="51" t="str">
        <v>福井 2023/03/04 (土)
休日午後</v>
      </c>
    </row>
    <row r="8414" spans="1:7" ht="16.149999999999999" x14ac:dyDescent="0.7">
      <c r="A8414" s="49">
        <v>44976.690926909723</v>
      </c>
      <c r="B8414" s="50" t="s">
        <v>10</v>
      </c>
      <c r="C8414" s="50" t="s">
        <v>685</v>
      </c>
      <c r="D8414" s="50" t="s">
        <v>263</v>
      </c>
      <c r="E8414" s="50">
        <v>1</v>
      </c>
      <c r="F8414" s="51">
        <v>1.0356563350983761</v>
      </c>
      <c r="G8414" s="51" t="str">
        <v>福井 2023/03/05 (日)
休日午前</v>
      </c>
    </row>
    <row r="8415" spans="1:7" ht="16.149999999999999" x14ac:dyDescent="0.7">
      <c r="A8415" s="49">
        <v>44976.690926909723</v>
      </c>
      <c r="B8415" s="50" t="s">
        <v>10</v>
      </c>
      <c r="C8415" s="50" t="s">
        <v>686</v>
      </c>
      <c r="D8415" s="50" t="s">
        <v>261</v>
      </c>
      <c r="E8415" s="50">
        <v>1</v>
      </c>
      <c r="F8415" s="51">
        <v>1.2909889539406232</v>
      </c>
      <c r="G8415" s="51" t="str">
        <v>福井 2023/03/05 (日)
休日午後</v>
      </c>
    </row>
    <row r="8416" spans="1:7" ht="16.149999999999999" x14ac:dyDescent="0.7">
      <c r="A8416" s="49">
        <v>44976.690926909723</v>
      </c>
      <c r="B8416" s="50" t="s">
        <v>10</v>
      </c>
      <c r="C8416" s="50" t="s">
        <v>687</v>
      </c>
      <c r="D8416" s="50" t="s">
        <v>259</v>
      </c>
      <c r="E8416" s="50">
        <v>-1</v>
      </c>
      <c r="F8416" s="51">
        <v>-0.83181483656419242</v>
      </c>
      <c r="G8416" s="51" t="str">
        <v>福井 2023/03/06 (月)
平日夜間</v>
      </c>
    </row>
    <row r="8417" spans="1:7" ht="16.149999999999999" x14ac:dyDescent="0.7">
      <c r="A8417" s="49">
        <v>44976.690926909723</v>
      </c>
      <c r="B8417" s="50" t="s">
        <v>10</v>
      </c>
      <c r="C8417" s="50" t="s">
        <v>688</v>
      </c>
      <c r="D8417" s="50" t="s">
        <v>259</v>
      </c>
      <c r="E8417" s="50">
        <v>0</v>
      </c>
      <c r="F8417" s="51">
        <v>0.58906387898012014</v>
      </c>
      <c r="G8417" s="51" t="str">
        <v>福井 2023/03/07 (火)
平日夜間</v>
      </c>
    </row>
    <row r="8418" spans="1:7" ht="16.149999999999999" x14ac:dyDescent="0.7">
      <c r="A8418" s="49">
        <v>44976.690926909723</v>
      </c>
      <c r="B8418" s="50" t="s">
        <v>10</v>
      </c>
      <c r="C8418" s="50" t="s">
        <v>689</v>
      </c>
      <c r="D8418" s="50" t="s">
        <v>259</v>
      </c>
      <c r="E8418" s="50">
        <v>0</v>
      </c>
      <c r="F8418" s="51">
        <v>0.43089709596431436</v>
      </c>
      <c r="G8418" s="51" t="str">
        <v>福井 2023/03/08 (水)
平日夜間</v>
      </c>
    </row>
    <row r="8419" spans="1:7" ht="16.149999999999999" x14ac:dyDescent="0.7">
      <c r="A8419" s="49">
        <v>44976.690926909723</v>
      </c>
      <c r="B8419" s="50" t="s">
        <v>10</v>
      </c>
      <c r="C8419" s="50" t="s">
        <v>690</v>
      </c>
      <c r="D8419" s="50" t="s">
        <v>259</v>
      </c>
      <c r="E8419" s="50">
        <v>0</v>
      </c>
      <c r="F8419" s="51">
        <v>0.26827034176408948</v>
      </c>
      <c r="G8419" s="51" t="str">
        <v>福井 2023/03/09 (木)
平日夜間</v>
      </c>
    </row>
    <row r="8420" spans="1:7" ht="16.149999999999999" x14ac:dyDescent="0.7">
      <c r="A8420" s="49">
        <v>44976.690926909723</v>
      </c>
      <c r="B8420" s="50" t="s">
        <v>10</v>
      </c>
      <c r="C8420" s="50" t="s">
        <v>691</v>
      </c>
      <c r="D8420" s="50" t="s">
        <v>259</v>
      </c>
      <c r="E8420" s="50">
        <v>-1</v>
      </c>
      <c r="F8420" s="51">
        <v>-0.66975253894437081</v>
      </c>
      <c r="G8420" s="51" t="str">
        <v>福井 2023/03/10 (金)
平日夜間</v>
      </c>
    </row>
    <row r="8421" spans="1:7" ht="16.149999999999999" x14ac:dyDescent="0.7">
      <c r="A8421" s="49">
        <v>44976.690926909723</v>
      </c>
      <c r="B8421" s="50" t="s">
        <v>10</v>
      </c>
      <c r="C8421" s="50" t="s">
        <v>692</v>
      </c>
      <c r="D8421" s="50" t="s">
        <v>263</v>
      </c>
      <c r="E8421" s="50">
        <v>-1</v>
      </c>
      <c r="F8421" s="51">
        <v>-0.89369797191317302</v>
      </c>
      <c r="G8421" s="51" t="str">
        <v>福井 2023/03/11 (土)
休日午前</v>
      </c>
    </row>
    <row r="8422" spans="1:7" ht="16.149999999999999" x14ac:dyDescent="0.7">
      <c r="A8422" s="49">
        <v>44976.690926909723</v>
      </c>
      <c r="B8422" s="50" t="s">
        <v>10</v>
      </c>
      <c r="C8422" s="50" t="s">
        <v>693</v>
      </c>
      <c r="D8422" s="50" t="s">
        <v>261</v>
      </c>
      <c r="E8422" s="50">
        <v>-1</v>
      </c>
      <c r="F8422" s="51">
        <v>-0.86780590637707244</v>
      </c>
      <c r="G8422" s="51" t="str">
        <v>福井 2023/03/11 (土)
休日午後</v>
      </c>
    </row>
    <row r="8423" spans="1:7" ht="16.149999999999999" x14ac:dyDescent="0.7">
      <c r="A8423" s="49">
        <v>44976.690926909723</v>
      </c>
      <c r="B8423" s="50" t="s">
        <v>10</v>
      </c>
      <c r="C8423" s="50" t="s">
        <v>694</v>
      </c>
      <c r="D8423" s="50" t="s">
        <v>263</v>
      </c>
      <c r="E8423" s="50">
        <v>1</v>
      </c>
      <c r="F8423" s="51">
        <v>1.1131620584524879</v>
      </c>
      <c r="G8423" s="51" t="str">
        <v>福井 2023/03/12 (日)
休日午前</v>
      </c>
    </row>
    <row r="8424" spans="1:7" ht="16.149999999999999" x14ac:dyDescent="0.7">
      <c r="A8424" s="49">
        <v>44976.690926909723</v>
      </c>
      <c r="B8424" s="50" t="s">
        <v>10</v>
      </c>
      <c r="C8424" s="50" t="s">
        <v>695</v>
      </c>
      <c r="D8424" s="50" t="s">
        <v>261</v>
      </c>
      <c r="E8424" s="50">
        <v>-1</v>
      </c>
      <c r="F8424" s="51">
        <v>-0.75179278727259202</v>
      </c>
      <c r="G8424" s="51" t="str">
        <v>福井 2023/03/12 (日)
休日午後</v>
      </c>
    </row>
    <row r="8425" spans="1:7" ht="16.149999999999999" x14ac:dyDescent="0.7">
      <c r="A8425" s="49">
        <v>44976.690926909723</v>
      </c>
      <c r="B8425" s="50" t="s">
        <v>10</v>
      </c>
      <c r="C8425" s="50" t="s">
        <v>696</v>
      </c>
      <c r="D8425" s="50" t="s">
        <v>259</v>
      </c>
      <c r="E8425" s="50">
        <v>0</v>
      </c>
      <c r="F8425" s="51">
        <v>0.96905623162219201</v>
      </c>
      <c r="G8425" s="51" t="str">
        <v>福井 2023/03/13 (月)
平日夜間</v>
      </c>
    </row>
    <row r="8426" spans="1:7" ht="16.149999999999999" x14ac:dyDescent="0.7">
      <c r="A8426" s="49">
        <v>44976.690926909723</v>
      </c>
      <c r="B8426" s="50" t="s">
        <v>10</v>
      </c>
      <c r="C8426" s="50" t="s">
        <v>697</v>
      </c>
      <c r="D8426" s="50" t="s">
        <v>259</v>
      </c>
      <c r="E8426" s="50">
        <v>-1</v>
      </c>
      <c r="F8426" s="51">
        <v>-0.48075076776975756</v>
      </c>
      <c r="G8426" s="51" t="str">
        <v>福井 2023/03/14 (火)
平日夜間</v>
      </c>
    </row>
    <row r="8427" spans="1:7" ht="16.149999999999999" x14ac:dyDescent="0.7">
      <c r="A8427" s="49">
        <v>44976.690926909723</v>
      </c>
      <c r="B8427" s="50" t="s">
        <v>10</v>
      </c>
      <c r="C8427" s="50" t="s">
        <v>698</v>
      </c>
      <c r="D8427" s="50" t="s">
        <v>259</v>
      </c>
      <c r="E8427" s="50">
        <v>0</v>
      </c>
      <c r="F8427" s="51">
        <v>0.48564946682413823</v>
      </c>
      <c r="G8427" s="51" t="str">
        <v>福井 2023/03/15 (水)
平日夜間</v>
      </c>
    </row>
    <row r="8428" spans="1:7" ht="16.149999999999999" x14ac:dyDescent="0.7">
      <c r="A8428" s="49">
        <v>44976.690926909723</v>
      </c>
      <c r="B8428" s="50" t="s">
        <v>10</v>
      </c>
      <c r="C8428" s="50" t="s">
        <v>699</v>
      </c>
      <c r="D8428" s="50" t="s">
        <v>259</v>
      </c>
      <c r="E8428" s="50">
        <v>0</v>
      </c>
      <c r="F8428" s="51">
        <v>0.85949172299632814</v>
      </c>
      <c r="G8428" s="51" t="str">
        <v>福井 2023/03/16 (木)
平日夜間</v>
      </c>
    </row>
    <row r="8429" spans="1:7" ht="16.149999999999999" x14ac:dyDescent="0.7">
      <c r="A8429" s="49">
        <v>44976.690926909723</v>
      </c>
      <c r="B8429" s="50" t="s">
        <v>10</v>
      </c>
      <c r="C8429" s="50" t="s">
        <v>700</v>
      </c>
      <c r="D8429" s="50" t="s">
        <v>259</v>
      </c>
      <c r="E8429" s="50">
        <v>-1</v>
      </c>
      <c r="F8429" s="51">
        <v>-0.26286862935952793</v>
      </c>
      <c r="G8429" s="51" t="str">
        <v>福井 2023/03/17 (金)
平日夜間</v>
      </c>
    </row>
    <row r="8430" spans="1:7" ht="16.149999999999999" x14ac:dyDescent="0.7">
      <c r="A8430" s="49">
        <v>44976.690926909723</v>
      </c>
      <c r="B8430" s="50" t="s">
        <v>10</v>
      </c>
      <c r="C8430" s="50" t="s">
        <v>701</v>
      </c>
      <c r="D8430" s="50" t="s">
        <v>263</v>
      </c>
      <c r="E8430" s="50">
        <v>-1</v>
      </c>
      <c r="F8430" s="51">
        <v>-0.42991758079033193</v>
      </c>
      <c r="G8430" s="51" t="str">
        <v>福井 2023/03/18 (土)
休日午前</v>
      </c>
    </row>
    <row r="8431" spans="1:7" ht="16.149999999999999" x14ac:dyDescent="0.7">
      <c r="A8431" s="49">
        <v>44976.690926909723</v>
      </c>
      <c r="B8431" s="50" t="s">
        <v>10</v>
      </c>
      <c r="C8431" s="50" t="s">
        <v>702</v>
      </c>
      <c r="D8431" s="50" t="s">
        <v>261</v>
      </c>
      <c r="E8431" s="50">
        <v>-1</v>
      </c>
      <c r="F8431" s="51">
        <v>-0.64414030762094621</v>
      </c>
      <c r="G8431" s="51" t="str">
        <v>福井 2023/03/18 (土)
休日午後</v>
      </c>
    </row>
    <row r="8432" spans="1:7" ht="16.149999999999999" x14ac:dyDescent="0.7">
      <c r="A8432" s="49">
        <v>44976.690926909723</v>
      </c>
      <c r="B8432" s="50" t="s">
        <v>10</v>
      </c>
      <c r="C8432" s="50" t="s">
        <v>703</v>
      </c>
      <c r="D8432" s="50" t="s">
        <v>263</v>
      </c>
      <c r="E8432" s="50">
        <v>-1</v>
      </c>
      <c r="F8432" s="51">
        <v>-0.28612667500881228</v>
      </c>
      <c r="G8432" s="51" t="str">
        <v>福井 2023/03/19 (日)
休日午前</v>
      </c>
    </row>
    <row r="8433" spans="1:7" ht="16.149999999999999" x14ac:dyDescent="0.7">
      <c r="A8433" s="49">
        <v>44976.690926909723</v>
      </c>
      <c r="B8433" s="50" t="s">
        <v>10</v>
      </c>
      <c r="C8433" s="50" t="s">
        <v>704</v>
      </c>
      <c r="D8433" s="50" t="s">
        <v>261</v>
      </c>
      <c r="E8433" s="50">
        <v>-1</v>
      </c>
      <c r="F8433" s="51">
        <v>-0.2125354836193154</v>
      </c>
      <c r="G8433" s="51" t="str">
        <v>福井 2023/03/19 (日)
休日午後</v>
      </c>
    </row>
    <row r="8434" spans="1:7" ht="16.149999999999999" x14ac:dyDescent="0.7">
      <c r="A8434" s="49">
        <v>44976.690926909723</v>
      </c>
      <c r="B8434" s="50" t="s">
        <v>10</v>
      </c>
      <c r="C8434" s="50" t="s">
        <v>705</v>
      </c>
      <c r="D8434" s="50" t="s">
        <v>259</v>
      </c>
      <c r="E8434" s="50">
        <v>0</v>
      </c>
      <c r="F8434" s="51">
        <v>0.68546698250768068</v>
      </c>
      <c r="G8434" s="51" t="str">
        <v>福井 2023/03/20 (月)
平日夜間</v>
      </c>
    </row>
    <row r="8435" spans="1:7" ht="16.149999999999999" x14ac:dyDescent="0.7">
      <c r="A8435" s="49">
        <v>44976.690926909723</v>
      </c>
      <c r="B8435" s="50" t="s">
        <v>10</v>
      </c>
      <c r="C8435" s="50" t="s">
        <v>706</v>
      </c>
      <c r="D8435" s="50" t="s">
        <v>263</v>
      </c>
      <c r="E8435" s="50">
        <v>0</v>
      </c>
      <c r="F8435" s="51">
        <v>0.70433185372281359</v>
      </c>
      <c r="G8435" s="51" t="str">
        <v>福井 2023/03/21 (火)
休日午前</v>
      </c>
    </row>
    <row r="8436" spans="1:7" ht="16.149999999999999" x14ac:dyDescent="0.7">
      <c r="A8436" s="49">
        <v>44976.690926909723</v>
      </c>
      <c r="B8436" s="50" t="s">
        <v>10</v>
      </c>
      <c r="C8436" s="50" t="s">
        <v>707</v>
      </c>
      <c r="D8436" s="50" t="s">
        <v>261</v>
      </c>
      <c r="E8436" s="50">
        <v>-1</v>
      </c>
      <c r="F8436" s="51">
        <v>-0.84055075613204755</v>
      </c>
      <c r="G8436" s="51" t="str">
        <v>福井 2023/03/21 (火)
休日午後</v>
      </c>
    </row>
    <row r="8437" spans="1:7" ht="16.149999999999999" x14ac:dyDescent="0.7">
      <c r="A8437" s="49">
        <v>44976.690926909723</v>
      </c>
      <c r="B8437" s="50" t="s">
        <v>10</v>
      </c>
      <c r="C8437" s="50" t="s">
        <v>708</v>
      </c>
      <c r="D8437" s="50" t="s">
        <v>259</v>
      </c>
      <c r="E8437" s="50">
        <v>0</v>
      </c>
      <c r="F8437" s="51">
        <v>0.389956831602422</v>
      </c>
      <c r="G8437" s="51" t="str">
        <v>福井 2023/03/22 (水)
平日夜間</v>
      </c>
    </row>
    <row r="8438" spans="1:7" ht="16.149999999999999" x14ac:dyDescent="0.7">
      <c r="A8438" s="49">
        <v>44976.690926909723</v>
      </c>
      <c r="B8438" s="50" t="s">
        <v>10</v>
      </c>
      <c r="C8438" s="50" t="s">
        <v>709</v>
      </c>
      <c r="D8438" s="50" t="s">
        <v>259</v>
      </c>
      <c r="E8438" s="50">
        <v>2</v>
      </c>
      <c r="F8438" s="51">
        <v>2.6787840010391886</v>
      </c>
      <c r="G8438" s="51" t="str">
        <v>福井 2023/03/23 (木)
平日夜間</v>
      </c>
    </row>
    <row r="8439" spans="1:7" ht="16.149999999999999" x14ac:dyDescent="0.7">
      <c r="A8439" s="49">
        <v>44976.690926909723</v>
      </c>
      <c r="B8439" s="50" t="s">
        <v>10</v>
      </c>
      <c r="C8439" s="50" t="s">
        <v>710</v>
      </c>
      <c r="D8439" s="50" t="s">
        <v>259</v>
      </c>
      <c r="E8439" s="50">
        <v>0</v>
      </c>
      <c r="F8439" s="51">
        <v>1.7432426289648362E-2</v>
      </c>
      <c r="G8439" s="51" t="str">
        <v>福井 2023/03/24 (金)
平日夜間</v>
      </c>
    </row>
    <row r="8440" spans="1:7" ht="16.149999999999999" x14ac:dyDescent="0.7">
      <c r="A8440" s="49">
        <v>44976.690926909723</v>
      </c>
      <c r="B8440" s="50" t="s">
        <v>10</v>
      </c>
      <c r="C8440" s="50" t="s">
        <v>711</v>
      </c>
      <c r="D8440" s="50" t="s">
        <v>263</v>
      </c>
      <c r="E8440" s="50">
        <v>-1</v>
      </c>
      <c r="F8440" s="51">
        <v>-0.68027711267548741</v>
      </c>
      <c r="G8440" s="51" t="str">
        <v>福井 2023/03/25 (土)
休日午前</v>
      </c>
    </row>
    <row r="8441" spans="1:7" ht="16.149999999999999" x14ac:dyDescent="0.7">
      <c r="A8441" s="49">
        <v>44976.690926909723</v>
      </c>
      <c r="B8441" s="50" t="s">
        <v>10</v>
      </c>
      <c r="C8441" s="50" t="s">
        <v>712</v>
      </c>
      <c r="D8441" s="50" t="s">
        <v>261</v>
      </c>
      <c r="E8441" s="50">
        <v>-1</v>
      </c>
      <c r="F8441" s="51">
        <v>-0.25620854842759799</v>
      </c>
      <c r="G8441" s="51" t="str">
        <v>福井 2023/03/25 (土)
休日午後</v>
      </c>
    </row>
    <row r="8442" spans="1:7" ht="16.149999999999999" x14ac:dyDescent="0.7">
      <c r="A8442" s="49">
        <v>44976.874544293983</v>
      </c>
      <c r="B8442" s="50" t="s">
        <v>9</v>
      </c>
      <c r="C8442" s="50" t="s">
        <v>680</v>
      </c>
      <c r="D8442" s="50" t="s">
        <v>259</v>
      </c>
      <c r="E8442" s="50">
        <v>2</v>
      </c>
      <c r="F8442" s="51">
        <v>2.9859187258420681</v>
      </c>
      <c r="G8442" s="51" t="str">
        <v>山口 2023/03/01 (水)
平日夜間</v>
      </c>
    </row>
    <row r="8443" spans="1:7" ht="16.149999999999999" x14ac:dyDescent="0.7">
      <c r="A8443" s="49">
        <v>44976.874544293983</v>
      </c>
      <c r="B8443" s="50" t="s">
        <v>9</v>
      </c>
      <c r="C8443" s="50" t="s">
        <v>681</v>
      </c>
      <c r="D8443" s="50" t="s">
        <v>259</v>
      </c>
      <c r="E8443" s="50">
        <v>-1</v>
      </c>
      <c r="F8443" s="51">
        <v>-0.22831209674704978</v>
      </c>
      <c r="G8443" s="51" t="str">
        <v>山口 2023/03/02 (木)
平日夜間</v>
      </c>
    </row>
    <row r="8444" spans="1:7" ht="16.149999999999999" x14ac:dyDescent="0.7">
      <c r="A8444" s="49">
        <v>44976.874544293983</v>
      </c>
      <c r="B8444" s="50" t="s">
        <v>9</v>
      </c>
      <c r="C8444" s="50" t="s">
        <v>682</v>
      </c>
      <c r="D8444" s="50" t="s">
        <v>259</v>
      </c>
      <c r="E8444" s="50">
        <v>-1</v>
      </c>
      <c r="F8444" s="51">
        <v>-0.3500570507989651</v>
      </c>
      <c r="G8444" s="51" t="str">
        <v>山口 2023/03/03 (金)
平日夜間</v>
      </c>
    </row>
    <row r="8445" spans="1:7" ht="16.149999999999999" x14ac:dyDescent="0.7">
      <c r="A8445" s="49">
        <v>44976.874544293983</v>
      </c>
      <c r="B8445" s="50" t="s">
        <v>9</v>
      </c>
      <c r="C8445" s="50" t="s">
        <v>683</v>
      </c>
      <c r="D8445" s="50" t="s">
        <v>263</v>
      </c>
      <c r="E8445" s="50">
        <v>-1</v>
      </c>
      <c r="F8445" s="51">
        <v>-0.70451579601817071</v>
      </c>
      <c r="G8445" s="51" t="str">
        <v>山口 2023/03/04 (土)
休日午前</v>
      </c>
    </row>
    <row r="8446" spans="1:7" ht="16.149999999999999" x14ac:dyDescent="0.7">
      <c r="A8446" s="49">
        <v>44976.874544293983</v>
      </c>
      <c r="B8446" s="50" t="s">
        <v>9</v>
      </c>
      <c r="C8446" s="50" t="s">
        <v>684</v>
      </c>
      <c r="D8446" s="50" t="s">
        <v>261</v>
      </c>
      <c r="E8446" s="50">
        <v>-1</v>
      </c>
      <c r="F8446" s="51">
        <v>-0.65162817160148068</v>
      </c>
      <c r="G8446" s="51" t="str">
        <v>山口 2023/03/04 (土)
休日午後</v>
      </c>
    </row>
    <row r="8447" spans="1:7" ht="16.149999999999999" x14ac:dyDescent="0.7">
      <c r="A8447" s="49">
        <v>44976.874544293983</v>
      </c>
      <c r="B8447" s="50" t="s">
        <v>9</v>
      </c>
      <c r="C8447" s="50" t="s">
        <v>685</v>
      </c>
      <c r="D8447" s="50" t="s">
        <v>263</v>
      </c>
      <c r="E8447" s="50">
        <v>-1</v>
      </c>
      <c r="F8447" s="51">
        <v>-0.74495669279586152</v>
      </c>
      <c r="G8447" s="51" t="str">
        <v>山口 2023/03/05 (日)
休日午前</v>
      </c>
    </row>
    <row r="8448" spans="1:7" ht="16.149999999999999" x14ac:dyDescent="0.7">
      <c r="A8448" s="49">
        <v>44976.874544293983</v>
      </c>
      <c r="B8448" s="50" t="s">
        <v>9</v>
      </c>
      <c r="C8448" s="50" t="s">
        <v>686</v>
      </c>
      <c r="D8448" s="50" t="s">
        <v>261</v>
      </c>
      <c r="E8448" s="50">
        <v>-1</v>
      </c>
      <c r="F8448" s="51">
        <v>-0.75171540308660934</v>
      </c>
      <c r="G8448" s="51" t="str">
        <v>山口 2023/03/05 (日)
休日午後</v>
      </c>
    </row>
    <row r="8449" spans="1:7" ht="16.149999999999999" x14ac:dyDescent="0.7">
      <c r="A8449" s="49">
        <v>44976.874544293983</v>
      </c>
      <c r="B8449" s="50" t="s">
        <v>9</v>
      </c>
      <c r="C8449" s="50" t="s">
        <v>687</v>
      </c>
      <c r="D8449" s="50" t="s">
        <v>259</v>
      </c>
      <c r="E8449" s="50">
        <v>0</v>
      </c>
      <c r="F8449" s="51">
        <v>0.92098564887527812</v>
      </c>
      <c r="G8449" s="51" t="str">
        <v>山口 2023/03/06 (月)
平日夜間</v>
      </c>
    </row>
    <row r="8450" spans="1:7" ht="16.149999999999999" x14ac:dyDescent="0.7">
      <c r="A8450" s="49">
        <v>44976.874544293983</v>
      </c>
      <c r="B8450" s="50" t="s">
        <v>9</v>
      </c>
      <c r="C8450" s="50" t="s">
        <v>688</v>
      </c>
      <c r="D8450" s="50" t="s">
        <v>259</v>
      </c>
      <c r="E8450" s="50">
        <v>0</v>
      </c>
      <c r="F8450" s="51">
        <v>0.86684799643178256</v>
      </c>
      <c r="G8450" s="51" t="str">
        <v>山口 2023/03/07 (火)
平日夜間</v>
      </c>
    </row>
    <row r="8451" spans="1:7" ht="16.149999999999999" x14ac:dyDescent="0.7">
      <c r="A8451" s="49">
        <v>44976.874544293983</v>
      </c>
      <c r="B8451" s="50" t="s">
        <v>9</v>
      </c>
      <c r="C8451" s="50" t="s">
        <v>689</v>
      </c>
      <c r="D8451" s="50" t="s">
        <v>259</v>
      </c>
      <c r="E8451" s="50">
        <v>0</v>
      </c>
      <c r="F8451" s="51">
        <v>0.84919761833122998</v>
      </c>
      <c r="G8451" s="51" t="str">
        <v>山口 2023/03/08 (水)
平日夜間</v>
      </c>
    </row>
    <row r="8452" spans="1:7" ht="16.149999999999999" x14ac:dyDescent="0.7">
      <c r="A8452" s="49">
        <v>44976.874544293983</v>
      </c>
      <c r="B8452" s="50" t="s">
        <v>9</v>
      </c>
      <c r="C8452" s="50" t="s">
        <v>690</v>
      </c>
      <c r="D8452" s="50" t="s">
        <v>259</v>
      </c>
      <c r="E8452" s="50">
        <v>0</v>
      </c>
      <c r="F8452" s="51">
        <v>5.4564003591008658E-2</v>
      </c>
      <c r="G8452" s="51" t="str">
        <v>山口 2023/03/09 (木)
平日夜間</v>
      </c>
    </row>
    <row r="8453" spans="1:7" ht="16.149999999999999" x14ac:dyDescent="0.7">
      <c r="A8453" s="49">
        <v>44976.874544293983</v>
      </c>
      <c r="B8453" s="50" t="s">
        <v>9</v>
      </c>
      <c r="C8453" s="50" t="s">
        <v>691</v>
      </c>
      <c r="D8453" s="50" t="s">
        <v>259</v>
      </c>
      <c r="E8453" s="50">
        <v>0</v>
      </c>
      <c r="F8453" s="51">
        <v>0.41172572875139912</v>
      </c>
      <c r="G8453" s="51" t="str">
        <v>山口 2023/03/10 (金)
平日夜間</v>
      </c>
    </row>
    <row r="8454" spans="1:7" ht="16.149999999999999" x14ac:dyDescent="0.7">
      <c r="A8454" s="49">
        <v>44976.874544293983</v>
      </c>
      <c r="B8454" s="50" t="s">
        <v>9</v>
      </c>
      <c r="C8454" s="50" t="s">
        <v>692</v>
      </c>
      <c r="D8454" s="50" t="s">
        <v>263</v>
      </c>
      <c r="E8454" s="50">
        <v>0</v>
      </c>
      <c r="F8454" s="51">
        <v>0.62256479074385696</v>
      </c>
      <c r="G8454" s="51" t="str">
        <v>山口 2023/03/11 (土)
休日午前</v>
      </c>
    </row>
    <row r="8455" spans="1:7" ht="16.149999999999999" x14ac:dyDescent="0.7">
      <c r="A8455" s="49">
        <v>44976.874544293983</v>
      </c>
      <c r="B8455" s="50" t="s">
        <v>9</v>
      </c>
      <c r="C8455" s="50" t="s">
        <v>693</v>
      </c>
      <c r="D8455" s="50" t="s">
        <v>261</v>
      </c>
      <c r="E8455" s="50">
        <v>0</v>
      </c>
      <c r="F8455" s="51">
        <v>0.32758505914963276</v>
      </c>
      <c r="G8455" s="51" t="str">
        <v>山口 2023/03/11 (土)
休日午後</v>
      </c>
    </row>
    <row r="8456" spans="1:7" ht="16.149999999999999" x14ac:dyDescent="0.7">
      <c r="A8456" s="49">
        <v>44976.874544293983</v>
      </c>
      <c r="B8456" s="50" t="s">
        <v>9</v>
      </c>
      <c r="C8456" s="50" t="s">
        <v>694</v>
      </c>
      <c r="D8456" s="50" t="s">
        <v>263</v>
      </c>
      <c r="E8456" s="50">
        <v>0</v>
      </c>
      <c r="F8456" s="51">
        <v>0.660229611080142</v>
      </c>
      <c r="G8456" s="51" t="str">
        <v>山口 2023/03/12 (日)
休日午前</v>
      </c>
    </row>
    <row r="8457" spans="1:7" ht="16.149999999999999" x14ac:dyDescent="0.7">
      <c r="A8457" s="49">
        <v>44976.874544293983</v>
      </c>
      <c r="B8457" s="50" t="s">
        <v>9</v>
      </c>
      <c r="C8457" s="50" t="s">
        <v>695</v>
      </c>
      <c r="D8457" s="50" t="s">
        <v>261</v>
      </c>
      <c r="E8457" s="50">
        <v>0</v>
      </c>
      <c r="F8457" s="51">
        <v>0.78178873051979725</v>
      </c>
      <c r="G8457" s="51" t="str">
        <v>山口 2023/03/12 (日)
休日午後</v>
      </c>
    </row>
    <row r="8458" spans="1:7" ht="16.149999999999999" x14ac:dyDescent="0.7">
      <c r="A8458" s="49">
        <v>44976.874544293983</v>
      </c>
      <c r="B8458" s="50" t="s">
        <v>9</v>
      </c>
      <c r="C8458" s="50" t="s">
        <v>696</v>
      </c>
      <c r="D8458" s="50" t="s">
        <v>259</v>
      </c>
      <c r="E8458" s="50">
        <v>0</v>
      </c>
      <c r="F8458" s="51">
        <v>0.14636472071214612</v>
      </c>
      <c r="G8458" s="51" t="str">
        <v>山口 2023/03/13 (月)
平日夜間</v>
      </c>
    </row>
    <row r="8459" spans="1:7" ht="16.149999999999999" x14ac:dyDescent="0.7">
      <c r="A8459" s="49">
        <v>44976.874544293983</v>
      </c>
      <c r="B8459" s="50" t="s">
        <v>9</v>
      </c>
      <c r="C8459" s="50" t="s">
        <v>697</v>
      </c>
      <c r="D8459" s="50" t="s">
        <v>259</v>
      </c>
      <c r="E8459" s="50">
        <v>0</v>
      </c>
      <c r="F8459" s="51">
        <v>0.37747950012532749</v>
      </c>
      <c r="G8459" s="51" t="str">
        <v>山口 2023/03/14 (火)
平日夜間</v>
      </c>
    </row>
    <row r="8460" spans="1:7" ht="16.149999999999999" x14ac:dyDescent="0.7">
      <c r="A8460" s="49">
        <v>44976.874544293983</v>
      </c>
      <c r="B8460" s="50" t="s">
        <v>9</v>
      </c>
      <c r="C8460" s="50" t="s">
        <v>698</v>
      </c>
      <c r="D8460" s="50" t="s">
        <v>259</v>
      </c>
      <c r="E8460" s="50">
        <v>0</v>
      </c>
      <c r="F8460" s="51">
        <v>0.15015535227372556</v>
      </c>
      <c r="G8460" s="51" t="str">
        <v>山口 2023/03/15 (水)
平日夜間</v>
      </c>
    </row>
    <row r="8461" spans="1:7" ht="16.149999999999999" x14ac:dyDescent="0.7">
      <c r="A8461" s="49">
        <v>44976.874544293983</v>
      </c>
      <c r="B8461" s="50" t="s">
        <v>9</v>
      </c>
      <c r="C8461" s="50" t="s">
        <v>699</v>
      </c>
      <c r="D8461" s="50" t="s">
        <v>259</v>
      </c>
      <c r="E8461" s="50">
        <v>0</v>
      </c>
      <c r="F8461" s="51">
        <v>0.6517255157335986</v>
      </c>
      <c r="G8461" s="51" t="str">
        <v>山口 2023/03/16 (木)
平日夜間</v>
      </c>
    </row>
    <row r="8462" spans="1:7" ht="16.149999999999999" x14ac:dyDescent="0.7">
      <c r="A8462" s="49">
        <v>44976.874544293983</v>
      </c>
      <c r="B8462" s="50" t="s">
        <v>9</v>
      </c>
      <c r="C8462" s="50" t="s">
        <v>700</v>
      </c>
      <c r="D8462" s="50" t="s">
        <v>259</v>
      </c>
      <c r="E8462" s="50">
        <v>-1</v>
      </c>
      <c r="F8462" s="51">
        <v>-0.70680537276823752</v>
      </c>
      <c r="G8462" s="51" t="str">
        <v>山口 2023/03/17 (金)
平日夜間</v>
      </c>
    </row>
    <row r="8463" spans="1:7" ht="16.149999999999999" x14ac:dyDescent="0.7">
      <c r="A8463" s="49">
        <v>44976.874544293983</v>
      </c>
      <c r="B8463" s="50" t="s">
        <v>9</v>
      </c>
      <c r="C8463" s="50" t="s">
        <v>701</v>
      </c>
      <c r="D8463" s="50" t="s">
        <v>263</v>
      </c>
      <c r="E8463" s="50">
        <v>-1</v>
      </c>
      <c r="F8463" s="51">
        <v>-0.4833315119073911</v>
      </c>
      <c r="G8463" s="51" t="str">
        <v>山口 2023/03/18 (土)
休日午前</v>
      </c>
    </row>
    <row r="8464" spans="1:7" ht="16.149999999999999" x14ac:dyDescent="0.7">
      <c r="A8464" s="49">
        <v>44976.874544293983</v>
      </c>
      <c r="B8464" s="50" t="s">
        <v>9</v>
      </c>
      <c r="C8464" s="50" t="s">
        <v>702</v>
      </c>
      <c r="D8464" s="50" t="s">
        <v>261</v>
      </c>
      <c r="E8464" s="50">
        <v>-1</v>
      </c>
      <c r="F8464" s="51">
        <v>-0.2109420268289115</v>
      </c>
      <c r="G8464" s="51" t="str">
        <v>山口 2023/03/18 (土)
休日午後</v>
      </c>
    </row>
    <row r="8465" spans="1:7" ht="16.149999999999999" x14ac:dyDescent="0.7">
      <c r="A8465" s="49">
        <v>44976.874544293983</v>
      </c>
      <c r="B8465" s="50" t="s">
        <v>9</v>
      </c>
      <c r="C8465" s="50" t="s">
        <v>703</v>
      </c>
      <c r="D8465" s="50" t="s">
        <v>263</v>
      </c>
      <c r="E8465" s="50">
        <v>-1</v>
      </c>
      <c r="F8465" s="51">
        <v>-0.54362747378919885</v>
      </c>
      <c r="G8465" s="51" t="str">
        <v>山口 2023/03/19 (日)
休日午前</v>
      </c>
    </row>
    <row r="8466" spans="1:7" ht="16.149999999999999" x14ac:dyDescent="0.7">
      <c r="A8466" s="49">
        <v>44976.874544293983</v>
      </c>
      <c r="B8466" s="50" t="s">
        <v>9</v>
      </c>
      <c r="C8466" s="50" t="s">
        <v>704</v>
      </c>
      <c r="D8466" s="50" t="s">
        <v>261</v>
      </c>
      <c r="E8466" s="50">
        <v>-1</v>
      </c>
      <c r="F8466" s="51">
        <v>-0.85386269154969519</v>
      </c>
      <c r="G8466" s="51" t="str">
        <v>山口 2023/03/19 (日)
休日午後</v>
      </c>
    </row>
    <row r="8467" spans="1:7" ht="16.149999999999999" x14ac:dyDescent="0.7">
      <c r="A8467" s="49">
        <v>44976.874544293983</v>
      </c>
      <c r="B8467" s="50" t="s">
        <v>9</v>
      </c>
      <c r="C8467" s="50" t="s">
        <v>705</v>
      </c>
      <c r="D8467" s="50" t="s">
        <v>259</v>
      </c>
      <c r="E8467" s="50">
        <v>-1</v>
      </c>
      <c r="F8467" s="51">
        <v>-5.5321976346314639E-2</v>
      </c>
      <c r="G8467" s="51" t="str">
        <v>山口 2023/03/20 (月)
平日夜間</v>
      </c>
    </row>
    <row r="8468" spans="1:7" ht="16.149999999999999" x14ac:dyDescent="0.7">
      <c r="A8468" s="49">
        <v>44976.874544293983</v>
      </c>
      <c r="B8468" s="50" t="s">
        <v>9</v>
      </c>
      <c r="C8468" s="50" t="s">
        <v>706</v>
      </c>
      <c r="D8468" s="50" t="s">
        <v>263</v>
      </c>
      <c r="E8468" s="50">
        <v>-1</v>
      </c>
      <c r="F8468" s="51">
        <v>-0.43407246266746857</v>
      </c>
      <c r="G8468" s="51" t="str">
        <v>山口 2023/03/21 (火)
休日午前</v>
      </c>
    </row>
    <row r="8469" spans="1:7" ht="16.149999999999999" x14ac:dyDescent="0.7">
      <c r="A8469" s="49">
        <v>44976.874544293983</v>
      </c>
      <c r="B8469" s="50" t="s">
        <v>9</v>
      </c>
      <c r="C8469" s="50" t="s">
        <v>707</v>
      </c>
      <c r="D8469" s="50" t="s">
        <v>261</v>
      </c>
      <c r="E8469" s="50">
        <v>-1</v>
      </c>
      <c r="F8469" s="51">
        <v>-0.93535966345598665</v>
      </c>
      <c r="G8469" s="51" t="str">
        <v>山口 2023/03/21 (火)
休日午後</v>
      </c>
    </row>
    <row r="8470" spans="1:7" ht="16.149999999999999" x14ac:dyDescent="0.7">
      <c r="A8470" s="49">
        <v>44976.874544293983</v>
      </c>
      <c r="B8470" s="50" t="s">
        <v>9</v>
      </c>
      <c r="C8470" s="50" t="s">
        <v>708</v>
      </c>
      <c r="D8470" s="50" t="s">
        <v>259</v>
      </c>
      <c r="E8470" s="50">
        <v>-1</v>
      </c>
      <c r="F8470" s="51">
        <v>-0.67860951173859996</v>
      </c>
      <c r="G8470" s="51" t="str">
        <v>山口 2023/03/22 (水)
平日夜間</v>
      </c>
    </row>
    <row r="8471" spans="1:7" ht="16.149999999999999" x14ac:dyDescent="0.7">
      <c r="A8471" s="49">
        <v>44976.874544293983</v>
      </c>
      <c r="B8471" s="50" t="s">
        <v>9</v>
      </c>
      <c r="C8471" s="50" t="s">
        <v>709</v>
      </c>
      <c r="D8471" s="50" t="s">
        <v>259</v>
      </c>
      <c r="E8471" s="50">
        <v>-1</v>
      </c>
      <c r="F8471" s="51">
        <v>-7.3644198507456293E-2</v>
      </c>
      <c r="G8471" s="51" t="str">
        <v>山口 2023/03/23 (木)
平日夜間</v>
      </c>
    </row>
    <row r="8472" spans="1:7" ht="16.149999999999999" x14ac:dyDescent="0.7">
      <c r="A8472" s="49">
        <v>44976.874544293983</v>
      </c>
      <c r="B8472" s="50" t="s">
        <v>9</v>
      </c>
      <c r="C8472" s="50" t="s">
        <v>710</v>
      </c>
      <c r="D8472" s="50" t="s">
        <v>259</v>
      </c>
      <c r="E8472" s="50">
        <v>-1</v>
      </c>
      <c r="F8472" s="51">
        <v>-0.91413382692543532</v>
      </c>
      <c r="G8472" s="51" t="str">
        <v>山口 2023/03/24 (金)
平日夜間</v>
      </c>
    </row>
    <row r="8473" spans="1:7" ht="16.149999999999999" x14ac:dyDescent="0.7">
      <c r="A8473" s="49">
        <v>44976.874544293983</v>
      </c>
      <c r="B8473" s="50" t="s">
        <v>9</v>
      </c>
      <c r="C8473" s="50" t="s">
        <v>711</v>
      </c>
      <c r="D8473" s="50" t="s">
        <v>263</v>
      </c>
      <c r="E8473" s="50">
        <v>-1</v>
      </c>
      <c r="F8473" s="51">
        <v>-0.74302938902409421</v>
      </c>
      <c r="G8473" s="51" t="str">
        <v>山口 2023/03/25 (土)
休日午前</v>
      </c>
    </row>
    <row r="8474" spans="1:7" ht="16.149999999999999" x14ac:dyDescent="0.7">
      <c r="A8474" s="49">
        <v>44978.309887847223</v>
      </c>
      <c r="B8474" s="50" t="s">
        <v>15</v>
      </c>
      <c r="C8474" s="50" t="s">
        <v>680</v>
      </c>
      <c r="D8474" s="50" t="s">
        <v>259</v>
      </c>
      <c r="E8474" s="50">
        <v>0</v>
      </c>
      <c r="F8474" s="51">
        <v>0.44199502835105897</v>
      </c>
      <c r="G8474" s="51" t="str">
        <v>太良 2023/03/01 (水)
平日夜間</v>
      </c>
    </row>
    <row r="8475" spans="1:7" ht="16.149999999999999" x14ac:dyDescent="0.7">
      <c r="A8475" s="49">
        <v>44978.309887847223</v>
      </c>
      <c r="B8475" s="50" t="s">
        <v>15</v>
      </c>
      <c r="C8475" s="50" t="s">
        <v>681</v>
      </c>
      <c r="D8475" s="50" t="s">
        <v>259</v>
      </c>
      <c r="E8475" s="50">
        <v>-1</v>
      </c>
      <c r="F8475" s="51">
        <v>-0.28060601550207176</v>
      </c>
      <c r="G8475" s="51" t="str">
        <v>太良 2023/03/02 (木)
平日夜間</v>
      </c>
    </row>
    <row r="8476" spans="1:7" ht="16.149999999999999" x14ac:dyDescent="0.7">
      <c r="A8476" s="49">
        <v>44978.309887847223</v>
      </c>
      <c r="B8476" s="50" t="s">
        <v>15</v>
      </c>
      <c r="C8476" s="50" t="s">
        <v>682</v>
      </c>
      <c r="D8476" s="50" t="s">
        <v>259</v>
      </c>
      <c r="E8476" s="50">
        <v>0</v>
      </c>
      <c r="F8476" s="51">
        <v>0.61157445125879151</v>
      </c>
      <c r="G8476" s="51" t="str">
        <v>太良 2023/03/03 (金)
平日夜間</v>
      </c>
    </row>
    <row r="8477" spans="1:7" ht="16.149999999999999" x14ac:dyDescent="0.7">
      <c r="A8477" s="49">
        <v>44978.309887847223</v>
      </c>
      <c r="B8477" s="50" t="s">
        <v>15</v>
      </c>
      <c r="C8477" s="50" t="s">
        <v>683</v>
      </c>
      <c r="D8477" s="50" t="s">
        <v>263</v>
      </c>
      <c r="E8477" s="50">
        <v>-1</v>
      </c>
      <c r="F8477" s="51">
        <v>-0.30154733803685674</v>
      </c>
      <c r="G8477" s="51" t="str">
        <v>太良 2023/03/04 (土)
休日午前</v>
      </c>
    </row>
    <row r="8478" spans="1:7" ht="16.149999999999999" x14ac:dyDescent="0.7">
      <c r="A8478" s="49">
        <v>44978.309887847223</v>
      </c>
      <c r="B8478" s="50" t="s">
        <v>15</v>
      </c>
      <c r="C8478" s="50" t="s">
        <v>684</v>
      </c>
      <c r="D8478" s="50" t="s">
        <v>261</v>
      </c>
      <c r="E8478" s="50">
        <v>0</v>
      </c>
      <c r="F8478" s="51">
        <v>0.58501121197824046</v>
      </c>
      <c r="G8478" s="51" t="str">
        <v>太良 2023/03/04 (土)
休日午後</v>
      </c>
    </row>
    <row r="8479" spans="1:7" ht="16.149999999999999" x14ac:dyDescent="0.7">
      <c r="A8479" s="49">
        <v>44978.309887847223</v>
      </c>
      <c r="B8479" s="50" t="s">
        <v>15</v>
      </c>
      <c r="C8479" s="50" t="s">
        <v>685</v>
      </c>
      <c r="D8479" s="50" t="s">
        <v>263</v>
      </c>
      <c r="E8479" s="50">
        <v>0</v>
      </c>
      <c r="F8479" s="51">
        <v>0.45492164207676455</v>
      </c>
      <c r="G8479" s="51" t="str">
        <v>太良 2023/03/05 (日)
休日午前</v>
      </c>
    </row>
    <row r="8480" spans="1:7" ht="16.149999999999999" x14ac:dyDescent="0.7">
      <c r="A8480" s="49">
        <v>44978.309887847223</v>
      </c>
      <c r="B8480" s="50" t="s">
        <v>15</v>
      </c>
      <c r="C8480" s="50" t="s">
        <v>686</v>
      </c>
      <c r="D8480" s="50" t="s">
        <v>261</v>
      </c>
      <c r="E8480" s="50">
        <v>2</v>
      </c>
      <c r="F8480" s="51">
        <v>2.1419130293123532</v>
      </c>
      <c r="G8480" s="51" t="str">
        <v>太良 2023/03/05 (日)
休日午後</v>
      </c>
    </row>
    <row r="8481" spans="1:7" ht="16.149999999999999" x14ac:dyDescent="0.7">
      <c r="A8481" s="49">
        <v>44978.309887847223</v>
      </c>
      <c r="B8481" s="50" t="s">
        <v>15</v>
      </c>
      <c r="C8481" s="50" t="s">
        <v>687</v>
      </c>
      <c r="D8481" s="50" t="s">
        <v>259</v>
      </c>
      <c r="E8481" s="50">
        <v>-1</v>
      </c>
      <c r="F8481" s="51">
        <v>-0.84193045257642218</v>
      </c>
      <c r="G8481" s="51" t="str">
        <v>太良 2023/03/06 (月)
平日夜間</v>
      </c>
    </row>
    <row r="8482" spans="1:7" ht="16.149999999999999" x14ac:dyDescent="0.7">
      <c r="A8482" s="49">
        <v>44978.309887847223</v>
      </c>
      <c r="B8482" s="50" t="s">
        <v>15</v>
      </c>
      <c r="C8482" s="50" t="s">
        <v>688</v>
      </c>
      <c r="D8482" s="50" t="s">
        <v>259</v>
      </c>
      <c r="E8482" s="50">
        <v>0</v>
      </c>
      <c r="F8482" s="51">
        <v>0.89430641048615689</v>
      </c>
      <c r="G8482" s="51" t="str">
        <v>太良 2023/03/07 (火)
平日夜間</v>
      </c>
    </row>
    <row r="8483" spans="1:7" ht="16.149999999999999" x14ac:dyDescent="0.7">
      <c r="A8483" s="49">
        <v>44978.309887847223</v>
      </c>
      <c r="B8483" s="50" t="s">
        <v>15</v>
      </c>
      <c r="C8483" s="50" t="s">
        <v>689</v>
      </c>
      <c r="D8483" s="50" t="s">
        <v>259</v>
      </c>
      <c r="E8483" s="50">
        <v>0</v>
      </c>
      <c r="F8483" s="51">
        <v>0.50607243787804457</v>
      </c>
      <c r="G8483" s="51" t="str">
        <v>太良 2023/03/08 (水)
平日夜間</v>
      </c>
    </row>
    <row r="8484" spans="1:7" ht="16.149999999999999" x14ac:dyDescent="0.7">
      <c r="A8484" s="49">
        <v>44978.309887847223</v>
      </c>
      <c r="B8484" s="50" t="s">
        <v>15</v>
      </c>
      <c r="C8484" s="50" t="s">
        <v>690</v>
      </c>
      <c r="D8484" s="50" t="s">
        <v>259</v>
      </c>
      <c r="E8484" s="50">
        <v>-1</v>
      </c>
      <c r="F8484" s="51">
        <v>-7.6870735184082051E-2</v>
      </c>
      <c r="G8484" s="51" t="str">
        <v>太良 2023/03/09 (木)
平日夜間</v>
      </c>
    </row>
    <row r="8485" spans="1:7" ht="16.149999999999999" x14ac:dyDescent="0.7">
      <c r="A8485" s="49">
        <v>44978.309887847223</v>
      </c>
      <c r="B8485" s="50" t="s">
        <v>15</v>
      </c>
      <c r="C8485" s="50" t="s">
        <v>691</v>
      </c>
      <c r="D8485" s="50" t="s">
        <v>259</v>
      </c>
      <c r="E8485" s="50">
        <v>-1</v>
      </c>
      <c r="F8485" s="51">
        <v>-0.10480910122572396</v>
      </c>
      <c r="G8485" s="51" t="str">
        <v>太良 2023/03/10 (金)
平日夜間</v>
      </c>
    </row>
    <row r="8486" spans="1:7" ht="16.149999999999999" x14ac:dyDescent="0.7">
      <c r="A8486" s="49">
        <v>44978.309887847223</v>
      </c>
      <c r="B8486" s="50" t="s">
        <v>15</v>
      </c>
      <c r="C8486" s="50" t="s">
        <v>692</v>
      </c>
      <c r="D8486" s="50" t="s">
        <v>263</v>
      </c>
      <c r="E8486" s="50">
        <v>0</v>
      </c>
      <c r="F8486" s="51">
        <v>0.44172995929735093</v>
      </c>
      <c r="G8486" s="51" t="str">
        <v>太良 2023/03/11 (土)
休日午前</v>
      </c>
    </row>
    <row r="8487" spans="1:7" ht="16.149999999999999" x14ac:dyDescent="0.7">
      <c r="A8487" s="49">
        <v>44978.309887847223</v>
      </c>
      <c r="B8487" s="50" t="s">
        <v>15</v>
      </c>
      <c r="C8487" s="50" t="s">
        <v>693</v>
      </c>
      <c r="D8487" s="50" t="s">
        <v>261</v>
      </c>
      <c r="E8487" s="50">
        <v>-1</v>
      </c>
      <c r="F8487" s="51">
        <v>-0.63665130304766793</v>
      </c>
      <c r="G8487" s="51" t="str">
        <v>太良 2023/03/11 (土)
休日午後</v>
      </c>
    </row>
    <row r="8488" spans="1:7" ht="16.149999999999999" x14ac:dyDescent="0.7">
      <c r="A8488" s="49">
        <v>44978.309887847223</v>
      </c>
      <c r="B8488" s="50" t="s">
        <v>15</v>
      </c>
      <c r="C8488" s="50" t="s">
        <v>694</v>
      </c>
      <c r="D8488" s="50" t="s">
        <v>263</v>
      </c>
      <c r="E8488" s="50">
        <v>-1</v>
      </c>
      <c r="F8488" s="51">
        <v>-0.493121185420903</v>
      </c>
      <c r="G8488" s="51" t="str">
        <v>太良 2023/03/12 (日)
休日午前</v>
      </c>
    </row>
    <row r="8489" spans="1:7" ht="16.149999999999999" x14ac:dyDescent="0.7">
      <c r="A8489" s="49">
        <v>44978.309887847223</v>
      </c>
      <c r="B8489" s="50" t="s">
        <v>15</v>
      </c>
      <c r="C8489" s="50" t="s">
        <v>695</v>
      </c>
      <c r="D8489" s="50" t="s">
        <v>261</v>
      </c>
      <c r="E8489" s="50">
        <v>-1</v>
      </c>
      <c r="F8489" s="51">
        <v>-0.87626114328381965</v>
      </c>
      <c r="G8489" s="51" t="str">
        <v>太良 2023/03/12 (日)
休日午後</v>
      </c>
    </row>
    <row r="8490" spans="1:7" ht="16.149999999999999" x14ac:dyDescent="0.7">
      <c r="A8490" s="49">
        <v>44978.309887847223</v>
      </c>
      <c r="B8490" s="50" t="s">
        <v>15</v>
      </c>
      <c r="C8490" s="50" t="s">
        <v>696</v>
      </c>
      <c r="D8490" s="50" t="s">
        <v>259</v>
      </c>
      <c r="E8490" s="50">
        <v>-1</v>
      </c>
      <c r="F8490" s="51">
        <v>-0.20618255932590124</v>
      </c>
      <c r="G8490" s="51" t="str">
        <v>太良 2023/03/13 (月)
平日夜間</v>
      </c>
    </row>
    <row r="8491" spans="1:7" ht="16.149999999999999" x14ac:dyDescent="0.7">
      <c r="A8491" s="49">
        <v>44978.309887847223</v>
      </c>
      <c r="B8491" s="50" t="s">
        <v>15</v>
      </c>
      <c r="C8491" s="50" t="s">
        <v>697</v>
      </c>
      <c r="D8491" s="50" t="s">
        <v>259</v>
      </c>
      <c r="E8491" s="50">
        <v>0</v>
      </c>
      <c r="F8491" s="51">
        <v>0.80359448172921599</v>
      </c>
      <c r="G8491" s="51" t="str">
        <v>太良 2023/03/14 (火)
平日夜間</v>
      </c>
    </row>
    <row r="8492" spans="1:7" ht="16.149999999999999" x14ac:dyDescent="0.7">
      <c r="A8492" s="49">
        <v>44978.309887847223</v>
      </c>
      <c r="B8492" s="50" t="s">
        <v>15</v>
      </c>
      <c r="C8492" s="50" t="s">
        <v>698</v>
      </c>
      <c r="D8492" s="50" t="s">
        <v>259</v>
      </c>
      <c r="E8492" s="50">
        <v>0</v>
      </c>
      <c r="F8492" s="51">
        <v>0.56238979541925693</v>
      </c>
      <c r="G8492" s="51" t="str">
        <v>太良 2023/03/15 (水)
平日夜間</v>
      </c>
    </row>
    <row r="8493" spans="1:7" ht="16.149999999999999" x14ac:dyDescent="0.7">
      <c r="A8493" s="49">
        <v>44978.309887847223</v>
      </c>
      <c r="B8493" s="50" t="s">
        <v>15</v>
      </c>
      <c r="C8493" s="50" t="s">
        <v>699</v>
      </c>
      <c r="D8493" s="50" t="s">
        <v>259</v>
      </c>
      <c r="E8493" s="50">
        <v>-1</v>
      </c>
      <c r="F8493" s="51">
        <v>-0.45206263008521064</v>
      </c>
      <c r="G8493" s="51" t="str">
        <v>太良 2023/03/16 (木)
平日夜間</v>
      </c>
    </row>
    <row r="8494" spans="1:7" ht="16.149999999999999" x14ac:dyDescent="0.7">
      <c r="A8494" s="49">
        <v>44978.309887847223</v>
      </c>
      <c r="B8494" s="50" t="s">
        <v>15</v>
      </c>
      <c r="C8494" s="50" t="s">
        <v>700</v>
      </c>
      <c r="D8494" s="50" t="s">
        <v>259</v>
      </c>
      <c r="E8494" s="50">
        <v>-1</v>
      </c>
      <c r="F8494" s="51">
        <v>-0.4681155031634292</v>
      </c>
      <c r="G8494" s="51" t="str">
        <v>太良 2023/03/17 (金)
平日夜間</v>
      </c>
    </row>
    <row r="8495" spans="1:7" ht="16.149999999999999" x14ac:dyDescent="0.7">
      <c r="A8495" s="49">
        <v>44978.309887847223</v>
      </c>
      <c r="B8495" s="50" t="s">
        <v>15</v>
      </c>
      <c r="C8495" s="50" t="s">
        <v>701</v>
      </c>
      <c r="D8495" s="50" t="s">
        <v>263</v>
      </c>
      <c r="E8495" s="50">
        <v>-1</v>
      </c>
      <c r="F8495" s="51">
        <v>-0.92751752264622178</v>
      </c>
      <c r="G8495" s="51" t="str">
        <v>太良 2023/03/18 (土)
休日午前</v>
      </c>
    </row>
    <row r="8496" spans="1:7" ht="16.149999999999999" x14ac:dyDescent="0.7">
      <c r="A8496" s="49">
        <v>44978.309887847223</v>
      </c>
      <c r="B8496" s="50" t="s">
        <v>15</v>
      </c>
      <c r="C8496" s="50" t="s">
        <v>702</v>
      </c>
      <c r="D8496" s="50" t="s">
        <v>261</v>
      </c>
      <c r="E8496" s="50">
        <v>-1</v>
      </c>
      <c r="F8496" s="51">
        <v>-0.92675774898100749</v>
      </c>
      <c r="G8496" s="51" t="str">
        <v>太良 2023/03/18 (土)
休日午後</v>
      </c>
    </row>
    <row r="8497" spans="1:7" ht="16.149999999999999" x14ac:dyDescent="0.7">
      <c r="A8497" s="49">
        <v>44978.309887847223</v>
      </c>
      <c r="B8497" s="50" t="s">
        <v>15</v>
      </c>
      <c r="C8497" s="50" t="s">
        <v>703</v>
      </c>
      <c r="D8497" s="50" t="s">
        <v>263</v>
      </c>
      <c r="E8497" s="50">
        <v>-1</v>
      </c>
      <c r="F8497" s="51">
        <v>-0.32090941928829686</v>
      </c>
      <c r="G8497" s="51" t="str">
        <v>太良 2023/03/19 (日)
休日午前</v>
      </c>
    </row>
    <row r="8498" spans="1:7" ht="16.149999999999999" x14ac:dyDescent="0.7">
      <c r="A8498" s="49">
        <v>44978.309887847223</v>
      </c>
      <c r="B8498" s="50" t="s">
        <v>15</v>
      </c>
      <c r="C8498" s="50" t="s">
        <v>704</v>
      </c>
      <c r="D8498" s="50" t="s">
        <v>261</v>
      </c>
      <c r="E8498" s="50">
        <v>-1</v>
      </c>
      <c r="F8498" s="51">
        <v>-0.64932812430721665</v>
      </c>
      <c r="G8498" s="51" t="str">
        <v>太良 2023/03/19 (日)
休日午後</v>
      </c>
    </row>
    <row r="8499" spans="1:7" ht="16.149999999999999" x14ac:dyDescent="0.7">
      <c r="A8499" s="49">
        <v>44978.309887847223</v>
      </c>
      <c r="B8499" s="50" t="s">
        <v>15</v>
      </c>
      <c r="C8499" s="50" t="s">
        <v>705</v>
      </c>
      <c r="D8499" s="50" t="s">
        <v>259</v>
      </c>
      <c r="E8499" s="50">
        <v>-1</v>
      </c>
      <c r="F8499" s="51">
        <v>-0.67598502014948458</v>
      </c>
      <c r="G8499" s="51" t="str">
        <v>太良 2023/03/20 (月)
平日夜間</v>
      </c>
    </row>
    <row r="8500" spans="1:7" ht="16.149999999999999" x14ac:dyDescent="0.7">
      <c r="A8500" s="49">
        <v>44978.309887847223</v>
      </c>
      <c r="B8500" s="50" t="s">
        <v>15</v>
      </c>
      <c r="C8500" s="50" t="s">
        <v>706</v>
      </c>
      <c r="D8500" s="50" t="s">
        <v>263</v>
      </c>
      <c r="E8500" s="50">
        <v>0</v>
      </c>
      <c r="F8500" s="51">
        <v>0.75795504881232456</v>
      </c>
      <c r="G8500" s="51" t="str">
        <v>太良 2023/03/21 (火)
休日午前</v>
      </c>
    </row>
    <row r="8501" spans="1:7" ht="16.149999999999999" x14ac:dyDescent="0.7">
      <c r="A8501" s="49">
        <v>44978.309887847223</v>
      </c>
      <c r="B8501" s="50" t="s">
        <v>15</v>
      </c>
      <c r="C8501" s="50" t="s">
        <v>707</v>
      </c>
      <c r="D8501" s="50" t="s">
        <v>261</v>
      </c>
      <c r="E8501" s="50">
        <v>0</v>
      </c>
      <c r="F8501" s="51">
        <v>0.31426224137390379</v>
      </c>
      <c r="G8501" s="51" t="str">
        <v>太良 2023/03/21 (火)
休日午後</v>
      </c>
    </row>
    <row r="8502" spans="1:7" ht="16.149999999999999" x14ac:dyDescent="0.7">
      <c r="A8502" s="49">
        <v>44978.309887847223</v>
      </c>
      <c r="B8502" s="50" t="s">
        <v>15</v>
      </c>
      <c r="C8502" s="50" t="s">
        <v>708</v>
      </c>
      <c r="D8502" s="50" t="s">
        <v>259</v>
      </c>
      <c r="E8502" s="50">
        <v>0</v>
      </c>
      <c r="F8502" s="51">
        <v>0.34428522472706402</v>
      </c>
      <c r="G8502" s="51" t="str">
        <v>太良 2023/03/22 (水)
平日夜間</v>
      </c>
    </row>
    <row r="8503" spans="1:7" ht="16.149999999999999" x14ac:dyDescent="0.7">
      <c r="A8503" s="49">
        <v>44978.309887847223</v>
      </c>
      <c r="B8503" s="50" t="s">
        <v>15</v>
      </c>
      <c r="C8503" s="50" t="s">
        <v>709</v>
      </c>
      <c r="D8503" s="50" t="s">
        <v>259</v>
      </c>
      <c r="E8503" s="50">
        <v>-1</v>
      </c>
      <c r="F8503" s="51">
        <v>-0.46270435961856182</v>
      </c>
      <c r="G8503" s="51" t="str">
        <v>太良 2023/03/23 (木)
平日夜間</v>
      </c>
    </row>
    <row r="8504" spans="1:7" ht="16.149999999999999" x14ac:dyDescent="0.7">
      <c r="A8504" s="49">
        <v>44978.309887847223</v>
      </c>
      <c r="B8504" s="50" t="s">
        <v>15</v>
      </c>
      <c r="C8504" s="50" t="s">
        <v>710</v>
      </c>
      <c r="D8504" s="50" t="s">
        <v>259</v>
      </c>
      <c r="E8504" s="50">
        <v>-1</v>
      </c>
      <c r="F8504" s="51">
        <v>-0.83462524601292243</v>
      </c>
      <c r="G8504" s="51" t="str">
        <v>太良 2023/03/24 (金)
平日夜間</v>
      </c>
    </row>
    <row r="8505" spans="1:7" ht="16.149999999999999" x14ac:dyDescent="0.7">
      <c r="A8505" s="49">
        <v>44978.309887847223</v>
      </c>
      <c r="B8505" s="50" t="s">
        <v>15</v>
      </c>
      <c r="C8505" s="50" t="s">
        <v>711</v>
      </c>
      <c r="D8505" s="50" t="s">
        <v>263</v>
      </c>
      <c r="E8505" s="50">
        <v>-1</v>
      </c>
      <c r="F8505" s="51">
        <v>-0.21277530008576839</v>
      </c>
      <c r="G8505" s="51" t="str">
        <v>太良 2023/03/25 (土)
休日午前</v>
      </c>
    </row>
    <row r="8506" spans="1:7" ht="16.149999999999999" x14ac:dyDescent="0.7">
      <c r="A8506" s="49">
        <v>44978.309887847223</v>
      </c>
      <c r="B8506" s="50" t="s">
        <v>15</v>
      </c>
      <c r="C8506" s="50" t="s">
        <v>712</v>
      </c>
      <c r="D8506" s="50" t="s">
        <v>261</v>
      </c>
      <c r="E8506" s="50">
        <v>-1</v>
      </c>
      <c r="F8506" s="51">
        <v>-0.63137176747037316</v>
      </c>
      <c r="G8506" s="51" t="str">
        <v>太良 2023/03/25 (土)
休日午後</v>
      </c>
    </row>
    <row r="8507" spans="1:7" ht="16.149999999999999" x14ac:dyDescent="0.7">
      <c r="A8507" s="49">
        <v>44978.309887847223</v>
      </c>
      <c r="B8507" s="50" t="s">
        <v>15</v>
      </c>
      <c r="C8507" s="50" t="s">
        <v>713</v>
      </c>
      <c r="D8507" s="50" t="s">
        <v>263</v>
      </c>
      <c r="E8507" s="50">
        <v>-1</v>
      </c>
      <c r="F8507" s="51">
        <v>-0.29542492165883472</v>
      </c>
      <c r="G8507" s="51" t="str">
        <v>太良 2023/03/26 (日)
休日午前</v>
      </c>
    </row>
    <row r="8508" spans="1:7" ht="16.149999999999999" x14ac:dyDescent="0.7">
      <c r="A8508" s="49">
        <v>44978.885437812496</v>
      </c>
      <c r="B8508" s="50" t="s">
        <v>19</v>
      </c>
      <c r="C8508" s="50" t="s">
        <v>680</v>
      </c>
      <c r="D8508" s="50" t="s">
        <v>259</v>
      </c>
      <c r="E8508" s="50">
        <v>-1</v>
      </c>
      <c r="F8508" s="51">
        <v>-0.43394579474807626</v>
      </c>
      <c r="G8508" s="51" t="str">
        <v>佐藤 2023/03/01 (水)
平日夜間</v>
      </c>
    </row>
    <row r="8509" spans="1:7" ht="16.149999999999999" x14ac:dyDescent="0.7">
      <c r="A8509" s="49">
        <v>44978.885437812496</v>
      </c>
      <c r="B8509" s="50" t="s">
        <v>19</v>
      </c>
      <c r="C8509" s="50" t="s">
        <v>681</v>
      </c>
      <c r="D8509" s="50" t="s">
        <v>259</v>
      </c>
      <c r="E8509" s="50">
        <v>2</v>
      </c>
      <c r="F8509" s="51">
        <v>2.9344243182198477</v>
      </c>
      <c r="G8509" s="51" t="str">
        <v>佐藤 2023/03/02 (木)
平日夜間</v>
      </c>
    </row>
    <row r="8510" spans="1:7" ht="16.149999999999999" x14ac:dyDescent="0.7">
      <c r="A8510" s="49">
        <v>44978.885437812496</v>
      </c>
      <c r="B8510" s="50" t="s">
        <v>19</v>
      </c>
      <c r="C8510" s="50" t="s">
        <v>682</v>
      </c>
      <c r="D8510" s="50" t="s">
        <v>259</v>
      </c>
      <c r="E8510" s="50">
        <v>-1</v>
      </c>
      <c r="F8510" s="51">
        <v>-5.5541568394375185E-2</v>
      </c>
      <c r="G8510" s="51" t="str">
        <v>佐藤 2023/03/03 (金)
平日夜間</v>
      </c>
    </row>
    <row r="8511" spans="1:7" ht="16.149999999999999" x14ac:dyDescent="0.7">
      <c r="A8511" s="49">
        <v>44978.885437812496</v>
      </c>
      <c r="B8511" s="50" t="s">
        <v>19</v>
      </c>
      <c r="C8511" s="50" t="s">
        <v>683</v>
      </c>
      <c r="D8511" s="50" t="s">
        <v>263</v>
      </c>
      <c r="E8511" s="50">
        <v>0</v>
      </c>
      <c r="F8511" s="51">
        <v>0.47352008883713403</v>
      </c>
      <c r="G8511" s="51" t="str">
        <v>佐藤 2023/03/04 (土)
休日午前</v>
      </c>
    </row>
    <row r="8512" spans="1:7" ht="16.149999999999999" x14ac:dyDescent="0.7">
      <c r="A8512" s="49">
        <v>44978.885437812496</v>
      </c>
      <c r="B8512" s="50" t="s">
        <v>19</v>
      </c>
      <c r="C8512" s="50" t="s">
        <v>684</v>
      </c>
      <c r="D8512" s="50" t="s">
        <v>261</v>
      </c>
      <c r="E8512" s="50">
        <v>0</v>
      </c>
      <c r="F8512" s="51">
        <v>0.84131054560020169</v>
      </c>
      <c r="G8512" s="51" t="str">
        <v>佐藤 2023/03/04 (土)
休日午後</v>
      </c>
    </row>
    <row r="8513" spans="1:7" ht="16.149999999999999" x14ac:dyDescent="0.7">
      <c r="A8513" s="49">
        <v>44978.885437812496</v>
      </c>
      <c r="B8513" s="50" t="s">
        <v>19</v>
      </c>
      <c r="C8513" s="50" t="s">
        <v>685</v>
      </c>
      <c r="D8513" s="50" t="s">
        <v>263</v>
      </c>
      <c r="E8513" s="50">
        <v>0</v>
      </c>
      <c r="F8513" s="51">
        <v>0.7015371461440858</v>
      </c>
      <c r="G8513" s="51" t="str">
        <v>佐藤 2023/03/05 (日)
休日午前</v>
      </c>
    </row>
    <row r="8514" spans="1:7" ht="16.149999999999999" x14ac:dyDescent="0.7">
      <c r="A8514" s="49">
        <v>44978.885437812496</v>
      </c>
      <c r="B8514" s="50" t="s">
        <v>19</v>
      </c>
      <c r="C8514" s="50" t="s">
        <v>686</v>
      </c>
      <c r="D8514" s="50" t="s">
        <v>261</v>
      </c>
      <c r="E8514" s="50">
        <v>0</v>
      </c>
      <c r="F8514" s="51">
        <v>0.34349896902937394</v>
      </c>
      <c r="G8514" s="51" t="str">
        <v>佐藤 2023/03/05 (日)
休日午後</v>
      </c>
    </row>
    <row r="8515" spans="1:7" ht="16.149999999999999" x14ac:dyDescent="0.7">
      <c r="A8515" s="49">
        <v>44978.885437812496</v>
      </c>
      <c r="B8515" s="50" t="s">
        <v>19</v>
      </c>
      <c r="C8515" s="50" t="s">
        <v>687</v>
      </c>
      <c r="D8515" s="50" t="s">
        <v>259</v>
      </c>
      <c r="E8515" s="50">
        <v>-1</v>
      </c>
      <c r="F8515" s="51">
        <v>-0.6173348996992909</v>
      </c>
      <c r="G8515" s="51" t="str">
        <v>佐藤 2023/03/06 (月)
平日夜間</v>
      </c>
    </row>
    <row r="8516" spans="1:7" ht="16.149999999999999" x14ac:dyDescent="0.7">
      <c r="A8516" s="49">
        <v>44978.885437812496</v>
      </c>
      <c r="B8516" s="50" t="s">
        <v>19</v>
      </c>
      <c r="C8516" s="50" t="s">
        <v>688</v>
      </c>
      <c r="D8516" s="50" t="s">
        <v>259</v>
      </c>
      <c r="E8516" s="50">
        <v>0</v>
      </c>
      <c r="F8516" s="51">
        <v>0.66068477892874888</v>
      </c>
      <c r="G8516" s="51" t="str">
        <v>佐藤 2023/03/07 (火)
平日夜間</v>
      </c>
    </row>
    <row r="8517" spans="1:7" ht="16.149999999999999" x14ac:dyDescent="0.7">
      <c r="A8517" s="49">
        <v>44978.885437812496</v>
      </c>
      <c r="B8517" s="50" t="s">
        <v>19</v>
      </c>
      <c r="C8517" s="50" t="s">
        <v>689</v>
      </c>
      <c r="D8517" s="50" t="s">
        <v>259</v>
      </c>
      <c r="E8517" s="50">
        <v>0</v>
      </c>
      <c r="F8517" s="51">
        <v>0.43992063044097307</v>
      </c>
      <c r="G8517" s="51" t="str">
        <v>佐藤 2023/03/08 (水)
平日夜間</v>
      </c>
    </row>
    <row r="8518" spans="1:7" ht="16.149999999999999" x14ac:dyDescent="0.7">
      <c r="A8518" s="49">
        <v>44978.885437812496</v>
      </c>
      <c r="B8518" s="50" t="s">
        <v>19</v>
      </c>
      <c r="C8518" s="50" t="s">
        <v>690</v>
      </c>
      <c r="D8518" s="50" t="s">
        <v>259</v>
      </c>
      <c r="E8518" s="50">
        <v>0</v>
      </c>
      <c r="F8518" s="51">
        <v>9.2674947354503434E-2</v>
      </c>
      <c r="G8518" s="51" t="str">
        <v>佐藤 2023/03/09 (木)
平日夜間</v>
      </c>
    </row>
    <row r="8519" spans="1:7" ht="16.149999999999999" x14ac:dyDescent="0.7">
      <c r="A8519" s="49">
        <v>44978.885437812496</v>
      </c>
      <c r="B8519" s="50" t="s">
        <v>19</v>
      </c>
      <c r="C8519" s="50" t="s">
        <v>691</v>
      </c>
      <c r="D8519" s="50" t="s">
        <v>259</v>
      </c>
      <c r="E8519" s="50">
        <v>-1</v>
      </c>
      <c r="F8519" s="51">
        <v>-0.78679843912780822</v>
      </c>
      <c r="G8519" s="51" t="str">
        <v>佐藤 2023/03/10 (金)
平日夜間</v>
      </c>
    </row>
    <row r="8520" spans="1:7" ht="16.149999999999999" x14ac:dyDescent="0.7">
      <c r="A8520" s="49">
        <v>44978.885437812496</v>
      </c>
      <c r="B8520" s="50" t="s">
        <v>19</v>
      </c>
      <c r="C8520" s="50" t="s">
        <v>692</v>
      </c>
      <c r="D8520" s="50" t="s">
        <v>263</v>
      </c>
      <c r="E8520" s="50">
        <v>-1</v>
      </c>
      <c r="F8520" s="51">
        <v>-0.89431748067004113</v>
      </c>
      <c r="G8520" s="51" t="str">
        <v>佐藤 2023/03/11 (土)
休日午前</v>
      </c>
    </row>
    <row r="8521" spans="1:7" ht="16.149999999999999" x14ac:dyDescent="0.7">
      <c r="A8521" s="49">
        <v>44978.885437812496</v>
      </c>
      <c r="B8521" s="50" t="s">
        <v>19</v>
      </c>
      <c r="C8521" s="50" t="s">
        <v>693</v>
      </c>
      <c r="D8521" s="50" t="s">
        <v>261</v>
      </c>
      <c r="E8521" s="50">
        <v>-1</v>
      </c>
      <c r="F8521" s="51">
        <v>-0.3931969745080619</v>
      </c>
      <c r="G8521" s="51" t="str">
        <v>佐藤 2023/03/11 (土)
休日午後</v>
      </c>
    </row>
    <row r="8522" spans="1:7" ht="16.149999999999999" x14ac:dyDescent="0.7">
      <c r="A8522" s="49">
        <v>44978.885437812496</v>
      </c>
      <c r="B8522" s="50" t="s">
        <v>19</v>
      </c>
      <c r="C8522" s="50" t="s">
        <v>694</v>
      </c>
      <c r="D8522" s="50" t="s">
        <v>263</v>
      </c>
      <c r="E8522" s="50">
        <v>-1</v>
      </c>
      <c r="F8522" s="51">
        <v>-0.75821462378992233</v>
      </c>
      <c r="G8522" s="51" t="str">
        <v>佐藤 2023/03/12 (日)
休日午前</v>
      </c>
    </row>
    <row r="8523" spans="1:7" ht="16.149999999999999" x14ac:dyDescent="0.7">
      <c r="A8523" s="49">
        <v>44978.885437812496</v>
      </c>
      <c r="B8523" s="50" t="s">
        <v>19</v>
      </c>
      <c r="C8523" s="50" t="s">
        <v>695</v>
      </c>
      <c r="D8523" s="50" t="s">
        <v>261</v>
      </c>
      <c r="E8523" s="50">
        <v>-1</v>
      </c>
      <c r="F8523" s="51">
        <v>-0.22459121039043239</v>
      </c>
      <c r="G8523" s="51" t="str">
        <v>佐藤 2023/03/12 (日)
休日午後</v>
      </c>
    </row>
    <row r="8524" spans="1:7" ht="16.149999999999999" x14ac:dyDescent="0.7">
      <c r="A8524" s="49">
        <v>44978.885437812496</v>
      </c>
      <c r="B8524" s="50" t="s">
        <v>19</v>
      </c>
      <c r="C8524" s="50" t="s">
        <v>696</v>
      </c>
      <c r="D8524" s="50" t="s">
        <v>259</v>
      </c>
      <c r="E8524" s="50">
        <v>0</v>
      </c>
      <c r="F8524" s="51">
        <v>2.5129436067869548E-2</v>
      </c>
      <c r="G8524" s="51" t="str">
        <v>佐藤 2023/03/13 (月)
平日夜間</v>
      </c>
    </row>
    <row r="8525" spans="1:7" ht="16.149999999999999" x14ac:dyDescent="0.7">
      <c r="A8525" s="49">
        <v>44978.885437812496</v>
      </c>
      <c r="B8525" s="50" t="s">
        <v>19</v>
      </c>
      <c r="C8525" s="50" t="s">
        <v>697</v>
      </c>
      <c r="D8525" s="50" t="s">
        <v>259</v>
      </c>
      <c r="E8525" s="50">
        <v>-1</v>
      </c>
      <c r="F8525" s="51">
        <v>-0.13118361005500789</v>
      </c>
      <c r="G8525" s="51" t="str">
        <v>佐藤 2023/03/14 (火)
平日夜間</v>
      </c>
    </row>
    <row r="8526" spans="1:7" ht="16.149999999999999" x14ac:dyDescent="0.7">
      <c r="A8526" s="49">
        <v>44978.885437812496</v>
      </c>
      <c r="B8526" s="50" t="s">
        <v>19</v>
      </c>
      <c r="C8526" s="50" t="s">
        <v>698</v>
      </c>
      <c r="D8526" s="50" t="s">
        <v>259</v>
      </c>
      <c r="E8526" s="50">
        <v>0</v>
      </c>
      <c r="F8526" s="51">
        <v>0.18409454410104398</v>
      </c>
      <c r="G8526" s="51" t="str">
        <v>佐藤 2023/03/15 (水)
平日夜間</v>
      </c>
    </row>
    <row r="8527" spans="1:7" ht="16.149999999999999" x14ac:dyDescent="0.7">
      <c r="A8527" s="49">
        <v>44978.885437812496</v>
      </c>
      <c r="B8527" s="50" t="s">
        <v>19</v>
      </c>
      <c r="C8527" s="50" t="s">
        <v>699</v>
      </c>
      <c r="D8527" s="50" t="s">
        <v>259</v>
      </c>
      <c r="E8527" s="50">
        <v>0</v>
      </c>
      <c r="F8527" s="51">
        <v>0.31426627991032929</v>
      </c>
      <c r="G8527" s="51" t="str">
        <v>佐藤 2023/03/16 (木)
平日夜間</v>
      </c>
    </row>
    <row r="8528" spans="1:7" ht="16.149999999999999" x14ac:dyDescent="0.7">
      <c r="A8528" s="49">
        <v>44978.885437812496</v>
      </c>
      <c r="B8528" s="50" t="s">
        <v>19</v>
      </c>
      <c r="C8528" s="50" t="s">
        <v>700</v>
      </c>
      <c r="D8528" s="50" t="s">
        <v>259</v>
      </c>
      <c r="E8528" s="50">
        <v>0</v>
      </c>
      <c r="F8528" s="51">
        <v>0.76607367177763575</v>
      </c>
      <c r="G8528" s="51" t="str">
        <v>佐藤 2023/03/17 (金)
平日夜間</v>
      </c>
    </row>
    <row r="8529" spans="1:7" ht="16.149999999999999" x14ac:dyDescent="0.7">
      <c r="A8529" s="49">
        <v>44978.885437812496</v>
      </c>
      <c r="B8529" s="50" t="s">
        <v>19</v>
      </c>
      <c r="C8529" s="50" t="s">
        <v>701</v>
      </c>
      <c r="D8529" s="50" t="s">
        <v>263</v>
      </c>
      <c r="E8529" s="50">
        <v>0</v>
      </c>
      <c r="F8529" s="51">
        <v>0.52308154922184302</v>
      </c>
      <c r="G8529" s="51" t="str">
        <v>佐藤 2023/03/18 (土)
休日午前</v>
      </c>
    </row>
    <row r="8530" spans="1:7" ht="16.149999999999999" x14ac:dyDescent="0.7">
      <c r="A8530" s="49">
        <v>44978.885437812496</v>
      </c>
      <c r="B8530" s="50" t="s">
        <v>19</v>
      </c>
      <c r="C8530" s="50" t="s">
        <v>702</v>
      </c>
      <c r="D8530" s="50" t="s">
        <v>261</v>
      </c>
      <c r="E8530" s="50">
        <v>-1</v>
      </c>
      <c r="F8530" s="51">
        <v>-0.26399862876952485</v>
      </c>
      <c r="G8530" s="51" t="str">
        <v>佐藤 2023/03/18 (土)
休日午後</v>
      </c>
    </row>
    <row r="8531" spans="1:7" ht="16.149999999999999" x14ac:dyDescent="0.7">
      <c r="A8531" s="49">
        <v>44978.885437812496</v>
      </c>
      <c r="B8531" s="50" t="s">
        <v>19</v>
      </c>
      <c r="C8531" s="50" t="s">
        <v>703</v>
      </c>
      <c r="D8531" s="50" t="s">
        <v>263</v>
      </c>
      <c r="E8531" s="50">
        <v>2</v>
      </c>
      <c r="F8531" s="51">
        <v>2.0321810477164584</v>
      </c>
      <c r="G8531" s="51" t="str">
        <v>佐藤 2023/03/19 (日)
休日午前</v>
      </c>
    </row>
    <row r="8532" spans="1:7" ht="16.149999999999999" x14ac:dyDescent="0.7">
      <c r="A8532" s="49">
        <v>44978.885437812496</v>
      </c>
      <c r="B8532" s="50" t="s">
        <v>19</v>
      </c>
      <c r="C8532" s="50" t="s">
        <v>704</v>
      </c>
      <c r="D8532" s="50" t="s">
        <v>261</v>
      </c>
      <c r="E8532" s="50">
        <v>-1</v>
      </c>
      <c r="F8532" s="51">
        <v>-0.43842551317979606</v>
      </c>
      <c r="G8532" s="51" t="str">
        <v>佐藤 2023/03/19 (日)
休日午後</v>
      </c>
    </row>
    <row r="8533" spans="1:7" ht="16.149999999999999" x14ac:dyDescent="0.7">
      <c r="A8533" s="49">
        <v>44978.885437812496</v>
      </c>
      <c r="B8533" s="50" t="s">
        <v>19</v>
      </c>
      <c r="C8533" s="50" t="s">
        <v>705</v>
      </c>
      <c r="D8533" s="50" t="s">
        <v>259</v>
      </c>
      <c r="E8533" s="50">
        <v>-1</v>
      </c>
      <c r="F8533" s="51">
        <v>-0.28048774608774574</v>
      </c>
      <c r="G8533" s="51" t="str">
        <v>佐藤 2023/03/20 (月)
平日夜間</v>
      </c>
    </row>
    <row r="8534" spans="1:7" ht="16.149999999999999" x14ac:dyDescent="0.7">
      <c r="A8534" s="49">
        <v>44978.885437812496</v>
      </c>
      <c r="B8534" s="50" t="s">
        <v>19</v>
      </c>
      <c r="C8534" s="50" t="s">
        <v>706</v>
      </c>
      <c r="D8534" s="50" t="s">
        <v>263</v>
      </c>
      <c r="E8534" s="50">
        <v>-1</v>
      </c>
      <c r="F8534" s="51">
        <v>-0.64432103326645773</v>
      </c>
      <c r="G8534" s="51" t="str">
        <v>佐藤 2023/03/21 (火)
休日午前</v>
      </c>
    </row>
    <row r="8535" spans="1:7" ht="16.149999999999999" x14ac:dyDescent="0.7">
      <c r="A8535" s="49">
        <v>44978.885437812496</v>
      </c>
      <c r="B8535" s="50" t="s">
        <v>19</v>
      </c>
      <c r="C8535" s="50" t="s">
        <v>707</v>
      </c>
      <c r="D8535" s="50" t="s">
        <v>261</v>
      </c>
      <c r="E8535" s="50">
        <v>-1</v>
      </c>
      <c r="F8535" s="51">
        <v>-0.43340808796271957</v>
      </c>
      <c r="G8535" s="51" t="str">
        <v>佐藤 2023/03/21 (火)
休日午後</v>
      </c>
    </row>
    <row r="8536" spans="1:7" ht="16.149999999999999" x14ac:dyDescent="0.7">
      <c r="A8536" s="49">
        <v>44978.885437812496</v>
      </c>
      <c r="B8536" s="50" t="s">
        <v>19</v>
      </c>
      <c r="C8536" s="50" t="s">
        <v>708</v>
      </c>
      <c r="D8536" s="50" t="s">
        <v>259</v>
      </c>
      <c r="E8536" s="50">
        <v>-1</v>
      </c>
      <c r="F8536" s="51">
        <v>-0.32220728345717609</v>
      </c>
      <c r="G8536" s="51" t="str">
        <v>佐藤 2023/03/22 (水)
平日夜間</v>
      </c>
    </row>
    <row r="8537" spans="1:7" ht="16.149999999999999" x14ac:dyDescent="0.7">
      <c r="A8537" s="49">
        <v>44978.885437812496</v>
      </c>
      <c r="B8537" s="50" t="s">
        <v>19</v>
      </c>
      <c r="C8537" s="50" t="s">
        <v>709</v>
      </c>
      <c r="D8537" s="50" t="s">
        <v>259</v>
      </c>
      <c r="E8537" s="50">
        <v>-1</v>
      </c>
      <c r="F8537" s="51">
        <v>-0.23807907127256756</v>
      </c>
      <c r="G8537" s="51" t="str">
        <v>佐藤 2023/03/23 (木)
平日夜間</v>
      </c>
    </row>
    <row r="8538" spans="1:7" ht="16.149999999999999" x14ac:dyDescent="0.7">
      <c r="A8538" s="49">
        <v>44978.885437812496</v>
      </c>
      <c r="B8538" s="50" t="s">
        <v>19</v>
      </c>
      <c r="C8538" s="50" t="s">
        <v>710</v>
      </c>
      <c r="D8538" s="50" t="s">
        <v>259</v>
      </c>
      <c r="E8538" s="50">
        <v>-1</v>
      </c>
      <c r="F8538" s="51">
        <v>-0.56171141623516641</v>
      </c>
      <c r="G8538" s="51" t="str">
        <v>佐藤 2023/03/24 (金)
平日夜間</v>
      </c>
    </row>
    <row r="8539" spans="1:7" ht="16.149999999999999" x14ac:dyDescent="0.7">
      <c r="A8539" s="49">
        <v>44978.885437812496</v>
      </c>
      <c r="B8539" s="50" t="s">
        <v>19</v>
      </c>
      <c r="C8539" s="50" t="s">
        <v>711</v>
      </c>
      <c r="D8539" s="50" t="s">
        <v>263</v>
      </c>
      <c r="E8539" s="50">
        <v>-1</v>
      </c>
      <c r="F8539" s="51">
        <v>-0.29877853359078976</v>
      </c>
      <c r="G8539" s="51" t="str">
        <v>佐藤 2023/03/25 (土)
休日午前</v>
      </c>
    </row>
    <row r="8540" spans="1:7" ht="16.149999999999999" x14ac:dyDescent="0.7">
      <c r="A8540" s="49">
        <v>44978.885437812496</v>
      </c>
      <c r="B8540" s="50" t="s">
        <v>19</v>
      </c>
      <c r="C8540" s="50" t="s">
        <v>712</v>
      </c>
      <c r="D8540" s="50" t="s">
        <v>261</v>
      </c>
      <c r="E8540" s="50">
        <v>-1</v>
      </c>
      <c r="F8540" s="51">
        <v>-0.81858194723845612</v>
      </c>
      <c r="G8540" s="51" t="str">
        <v>佐藤 2023/03/25 (土)
休日午後</v>
      </c>
    </row>
    <row r="8541" spans="1:7" ht="16.149999999999999" x14ac:dyDescent="0.7">
      <c r="A8541" s="49">
        <v>44978.885437812496</v>
      </c>
      <c r="B8541" s="50" t="s">
        <v>19</v>
      </c>
      <c r="C8541" s="50" t="s">
        <v>713</v>
      </c>
      <c r="D8541" s="50" t="s">
        <v>263</v>
      </c>
      <c r="E8541" s="50">
        <v>-1</v>
      </c>
      <c r="F8541" s="51">
        <v>-0.28455458077035112</v>
      </c>
      <c r="G8541" s="51" t="str">
        <v>佐藤 2023/03/26 (日)
休日午前</v>
      </c>
    </row>
    <row r="8542" spans="1:7" ht="16.149999999999999" x14ac:dyDescent="0.7">
      <c r="A8542" s="49">
        <v>44978.885437812496</v>
      </c>
      <c r="B8542" s="50" t="s">
        <v>19</v>
      </c>
      <c r="C8542" s="50" t="s">
        <v>714</v>
      </c>
      <c r="D8542" s="50" t="s">
        <v>261</v>
      </c>
      <c r="E8542" s="50">
        <v>-1</v>
      </c>
      <c r="F8542" s="51">
        <v>-0.65743949315901373</v>
      </c>
      <c r="G8542" s="51" t="str">
        <v>佐藤 2023/03/26 (日)
休日午後</v>
      </c>
    </row>
    <row r="8543" spans="1:7" ht="16.149999999999999" x14ac:dyDescent="0.7">
      <c r="A8543" s="49">
        <v>44978.885437812496</v>
      </c>
      <c r="B8543" s="50" t="s">
        <v>19</v>
      </c>
      <c r="C8543" s="50" t="s">
        <v>715</v>
      </c>
      <c r="D8543" s="50" t="s">
        <v>259</v>
      </c>
      <c r="E8543" s="50">
        <v>-1</v>
      </c>
      <c r="F8543" s="51">
        <v>-0.47594113334038934</v>
      </c>
      <c r="G8543" s="51" t="str">
        <v>佐藤 2023/03/27 (月)
平日夜間</v>
      </c>
    </row>
    <row r="8544" spans="1:7" ht="16.149999999999999" x14ac:dyDescent="0.7">
      <c r="A8544" s="49">
        <v>44978.885437812496</v>
      </c>
      <c r="B8544" s="50" t="s">
        <v>19</v>
      </c>
      <c r="C8544" s="50" t="s">
        <v>716</v>
      </c>
      <c r="D8544" s="50" t="s">
        <v>259</v>
      </c>
      <c r="E8544" s="50">
        <v>-1</v>
      </c>
      <c r="F8544" s="51">
        <v>-6.8919271344229927E-2</v>
      </c>
      <c r="G8544" s="51" t="str">
        <v>佐藤 2023/03/28 (火)
平日夜間</v>
      </c>
    </row>
    <row r="8545" spans="1:7" ht="16.149999999999999" x14ac:dyDescent="0.7">
      <c r="A8545" s="49">
        <v>44978.885437812496</v>
      </c>
      <c r="B8545" s="50" t="s">
        <v>19</v>
      </c>
      <c r="C8545" s="50" t="s">
        <v>717</v>
      </c>
      <c r="D8545" s="50" t="s">
        <v>259</v>
      </c>
      <c r="E8545" s="50">
        <v>-1</v>
      </c>
      <c r="F8545" s="51">
        <v>-0.45740891872812428</v>
      </c>
      <c r="G8545" s="51" t="str">
        <v>佐藤 2023/03/29 (水)
平日夜間</v>
      </c>
    </row>
    <row r="8546" spans="1:7" ht="16.149999999999999" x14ac:dyDescent="0.7">
      <c r="A8546" s="49">
        <v>44978.885437812496</v>
      </c>
      <c r="B8546" s="50" t="s">
        <v>19</v>
      </c>
      <c r="C8546" s="50" t="s">
        <v>718</v>
      </c>
      <c r="D8546" s="50" t="s">
        <v>259</v>
      </c>
      <c r="E8546" s="50">
        <v>-1</v>
      </c>
      <c r="F8546" s="51">
        <v>-9.9353968083969235E-2</v>
      </c>
      <c r="G8546" s="51" t="str">
        <v>佐藤 2023/03/30 (木)
平日夜間</v>
      </c>
    </row>
    <row r="8547" spans="1:7" ht="16.149999999999999" x14ac:dyDescent="0.7">
      <c r="A8547" s="49">
        <v>44978.885437812496</v>
      </c>
      <c r="B8547" s="50" t="s">
        <v>19</v>
      </c>
      <c r="C8547" s="50" t="s">
        <v>719</v>
      </c>
      <c r="D8547" s="50" t="s">
        <v>259</v>
      </c>
      <c r="E8547" s="50">
        <v>-1</v>
      </c>
      <c r="F8547" s="51">
        <v>-0.59529780786189113</v>
      </c>
      <c r="G8547" s="51" t="str">
        <v>佐藤 2023/03/31 (金)
平日夜間</v>
      </c>
    </row>
    <row r="8548" spans="1:7" ht="16.149999999999999" x14ac:dyDescent="0.7">
      <c r="A8548" s="49">
        <v>44979.815933344908</v>
      </c>
      <c r="B8548" s="50" t="s">
        <v>2</v>
      </c>
      <c r="C8548" s="50" t="s">
        <v>680</v>
      </c>
      <c r="D8548" s="50" t="s">
        <v>259</v>
      </c>
      <c r="E8548" s="50">
        <v>0</v>
      </c>
      <c r="F8548" s="51">
        <v>0.18301060260122881</v>
      </c>
      <c r="G8548" s="51" t="str">
        <v>伊藤 2023/03/01 (水)
平日夜間</v>
      </c>
    </row>
    <row r="8549" spans="1:7" ht="16.149999999999999" x14ac:dyDescent="0.7">
      <c r="A8549" s="49">
        <v>44979.815933344908</v>
      </c>
      <c r="B8549" s="50" t="s">
        <v>2</v>
      </c>
      <c r="C8549" s="50" t="s">
        <v>681</v>
      </c>
      <c r="D8549" s="50" t="s">
        <v>259</v>
      </c>
      <c r="E8549" s="50">
        <v>0</v>
      </c>
      <c r="F8549" s="51">
        <v>0.49537650691072321</v>
      </c>
      <c r="G8549" s="51" t="str">
        <v>伊藤 2023/03/02 (木)
平日夜間</v>
      </c>
    </row>
    <row r="8550" spans="1:7" ht="16.149999999999999" x14ac:dyDescent="0.7">
      <c r="A8550" s="49">
        <v>44979.815933344908</v>
      </c>
      <c r="B8550" s="50" t="s">
        <v>2</v>
      </c>
      <c r="C8550" s="50" t="s">
        <v>682</v>
      </c>
      <c r="D8550" s="50" t="s">
        <v>259</v>
      </c>
      <c r="E8550" s="50">
        <v>-1</v>
      </c>
      <c r="F8550" s="51">
        <v>-0.12999480278500819</v>
      </c>
      <c r="G8550" s="51" t="str">
        <v>伊藤 2023/03/03 (金)
平日夜間</v>
      </c>
    </row>
    <row r="8551" spans="1:7" ht="16.149999999999999" x14ac:dyDescent="0.7">
      <c r="A8551" s="49">
        <v>44979.815933344908</v>
      </c>
      <c r="B8551" s="50" t="s">
        <v>2</v>
      </c>
      <c r="C8551" s="50" t="s">
        <v>683</v>
      </c>
      <c r="D8551" s="50" t="s">
        <v>263</v>
      </c>
      <c r="E8551" s="50">
        <v>-1</v>
      </c>
      <c r="F8551" s="51">
        <v>-0.3599284870074535</v>
      </c>
      <c r="G8551" s="51" t="str">
        <v>伊藤 2023/03/04 (土)
休日午前</v>
      </c>
    </row>
    <row r="8552" spans="1:7" ht="16.149999999999999" x14ac:dyDescent="0.7">
      <c r="A8552" s="49">
        <v>44979.815933344908</v>
      </c>
      <c r="B8552" s="50" t="s">
        <v>2</v>
      </c>
      <c r="C8552" s="50" t="s">
        <v>684</v>
      </c>
      <c r="D8552" s="50" t="s">
        <v>261</v>
      </c>
      <c r="E8552" s="50">
        <v>-1</v>
      </c>
      <c r="F8552" s="51">
        <v>-0.70446870160800823</v>
      </c>
      <c r="G8552" s="51" t="str">
        <v>伊藤 2023/03/04 (土)
休日午後</v>
      </c>
    </row>
    <row r="8553" spans="1:7" ht="16.149999999999999" x14ac:dyDescent="0.7">
      <c r="A8553" s="49">
        <v>44979.815933344908</v>
      </c>
      <c r="B8553" s="50" t="s">
        <v>2</v>
      </c>
      <c r="C8553" s="50" t="s">
        <v>685</v>
      </c>
      <c r="D8553" s="50" t="s">
        <v>263</v>
      </c>
      <c r="E8553" s="50">
        <v>0</v>
      </c>
      <c r="F8553" s="51">
        <v>0.12977514102533272</v>
      </c>
      <c r="G8553" s="51" t="str">
        <v>伊藤 2023/03/05 (日)
休日午前</v>
      </c>
    </row>
    <row r="8554" spans="1:7" ht="16.149999999999999" x14ac:dyDescent="0.7">
      <c r="A8554" s="49">
        <v>44979.815933344908</v>
      </c>
      <c r="B8554" s="50" t="s">
        <v>2</v>
      </c>
      <c r="C8554" s="50" t="s">
        <v>686</v>
      </c>
      <c r="D8554" s="50" t="s">
        <v>261</v>
      </c>
      <c r="E8554" s="50">
        <v>0</v>
      </c>
      <c r="F8554" s="51">
        <v>0.15788403290959407</v>
      </c>
      <c r="G8554" s="51" t="str">
        <v>伊藤 2023/03/05 (日)
休日午後</v>
      </c>
    </row>
    <row r="8555" spans="1:7" ht="16.149999999999999" x14ac:dyDescent="0.7">
      <c r="A8555" s="49">
        <v>44979.815933344908</v>
      </c>
      <c r="B8555" s="50" t="s">
        <v>2</v>
      </c>
      <c r="C8555" s="50" t="s">
        <v>687</v>
      </c>
      <c r="D8555" s="50" t="s">
        <v>259</v>
      </c>
      <c r="E8555" s="50">
        <v>0</v>
      </c>
      <c r="F8555" s="51">
        <v>0.87021265532099856</v>
      </c>
      <c r="G8555" s="51" t="str">
        <v>伊藤 2023/03/06 (月)
平日夜間</v>
      </c>
    </row>
    <row r="8556" spans="1:7" ht="16.149999999999999" x14ac:dyDescent="0.7">
      <c r="A8556" s="49">
        <v>44979.815933344908</v>
      </c>
      <c r="B8556" s="50" t="s">
        <v>2</v>
      </c>
      <c r="C8556" s="50" t="s">
        <v>688</v>
      </c>
      <c r="D8556" s="50" t="s">
        <v>259</v>
      </c>
      <c r="E8556" s="50">
        <v>0</v>
      </c>
      <c r="F8556" s="51">
        <v>0.65023366401256699</v>
      </c>
      <c r="G8556" s="51" t="str">
        <v>伊藤 2023/03/07 (火)
平日夜間</v>
      </c>
    </row>
    <row r="8557" spans="1:7" ht="16.149999999999999" x14ac:dyDescent="0.7">
      <c r="A8557" s="49">
        <v>44979.815933344908</v>
      </c>
      <c r="B8557" s="50" t="s">
        <v>2</v>
      </c>
      <c r="C8557" s="50" t="s">
        <v>689</v>
      </c>
      <c r="D8557" s="50" t="s">
        <v>259</v>
      </c>
      <c r="E8557" s="50">
        <v>0</v>
      </c>
      <c r="F8557" s="51">
        <v>3.6985092687370935E-2</v>
      </c>
      <c r="G8557" s="51" t="str">
        <v>伊藤 2023/03/08 (水)
平日夜間</v>
      </c>
    </row>
    <row r="8558" spans="1:7" ht="16.149999999999999" x14ac:dyDescent="0.7">
      <c r="A8558" s="49">
        <v>44979.815933344908</v>
      </c>
      <c r="B8558" s="50" t="s">
        <v>2</v>
      </c>
      <c r="C8558" s="50" t="s">
        <v>690</v>
      </c>
      <c r="D8558" s="50" t="s">
        <v>259</v>
      </c>
      <c r="E8558" s="50">
        <v>0</v>
      </c>
      <c r="F8558" s="51">
        <v>0.45791218906288433</v>
      </c>
      <c r="G8558" s="51" t="str">
        <v>伊藤 2023/03/09 (木)
平日夜間</v>
      </c>
    </row>
    <row r="8559" spans="1:7" ht="16.149999999999999" x14ac:dyDescent="0.7">
      <c r="A8559" s="49">
        <v>44979.815933344908</v>
      </c>
      <c r="B8559" s="50" t="s">
        <v>2</v>
      </c>
      <c r="C8559" s="50" t="s">
        <v>691</v>
      </c>
      <c r="D8559" s="50" t="s">
        <v>259</v>
      </c>
      <c r="E8559" s="50">
        <v>-1</v>
      </c>
      <c r="F8559" s="51">
        <v>-0.78840049617203101</v>
      </c>
      <c r="G8559" s="51" t="str">
        <v>伊藤 2023/03/10 (金)
平日夜間</v>
      </c>
    </row>
    <row r="8560" spans="1:7" ht="16.149999999999999" x14ac:dyDescent="0.7">
      <c r="A8560" s="49">
        <v>44979.815933344908</v>
      </c>
      <c r="B8560" s="50" t="s">
        <v>2</v>
      </c>
      <c r="C8560" s="50" t="s">
        <v>692</v>
      </c>
      <c r="D8560" s="50" t="s">
        <v>263</v>
      </c>
      <c r="E8560" s="50">
        <v>-1</v>
      </c>
      <c r="F8560" s="51">
        <v>-0.53453443002541134</v>
      </c>
      <c r="G8560" s="51" t="str">
        <v>伊藤 2023/03/11 (土)
休日午前</v>
      </c>
    </row>
    <row r="8561" spans="1:7" ht="16.149999999999999" x14ac:dyDescent="0.7">
      <c r="A8561" s="49">
        <v>44979.815933344908</v>
      </c>
      <c r="B8561" s="50" t="s">
        <v>2</v>
      </c>
      <c r="C8561" s="50" t="s">
        <v>693</v>
      </c>
      <c r="D8561" s="50" t="s">
        <v>261</v>
      </c>
      <c r="E8561" s="50">
        <v>-1</v>
      </c>
      <c r="F8561" s="51">
        <v>-1.6440900608322817E-2</v>
      </c>
      <c r="G8561" s="51" t="str">
        <v>伊藤 2023/03/11 (土)
休日午後</v>
      </c>
    </row>
    <row r="8562" spans="1:7" ht="16.149999999999999" x14ac:dyDescent="0.7">
      <c r="A8562" s="49">
        <v>44979.815933344908</v>
      </c>
      <c r="B8562" s="50" t="s">
        <v>2</v>
      </c>
      <c r="C8562" s="50" t="s">
        <v>694</v>
      </c>
      <c r="D8562" s="50" t="s">
        <v>263</v>
      </c>
      <c r="E8562" s="50">
        <v>-1</v>
      </c>
      <c r="F8562" s="51">
        <v>-1.2890286595892864E-2</v>
      </c>
      <c r="G8562" s="51" t="str">
        <v>伊藤 2023/03/12 (日)
休日午前</v>
      </c>
    </row>
    <row r="8563" spans="1:7" ht="16.149999999999999" x14ac:dyDescent="0.7">
      <c r="A8563" s="49">
        <v>44979.815933344908</v>
      </c>
      <c r="B8563" s="50" t="s">
        <v>2</v>
      </c>
      <c r="C8563" s="50" t="s">
        <v>695</v>
      </c>
      <c r="D8563" s="50" t="s">
        <v>261</v>
      </c>
      <c r="E8563" s="50">
        <v>-1</v>
      </c>
      <c r="F8563" s="51">
        <v>-0.96267878312870869</v>
      </c>
      <c r="G8563" s="51" t="str">
        <v>伊藤 2023/03/12 (日)
休日午後</v>
      </c>
    </row>
    <row r="8564" spans="1:7" ht="16.149999999999999" x14ac:dyDescent="0.7">
      <c r="A8564" s="49">
        <v>44979.815933344908</v>
      </c>
      <c r="B8564" s="50" t="s">
        <v>2</v>
      </c>
      <c r="C8564" s="50" t="s">
        <v>696</v>
      </c>
      <c r="D8564" s="50" t="s">
        <v>259</v>
      </c>
      <c r="E8564" s="50">
        <v>0</v>
      </c>
      <c r="F8564" s="51">
        <v>0.21536466577620583</v>
      </c>
      <c r="G8564" s="51" t="str">
        <v>伊藤 2023/03/13 (月)
平日夜間</v>
      </c>
    </row>
    <row r="8565" spans="1:7" ht="16.149999999999999" x14ac:dyDescent="0.7">
      <c r="A8565" s="49">
        <v>44979.815933344908</v>
      </c>
      <c r="B8565" s="50" t="s">
        <v>2</v>
      </c>
      <c r="C8565" s="50" t="s">
        <v>697</v>
      </c>
      <c r="D8565" s="50" t="s">
        <v>259</v>
      </c>
      <c r="E8565" s="50">
        <v>0</v>
      </c>
      <c r="F8565" s="51">
        <v>0.93128154463131363</v>
      </c>
      <c r="G8565" s="51" t="str">
        <v>伊藤 2023/03/14 (火)
平日夜間</v>
      </c>
    </row>
    <row r="8566" spans="1:7" ht="16.149999999999999" x14ac:dyDescent="0.7">
      <c r="A8566" s="49">
        <v>44979.815933344908</v>
      </c>
      <c r="B8566" s="50" t="s">
        <v>2</v>
      </c>
      <c r="C8566" s="50" t="s">
        <v>698</v>
      </c>
      <c r="D8566" s="50" t="s">
        <v>259</v>
      </c>
      <c r="E8566" s="50">
        <v>0</v>
      </c>
      <c r="F8566" s="51">
        <v>0.85871422412772858</v>
      </c>
      <c r="G8566" s="51" t="str">
        <v>伊藤 2023/03/15 (水)
平日夜間</v>
      </c>
    </row>
    <row r="8567" spans="1:7" ht="16.149999999999999" x14ac:dyDescent="0.7">
      <c r="A8567" s="49">
        <v>44979.815933344908</v>
      </c>
      <c r="B8567" s="50" t="s">
        <v>2</v>
      </c>
      <c r="C8567" s="50" t="s">
        <v>699</v>
      </c>
      <c r="D8567" s="50" t="s">
        <v>259</v>
      </c>
      <c r="E8567" s="50">
        <v>0</v>
      </c>
      <c r="F8567" s="51">
        <v>0.84706079093330233</v>
      </c>
      <c r="G8567" s="51" t="str">
        <v>伊藤 2023/03/16 (木)
平日夜間</v>
      </c>
    </row>
    <row r="8568" spans="1:7" ht="16.149999999999999" x14ac:dyDescent="0.7">
      <c r="A8568" s="49">
        <v>44979.815933344908</v>
      </c>
      <c r="B8568" s="50" t="s">
        <v>2</v>
      </c>
      <c r="C8568" s="50" t="s">
        <v>700</v>
      </c>
      <c r="D8568" s="50" t="s">
        <v>259</v>
      </c>
      <c r="E8568" s="50">
        <v>-1</v>
      </c>
      <c r="F8568" s="51">
        <v>-0.74244484170883918</v>
      </c>
      <c r="G8568" s="51" t="str">
        <v>伊藤 2023/03/17 (金)
平日夜間</v>
      </c>
    </row>
    <row r="8569" spans="1:7" ht="16.149999999999999" x14ac:dyDescent="0.7">
      <c r="A8569" s="49">
        <v>44979.815933344908</v>
      </c>
      <c r="B8569" s="50" t="s">
        <v>2</v>
      </c>
      <c r="C8569" s="50" t="s">
        <v>701</v>
      </c>
      <c r="D8569" s="50" t="s">
        <v>263</v>
      </c>
      <c r="E8569" s="50">
        <v>-1</v>
      </c>
      <c r="F8569" s="51">
        <v>-5.2684256943628327E-2</v>
      </c>
      <c r="G8569" s="51" t="str">
        <v>伊藤 2023/03/18 (土)
休日午前</v>
      </c>
    </row>
    <row r="8570" spans="1:7" ht="16.149999999999999" x14ac:dyDescent="0.7">
      <c r="A8570" s="49">
        <v>44979.815933344908</v>
      </c>
      <c r="B8570" s="50" t="s">
        <v>2</v>
      </c>
      <c r="C8570" s="50" t="s">
        <v>702</v>
      </c>
      <c r="D8570" s="50" t="s">
        <v>261</v>
      </c>
      <c r="E8570" s="50">
        <v>-1</v>
      </c>
      <c r="F8570" s="51">
        <v>-0.85888128387812701</v>
      </c>
      <c r="G8570" s="51" t="str">
        <v>伊藤 2023/03/18 (土)
休日午後</v>
      </c>
    </row>
    <row r="8571" spans="1:7" ht="16.149999999999999" x14ac:dyDescent="0.7">
      <c r="A8571" s="49">
        <v>44979.815933344908</v>
      </c>
      <c r="B8571" s="50" t="s">
        <v>2</v>
      </c>
      <c r="C8571" s="50" t="s">
        <v>703</v>
      </c>
      <c r="D8571" s="50" t="s">
        <v>263</v>
      </c>
      <c r="E8571" s="50">
        <v>0</v>
      </c>
      <c r="F8571" s="51">
        <v>0.90188100201127064</v>
      </c>
      <c r="G8571" s="51" t="str">
        <v>伊藤 2023/03/19 (日)
休日午前</v>
      </c>
    </row>
    <row r="8572" spans="1:7" ht="16.149999999999999" x14ac:dyDescent="0.7">
      <c r="A8572" s="49">
        <v>44979.815933344908</v>
      </c>
      <c r="B8572" s="50" t="s">
        <v>2</v>
      </c>
      <c r="C8572" s="50" t="s">
        <v>704</v>
      </c>
      <c r="D8572" s="50" t="s">
        <v>261</v>
      </c>
      <c r="E8572" s="50">
        <v>0</v>
      </c>
      <c r="F8572" s="51">
        <v>0.97306600020110334</v>
      </c>
      <c r="G8572" s="51" t="str">
        <v>伊藤 2023/03/19 (日)
休日午後</v>
      </c>
    </row>
    <row r="8573" spans="1:7" ht="16.149999999999999" x14ac:dyDescent="0.7">
      <c r="A8573" s="49">
        <v>44979.815933344908</v>
      </c>
      <c r="B8573" s="50" t="s">
        <v>2</v>
      </c>
      <c r="C8573" s="50" t="s">
        <v>705</v>
      </c>
      <c r="D8573" s="50" t="s">
        <v>259</v>
      </c>
      <c r="E8573" s="50">
        <v>0</v>
      </c>
      <c r="F8573" s="51">
        <v>0.6065225027240817</v>
      </c>
      <c r="G8573" s="51" t="str">
        <v>伊藤 2023/03/20 (月)
平日夜間</v>
      </c>
    </row>
    <row r="8574" spans="1:7" ht="16.149999999999999" x14ac:dyDescent="0.7">
      <c r="A8574" s="49">
        <v>44979.815933344908</v>
      </c>
      <c r="B8574" s="50" t="s">
        <v>2</v>
      </c>
      <c r="C8574" s="50" t="s">
        <v>706</v>
      </c>
      <c r="D8574" s="50" t="s">
        <v>263</v>
      </c>
      <c r="E8574" s="50">
        <v>0</v>
      </c>
      <c r="F8574" s="51">
        <v>4.1681457755250229E-2</v>
      </c>
      <c r="G8574" s="51" t="str">
        <v>伊藤 2023/03/21 (火)
休日午前</v>
      </c>
    </row>
    <row r="8575" spans="1:7" ht="16.149999999999999" x14ac:dyDescent="0.7">
      <c r="A8575" s="49">
        <v>44979.815933344908</v>
      </c>
      <c r="B8575" s="50" t="s">
        <v>2</v>
      </c>
      <c r="C8575" s="50" t="s">
        <v>707</v>
      </c>
      <c r="D8575" s="50" t="s">
        <v>261</v>
      </c>
      <c r="E8575" s="50">
        <v>0</v>
      </c>
      <c r="F8575" s="51">
        <v>0.74242653692146687</v>
      </c>
      <c r="G8575" s="51" t="str">
        <v>伊藤 2023/03/21 (火)
休日午後</v>
      </c>
    </row>
    <row r="8576" spans="1:7" ht="16.149999999999999" x14ac:dyDescent="0.7">
      <c r="A8576" s="49">
        <v>44979.815933344908</v>
      </c>
      <c r="B8576" s="50" t="s">
        <v>2</v>
      </c>
      <c r="C8576" s="50" t="s">
        <v>708</v>
      </c>
      <c r="D8576" s="50" t="s">
        <v>259</v>
      </c>
      <c r="E8576" s="50">
        <v>0</v>
      </c>
      <c r="F8576" s="51">
        <v>0.94847980440636426</v>
      </c>
      <c r="G8576" s="51" t="str">
        <v>伊藤 2023/03/22 (水)
平日夜間</v>
      </c>
    </row>
    <row r="8577" spans="1:7" ht="16.149999999999999" x14ac:dyDescent="0.7">
      <c r="A8577" s="49">
        <v>44979.815933344908</v>
      </c>
      <c r="B8577" s="50" t="s">
        <v>2</v>
      </c>
      <c r="C8577" s="50" t="s">
        <v>709</v>
      </c>
      <c r="D8577" s="50" t="s">
        <v>259</v>
      </c>
      <c r="E8577" s="50">
        <v>0</v>
      </c>
      <c r="F8577" s="51">
        <v>0.31254197506290415</v>
      </c>
      <c r="G8577" s="51" t="str">
        <v>伊藤 2023/03/23 (木)
平日夜間</v>
      </c>
    </row>
    <row r="8578" spans="1:7" ht="16.149999999999999" x14ac:dyDescent="0.7">
      <c r="A8578" s="49">
        <v>44979.815933344908</v>
      </c>
      <c r="B8578" s="50" t="s">
        <v>2</v>
      </c>
      <c r="C8578" s="50" t="s">
        <v>710</v>
      </c>
      <c r="D8578" s="50" t="s">
        <v>259</v>
      </c>
      <c r="E8578" s="50">
        <v>-1</v>
      </c>
      <c r="F8578" s="51">
        <v>-0.13896626297770909</v>
      </c>
      <c r="G8578" s="51" t="str">
        <v>伊藤 2023/03/24 (金)
平日夜間</v>
      </c>
    </row>
    <row r="8579" spans="1:7" ht="16.149999999999999" x14ac:dyDescent="0.7">
      <c r="A8579" s="49">
        <v>44979.815933344908</v>
      </c>
      <c r="B8579" s="50" t="s">
        <v>2</v>
      </c>
      <c r="C8579" s="50" t="s">
        <v>711</v>
      </c>
      <c r="D8579" s="50" t="s">
        <v>263</v>
      </c>
      <c r="E8579" s="50">
        <v>-1</v>
      </c>
      <c r="F8579" s="51">
        <v>-3.5707412829557583E-3</v>
      </c>
      <c r="G8579" s="51" t="str">
        <v>伊藤 2023/03/25 (土)
休日午前</v>
      </c>
    </row>
    <row r="8580" spans="1:7" ht="16.149999999999999" x14ac:dyDescent="0.7">
      <c r="A8580" s="49">
        <v>44979.815933344908</v>
      </c>
      <c r="B8580" s="50" t="s">
        <v>2</v>
      </c>
      <c r="C8580" s="50" t="s">
        <v>712</v>
      </c>
      <c r="D8580" s="50" t="s">
        <v>261</v>
      </c>
      <c r="E8580" s="50">
        <v>-1</v>
      </c>
      <c r="F8580" s="51">
        <v>-0.28709070851550189</v>
      </c>
      <c r="G8580" s="51" t="str">
        <v>伊藤 2023/03/25 (土)
休日午後</v>
      </c>
    </row>
    <row r="8581" spans="1:7" ht="16.149999999999999" x14ac:dyDescent="0.7">
      <c r="A8581" s="49">
        <v>44979.815933344908</v>
      </c>
      <c r="B8581" s="50" t="s">
        <v>2</v>
      </c>
      <c r="C8581" s="50" t="s">
        <v>713</v>
      </c>
      <c r="D8581" s="50" t="s">
        <v>263</v>
      </c>
      <c r="E8581" s="50">
        <v>0</v>
      </c>
      <c r="F8581" s="51">
        <v>0.3603459697538014</v>
      </c>
      <c r="G8581" s="51" t="str">
        <v>伊藤 2023/03/26 (日)
休日午前</v>
      </c>
    </row>
    <row r="8582" spans="1:7" ht="16.149999999999999" x14ac:dyDescent="0.7">
      <c r="A8582" s="49">
        <v>44979.815933344908</v>
      </c>
      <c r="B8582" s="50" t="s">
        <v>2</v>
      </c>
      <c r="C8582" s="50" t="s">
        <v>714</v>
      </c>
      <c r="D8582" s="50" t="s">
        <v>261</v>
      </c>
      <c r="E8582" s="50">
        <v>0</v>
      </c>
      <c r="F8582" s="51">
        <v>0.18316528404288412</v>
      </c>
      <c r="G8582" s="51" t="str">
        <v>伊藤 2023/03/26 (日)
休日午後</v>
      </c>
    </row>
    <row r="8583" spans="1:7" ht="16.149999999999999" x14ac:dyDescent="0.7">
      <c r="A8583" s="49">
        <v>44979.815933344908</v>
      </c>
      <c r="B8583" s="50" t="s">
        <v>2</v>
      </c>
      <c r="C8583" s="50" t="s">
        <v>715</v>
      </c>
      <c r="D8583" s="50" t="s">
        <v>259</v>
      </c>
      <c r="E8583" s="50">
        <v>0</v>
      </c>
      <c r="F8583" s="51">
        <v>1.5895541200351859E-2</v>
      </c>
      <c r="G8583" s="51" t="str">
        <v>伊藤 2023/03/27 (月)
平日夜間</v>
      </c>
    </row>
    <row r="8584" spans="1:7" ht="16.149999999999999" x14ac:dyDescent="0.7">
      <c r="A8584" s="49">
        <v>44979.815933344908</v>
      </c>
      <c r="B8584" s="50" t="s">
        <v>2</v>
      </c>
      <c r="C8584" s="50" t="s">
        <v>716</v>
      </c>
      <c r="D8584" s="50" t="s">
        <v>259</v>
      </c>
      <c r="E8584" s="50">
        <v>0</v>
      </c>
      <c r="F8584" s="51">
        <v>0.87351202472245815</v>
      </c>
      <c r="G8584" s="51" t="str">
        <v>伊藤 2023/03/28 (火)
平日夜間</v>
      </c>
    </row>
    <row r="8585" spans="1:7" ht="16.149999999999999" x14ac:dyDescent="0.7">
      <c r="A8585" s="49">
        <v>44979.815933344908</v>
      </c>
      <c r="B8585" s="50" t="s">
        <v>2</v>
      </c>
      <c r="C8585" s="50" t="s">
        <v>717</v>
      </c>
      <c r="D8585" s="50" t="s">
        <v>259</v>
      </c>
      <c r="E8585" s="50">
        <v>0</v>
      </c>
      <c r="F8585" s="51">
        <v>0.12034484988776817</v>
      </c>
      <c r="G8585" s="51" t="str">
        <v>伊藤 2023/03/29 (水)
平日夜間</v>
      </c>
    </row>
    <row r="8586" spans="1:7" ht="16.149999999999999" x14ac:dyDescent="0.7">
      <c r="A8586" s="49">
        <v>44979.815933344908</v>
      </c>
      <c r="B8586" s="50" t="s">
        <v>2</v>
      </c>
      <c r="C8586" s="50" t="s">
        <v>718</v>
      </c>
      <c r="D8586" s="50" t="s">
        <v>259</v>
      </c>
      <c r="E8586" s="50">
        <v>0</v>
      </c>
      <c r="F8586" s="51">
        <v>0.66019289583088958</v>
      </c>
      <c r="G8586" s="51" t="str">
        <v>伊藤 2023/03/30 (木)
平日夜間</v>
      </c>
    </row>
    <row r="8587" spans="1:7" ht="16.149999999999999" x14ac:dyDescent="0.7">
      <c r="A8587" s="49">
        <v>44979.815933344908</v>
      </c>
      <c r="B8587" s="50" t="s">
        <v>2</v>
      </c>
      <c r="C8587" s="50" t="s">
        <v>719</v>
      </c>
      <c r="D8587" s="50" t="s">
        <v>259</v>
      </c>
      <c r="E8587" s="50">
        <v>-1</v>
      </c>
      <c r="F8587" s="51">
        <v>-0.12040813692106966</v>
      </c>
      <c r="G8587" s="51" t="str">
        <v>伊藤 2023/03/31 (金)
平日夜間</v>
      </c>
    </row>
    <row r="8588" spans="1:7" ht="16.149999999999999" x14ac:dyDescent="0.7">
      <c r="A8588" s="49">
        <v>44984.779082928246</v>
      </c>
      <c r="B8588" s="50" t="s">
        <v>1</v>
      </c>
      <c r="C8588" s="50" t="s">
        <v>680</v>
      </c>
      <c r="D8588" s="50" t="s">
        <v>259</v>
      </c>
      <c r="E8588" s="50">
        <v>0</v>
      </c>
      <c r="F8588" s="51">
        <v>0.8441836169466983</v>
      </c>
      <c r="G8588" s="51" t="str">
        <v>菊野 2023/03/01 (水)
平日夜間</v>
      </c>
    </row>
    <row r="8589" spans="1:7" ht="16.149999999999999" x14ac:dyDescent="0.7">
      <c r="A8589" s="49">
        <v>44984.779082928246</v>
      </c>
      <c r="B8589" s="50" t="s">
        <v>1</v>
      </c>
      <c r="C8589" s="50" t="s">
        <v>681</v>
      </c>
      <c r="D8589" s="50" t="s">
        <v>259</v>
      </c>
      <c r="E8589" s="50">
        <v>0</v>
      </c>
      <c r="F8589" s="51">
        <v>0.86131722731701887</v>
      </c>
      <c r="G8589" s="51" t="str">
        <v>菊野 2023/03/02 (木)
平日夜間</v>
      </c>
    </row>
    <row r="8590" spans="1:7" ht="16.149999999999999" x14ac:dyDescent="0.7">
      <c r="A8590" s="49">
        <v>44984.779082928246</v>
      </c>
      <c r="B8590" s="50" t="s">
        <v>1</v>
      </c>
      <c r="C8590" s="50" t="s">
        <v>682</v>
      </c>
      <c r="D8590" s="50" t="s">
        <v>259</v>
      </c>
      <c r="E8590" s="50">
        <v>0</v>
      </c>
      <c r="F8590" s="51">
        <v>0.83204493736369334</v>
      </c>
      <c r="G8590" s="51" t="str">
        <v>菊野 2023/03/03 (金)
平日夜間</v>
      </c>
    </row>
    <row r="8591" spans="1:7" ht="16.149999999999999" x14ac:dyDescent="0.7">
      <c r="A8591" s="49">
        <v>44984.779082928246</v>
      </c>
      <c r="B8591" s="50" t="s">
        <v>1</v>
      </c>
      <c r="C8591" s="50" t="s">
        <v>683</v>
      </c>
      <c r="D8591" s="50" t="s">
        <v>263</v>
      </c>
      <c r="E8591" s="50">
        <v>-1</v>
      </c>
      <c r="F8591" s="51">
        <v>-0.90370391968198671</v>
      </c>
      <c r="G8591" s="51" t="str">
        <v>菊野 2023/03/04 (土)
休日午前</v>
      </c>
    </row>
    <row r="8592" spans="1:7" ht="16.149999999999999" x14ac:dyDescent="0.7">
      <c r="A8592" s="49">
        <v>44984.779082928246</v>
      </c>
      <c r="B8592" s="50" t="s">
        <v>1</v>
      </c>
      <c r="C8592" s="50" t="s">
        <v>684</v>
      </c>
      <c r="D8592" s="50" t="s">
        <v>261</v>
      </c>
      <c r="E8592" s="50">
        <v>-1</v>
      </c>
      <c r="F8592" s="51">
        <v>-0.94795408800428893</v>
      </c>
      <c r="G8592" s="51" t="str">
        <v>菊野 2023/03/04 (土)
休日午後</v>
      </c>
    </row>
    <row r="8593" spans="1:7" ht="16.149999999999999" x14ac:dyDescent="0.7">
      <c r="A8593" s="49">
        <v>44984.779082928246</v>
      </c>
      <c r="B8593" s="50" t="s">
        <v>1</v>
      </c>
      <c r="C8593" s="50" t="s">
        <v>685</v>
      </c>
      <c r="D8593" s="50" t="s">
        <v>263</v>
      </c>
      <c r="E8593" s="50">
        <v>-1</v>
      </c>
      <c r="F8593" s="51">
        <v>-0.27865270647816942</v>
      </c>
      <c r="G8593" s="51" t="str">
        <v>菊野 2023/03/05 (日)
休日午前</v>
      </c>
    </row>
    <row r="8594" spans="1:7" ht="16.149999999999999" x14ac:dyDescent="0.7">
      <c r="A8594" s="49">
        <v>44984.779082928246</v>
      </c>
      <c r="B8594" s="50" t="s">
        <v>1</v>
      </c>
      <c r="C8594" s="50" t="s">
        <v>686</v>
      </c>
      <c r="D8594" s="50" t="s">
        <v>261</v>
      </c>
      <c r="E8594" s="50">
        <v>0</v>
      </c>
      <c r="F8594" s="51">
        <v>0.53870335038114403</v>
      </c>
      <c r="G8594" s="51" t="str">
        <v>菊野 2023/03/05 (日)
休日午後</v>
      </c>
    </row>
    <row r="8595" spans="1:7" ht="16.149999999999999" x14ac:dyDescent="0.7">
      <c r="A8595" s="49">
        <v>44984.779082928246</v>
      </c>
      <c r="B8595" s="50" t="s">
        <v>1</v>
      </c>
      <c r="C8595" s="50" t="s">
        <v>687</v>
      </c>
      <c r="D8595" s="50" t="s">
        <v>259</v>
      </c>
      <c r="E8595" s="50">
        <v>0</v>
      </c>
      <c r="F8595" s="51">
        <v>0.52774843124072945</v>
      </c>
      <c r="G8595" s="51" t="str">
        <v>菊野 2023/03/06 (月)
平日夜間</v>
      </c>
    </row>
    <row r="8596" spans="1:7" ht="16.149999999999999" x14ac:dyDescent="0.7">
      <c r="A8596" s="49">
        <v>44984.779955104168</v>
      </c>
      <c r="B8596" s="50" t="s">
        <v>7</v>
      </c>
      <c r="C8596" s="50" t="s">
        <v>680</v>
      </c>
      <c r="D8596" s="50" t="s">
        <v>259</v>
      </c>
      <c r="E8596" s="50">
        <v>0</v>
      </c>
      <c r="F8596" s="51">
        <v>0.81606091215075161</v>
      </c>
      <c r="G8596" s="51" t="str">
        <v>竹藤 2023/03/01 (水)
平日夜間</v>
      </c>
    </row>
    <row r="8597" spans="1:7" ht="16.149999999999999" x14ac:dyDescent="0.7">
      <c r="A8597" s="49">
        <v>44984.779082928246</v>
      </c>
      <c r="B8597" s="50" t="s">
        <v>1</v>
      </c>
      <c r="C8597" s="50" t="s">
        <v>688</v>
      </c>
      <c r="D8597" s="50" t="s">
        <v>259</v>
      </c>
      <c r="E8597" s="50">
        <v>0</v>
      </c>
      <c r="F8597" s="51">
        <v>0.64659984943390536</v>
      </c>
      <c r="G8597" s="51" t="str">
        <v>菊野 2023/03/07 (火)
平日夜間</v>
      </c>
    </row>
    <row r="8598" spans="1:7" ht="16.149999999999999" x14ac:dyDescent="0.7">
      <c r="A8598" s="49">
        <v>44984.779955104168</v>
      </c>
      <c r="B8598" s="50" t="s">
        <v>7</v>
      </c>
      <c r="C8598" s="50" t="s">
        <v>681</v>
      </c>
      <c r="D8598" s="50" t="s">
        <v>259</v>
      </c>
      <c r="E8598" s="50">
        <v>0</v>
      </c>
      <c r="F8598" s="51">
        <v>0.15304667254766668</v>
      </c>
      <c r="G8598" s="51" t="str">
        <v>竹藤 2023/03/02 (木)
平日夜間</v>
      </c>
    </row>
    <row r="8599" spans="1:7" ht="16.149999999999999" x14ac:dyDescent="0.7">
      <c r="A8599" s="49">
        <v>44984.779082928246</v>
      </c>
      <c r="B8599" s="50" t="s">
        <v>1</v>
      </c>
      <c r="C8599" s="50" t="s">
        <v>689</v>
      </c>
      <c r="D8599" s="50" t="s">
        <v>259</v>
      </c>
      <c r="E8599" s="50">
        <v>0</v>
      </c>
      <c r="F8599" s="51">
        <v>0.77329789447660291</v>
      </c>
      <c r="G8599" s="51" t="str">
        <v>菊野 2023/03/08 (水)
平日夜間</v>
      </c>
    </row>
    <row r="8600" spans="1:7" ht="16.149999999999999" x14ac:dyDescent="0.7">
      <c r="A8600" s="49">
        <v>44984.779955104168</v>
      </c>
      <c r="B8600" s="50" t="s">
        <v>7</v>
      </c>
      <c r="C8600" s="50" t="s">
        <v>682</v>
      </c>
      <c r="D8600" s="50" t="s">
        <v>259</v>
      </c>
      <c r="E8600" s="50">
        <v>-1</v>
      </c>
      <c r="F8600" s="51">
        <v>-0.62677661688094877</v>
      </c>
      <c r="G8600" s="51" t="str">
        <v>竹藤 2023/03/03 (金)
平日夜間</v>
      </c>
    </row>
    <row r="8601" spans="1:7" ht="16.149999999999999" x14ac:dyDescent="0.7">
      <c r="A8601" s="49">
        <v>44984.779082928246</v>
      </c>
      <c r="B8601" s="50" t="s">
        <v>1</v>
      </c>
      <c r="C8601" s="50" t="s">
        <v>690</v>
      </c>
      <c r="D8601" s="50" t="s">
        <v>259</v>
      </c>
      <c r="E8601" s="50">
        <v>1</v>
      </c>
      <c r="F8601" s="51">
        <v>1.3091925603044301</v>
      </c>
      <c r="G8601" s="51" t="str">
        <v>菊野 2023/03/09 (木)
平日夜間</v>
      </c>
    </row>
    <row r="8602" spans="1:7" ht="16.149999999999999" x14ac:dyDescent="0.7">
      <c r="A8602" s="49">
        <v>44984.779955104168</v>
      </c>
      <c r="B8602" s="50" t="s">
        <v>7</v>
      </c>
      <c r="C8602" s="50" t="s">
        <v>683</v>
      </c>
      <c r="D8602" s="50" t="s">
        <v>263</v>
      </c>
      <c r="E8602" s="50">
        <v>0</v>
      </c>
      <c r="F8602" s="51">
        <v>0.77755174024808205</v>
      </c>
      <c r="G8602" s="51" t="str">
        <v>竹藤 2023/03/04 (土)
休日午前</v>
      </c>
    </row>
    <row r="8603" spans="1:7" ht="16.149999999999999" x14ac:dyDescent="0.7">
      <c r="A8603" s="49">
        <v>44984.779082928246</v>
      </c>
      <c r="B8603" s="50" t="s">
        <v>1</v>
      </c>
      <c r="C8603" s="50" t="s">
        <v>691</v>
      </c>
      <c r="D8603" s="50" t="s">
        <v>259</v>
      </c>
      <c r="E8603" s="50">
        <v>0</v>
      </c>
      <c r="F8603" s="51">
        <v>0.34723887695332167</v>
      </c>
      <c r="G8603" s="51" t="str">
        <v>菊野 2023/03/10 (金)
平日夜間</v>
      </c>
    </row>
    <row r="8604" spans="1:7" ht="16.149999999999999" x14ac:dyDescent="0.7">
      <c r="A8604" s="49">
        <v>44984.779955104168</v>
      </c>
      <c r="B8604" s="50" t="s">
        <v>7</v>
      </c>
      <c r="C8604" s="50" t="s">
        <v>684</v>
      </c>
      <c r="D8604" s="50" t="s">
        <v>261</v>
      </c>
      <c r="E8604" s="50">
        <v>0</v>
      </c>
      <c r="F8604" s="51">
        <v>0.4684548300772029</v>
      </c>
      <c r="G8604" s="51" t="str">
        <v>竹藤 2023/03/04 (土)
休日午後</v>
      </c>
    </row>
    <row r="8605" spans="1:7" ht="16.149999999999999" x14ac:dyDescent="0.7">
      <c r="A8605" s="49">
        <v>44984.779082928246</v>
      </c>
      <c r="B8605" s="50" t="s">
        <v>1</v>
      </c>
      <c r="C8605" s="50" t="s">
        <v>692</v>
      </c>
      <c r="D8605" s="50" t="s">
        <v>263</v>
      </c>
      <c r="E8605" s="50">
        <v>0</v>
      </c>
      <c r="F8605" s="51">
        <v>0.17882576306162767</v>
      </c>
      <c r="G8605" s="51" t="str">
        <v>菊野 2023/03/11 (土)
休日午前</v>
      </c>
    </row>
    <row r="8606" spans="1:7" ht="16.149999999999999" x14ac:dyDescent="0.7">
      <c r="A8606" s="49">
        <v>44984.779955104168</v>
      </c>
      <c r="B8606" s="50" t="s">
        <v>7</v>
      </c>
      <c r="C8606" s="50" t="s">
        <v>685</v>
      </c>
      <c r="D8606" s="50" t="s">
        <v>263</v>
      </c>
      <c r="E8606" s="50">
        <v>0</v>
      </c>
      <c r="F8606" s="51">
        <v>0.31048583965935839</v>
      </c>
      <c r="G8606" s="51" t="str">
        <v>竹藤 2023/03/05 (日)
休日午前</v>
      </c>
    </row>
    <row r="8607" spans="1:7" ht="16.149999999999999" x14ac:dyDescent="0.7">
      <c r="A8607" s="49">
        <v>44984.779082928246</v>
      </c>
      <c r="B8607" s="50" t="s">
        <v>1</v>
      </c>
      <c r="C8607" s="50" t="s">
        <v>693</v>
      </c>
      <c r="D8607" s="50" t="s">
        <v>261</v>
      </c>
      <c r="E8607" s="50">
        <v>0</v>
      </c>
      <c r="F8607" s="51">
        <v>0.49944937740101625</v>
      </c>
      <c r="G8607" s="51" t="str">
        <v>菊野 2023/03/11 (土)
休日午後</v>
      </c>
    </row>
    <row r="8608" spans="1:7" ht="16.149999999999999" x14ac:dyDescent="0.7">
      <c r="A8608" s="49">
        <v>44984.779955104168</v>
      </c>
      <c r="B8608" s="50" t="s">
        <v>7</v>
      </c>
      <c r="C8608" s="50" t="s">
        <v>686</v>
      </c>
      <c r="D8608" s="50" t="s">
        <v>261</v>
      </c>
      <c r="E8608" s="50">
        <v>-1</v>
      </c>
      <c r="F8608" s="51">
        <v>-0.43679241429871385</v>
      </c>
      <c r="G8608" s="51" t="str">
        <v>竹藤 2023/03/05 (日)
休日午後</v>
      </c>
    </row>
    <row r="8609" spans="1:7" ht="16.149999999999999" x14ac:dyDescent="0.7">
      <c r="A8609" s="49">
        <v>44984.779082928246</v>
      </c>
      <c r="B8609" s="50" t="s">
        <v>1</v>
      </c>
      <c r="C8609" s="50" t="s">
        <v>694</v>
      </c>
      <c r="D8609" s="50" t="s">
        <v>263</v>
      </c>
      <c r="E8609" s="50">
        <v>0</v>
      </c>
      <c r="F8609" s="51">
        <v>0.86639410993714994</v>
      </c>
      <c r="G8609" s="51" t="str">
        <v>菊野 2023/03/12 (日)
休日午前</v>
      </c>
    </row>
    <row r="8610" spans="1:7" ht="16.149999999999999" x14ac:dyDescent="0.7">
      <c r="A8610" s="49">
        <v>44984.779955104168</v>
      </c>
      <c r="B8610" s="50" t="s">
        <v>7</v>
      </c>
      <c r="C8610" s="50" t="s">
        <v>687</v>
      </c>
      <c r="D8610" s="50" t="s">
        <v>259</v>
      </c>
      <c r="E8610" s="50">
        <v>0</v>
      </c>
      <c r="F8610" s="51">
        <v>0.63666480670822412</v>
      </c>
      <c r="G8610" s="51" t="str">
        <v>竹藤 2023/03/06 (月)
平日夜間</v>
      </c>
    </row>
    <row r="8611" spans="1:7" ht="16.149999999999999" x14ac:dyDescent="0.7">
      <c r="A8611" s="49">
        <v>44984.779082928246</v>
      </c>
      <c r="B8611" s="50" t="s">
        <v>1</v>
      </c>
      <c r="C8611" s="50" t="s">
        <v>695</v>
      </c>
      <c r="D8611" s="50" t="s">
        <v>261</v>
      </c>
      <c r="E8611" s="50">
        <v>2</v>
      </c>
      <c r="F8611" s="51">
        <v>2.9337959648600718</v>
      </c>
      <c r="G8611" s="51" t="str">
        <v>菊野 2023/03/12 (日)
休日午後</v>
      </c>
    </row>
    <row r="8612" spans="1:7" ht="16.149999999999999" x14ac:dyDescent="0.7">
      <c r="A8612" s="49">
        <v>44984.779955104168</v>
      </c>
      <c r="B8612" s="50" t="s">
        <v>7</v>
      </c>
      <c r="C8612" s="50" t="s">
        <v>688</v>
      </c>
      <c r="D8612" s="50" t="s">
        <v>259</v>
      </c>
      <c r="E8612" s="50">
        <v>-1</v>
      </c>
      <c r="F8612" s="51">
        <v>-0.86751329003784305</v>
      </c>
      <c r="G8612" s="51" t="str">
        <v>竹藤 2023/03/07 (火)
平日夜間</v>
      </c>
    </row>
    <row r="8613" spans="1:7" ht="16.149999999999999" x14ac:dyDescent="0.7">
      <c r="A8613" s="49">
        <v>44984.779082928246</v>
      </c>
      <c r="B8613" s="50" t="s">
        <v>1</v>
      </c>
      <c r="C8613" s="50" t="s">
        <v>696</v>
      </c>
      <c r="D8613" s="50" t="s">
        <v>259</v>
      </c>
      <c r="E8613" s="50">
        <v>-1</v>
      </c>
      <c r="F8613" s="51">
        <v>-8.2203287533265224E-2</v>
      </c>
      <c r="G8613" s="51" t="str">
        <v>菊野 2023/03/13 (月)
平日夜間</v>
      </c>
    </row>
    <row r="8614" spans="1:7" ht="16.149999999999999" x14ac:dyDescent="0.7">
      <c r="A8614" s="49">
        <v>44984.779955104168</v>
      </c>
      <c r="B8614" s="50" t="s">
        <v>7</v>
      </c>
      <c r="C8614" s="50" t="s">
        <v>689</v>
      </c>
      <c r="D8614" s="50" t="s">
        <v>259</v>
      </c>
      <c r="E8614" s="50">
        <v>0</v>
      </c>
      <c r="F8614" s="51">
        <v>2.9132666247593253E-2</v>
      </c>
      <c r="G8614" s="51" t="str">
        <v>竹藤 2023/03/08 (水)
平日夜間</v>
      </c>
    </row>
    <row r="8615" spans="1:7" ht="16.149999999999999" x14ac:dyDescent="0.7">
      <c r="A8615" s="49">
        <v>44984.779082928246</v>
      </c>
      <c r="B8615" s="50" t="s">
        <v>1</v>
      </c>
      <c r="C8615" s="50" t="s">
        <v>697</v>
      </c>
      <c r="D8615" s="50" t="s">
        <v>259</v>
      </c>
      <c r="E8615" s="50">
        <v>0</v>
      </c>
      <c r="F8615" s="51">
        <v>3.9067037392157555E-2</v>
      </c>
      <c r="G8615" s="51" t="str">
        <v>菊野 2023/03/14 (火)
平日夜間</v>
      </c>
    </row>
    <row r="8616" spans="1:7" ht="16.149999999999999" x14ac:dyDescent="0.7">
      <c r="A8616" s="49">
        <v>44984.779955104168</v>
      </c>
      <c r="B8616" s="50" t="s">
        <v>7</v>
      </c>
      <c r="C8616" s="50" t="s">
        <v>690</v>
      </c>
      <c r="D8616" s="50" t="s">
        <v>259</v>
      </c>
      <c r="E8616" s="50">
        <v>0</v>
      </c>
      <c r="F8616" s="51">
        <v>0.61799701706790033</v>
      </c>
      <c r="G8616" s="51" t="str">
        <v>竹藤 2023/03/09 (木)
平日夜間</v>
      </c>
    </row>
    <row r="8617" spans="1:7" ht="16.149999999999999" x14ac:dyDescent="0.7">
      <c r="A8617" s="49">
        <v>44984.779082928246</v>
      </c>
      <c r="B8617" s="50" t="s">
        <v>1</v>
      </c>
      <c r="C8617" s="50" t="s">
        <v>698</v>
      </c>
      <c r="D8617" s="50" t="s">
        <v>259</v>
      </c>
      <c r="E8617" s="50">
        <v>-1</v>
      </c>
      <c r="F8617" s="51">
        <v>-0.56515222059048553</v>
      </c>
      <c r="G8617" s="51" t="str">
        <v>菊野 2023/03/15 (水)
平日夜間</v>
      </c>
    </row>
    <row r="8618" spans="1:7" ht="16.149999999999999" x14ac:dyDescent="0.7">
      <c r="A8618" s="49">
        <v>44984.779955104168</v>
      </c>
      <c r="B8618" s="50" t="s">
        <v>7</v>
      </c>
      <c r="C8618" s="50" t="s">
        <v>691</v>
      </c>
      <c r="D8618" s="50" t="s">
        <v>259</v>
      </c>
      <c r="E8618" s="50">
        <v>0</v>
      </c>
      <c r="F8618" s="51">
        <v>0.33982536929891705</v>
      </c>
      <c r="G8618" s="51" t="str">
        <v>竹藤 2023/03/10 (金)
平日夜間</v>
      </c>
    </row>
    <row r="8619" spans="1:7" ht="16.149999999999999" x14ac:dyDescent="0.7">
      <c r="A8619" s="49">
        <v>44984.779082928246</v>
      </c>
      <c r="B8619" s="50" t="s">
        <v>1</v>
      </c>
      <c r="C8619" s="50" t="s">
        <v>699</v>
      </c>
      <c r="D8619" s="50" t="s">
        <v>259</v>
      </c>
      <c r="E8619" s="50">
        <v>-1</v>
      </c>
      <c r="F8619" s="51">
        <v>-0.40539705874524912</v>
      </c>
      <c r="G8619" s="51" t="str">
        <v>菊野 2023/03/16 (木)
平日夜間</v>
      </c>
    </row>
    <row r="8620" spans="1:7" ht="16.149999999999999" x14ac:dyDescent="0.7">
      <c r="A8620" s="49">
        <v>44984.779955104168</v>
      </c>
      <c r="B8620" s="50" t="s">
        <v>7</v>
      </c>
      <c r="C8620" s="50" t="s">
        <v>692</v>
      </c>
      <c r="D8620" s="50" t="s">
        <v>263</v>
      </c>
      <c r="E8620" s="50">
        <v>0</v>
      </c>
      <c r="F8620" s="51">
        <v>0.80711639222235876</v>
      </c>
      <c r="G8620" s="51" t="str">
        <v>竹藤 2023/03/11 (土)
休日午前</v>
      </c>
    </row>
    <row r="8621" spans="1:7" ht="16.149999999999999" x14ac:dyDescent="0.7">
      <c r="A8621" s="49">
        <v>44984.779082928246</v>
      </c>
      <c r="B8621" s="50" t="s">
        <v>1</v>
      </c>
      <c r="C8621" s="50" t="s">
        <v>700</v>
      </c>
      <c r="D8621" s="50" t="s">
        <v>259</v>
      </c>
      <c r="E8621" s="50">
        <v>-1</v>
      </c>
      <c r="F8621" s="51">
        <v>-0.52246003730807611</v>
      </c>
      <c r="G8621" s="51" t="str">
        <v>菊野 2023/03/17 (金)
平日夜間</v>
      </c>
    </row>
    <row r="8622" spans="1:7" ht="16.149999999999999" x14ac:dyDescent="0.7">
      <c r="A8622" s="49">
        <v>44984.779955104168</v>
      </c>
      <c r="B8622" s="50" t="s">
        <v>7</v>
      </c>
      <c r="C8622" s="50" t="s">
        <v>693</v>
      </c>
      <c r="D8622" s="50" t="s">
        <v>261</v>
      </c>
      <c r="E8622" s="50">
        <v>0</v>
      </c>
      <c r="F8622" s="51">
        <v>0.36645242836398562</v>
      </c>
      <c r="G8622" s="51" t="str">
        <v>竹藤 2023/03/11 (土)
休日午後</v>
      </c>
    </row>
    <row r="8623" spans="1:7" ht="16.149999999999999" x14ac:dyDescent="0.7">
      <c r="A8623" s="49">
        <v>44984.779082928246</v>
      </c>
      <c r="B8623" s="50" t="s">
        <v>1</v>
      </c>
      <c r="C8623" s="50" t="s">
        <v>701</v>
      </c>
      <c r="D8623" s="50" t="s">
        <v>263</v>
      </c>
      <c r="E8623" s="50">
        <v>-1</v>
      </c>
      <c r="F8623" s="51">
        <v>-0.64337340312253355</v>
      </c>
      <c r="G8623" s="51" t="str">
        <v>菊野 2023/03/18 (土)
休日午前</v>
      </c>
    </row>
    <row r="8624" spans="1:7" ht="16.149999999999999" x14ac:dyDescent="0.7">
      <c r="A8624" s="49">
        <v>44984.779955104168</v>
      </c>
      <c r="B8624" s="50" t="s">
        <v>7</v>
      </c>
      <c r="C8624" s="50" t="s">
        <v>694</v>
      </c>
      <c r="D8624" s="50" t="s">
        <v>263</v>
      </c>
      <c r="E8624" s="50">
        <v>0</v>
      </c>
      <c r="F8624" s="51">
        <v>0.90823310418865888</v>
      </c>
      <c r="G8624" s="51" t="str">
        <v>竹藤 2023/03/12 (日)
休日午前</v>
      </c>
    </row>
    <row r="8625" spans="1:7" ht="16.149999999999999" x14ac:dyDescent="0.7">
      <c r="A8625" s="49">
        <v>44984.779082928246</v>
      </c>
      <c r="B8625" s="50" t="s">
        <v>1</v>
      </c>
      <c r="C8625" s="50" t="s">
        <v>702</v>
      </c>
      <c r="D8625" s="50" t="s">
        <v>261</v>
      </c>
      <c r="E8625" s="50">
        <v>-1</v>
      </c>
      <c r="F8625" s="51">
        <v>-0.72563977203476648</v>
      </c>
      <c r="G8625" s="51" t="str">
        <v>菊野 2023/03/18 (土)
休日午後</v>
      </c>
    </row>
    <row r="8626" spans="1:7" ht="16.149999999999999" x14ac:dyDescent="0.7">
      <c r="A8626" s="49">
        <v>44984.779955104168</v>
      </c>
      <c r="B8626" s="50" t="s">
        <v>7</v>
      </c>
      <c r="C8626" s="50" t="s">
        <v>695</v>
      </c>
      <c r="D8626" s="50" t="s">
        <v>261</v>
      </c>
      <c r="E8626" s="50">
        <v>-1</v>
      </c>
      <c r="F8626" s="51">
        <v>-0.51279440057988923</v>
      </c>
      <c r="G8626" s="51" t="str">
        <v>竹藤 2023/03/12 (日)
休日午後</v>
      </c>
    </row>
    <row r="8627" spans="1:7" ht="16.149999999999999" x14ac:dyDescent="0.7">
      <c r="A8627" s="49">
        <v>44984.779082928246</v>
      </c>
      <c r="B8627" s="50" t="s">
        <v>1</v>
      </c>
      <c r="C8627" s="50" t="s">
        <v>703</v>
      </c>
      <c r="D8627" s="50" t="s">
        <v>263</v>
      </c>
      <c r="E8627" s="50">
        <v>-1</v>
      </c>
      <c r="F8627" s="51">
        <v>-0.4306735336850378</v>
      </c>
      <c r="G8627" s="51" t="str">
        <v>菊野 2023/03/19 (日)
休日午前</v>
      </c>
    </row>
    <row r="8628" spans="1:7" ht="16.149999999999999" x14ac:dyDescent="0.7">
      <c r="A8628" s="49">
        <v>44984.779955104168</v>
      </c>
      <c r="B8628" s="50" t="s">
        <v>7</v>
      </c>
      <c r="C8628" s="50" t="s">
        <v>696</v>
      </c>
      <c r="D8628" s="50" t="s">
        <v>259</v>
      </c>
      <c r="E8628" s="50">
        <v>0</v>
      </c>
      <c r="F8628" s="51">
        <v>0.56135798783558721</v>
      </c>
      <c r="G8628" s="51" t="str">
        <v>竹藤 2023/03/13 (月)
平日夜間</v>
      </c>
    </row>
    <row r="8629" spans="1:7" ht="16.149999999999999" x14ac:dyDescent="0.7">
      <c r="A8629" s="49">
        <v>44984.779955104168</v>
      </c>
      <c r="B8629" s="50" t="s">
        <v>7</v>
      </c>
      <c r="C8629" s="50" t="s">
        <v>697</v>
      </c>
      <c r="D8629" s="50" t="s">
        <v>259</v>
      </c>
      <c r="E8629" s="50">
        <v>-1</v>
      </c>
      <c r="F8629" s="51">
        <v>-0.1879521324616571</v>
      </c>
      <c r="G8629" s="51" t="str">
        <v>竹藤 2023/03/14 (火)
平日夜間</v>
      </c>
    </row>
    <row r="8630" spans="1:7" ht="16.149999999999999" x14ac:dyDescent="0.7">
      <c r="A8630" s="49">
        <v>44984.779955104168</v>
      </c>
      <c r="B8630" s="50" t="s">
        <v>7</v>
      </c>
      <c r="C8630" s="50" t="s">
        <v>698</v>
      </c>
      <c r="D8630" s="50" t="s">
        <v>259</v>
      </c>
      <c r="E8630" s="50">
        <v>0</v>
      </c>
      <c r="F8630" s="51">
        <v>0.79084128613571103</v>
      </c>
      <c r="G8630" s="51" t="str">
        <v>竹藤 2023/03/15 (水)
平日夜間</v>
      </c>
    </row>
    <row r="8631" spans="1:7" ht="16.149999999999999" x14ac:dyDescent="0.7">
      <c r="A8631" s="49">
        <v>44984.779955104168</v>
      </c>
      <c r="B8631" s="50" t="s">
        <v>7</v>
      </c>
      <c r="C8631" s="50" t="s">
        <v>699</v>
      </c>
      <c r="D8631" s="50" t="s">
        <v>259</v>
      </c>
      <c r="E8631" s="50">
        <v>0</v>
      </c>
      <c r="F8631" s="51">
        <v>0.93681262911602126</v>
      </c>
      <c r="G8631" s="51" t="str">
        <v>竹藤 2023/03/16 (木)
平日夜間</v>
      </c>
    </row>
    <row r="8632" spans="1:7" ht="16.149999999999999" x14ac:dyDescent="0.7">
      <c r="A8632" s="49">
        <v>44984.779955104168</v>
      </c>
      <c r="B8632" s="50" t="s">
        <v>7</v>
      </c>
      <c r="C8632" s="50" t="s">
        <v>700</v>
      </c>
      <c r="D8632" s="50" t="s">
        <v>259</v>
      </c>
      <c r="E8632" s="50">
        <v>0</v>
      </c>
      <c r="F8632" s="51">
        <v>0.55360599240416852</v>
      </c>
      <c r="G8632" s="51" t="str">
        <v>竹藤 2023/03/17 (金)
平日夜間</v>
      </c>
    </row>
    <row r="8633" spans="1:7" ht="16.149999999999999" x14ac:dyDescent="0.7">
      <c r="A8633" s="49">
        <v>44984.783981851855</v>
      </c>
      <c r="B8633" s="50" t="s">
        <v>3</v>
      </c>
      <c r="C8633" s="50" t="s">
        <v>680</v>
      </c>
      <c r="D8633" s="50" t="s">
        <v>259</v>
      </c>
      <c r="E8633" s="50">
        <v>-1</v>
      </c>
      <c r="F8633" s="51">
        <v>-0.94702970824776656</v>
      </c>
      <c r="G8633" s="51" t="str">
        <v>高口 2023/03/01 (水)
平日夜間</v>
      </c>
    </row>
    <row r="8634" spans="1:7" ht="16.149999999999999" x14ac:dyDescent="0.7">
      <c r="A8634" s="49">
        <v>44984.779955104168</v>
      </c>
      <c r="B8634" s="50" t="s">
        <v>7</v>
      </c>
      <c r="C8634" s="50" t="s">
        <v>701</v>
      </c>
      <c r="D8634" s="50" t="s">
        <v>263</v>
      </c>
      <c r="E8634" s="50">
        <v>0</v>
      </c>
      <c r="F8634" s="51">
        <v>0.51899408116712453</v>
      </c>
      <c r="G8634" s="51" t="str">
        <v>竹藤 2023/03/18 (土)
休日午前</v>
      </c>
    </row>
    <row r="8635" spans="1:7" ht="16.149999999999999" x14ac:dyDescent="0.7">
      <c r="A8635" s="49">
        <v>44984.783981851855</v>
      </c>
      <c r="B8635" s="50" t="s">
        <v>3</v>
      </c>
      <c r="C8635" s="50" t="s">
        <v>681</v>
      </c>
      <c r="D8635" s="50" t="s">
        <v>259</v>
      </c>
      <c r="E8635" s="50">
        <v>-1</v>
      </c>
      <c r="F8635" s="51">
        <v>-0.6703812859242293</v>
      </c>
      <c r="G8635" s="51" t="str">
        <v>高口 2023/03/02 (木)
平日夜間</v>
      </c>
    </row>
    <row r="8636" spans="1:7" ht="16.149999999999999" x14ac:dyDescent="0.7">
      <c r="A8636" s="49">
        <v>44984.783981851855</v>
      </c>
      <c r="B8636" s="50" t="s">
        <v>3</v>
      </c>
      <c r="C8636" s="50" t="s">
        <v>682</v>
      </c>
      <c r="D8636" s="50" t="s">
        <v>259</v>
      </c>
      <c r="E8636" s="50">
        <v>0</v>
      </c>
      <c r="F8636" s="51">
        <v>0.15501016296912162</v>
      </c>
      <c r="G8636" s="51" t="str">
        <v>高口 2023/03/03 (金)
平日夜間</v>
      </c>
    </row>
    <row r="8637" spans="1:7" ht="16.149999999999999" x14ac:dyDescent="0.7">
      <c r="A8637" s="49">
        <v>44984.783981851855</v>
      </c>
      <c r="B8637" s="50" t="s">
        <v>3</v>
      </c>
      <c r="C8637" s="50" t="s">
        <v>683</v>
      </c>
      <c r="D8637" s="50" t="s">
        <v>263</v>
      </c>
      <c r="E8637" s="50">
        <v>-1</v>
      </c>
      <c r="F8637" s="51">
        <v>-0.37609339670015229</v>
      </c>
      <c r="G8637" s="51" t="str">
        <v>高口 2023/03/04 (土)
休日午前</v>
      </c>
    </row>
    <row r="8638" spans="1:7" ht="16.149999999999999" x14ac:dyDescent="0.7">
      <c r="A8638" s="49">
        <v>44984.783981851855</v>
      </c>
      <c r="B8638" s="50" t="s">
        <v>3</v>
      </c>
      <c r="C8638" s="50" t="s">
        <v>684</v>
      </c>
      <c r="D8638" s="50" t="s">
        <v>261</v>
      </c>
      <c r="E8638" s="50">
        <v>-1</v>
      </c>
      <c r="F8638" s="51">
        <v>-0.79862158950120876</v>
      </c>
      <c r="G8638" s="51" t="str">
        <v>高口 2023/03/04 (土)
休日午後</v>
      </c>
    </row>
    <row r="8639" spans="1:7" ht="16.149999999999999" x14ac:dyDescent="0.7">
      <c r="A8639" s="49">
        <v>44984.783981851855</v>
      </c>
      <c r="B8639" s="50" t="s">
        <v>3</v>
      </c>
      <c r="C8639" s="50" t="s">
        <v>685</v>
      </c>
      <c r="D8639" s="50" t="s">
        <v>263</v>
      </c>
      <c r="E8639" s="50">
        <v>-1</v>
      </c>
      <c r="F8639" s="51">
        <v>-0.83502918199872189</v>
      </c>
      <c r="G8639" s="51" t="str">
        <v>高口 2023/03/05 (日)
休日午前</v>
      </c>
    </row>
    <row r="8640" spans="1:7" ht="16.149999999999999" x14ac:dyDescent="0.7">
      <c r="A8640" s="49">
        <v>44984.783981851855</v>
      </c>
      <c r="B8640" s="50" t="s">
        <v>3</v>
      </c>
      <c r="C8640" s="50" t="s">
        <v>686</v>
      </c>
      <c r="D8640" s="50" t="s">
        <v>261</v>
      </c>
      <c r="E8640" s="50">
        <v>-1</v>
      </c>
      <c r="F8640" s="51">
        <v>-0.25929717525888307</v>
      </c>
      <c r="G8640" s="51" t="str">
        <v>高口 2023/03/05 (日)
休日午後</v>
      </c>
    </row>
    <row r="8641" spans="1:7" ht="16.149999999999999" x14ac:dyDescent="0.7">
      <c r="A8641" s="49">
        <v>44984.783981851855</v>
      </c>
      <c r="B8641" s="50" t="s">
        <v>3</v>
      </c>
      <c r="C8641" s="50" t="s">
        <v>687</v>
      </c>
      <c r="D8641" s="50" t="s">
        <v>259</v>
      </c>
      <c r="E8641" s="50">
        <v>0</v>
      </c>
      <c r="F8641" s="51">
        <v>0.40137826716413616</v>
      </c>
      <c r="G8641" s="51" t="str">
        <v>高口 2023/03/06 (月)
平日夜間</v>
      </c>
    </row>
    <row r="8642" spans="1:7" ht="16.149999999999999" x14ac:dyDescent="0.7">
      <c r="A8642" s="49">
        <v>44984.783981851855</v>
      </c>
      <c r="B8642" s="50" t="s">
        <v>3</v>
      </c>
      <c r="C8642" s="50" t="s">
        <v>688</v>
      </c>
      <c r="D8642" s="50" t="s">
        <v>259</v>
      </c>
      <c r="E8642" s="50">
        <v>-1</v>
      </c>
      <c r="F8642" s="51">
        <v>-0.35738366848653502</v>
      </c>
      <c r="G8642" s="51" t="str">
        <v>高口 2023/03/07 (火)
平日夜間</v>
      </c>
    </row>
    <row r="8643" spans="1:7" ht="16.149999999999999" x14ac:dyDescent="0.7">
      <c r="A8643" s="49">
        <v>44984.783981851855</v>
      </c>
      <c r="B8643" s="50" t="s">
        <v>3</v>
      </c>
      <c r="C8643" s="50" t="s">
        <v>689</v>
      </c>
      <c r="D8643" s="50" t="s">
        <v>259</v>
      </c>
      <c r="E8643" s="50">
        <v>-1</v>
      </c>
      <c r="F8643" s="51">
        <v>-0.29436225122670856</v>
      </c>
      <c r="G8643" s="51" t="str">
        <v>高口 2023/03/08 (水)
平日夜間</v>
      </c>
    </row>
    <row r="8644" spans="1:7" ht="16.149999999999999" x14ac:dyDescent="0.7">
      <c r="A8644" s="49">
        <v>44984.783981851855</v>
      </c>
      <c r="B8644" s="50" t="s">
        <v>3</v>
      </c>
      <c r="C8644" s="50" t="s">
        <v>690</v>
      </c>
      <c r="D8644" s="50" t="s">
        <v>259</v>
      </c>
      <c r="E8644" s="50">
        <v>0</v>
      </c>
      <c r="F8644" s="51">
        <v>0.79968128938672267</v>
      </c>
      <c r="G8644" s="51" t="str">
        <v>高口 2023/03/09 (木)
平日夜間</v>
      </c>
    </row>
    <row r="8645" spans="1:7" ht="16.149999999999999" x14ac:dyDescent="0.7">
      <c r="A8645" s="49">
        <v>44984.783981851855</v>
      </c>
      <c r="B8645" s="50" t="s">
        <v>3</v>
      </c>
      <c r="C8645" s="50" t="s">
        <v>691</v>
      </c>
      <c r="D8645" s="50" t="s">
        <v>259</v>
      </c>
      <c r="E8645" s="50">
        <v>-1</v>
      </c>
      <c r="F8645" s="51">
        <v>-0.8214279014398489</v>
      </c>
      <c r="G8645" s="51" t="str">
        <v>高口 2023/03/10 (金)
平日夜間</v>
      </c>
    </row>
    <row r="8646" spans="1:7" ht="16.149999999999999" x14ac:dyDescent="0.7">
      <c r="A8646" s="49">
        <v>44984.783981851855</v>
      </c>
      <c r="B8646" s="50" t="s">
        <v>3</v>
      </c>
      <c r="C8646" s="50" t="s">
        <v>692</v>
      </c>
      <c r="D8646" s="50" t="s">
        <v>263</v>
      </c>
      <c r="E8646" s="50">
        <v>-1</v>
      </c>
      <c r="F8646" s="51">
        <v>-0.65577939472921609</v>
      </c>
      <c r="G8646" s="51" t="str">
        <v>高口 2023/03/11 (土)
休日午前</v>
      </c>
    </row>
    <row r="8647" spans="1:7" ht="16.149999999999999" x14ac:dyDescent="0.7">
      <c r="A8647" s="49">
        <v>44984.783981851855</v>
      </c>
      <c r="B8647" s="50" t="s">
        <v>3</v>
      </c>
      <c r="C8647" s="50" t="s">
        <v>693</v>
      </c>
      <c r="D8647" s="50" t="s">
        <v>261</v>
      </c>
      <c r="E8647" s="50">
        <v>-1</v>
      </c>
      <c r="F8647" s="51">
        <v>-0.53657722331460111</v>
      </c>
      <c r="G8647" s="51" t="str">
        <v>高口 2023/03/11 (土)
休日午後</v>
      </c>
    </row>
    <row r="8648" spans="1:7" ht="16.149999999999999" x14ac:dyDescent="0.7">
      <c r="A8648" s="49">
        <v>44984.783981851855</v>
      </c>
      <c r="B8648" s="50" t="s">
        <v>3</v>
      </c>
      <c r="C8648" s="50" t="s">
        <v>694</v>
      </c>
      <c r="D8648" s="50" t="s">
        <v>263</v>
      </c>
      <c r="E8648" s="50">
        <v>-1</v>
      </c>
      <c r="F8648" s="51">
        <v>-0.76507650938616178</v>
      </c>
      <c r="G8648" s="51" t="str">
        <v>高口 2023/03/12 (日)
休日午前</v>
      </c>
    </row>
    <row r="8649" spans="1:7" ht="16.149999999999999" x14ac:dyDescent="0.7">
      <c r="A8649" s="49">
        <v>44984.783981851855</v>
      </c>
      <c r="B8649" s="50" t="s">
        <v>3</v>
      </c>
      <c r="C8649" s="50" t="s">
        <v>695</v>
      </c>
      <c r="D8649" s="50" t="s">
        <v>261</v>
      </c>
      <c r="E8649" s="50">
        <v>-1</v>
      </c>
      <c r="F8649" s="51">
        <v>-0.19411593451630171</v>
      </c>
      <c r="G8649" s="51" t="str">
        <v>高口 2023/03/12 (日)
休日午後</v>
      </c>
    </row>
    <row r="8650" spans="1:7" ht="16.149999999999999" x14ac:dyDescent="0.7">
      <c r="A8650" s="49">
        <v>44984.783981851855</v>
      </c>
      <c r="B8650" s="50" t="s">
        <v>3</v>
      </c>
      <c r="C8650" s="50" t="s">
        <v>696</v>
      </c>
      <c r="D8650" s="50" t="s">
        <v>259</v>
      </c>
      <c r="E8650" s="50">
        <v>0</v>
      </c>
      <c r="F8650" s="51">
        <v>0.33401735496552032</v>
      </c>
      <c r="G8650" s="51" t="str">
        <v>高口 2023/03/13 (月)
平日夜間</v>
      </c>
    </row>
    <row r="8651" spans="1:7" ht="16.149999999999999" x14ac:dyDescent="0.7">
      <c r="A8651" s="49">
        <v>44984.783981851855</v>
      </c>
      <c r="B8651" s="50" t="s">
        <v>3</v>
      </c>
      <c r="C8651" s="50" t="s">
        <v>697</v>
      </c>
      <c r="D8651" s="50" t="s">
        <v>259</v>
      </c>
      <c r="E8651" s="50">
        <v>0</v>
      </c>
      <c r="F8651" s="51">
        <v>0.94117658363573309</v>
      </c>
      <c r="G8651" s="51" t="str">
        <v>高口 2023/03/14 (火)
平日夜間</v>
      </c>
    </row>
    <row r="8652" spans="1:7" ht="16.149999999999999" x14ac:dyDescent="0.7">
      <c r="A8652" s="49">
        <v>44984.783981851855</v>
      </c>
      <c r="B8652" s="50" t="s">
        <v>3</v>
      </c>
      <c r="C8652" s="50" t="s">
        <v>698</v>
      </c>
      <c r="D8652" s="50" t="s">
        <v>259</v>
      </c>
      <c r="E8652" s="50">
        <v>0</v>
      </c>
      <c r="F8652" s="51">
        <v>0.62109973768188387</v>
      </c>
      <c r="G8652" s="51" t="str">
        <v>高口 2023/03/15 (水)
平日夜間</v>
      </c>
    </row>
    <row r="8653" spans="1:7" ht="16.149999999999999" x14ac:dyDescent="0.7">
      <c r="A8653" s="49">
        <v>44984.783981851855</v>
      </c>
      <c r="B8653" s="50" t="s">
        <v>3</v>
      </c>
      <c r="C8653" s="50" t="s">
        <v>699</v>
      </c>
      <c r="D8653" s="50" t="s">
        <v>259</v>
      </c>
      <c r="E8653" s="50">
        <v>0</v>
      </c>
      <c r="F8653" s="51">
        <v>0.19571129880662674</v>
      </c>
      <c r="G8653" s="51" t="str">
        <v>高口 2023/03/16 (木)
平日夜間</v>
      </c>
    </row>
    <row r="8654" spans="1:7" ht="16.149999999999999" x14ac:dyDescent="0.7">
      <c r="A8654" s="49">
        <v>44984.783981851855</v>
      </c>
      <c r="B8654" s="50" t="s">
        <v>3</v>
      </c>
      <c r="C8654" s="50" t="s">
        <v>700</v>
      </c>
      <c r="D8654" s="50" t="s">
        <v>259</v>
      </c>
      <c r="E8654" s="50">
        <v>0</v>
      </c>
      <c r="F8654" s="51">
        <v>0.12999588826910236</v>
      </c>
      <c r="G8654" s="51" t="str">
        <v>高口 2023/03/17 (金)
平日夜間</v>
      </c>
    </row>
    <row r="8655" spans="1:7" ht="16.149999999999999" x14ac:dyDescent="0.7">
      <c r="A8655" s="49">
        <v>44984.783981851855</v>
      </c>
      <c r="B8655" s="50" t="s">
        <v>3</v>
      </c>
      <c r="C8655" s="50" t="s">
        <v>701</v>
      </c>
      <c r="D8655" s="50" t="s">
        <v>263</v>
      </c>
      <c r="E8655" s="50">
        <v>-1</v>
      </c>
      <c r="F8655" s="51">
        <v>-0.51729841120124709</v>
      </c>
      <c r="G8655" s="51" t="str">
        <v>高口 2023/03/18 (土)
休日午前</v>
      </c>
    </row>
    <row r="8656" spans="1:7" ht="16.149999999999999" x14ac:dyDescent="0.7">
      <c r="A8656" s="49">
        <v>44984.783981851855</v>
      </c>
      <c r="B8656" s="50" t="s">
        <v>3</v>
      </c>
      <c r="C8656" s="50" t="s">
        <v>702</v>
      </c>
      <c r="D8656" s="50" t="s">
        <v>261</v>
      </c>
      <c r="E8656" s="50">
        <v>0</v>
      </c>
      <c r="F8656" s="51">
        <v>0.13050240079890529</v>
      </c>
      <c r="G8656" s="51" t="str">
        <v>高口 2023/03/18 (土)
休日午後</v>
      </c>
    </row>
    <row r="8657" spans="1:7" ht="16.149999999999999" x14ac:dyDescent="0.7">
      <c r="A8657" s="49">
        <v>44984.783981851855</v>
      </c>
      <c r="B8657" s="50" t="s">
        <v>3</v>
      </c>
      <c r="C8657" s="50" t="s">
        <v>703</v>
      </c>
      <c r="D8657" s="50" t="s">
        <v>263</v>
      </c>
      <c r="E8657" s="50">
        <v>2</v>
      </c>
      <c r="F8657" s="51">
        <v>2.4165950046719558</v>
      </c>
      <c r="G8657" s="51" t="str">
        <v>高口 2023/03/19 (日)
休日午前</v>
      </c>
    </row>
    <row r="8658" spans="1:7" ht="16.149999999999999" x14ac:dyDescent="0.7">
      <c r="A8658" s="49">
        <v>44984.783981851855</v>
      </c>
      <c r="B8658" s="50" t="s">
        <v>3</v>
      </c>
      <c r="C8658" s="50" t="s">
        <v>704</v>
      </c>
      <c r="D8658" s="50" t="s">
        <v>261</v>
      </c>
      <c r="E8658" s="50">
        <v>2</v>
      </c>
      <c r="F8658" s="51">
        <v>2.7401993231341386</v>
      </c>
      <c r="G8658" s="51" t="str">
        <v>高口 2023/03/19 (日)
休日午後</v>
      </c>
    </row>
    <row r="8659" spans="1:7" ht="16.149999999999999" x14ac:dyDescent="0.7">
      <c r="A8659" s="49">
        <v>44984.783981851855</v>
      </c>
      <c r="B8659" s="50" t="s">
        <v>3</v>
      </c>
      <c r="C8659" s="50" t="s">
        <v>705</v>
      </c>
      <c r="D8659" s="50" t="s">
        <v>259</v>
      </c>
      <c r="E8659" s="50">
        <v>0</v>
      </c>
      <c r="F8659" s="51">
        <v>0.77630103444160459</v>
      </c>
      <c r="G8659" s="51" t="str">
        <v>高口 2023/03/20 (月)
平日夜間</v>
      </c>
    </row>
    <row r="8660" spans="1:7" ht="16.149999999999999" x14ac:dyDescent="0.7">
      <c r="A8660" s="49">
        <v>44984.783981851855</v>
      </c>
      <c r="B8660" s="50" t="s">
        <v>3</v>
      </c>
      <c r="C8660" s="50" t="s">
        <v>706</v>
      </c>
      <c r="D8660" s="50" t="s">
        <v>263</v>
      </c>
      <c r="E8660" s="50">
        <v>-1</v>
      </c>
      <c r="F8660" s="51">
        <v>-0.99474090588309916</v>
      </c>
      <c r="G8660" s="51" t="str">
        <v>高口 2023/03/21 (火)
休日午前</v>
      </c>
    </row>
    <row r="8661" spans="1:7" ht="16.149999999999999" x14ac:dyDescent="0.7">
      <c r="A8661" s="49">
        <v>44984.783981851855</v>
      </c>
      <c r="B8661" s="50" t="s">
        <v>3</v>
      </c>
      <c r="C8661" s="50" t="s">
        <v>707</v>
      </c>
      <c r="D8661" s="50" t="s">
        <v>261</v>
      </c>
      <c r="E8661" s="50">
        <v>-1</v>
      </c>
      <c r="F8661" s="51">
        <v>-0.64818982875412634</v>
      </c>
      <c r="G8661" s="51" t="str">
        <v>高口 2023/03/21 (火)
休日午後</v>
      </c>
    </row>
    <row r="8662" spans="1:7" ht="16.149999999999999" x14ac:dyDescent="0.7">
      <c r="A8662" s="49">
        <v>44984.783981851855</v>
      </c>
      <c r="B8662" s="50" t="s">
        <v>3</v>
      </c>
      <c r="C8662" s="50" t="s">
        <v>708</v>
      </c>
      <c r="D8662" s="50" t="s">
        <v>259</v>
      </c>
      <c r="E8662" s="50">
        <v>0</v>
      </c>
      <c r="F8662" s="51">
        <v>0.17205339263283692</v>
      </c>
      <c r="G8662" s="51" t="str">
        <v>高口 2023/03/22 (水)
平日夜間</v>
      </c>
    </row>
    <row r="8663" spans="1:7" ht="16.149999999999999" x14ac:dyDescent="0.7">
      <c r="A8663" s="49">
        <v>44984.783981851855</v>
      </c>
      <c r="B8663" s="50" t="s">
        <v>3</v>
      </c>
      <c r="C8663" s="50" t="s">
        <v>709</v>
      </c>
      <c r="D8663" s="50" t="s">
        <v>259</v>
      </c>
      <c r="E8663" s="50">
        <v>0</v>
      </c>
      <c r="F8663" s="51">
        <v>0.13215867793512692</v>
      </c>
      <c r="G8663" s="51" t="str">
        <v>高口 2023/03/23 (木)
平日夜間</v>
      </c>
    </row>
    <row r="8664" spans="1:7" ht="16.149999999999999" x14ac:dyDescent="0.7">
      <c r="A8664" s="49">
        <v>44984.783981851855</v>
      </c>
      <c r="B8664" s="50" t="s">
        <v>3</v>
      </c>
      <c r="C8664" s="50" t="s">
        <v>710</v>
      </c>
      <c r="D8664" s="50" t="s">
        <v>259</v>
      </c>
      <c r="E8664" s="50">
        <v>0</v>
      </c>
      <c r="F8664" s="51">
        <v>0.52981216204231663</v>
      </c>
      <c r="G8664" s="51" t="str">
        <v>高口 2023/03/24 (金)
平日夜間</v>
      </c>
    </row>
    <row r="8665" spans="1:7" ht="16.149999999999999" x14ac:dyDescent="0.7">
      <c r="A8665" s="49">
        <v>44984.783981851855</v>
      </c>
      <c r="B8665" s="50" t="s">
        <v>3</v>
      </c>
      <c r="C8665" s="50" t="s">
        <v>711</v>
      </c>
      <c r="D8665" s="50" t="s">
        <v>263</v>
      </c>
      <c r="E8665" s="50">
        <v>-1</v>
      </c>
      <c r="F8665" s="51">
        <v>-0.64706969439234752</v>
      </c>
      <c r="G8665" s="51" t="str">
        <v>高口 2023/03/25 (土)
休日午前</v>
      </c>
    </row>
    <row r="8666" spans="1:7" ht="16.149999999999999" x14ac:dyDescent="0.7">
      <c r="A8666" s="49">
        <v>44984.783981851855</v>
      </c>
      <c r="B8666" s="50" t="s">
        <v>3</v>
      </c>
      <c r="C8666" s="50" t="s">
        <v>712</v>
      </c>
      <c r="D8666" s="50" t="s">
        <v>261</v>
      </c>
      <c r="E8666" s="50">
        <v>-1</v>
      </c>
      <c r="F8666" s="51">
        <v>-0.67744856354929728</v>
      </c>
      <c r="G8666" s="51" t="str">
        <v>高口 2023/03/25 (土)
休日午後</v>
      </c>
    </row>
    <row r="8667" spans="1:7" ht="16.149999999999999" x14ac:dyDescent="0.7">
      <c r="A8667" s="49">
        <v>44984.783981851855</v>
      </c>
      <c r="B8667" s="50" t="s">
        <v>3</v>
      </c>
      <c r="C8667" s="50" t="s">
        <v>713</v>
      </c>
      <c r="D8667" s="50" t="s">
        <v>263</v>
      </c>
      <c r="E8667" s="50">
        <v>0</v>
      </c>
      <c r="F8667" s="51">
        <v>0.15022363455150001</v>
      </c>
      <c r="G8667" s="51" t="str">
        <v>高口 2023/03/26 (日)
休日午前</v>
      </c>
    </row>
    <row r="8668" spans="1:7" ht="16.149999999999999" x14ac:dyDescent="0.7">
      <c r="A8668" s="49">
        <v>44984.783981851855</v>
      </c>
      <c r="B8668" s="50" t="s">
        <v>3</v>
      </c>
      <c r="C8668" s="50" t="s">
        <v>714</v>
      </c>
      <c r="D8668" s="50" t="s">
        <v>261</v>
      </c>
      <c r="E8668" s="50">
        <v>2</v>
      </c>
      <c r="F8668" s="51">
        <v>2.8541107989159284</v>
      </c>
      <c r="G8668" s="51" t="str">
        <v>高口 2023/03/26 (日)
休日午後</v>
      </c>
    </row>
    <row r="8669" spans="1:7" ht="16.149999999999999" x14ac:dyDescent="0.7">
      <c r="A8669" s="49">
        <v>44984.831814687495</v>
      </c>
      <c r="B8669" s="50" t="s">
        <v>13</v>
      </c>
      <c r="C8669" s="50" t="s">
        <v>680</v>
      </c>
      <c r="D8669" s="50" t="s">
        <v>259</v>
      </c>
      <c r="E8669" s="50">
        <v>-1</v>
      </c>
      <c r="F8669" s="51">
        <v>-3.8159028014471907E-2</v>
      </c>
      <c r="G8669" s="51" t="str">
        <v>新美 2023/03/01 (水)
平日夜間</v>
      </c>
    </row>
    <row r="8670" spans="1:7" ht="16.149999999999999" x14ac:dyDescent="0.7">
      <c r="A8670" s="49">
        <v>44984.831814687495</v>
      </c>
      <c r="B8670" s="50" t="s">
        <v>13</v>
      </c>
      <c r="C8670" s="50" t="s">
        <v>681</v>
      </c>
      <c r="D8670" s="50" t="s">
        <v>259</v>
      </c>
      <c r="E8670" s="50">
        <v>0</v>
      </c>
      <c r="F8670" s="51">
        <v>4.3215757809935695E-3</v>
      </c>
      <c r="G8670" s="51" t="str">
        <v>新美 2023/03/02 (木)
平日夜間</v>
      </c>
    </row>
    <row r="8671" spans="1:7" ht="16.149999999999999" x14ac:dyDescent="0.7">
      <c r="A8671" s="49">
        <v>44984.831814687495</v>
      </c>
      <c r="B8671" s="50" t="s">
        <v>13</v>
      </c>
      <c r="C8671" s="50" t="s">
        <v>682</v>
      </c>
      <c r="D8671" s="50" t="s">
        <v>259</v>
      </c>
      <c r="E8671" s="50">
        <v>-1</v>
      </c>
      <c r="F8671" s="51">
        <v>-0.37592489603579105</v>
      </c>
      <c r="G8671" s="51" t="str">
        <v>新美 2023/03/03 (金)
平日夜間</v>
      </c>
    </row>
    <row r="8672" spans="1:7" ht="16.149999999999999" x14ac:dyDescent="0.7">
      <c r="A8672" s="49">
        <v>44984.831814687495</v>
      </c>
      <c r="B8672" s="50" t="s">
        <v>13</v>
      </c>
      <c r="C8672" s="50" t="s">
        <v>683</v>
      </c>
      <c r="D8672" s="50" t="s">
        <v>263</v>
      </c>
      <c r="E8672" s="50">
        <v>-1</v>
      </c>
      <c r="F8672" s="51">
        <v>-0.7983087685531931</v>
      </c>
      <c r="G8672" s="51" t="str">
        <v>新美 2023/03/04 (土)
休日午前</v>
      </c>
    </row>
    <row r="8673" spans="1:7" ht="16.149999999999999" x14ac:dyDescent="0.7">
      <c r="A8673" s="49">
        <v>44984.831814687495</v>
      </c>
      <c r="B8673" s="50" t="s">
        <v>13</v>
      </c>
      <c r="C8673" s="50" t="s">
        <v>684</v>
      </c>
      <c r="D8673" s="50" t="s">
        <v>261</v>
      </c>
      <c r="E8673" s="50">
        <v>-1</v>
      </c>
      <c r="F8673" s="51">
        <v>-0.91778412767390627</v>
      </c>
      <c r="G8673" s="51" t="str">
        <v>新美 2023/03/04 (土)
休日午後</v>
      </c>
    </row>
    <row r="8674" spans="1:7" ht="16.149999999999999" x14ac:dyDescent="0.7">
      <c r="A8674" s="49">
        <v>44984.831814687495</v>
      </c>
      <c r="B8674" s="50" t="s">
        <v>13</v>
      </c>
      <c r="C8674" s="50" t="s">
        <v>685</v>
      </c>
      <c r="D8674" s="50" t="s">
        <v>263</v>
      </c>
      <c r="E8674" s="50">
        <v>0</v>
      </c>
      <c r="F8674" s="51">
        <v>0.26106874853466655</v>
      </c>
      <c r="G8674" s="51" t="str">
        <v>新美 2023/03/05 (日)
休日午前</v>
      </c>
    </row>
    <row r="8675" spans="1:7" ht="16.149999999999999" x14ac:dyDescent="0.7">
      <c r="A8675" s="49">
        <v>44984.831814687495</v>
      </c>
      <c r="B8675" s="50" t="s">
        <v>13</v>
      </c>
      <c r="C8675" s="50" t="s">
        <v>686</v>
      </c>
      <c r="D8675" s="50" t="s">
        <v>261</v>
      </c>
      <c r="E8675" s="50">
        <v>0</v>
      </c>
      <c r="F8675" s="51">
        <v>0.39726116620974583</v>
      </c>
      <c r="G8675" s="51" t="str">
        <v>新美 2023/03/05 (日)
休日午後</v>
      </c>
    </row>
    <row r="8676" spans="1:7" ht="16.149999999999999" x14ac:dyDescent="0.7">
      <c r="A8676" s="49">
        <v>44984.831814687495</v>
      </c>
      <c r="B8676" s="50" t="s">
        <v>13</v>
      </c>
      <c r="C8676" s="50" t="s">
        <v>687</v>
      </c>
      <c r="D8676" s="50" t="s">
        <v>259</v>
      </c>
      <c r="E8676" s="50">
        <v>-1</v>
      </c>
      <c r="F8676" s="51">
        <v>-0.77287148066803568</v>
      </c>
      <c r="G8676" s="51" t="str">
        <v>新美 2023/03/06 (月)
平日夜間</v>
      </c>
    </row>
    <row r="8677" spans="1:7" ht="16.149999999999999" x14ac:dyDescent="0.7">
      <c r="A8677" s="49">
        <v>44984.831814687495</v>
      </c>
      <c r="B8677" s="50" t="s">
        <v>13</v>
      </c>
      <c r="C8677" s="50" t="s">
        <v>688</v>
      </c>
      <c r="D8677" s="50" t="s">
        <v>259</v>
      </c>
      <c r="E8677" s="50">
        <v>0</v>
      </c>
      <c r="F8677" s="51">
        <v>0.96990795799545149</v>
      </c>
      <c r="G8677" s="51" t="str">
        <v>新美 2023/03/07 (火)
平日夜間</v>
      </c>
    </row>
    <row r="8678" spans="1:7" ht="16.149999999999999" x14ac:dyDescent="0.7">
      <c r="A8678" s="49">
        <v>44984.831814687495</v>
      </c>
      <c r="B8678" s="50" t="s">
        <v>13</v>
      </c>
      <c r="C8678" s="50" t="s">
        <v>689</v>
      </c>
      <c r="D8678" s="50" t="s">
        <v>259</v>
      </c>
      <c r="E8678" s="50">
        <v>-1</v>
      </c>
      <c r="F8678" s="51">
        <v>-0.30969614402901446</v>
      </c>
      <c r="G8678" s="51" t="str">
        <v>新美 2023/03/08 (水)
平日夜間</v>
      </c>
    </row>
    <row r="8679" spans="1:7" ht="16.149999999999999" x14ac:dyDescent="0.7">
      <c r="A8679" s="49">
        <v>44984.831814687495</v>
      </c>
      <c r="B8679" s="50" t="s">
        <v>13</v>
      </c>
      <c r="C8679" s="50" t="s">
        <v>690</v>
      </c>
      <c r="D8679" s="50" t="s">
        <v>259</v>
      </c>
      <c r="E8679" s="50">
        <v>0</v>
      </c>
      <c r="F8679" s="51">
        <v>0.5957512634324782</v>
      </c>
      <c r="G8679" s="51" t="str">
        <v>新美 2023/03/09 (木)
平日夜間</v>
      </c>
    </row>
    <row r="8680" spans="1:7" ht="16.149999999999999" x14ac:dyDescent="0.7">
      <c r="A8680" s="49">
        <v>44984.831814687495</v>
      </c>
      <c r="B8680" s="50" t="s">
        <v>13</v>
      </c>
      <c r="C8680" s="50" t="s">
        <v>691</v>
      </c>
      <c r="D8680" s="50" t="s">
        <v>259</v>
      </c>
      <c r="E8680" s="50">
        <v>-1</v>
      </c>
      <c r="F8680" s="51">
        <v>-0.32610016842909006</v>
      </c>
      <c r="G8680" s="51" t="str">
        <v>新美 2023/03/10 (金)
平日夜間</v>
      </c>
    </row>
    <row r="8681" spans="1:7" ht="16.149999999999999" x14ac:dyDescent="0.7">
      <c r="A8681" s="49">
        <v>44984.831814687495</v>
      </c>
      <c r="B8681" s="50" t="s">
        <v>13</v>
      </c>
      <c r="C8681" s="50" t="s">
        <v>692</v>
      </c>
      <c r="D8681" s="50" t="s">
        <v>263</v>
      </c>
      <c r="E8681" s="50">
        <v>-1</v>
      </c>
      <c r="F8681" s="51">
        <v>-0.50220342939412843</v>
      </c>
      <c r="G8681" s="51" t="str">
        <v>新美 2023/03/11 (土)
休日午前</v>
      </c>
    </row>
    <row r="8682" spans="1:7" ht="16.149999999999999" x14ac:dyDescent="0.7">
      <c r="A8682" s="49">
        <v>44984.831814687495</v>
      </c>
      <c r="B8682" s="50" t="s">
        <v>13</v>
      </c>
      <c r="C8682" s="50" t="s">
        <v>693</v>
      </c>
      <c r="D8682" s="50" t="s">
        <v>261</v>
      </c>
      <c r="E8682" s="50">
        <v>-1</v>
      </c>
      <c r="F8682" s="51">
        <v>-8.2950923051669179E-2</v>
      </c>
      <c r="G8682" s="51" t="str">
        <v>新美 2023/03/11 (土)
休日午後</v>
      </c>
    </row>
    <row r="8683" spans="1:7" ht="16.149999999999999" x14ac:dyDescent="0.7">
      <c r="A8683" s="49">
        <v>44984.831814687495</v>
      </c>
      <c r="B8683" s="50" t="s">
        <v>13</v>
      </c>
      <c r="C8683" s="50" t="s">
        <v>694</v>
      </c>
      <c r="D8683" s="50" t="s">
        <v>263</v>
      </c>
      <c r="E8683" s="50">
        <v>0</v>
      </c>
      <c r="F8683" s="51">
        <v>0.24299164656414507</v>
      </c>
      <c r="G8683" s="51" t="str">
        <v>新美 2023/03/12 (日)
休日午前</v>
      </c>
    </row>
    <row r="8684" spans="1:7" ht="16.149999999999999" x14ac:dyDescent="0.7">
      <c r="A8684" s="49">
        <v>44984.831814687495</v>
      </c>
      <c r="B8684" s="50" t="s">
        <v>13</v>
      </c>
      <c r="C8684" s="50" t="s">
        <v>695</v>
      </c>
      <c r="D8684" s="50" t="s">
        <v>261</v>
      </c>
      <c r="E8684" s="50">
        <v>0</v>
      </c>
      <c r="F8684" s="51">
        <v>0.80819333813748084</v>
      </c>
      <c r="G8684" s="51" t="str">
        <v>新美 2023/03/12 (日)
休日午後</v>
      </c>
    </row>
    <row r="8685" spans="1:7" ht="16.149999999999999" x14ac:dyDescent="0.7">
      <c r="A8685" s="49">
        <v>44984.831814687495</v>
      </c>
      <c r="B8685" s="50" t="s">
        <v>13</v>
      </c>
      <c r="C8685" s="50" t="s">
        <v>696</v>
      </c>
      <c r="D8685" s="50" t="s">
        <v>259</v>
      </c>
      <c r="E8685" s="50">
        <v>0</v>
      </c>
      <c r="F8685" s="51">
        <v>0.34183152361092395</v>
      </c>
      <c r="G8685" s="51" t="str">
        <v>新美 2023/03/13 (月)
平日夜間</v>
      </c>
    </row>
    <row r="8686" spans="1:7" ht="16.149999999999999" x14ac:dyDescent="0.7">
      <c r="A8686" s="49">
        <v>44984.831814687495</v>
      </c>
      <c r="B8686" s="50" t="s">
        <v>13</v>
      </c>
      <c r="C8686" s="50" t="s">
        <v>697</v>
      </c>
      <c r="D8686" s="50" t="s">
        <v>259</v>
      </c>
      <c r="E8686" s="50">
        <v>-1</v>
      </c>
      <c r="F8686" s="51">
        <v>-0.76999895110462124</v>
      </c>
      <c r="G8686" s="51" t="str">
        <v>新美 2023/03/14 (火)
平日夜間</v>
      </c>
    </row>
    <row r="8687" spans="1:7" ht="16.149999999999999" x14ac:dyDescent="0.7">
      <c r="A8687" s="49">
        <v>44984.831814687495</v>
      </c>
      <c r="B8687" s="50" t="s">
        <v>13</v>
      </c>
      <c r="C8687" s="50" t="s">
        <v>698</v>
      </c>
      <c r="D8687" s="50" t="s">
        <v>259</v>
      </c>
      <c r="E8687" s="50">
        <v>-1</v>
      </c>
      <c r="F8687" s="51">
        <v>-0.98430330613410622</v>
      </c>
      <c r="G8687" s="51" t="str">
        <v>新美 2023/03/15 (水)
平日夜間</v>
      </c>
    </row>
    <row r="8688" spans="1:7" ht="16.149999999999999" x14ac:dyDescent="0.7">
      <c r="A8688" s="49">
        <v>44984.831814687495</v>
      </c>
      <c r="B8688" s="50" t="s">
        <v>13</v>
      </c>
      <c r="C8688" s="50" t="s">
        <v>699</v>
      </c>
      <c r="D8688" s="50" t="s">
        <v>259</v>
      </c>
      <c r="E8688" s="50">
        <v>-1</v>
      </c>
      <c r="F8688" s="51">
        <v>-0.15579498979760475</v>
      </c>
      <c r="G8688" s="51" t="str">
        <v>新美 2023/03/16 (木)
平日夜間</v>
      </c>
    </row>
    <row r="8689" spans="1:7" ht="16.149999999999999" x14ac:dyDescent="0.7">
      <c r="A8689" s="49">
        <v>44984.831814687495</v>
      </c>
      <c r="B8689" s="50" t="s">
        <v>13</v>
      </c>
      <c r="C8689" s="50" t="s">
        <v>700</v>
      </c>
      <c r="D8689" s="50" t="s">
        <v>259</v>
      </c>
      <c r="E8689" s="50">
        <v>-1</v>
      </c>
      <c r="F8689" s="51">
        <v>-0.74202708989550037</v>
      </c>
      <c r="G8689" s="51" t="str">
        <v>新美 2023/03/17 (金)
平日夜間</v>
      </c>
    </row>
    <row r="8690" spans="1:7" ht="16.149999999999999" x14ac:dyDescent="0.7">
      <c r="A8690" s="49">
        <v>44984.831814687495</v>
      </c>
      <c r="B8690" s="50" t="s">
        <v>13</v>
      </c>
      <c r="C8690" s="50" t="s">
        <v>701</v>
      </c>
      <c r="D8690" s="50" t="s">
        <v>263</v>
      </c>
      <c r="E8690" s="50">
        <v>-1</v>
      </c>
      <c r="F8690" s="51">
        <v>-0.379633066813299</v>
      </c>
      <c r="G8690" s="51" t="str">
        <v>新美 2023/03/18 (土)
休日午前</v>
      </c>
    </row>
    <row r="8691" spans="1:7" ht="16.149999999999999" x14ac:dyDescent="0.7">
      <c r="A8691" s="49">
        <v>44984.831814687495</v>
      </c>
      <c r="B8691" s="50" t="s">
        <v>13</v>
      </c>
      <c r="C8691" s="50" t="s">
        <v>702</v>
      </c>
      <c r="D8691" s="50" t="s">
        <v>261</v>
      </c>
      <c r="E8691" s="50">
        <v>-1</v>
      </c>
      <c r="F8691" s="51">
        <v>-0.41406008095762625</v>
      </c>
      <c r="G8691" s="51" t="str">
        <v>新美 2023/03/18 (土)
休日午後</v>
      </c>
    </row>
    <row r="8692" spans="1:7" ht="16.149999999999999" x14ac:dyDescent="0.7">
      <c r="A8692" s="49">
        <v>44984.831814687495</v>
      </c>
      <c r="B8692" s="50" t="s">
        <v>13</v>
      </c>
      <c r="C8692" s="50" t="s">
        <v>703</v>
      </c>
      <c r="D8692" s="50" t="s">
        <v>263</v>
      </c>
      <c r="E8692" s="50">
        <v>0</v>
      </c>
      <c r="F8692" s="51">
        <v>0.8662467995057701</v>
      </c>
      <c r="G8692" s="51" t="str">
        <v>新美 2023/03/19 (日)
休日午前</v>
      </c>
    </row>
    <row r="8693" spans="1:7" ht="16.149999999999999" x14ac:dyDescent="0.7">
      <c r="A8693" s="49">
        <v>44984.831814687495</v>
      </c>
      <c r="B8693" s="50" t="s">
        <v>13</v>
      </c>
      <c r="C8693" s="50" t="s">
        <v>704</v>
      </c>
      <c r="D8693" s="50" t="s">
        <v>261</v>
      </c>
      <c r="E8693" s="50">
        <v>0</v>
      </c>
      <c r="F8693" s="51">
        <v>0.82956440728595604</v>
      </c>
      <c r="G8693" s="51" t="str">
        <v>新美 2023/03/19 (日)
休日午後</v>
      </c>
    </row>
    <row r="8694" spans="1:7" ht="16.149999999999999" x14ac:dyDescent="0.7">
      <c r="A8694" s="49">
        <v>44984.831814687495</v>
      </c>
      <c r="B8694" s="50" t="s">
        <v>13</v>
      </c>
      <c r="C8694" s="50" t="s">
        <v>705</v>
      </c>
      <c r="D8694" s="50" t="s">
        <v>259</v>
      </c>
      <c r="E8694" s="50">
        <v>0</v>
      </c>
      <c r="F8694" s="51">
        <v>0.97748112102314288</v>
      </c>
      <c r="G8694" s="51" t="str">
        <v>新美 2023/03/20 (月)
平日夜間</v>
      </c>
    </row>
    <row r="8695" spans="1:7" ht="16.149999999999999" x14ac:dyDescent="0.7">
      <c r="A8695" s="49">
        <v>44984.831814687495</v>
      </c>
      <c r="B8695" s="50" t="s">
        <v>13</v>
      </c>
      <c r="C8695" s="50" t="s">
        <v>706</v>
      </c>
      <c r="D8695" s="50" t="s">
        <v>263</v>
      </c>
      <c r="E8695" s="50">
        <v>0</v>
      </c>
      <c r="F8695" s="51">
        <v>0.17916822608010685</v>
      </c>
      <c r="G8695" s="51" t="str">
        <v>新美 2023/03/21 (火)
休日午前</v>
      </c>
    </row>
    <row r="8696" spans="1:7" ht="16.149999999999999" x14ac:dyDescent="0.7">
      <c r="A8696" s="49">
        <v>44984.831814687495</v>
      </c>
      <c r="B8696" s="50" t="s">
        <v>13</v>
      </c>
      <c r="C8696" s="50" t="s">
        <v>707</v>
      </c>
      <c r="D8696" s="50" t="s">
        <v>261</v>
      </c>
      <c r="E8696" s="50">
        <v>0</v>
      </c>
      <c r="F8696" s="51">
        <v>2.2082069085710421E-2</v>
      </c>
      <c r="G8696" s="51" t="str">
        <v>新美 2023/03/21 (火)
休日午後</v>
      </c>
    </row>
    <row r="8697" spans="1:7" ht="16.149999999999999" x14ac:dyDescent="0.7">
      <c r="A8697" s="49">
        <v>44984.831814687495</v>
      </c>
      <c r="B8697" s="50" t="s">
        <v>13</v>
      </c>
      <c r="C8697" s="50" t="s">
        <v>708</v>
      </c>
      <c r="D8697" s="50" t="s">
        <v>259</v>
      </c>
      <c r="E8697" s="50">
        <v>-1</v>
      </c>
      <c r="F8697" s="51">
        <v>-0.41752961399105804</v>
      </c>
      <c r="G8697" s="51" t="str">
        <v>新美 2023/03/22 (水)
平日夜間</v>
      </c>
    </row>
    <row r="8698" spans="1:7" ht="16.149999999999999" x14ac:dyDescent="0.7">
      <c r="A8698" s="49">
        <v>44984.831814687495</v>
      </c>
      <c r="B8698" s="50" t="s">
        <v>13</v>
      </c>
      <c r="C8698" s="50" t="s">
        <v>709</v>
      </c>
      <c r="D8698" s="50" t="s">
        <v>259</v>
      </c>
      <c r="E8698" s="50">
        <v>-1</v>
      </c>
      <c r="F8698" s="51">
        <v>-0.23481186323446934</v>
      </c>
      <c r="G8698" s="51" t="str">
        <v>新美 2023/03/23 (木)
平日夜間</v>
      </c>
    </row>
    <row r="8699" spans="1:7" ht="16.149999999999999" x14ac:dyDescent="0.7">
      <c r="A8699" s="49">
        <v>44984.831814687495</v>
      </c>
      <c r="B8699" s="50" t="s">
        <v>13</v>
      </c>
      <c r="C8699" s="50" t="s">
        <v>710</v>
      </c>
      <c r="D8699" s="50" t="s">
        <v>259</v>
      </c>
      <c r="E8699" s="50">
        <v>0</v>
      </c>
      <c r="F8699" s="51">
        <v>0.92234846711055152</v>
      </c>
      <c r="G8699" s="51" t="str">
        <v>新美 2023/03/24 (金)
平日夜間</v>
      </c>
    </row>
    <row r="8700" spans="1:7" ht="16.149999999999999" x14ac:dyDescent="0.7">
      <c r="A8700" s="49">
        <v>44984.831814687495</v>
      </c>
      <c r="B8700" s="50" t="s">
        <v>13</v>
      </c>
      <c r="C8700" s="50" t="s">
        <v>711</v>
      </c>
      <c r="D8700" s="50" t="s">
        <v>263</v>
      </c>
      <c r="E8700" s="50">
        <v>0</v>
      </c>
      <c r="F8700" s="51">
        <v>0.41794803971955186</v>
      </c>
      <c r="G8700" s="51" t="str">
        <v>新美 2023/03/25 (土)
休日午前</v>
      </c>
    </row>
    <row r="8701" spans="1:7" ht="16.149999999999999" x14ac:dyDescent="0.7">
      <c r="A8701" s="49">
        <v>44984.831814687495</v>
      </c>
      <c r="B8701" s="50" t="s">
        <v>13</v>
      </c>
      <c r="C8701" s="50" t="s">
        <v>712</v>
      </c>
      <c r="D8701" s="50" t="s">
        <v>261</v>
      </c>
      <c r="E8701" s="50">
        <v>0</v>
      </c>
      <c r="F8701" s="51">
        <v>0.53338325694891275</v>
      </c>
      <c r="G8701" s="51" t="str">
        <v>新美 2023/03/25 (土)
休日午後</v>
      </c>
    </row>
    <row r="8702" spans="1:7" ht="16.149999999999999" x14ac:dyDescent="0.7">
      <c r="A8702" s="49">
        <v>44984.831814687495</v>
      </c>
      <c r="B8702" s="50" t="s">
        <v>13</v>
      </c>
      <c r="C8702" s="50" t="s">
        <v>713</v>
      </c>
      <c r="D8702" s="50" t="s">
        <v>263</v>
      </c>
      <c r="E8702" s="50">
        <v>0</v>
      </c>
      <c r="F8702" s="51">
        <v>7.1681605784184033E-3</v>
      </c>
      <c r="G8702" s="51" t="str">
        <v>新美 2023/03/26 (日)
休日午前</v>
      </c>
    </row>
    <row r="8703" spans="1:7" ht="16.149999999999999" x14ac:dyDescent="0.7">
      <c r="A8703" s="49">
        <v>44984.831814687495</v>
      </c>
      <c r="B8703" s="50" t="s">
        <v>13</v>
      </c>
      <c r="C8703" s="50" t="s">
        <v>714</v>
      </c>
      <c r="D8703" s="50" t="s">
        <v>261</v>
      </c>
      <c r="E8703" s="50">
        <v>0</v>
      </c>
      <c r="F8703" s="51">
        <v>0.59223331453328343</v>
      </c>
      <c r="G8703" s="51" t="str">
        <v>新美 2023/03/26 (日)
休日午後</v>
      </c>
    </row>
    <row r="8704" spans="1:7" ht="16.149999999999999" x14ac:dyDescent="0.7">
      <c r="A8704" s="49">
        <v>44984.831814687495</v>
      </c>
      <c r="B8704" s="50" t="s">
        <v>13</v>
      </c>
      <c r="C8704" s="50" t="s">
        <v>715</v>
      </c>
      <c r="D8704" s="50" t="s">
        <v>259</v>
      </c>
      <c r="E8704" s="50">
        <v>0</v>
      </c>
      <c r="F8704" s="51">
        <v>0.73954310040362725</v>
      </c>
      <c r="G8704" s="51" t="str">
        <v>新美 2023/03/27 (月)
平日夜間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0"/>
  <sheetViews>
    <sheetView tabSelected="1" workbookViewId="0">
      <pane ySplit="1" topLeftCell="A2" activePane="bottomLeft" state="frozen"/>
      <selection pane="bottomLeft" activeCell="J402" sqref="J402"/>
    </sheetView>
  </sheetViews>
  <sheetFormatPr defaultColWidth="12.59765625" defaultRowHeight="15.75" customHeight="1" x14ac:dyDescent="0.35"/>
  <cols>
    <col min="1" max="1" width="15.1328125" customWidth="1"/>
    <col min="2" max="2" width="10.265625" customWidth="1"/>
    <col min="3" max="3" width="7.265625" customWidth="1"/>
    <col min="4" max="4" width="22.1328125" customWidth="1"/>
    <col min="5" max="5" width="15.1328125" customWidth="1"/>
    <col min="6" max="6" width="10.265625" customWidth="1"/>
    <col min="7" max="7" width="7.265625" customWidth="1"/>
    <col min="8" max="8" width="22.1328125" customWidth="1"/>
  </cols>
  <sheetData>
    <row r="1" spans="1:8" ht="16.149999999999999" x14ac:dyDescent="0.7">
      <c r="A1" s="52" t="str">
        <f ca="1">IFERROR(__xludf.DUMMYFUNCTION("QUERY('暫定シフト表'!A8:J1000, ""select C, H,I, J"", 1)"),"シフト名称")</f>
        <v>シフト名称</v>
      </c>
      <c r="B1" s="52" t="str">
        <f ca="1">IFERROR(__xludf.DUMMYFUNCTION("""COMPUTED_VALUE"""),"確定シフト")</f>
        <v>確定シフト</v>
      </c>
      <c r="C1" s="52" t="str">
        <f ca="1">IFERROR(__xludf.DUMMYFUNCTION("""COMPUTED_VALUE"""),"1年目")</f>
        <v>1年目</v>
      </c>
      <c r="D1" s="53" t="str">
        <f ca="1">IFERROR(__xludf.DUMMYFUNCTION("""COMPUTED_VALUE"""),"メモ")</f>
        <v>メモ</v>
      </c>
      <c r="E1" s="53" t="s">
        <v>720</v>
      </c>
      <c r="F1" s="52" t="s">
        <v>23</v>
      </c>
      <c r="G1" s="52" t="s">
        <v>24</v>
      </c>
      <c r="H1" s="52" t="s">
        <v>25</v>
      </c>
    </row>
    <row r="2" spans="1:8" ht="16.149999999999999" hidden="1" x14ac:dyDescent="0.7">
      <c r="A2" s="52" t="str">
        <f ca="1">IFERROR(__xludf.DUMMYFUNCTION("""COMPUTED_VALUE"""),"2022/04/01 (金)
平日夜間")</f>
        <v>2022/04/01 (金)
平日夜間</v>
      </c>
      <c r="B2" s="52"/>
      <c r="C2" s="52"/>
      <c r="D2" s="52"/>
      <c r="E2" s="54" t="str">
        <f ca="1">IFERROR(__xludf.DUMMYFUNCTION("QUERY('暫定シフト表'!A28:J1000, ""select C, H,I, J"", )"),"2022/04/16 (土)
休日午前")</f>
        <v>2022/04/16 (土)
休日午前</v>
      </c>
      <c r="F2" s="52"/>
      <c r="G2" s="52"/>
      <c r="H2" s="52"/>
    </row>
    <row r="3" spans="1:8" ht="12.75" hidden="1" x14ac:dyDescent="0.35">
      <c r="A3" s="52" t="str">
        <f ca="1">IFERROR(__xludf.DUMMYFUNCTION("""COMPUTED_VALUE"""),"2022/04/02 (土)
休日午前")</f>
        <v>2022/04/02 (土)
休日午前</v>
      </c>
      <c r="B3" s="52"/>
      <c r="C3" s="52"/>
      <c r="D3" s="52"/>
      <c r="E3" s="52" t="str">
        <f ca="1">IFERROR(__xludf.DUMMYFUNCTION("""COMPUTED_VALUE"""),"2022/04/16 (土)
休日午後")</f>
        <v>2022/04/16 (土)
休日午後</v>
      </c>
      <c r="F3" s="52"/>
      <c r="G3" s="52"/>
      <c r="H3" s="52"/>
    </row>
    <row r="4" spans="1:8" ht="12.75" hidden="1" x14ac:dyDescent="0.35">
      <c r="A4" s="52" t="str">
        <f ca="1">IFERROR(__xludf.DUMMYFUNCTION("""COMPUTED_VALUE"""),"2022/04/02 (土)
休日午後")</f>
        <v>2022/04/02 (土)
休日午後</v>
      </c>
      <c r="B4" s="52"/>
      <c r="C4" s="52"/>
      <c r="D4" s="52"/>
      <c r="E4" s="52" t="str">
        <f ca="1">IFERROR(__xludf.DUMMYFUNCTION("""COMPUTED_VALUE"""),"2022/04/17 (日)
休日午前")</f>
        <v>2022/04/17 (日)
休日午前</v>
      </c>
      <c r="F4" s="52"/>
      <c r="G4" s="52"/>
      <c r="H4" s="52"/>
    </row>
    <row r="5" spans="1:8" ht="12.75" hidden="1" x14ac:dyDescent="0.35">
      <c r="A5" s="52" t="str">
        <f ca="1">IFERROR(__xludf.DUMMYFUNCTION("""COMPUTED_VALUE"""),"2022/04/03 (日)
休日午前")</f>
        <v>2022/04/03 (日)
休日午前</v>
      </c>
      <c r="B5" s="52"/>
      <c r="C5" s="52"/>
      <c r="D5" s="52"/>
      <c r="E5" s="52" t="str">
        <f ca="1">IFERROR(__xludf.DUMMYFUNCTION("""COMPUTED_VALUE"""),"2022/04/17 (日)
休日午後")</f>
        <v>2022/04/17 (日)
休日午後</v>
      </c>
      <c r="F5" s="52"/>
      <c r="G5" s="52"/>
      <c r="H5" s="52"/>
    </row>
    <row r="6" spans="1:8" ht="12.75" hidden="1" x14ac:dyDescent="0.35">
      <c r="A6" s="52" t="str">
        <f ca="1">IFERROR(__xludf.DUMMYFUNCTION("""COMPUTED_VALUE"""),"2022/04/03 (日)
休日午後")</f>
        <v>2022/04/03 (日)
休日午後</v>
      </c>
      <c r="B6" s="52"/>
      <c r="C6" s="52"/>
      <c r="D6" s="52"/>
      <c r="E6" s="52" t="str">
        <f ca="1">IFERROR(__xludf.DUMMYFUNCTION("""COMPUTED_VALUE"""),"2022/04/18 (月)
平日夜間")</f>
        <v>2022/04/18 (月)
平日夜間</v>
      </c>
      <c r="F6" s="52"/>
      <c r="G6" s="52"/>
      <c r="H6" s="52"/>
    </row>
    <row r="7" spans="1:8" ht="12.75" hidden="1" x14ac:dyDescent="0.35">
      <c r="A7" s="52" t="str">
        <f ca="1">IFERROR(__xludf.DUMMYFUNCTION("""COMPUTED_VALUE"""),"2022/04/04 (月)
平日夜間")</f>
        <v>2022/04/04 (月)
平日夜間</v>
      </c>
      <c r="B7" s="52"/>
      <c r="C7" s="52"/>
      <c r="D7" s="52"/>
      <c r="E7" s="52" t="str">
        <f ca="1">IFERROR(__xludf.DUMMYFUNCTION("""COMPUTED_VALUE"""),"2022/04/19 (火)
平日夜間")</f>
        <v>2022/04/19 (火)
平日夜間</v>
      </c>
      <c r="F7" s="52"/>
      <c r="G7" s="52"/>
      <c r="H7" s="52"/>
    </row>
    <row r="8" spans="1:8" ht="12.75" hidden="1" x14ac:dyDescent="0.35">
      <c r="A8" s="52" t="str">
        <f ca="1">IFERROR(__xludf.DUMMYFUNCTION("""COMPUTED_VALUE"""),"2022/04/05 (火)
平日夜間")</f>
        <v>2022/04/05 (火)
平日夜間</v>
      </c>
      <c r="B8" s="52"/>
      <c r="C8" s="52"/>
      <c r="D8" s="52"/>
      <c r="E8" s="52" t="str">
        <f ca="1">IFERROR(__xludf.DUMMYFUNCTION("""COMPUTED_VALUE"""),"2022/04/20 (水)
平日夜間")</f>
        <v>2022/04/20 (水)
平日夜間</v>
      </c>
      <c r="F8" s="52"/>
      <c r="G8" s="52"/>
      <c r="H8" s="52"/>
    </row>
    <row r="9" spans="1:8" ht="12.75" hidden="1" x14ac:dyDescent="0.35">
      <c r="A9" s="52" t="str">
        <f ca="1">IFERROR(__xludf.DUMMYFUNCTION("""COMPUTED_VALUE"""),"2022/04/06 (水)
平日夜間")</f>
        <v>2022/04/06 (水)
平日夜間</v>
      </c>
      <c r="B9" s="52"/>
      <c r="C9" s="52"/>
      <c r="D9" s="52"/>
      <c r="E9" s="52" t="str">
        <f ca="1">IFERROR(__xludf.DUMMYFUNCTION("""COMPUTED_VALUE"""),"2022/04/21 (木)
平日夜間")</f>
        <v>2022/04/21 (木)
平日夜間</v>
      </c>
      <c r="F9" s="52"/>
      <c r="G9" s="52"/>
      <c r="H9" s="52"/>
    </row>
    <row r="10" spans="1:8" ht="12.75" hidden="1" x14ac:dyDescent="0.35">
      <c r="A10" s="52" t="str">
        <f ca="1">IFERROR(__xludf.DUMMYFUNCTION("""COMPUTED_VALUE"""),"2022/04/07 (木)
平日夜間")</f>
        <v>2022/04/07 (木)
平日夜間</v>
      </c>
      <c r="B10" s="52"/>
      <c r="C10" s="52"/>
      <c r="D10" s="52"/>
      <c r="E10" s="52" t="str">
        <f ca="1">IFERROR(__xludf.DUMMYFUNCTION("""COMPUTED_VALUE"""),"2022/04/22 (金)
平日夜間")</f>
        <v>2022/04/22 (金)
平日夜間</v>
      </c>
      <c r="F10" s="52"/>
      <c r="G10" s="52"/>
      <c r="H10" s="52"/>
    </row>
    <row r="11" spans="1:8" ht="12.75" hidden="1" x14ac:dyDescent="0.35">
      <c r="A11" s="52" t="str">
        <f ca="1">IFERROR(__xludf.DUMMYFUNCTION("""COMPUTED_VALUE"""),"2022/04/08 (金)
平日夜間")</f>
        <v>2022/04/08 (金)
平日夜間</v>
      </c>
      <c r="B11" s="52"/>
      <c r="C11" s="52"/>
      <c r="D11" s="52"/>
      <c r="E11" s="52" t="str">
        <f ca="1">IFERROR(__xludf.DUMMYFUNCTION("""COMPUTED_VALUE"""),"2022/04/23 (土)
休日午前")</f>
        <v>2022/04/23 (土)
休日午前</v>
      </c>
      <c r="F11" s="52"/>
      <c r="G11" s="52"/>
      <c r="H11" s="52"/>
    </row>
    <row r="12" spans="1:8" ht="12.75" hidden="1" x14ac:dyDescent="0.35">
      <c r="A12" s="52" t="str">
        <f ca="1">IFERROR(__xludf.DUMMYFUNCTION("""COMPUTED_VALUE"""),"2022/04/09 (土)
休日午前")</f>
        <v>2022/04/09 (土)
休日午前</v>
      </c>
      <c r="B12" s="52"/>
      <c r="C12" s="52"/>
      <c r="D12" s="52"/>
      <c r="E12" s="52" t="str">
        <f ca="1">IFERROR(__xludf.DUMMYFUNCTION("""COMPUTED_VALUE"""),"2022/04/23 (土)
休日午後")</f>
        <v>2022/04/23 (土)
休日午後</v>
      </c>
      <c r="F12" s="52"/>
      <c r="G12" s="52"/>
      <c r="H12" s="52"/>
    </row>
    <row r="13" spans="1:8" ht="12.75" hidden="1" x14ac:dyDescent="0.35">
      <c r="A13" s="52" t="str">
        <f ca="1">IFERROR(__xludf.DUMMYFUNCTION("""COMPUTED_VALUE"""),"2022/04/09 (土)
休日午後")</f>
        <v>2022/04/09 (土)
休日午後</v>
      </c>
      <c r="B13" s="52"/>
      <c r="C13" s="52"/>
      <c r="D13" s="52"/>
      <c r="E13" s="52" t="str">
        <f ca="1">IFERROR(__xludf.DUMMYFUNCTION("""COMPUTED_VALUE"""),"2022/04/24 (日)
休日午前")</f>
        <v>2022/04/24 (日)
休日午前</v>
      </c>
      <c r="F13" s="52"/>
      <c r="G13" s="52"/>
      <c r="H13" s="52"/>
    </row>
    <row r="14" spans="1:8" ht="12.75" hidden="1" x14ac:dyDescent="0.35">
      <c r="A14" s="52" t="str">
        <f ca="1">IFERROR(__xludf.DUMMYFUNCTION("""COMPUTED_VALUE"""),"2022/04/10 (日)
休日午前")</f>
        <v>2022/04/10 (日)
休日午前</v>
      </c>
      <c r="B14" s="52"/>
      <c r="C14" s="52"/>
      <c r="D14" s="52"/>
      <c r="E14" s="52" t="str">
        <f ca="1">IFERROR(__xludf.DUMMYFUNCTION("""COMPUTED_VALUE"""),"2022/04/24 (日)
休日午後")</f>
        <v>2022/04/24 (日)
休日午後</v>
      </c>
      <c r="F14" s="52"/>
      <c r="G14" s="52"/>
      <c r="H14" s="52"/>
    </row>
    <row r="15" spans="1:8" ht="12.75" hidden="1" x14ac:dyDescent="0.35">
      <c r="A15" s="52" t="str">
        <f ca="1">IFERROR(__xludf.DUMMYFUNCTION("""COMPUTED_VALUE"""),"2022/04/10 (日)
休日午後")</f>
        <v>2022/04/10 (日)
休日午後</v>
      </c>
      <c r="B15" s="52"/>
      <c r="C15" s="52"/>
      <c r="D15" s="52"/>
      <c r="E15" s="52" t="str">
        <f ca="1">IFERROR(__xludf.DUMMYFUNCTION("""COMPUTED_VALUE"""),"2022/04/25 (月)
平日夜間")</f>
        <v>2022/04/25 (月)
平日夜間</v>
      </c>
      <c r="F15" s="52"/>
      <c r="G15" s="52"/>
      <c r="H15" s="52"/>
    </row>
    <row r="16" spans="1:8" ht="12.75" hidden="1" x14ac:dyDescent="0.35">
      <c r="A16" s="52" t="str">
        <f ca="1">IFERROR(__xludf.DUMMYFUNCTION("""COMPUTED_VALUE"""),"2022/04/11 (月)
平日夜間")</f>
        <v>2022/04/11 (月)
平日夜間</v>
      </c>
      <c r="B16" s="52"/>
      <c r="C16" s="52"/>
      <c r="D16" s="52"/>
      <c r="E16" s="52" t="str">
        <f ca="1">IFERROR(__xludf.DUMMYFUNCTION("""COMPUTED_VALUE"""),"2022/04/26 (火)
平日夜間")</f>
        <v>2022/04/26 (火)
平日夜間</v>
      </c>
      <c r="F16" s="52"/>
      <c r="G16" s="52"/>
      <c r="H16" s="52"/>
    </row>
    <row r="17" spans="1:8" ht="12.75" hidden="1" x14ac:dyDescent="0.35">
      <c r="A17" s="52" t="str">
        <f ca="1">IFERROR(__xludf.DUMMYFUNCTION("""COMPUTED_VALUE"""),"2022/04/12 (火)
平日夜間")</f>
        <v>2022/04/12 (火)
平日夜間</v>
      </c>
      <c r="B17" s="52"/>
      <c r="C17" s="52"/>
      <c r="D17" s="52"/>
      <c r="E17" s="52" t="str">
        <f ca="1">IFERROR(__xludf.DUMMYFUNCTION("""COMPUTED_VALUE"""),"2022/04/27 (水)
平日夜間")</f>
        <v>2022/04/27 (水)
平日夜間</v>
      </c>
      <c r="F17" s="52"/>
      <c r="G17" s="52"/>
      <c r="H17" s="52"/>
    </row>
    <row r="18" spans="1:8" ht="12.75" hidden="1" x14ac:dyDescent="0.35">
      <c r="A18" s="52" t="str">
        <f ca="1">IFERROR(__xludf.DUMMYFUNCTION("""COMPUTED_VALUE"""),"2022/04/13 (水)
平日夜間")</f>
        <v>2022/04/13 (水)
平日夜間</v>
      </c>
      <c r="B18" s="52"/>
      <c r="C18" s="52"/>
      <c r="D18" s="52"/>
      <c r="E18" s="52" t="str">
        <f ca="1">IFERROR(__xludf.DUMMYFUNCTION("""COMPUTED_VALUE"""),"2022/04/28 (木)
平日夜間")</f>
        <v>2022/04/28 (木)
平日夜間</v>
      </c>
      <c r="F18" s="52"/>
      <c r="G18" s="52"/>
      <c r="H18" s="52"/>
    </row>
    <row r="19" spans="1:8" ht="12.75" hidden="1" x14ac:dyDescent="0.35">
      <c r="A19" s="52" t="str">
        <f ca="1">IFERROR(__xludf.DUMMYFUNCTION("""COMPUTED_VALUE"""),"2022/04/14 (木)
平日夜間")</f>
        <v>2022/04/14 (木)
平日夜間</v>
      </c>
      <c r="B19" s="52"/>
      <c r="C19" s="52"/>
      <c r="D19" s="52"/>
      <c r="E19" s="52" t="str">
        <f ca="1">IFERROR(__xludf.DUMMYFUNCTION("""COMPUTED_VALUE"""),"2022/05/09 (月)
平日夜間")</f>
        <v>2022/05/09 (月)
平日夜間</v>
      </c>
      <c r="F19" s="52" t="str">
        <f ca="1">IFERROR(__xludf.DUMMYFUNCTION("""COMPUTED_VALUE"""),"福里")</f>
        <v>福里</v>
      </c>
      <c r="G19" s="52" t="str">
        <f ca="1">IFERROR(__xludf.DUMMYFUNCTION("""COMPUTED_VALUE"""),"なし")</f>
        <v>なし</v>
      </c>
      <c r="H19" s="52"/>
    </row>
    <row r="20" spans="1:8" ht="12.75" hidden="1" x14ac:dyDescent="0.35">
      <c r="A20" s="52" t="str">
        <f ca="1">IFERROR(__xludf.DUMMYFUNCTION("""COMPUTED_VALUE"""),"2022/04/15 (金)
平日夜間")</f>
        <v>2022/04/15 (金)
平日夜間</v>
      </c>
      <c r="B20" s="52"/>
      <c r="C20" s="52"/>
      <c r="D20" s="52"/>
      <c r="E20" s="52" t="str">
        <f ca="1">IFERROR(__xludf.DUMMYFUNCTION("""COMPUTED_VALUE"""),"2022/05/10 (火)
平日夜間")</f>
        <v>2022/05/10 (火)
平日夜間</v>
      </c>
      <c r="F20" s="52" t="str">
        <f ca="1">IFERROR(__xludf.DUMMYFUNCTION("""COMPUTED_VALUE"""),"勝俣")</f>
        <v>勝俣</v>
      </c>
      <c r="G20" s="52" t="str">
        <f ca="1">IFERROR(__xludf.DUMMYFUNCTION("""COMPUTED_VALUE"""),"なし")</f>
        <v>なし</v>
      </c>
      <c r="H20" s="52" t="str">
        <f ca="1">IFERROR(__xludf.DUMMYFUNCTION("""COMPUTED_VALUE"""),"勝俣教育吉田コマ")</f>
        <v>勝俣教育吉田コマ</v>
      </c>
    </row>
    <row r="21" spans="1:8" ht="16.149999999999999" hidden="1" x14ac:dyDescent="0.7">
      <c r="A21" s="53" t="str">
        <f ca="1">IFERROR(__xludf.DUMMYFUNCTION("""COMPUTED_VALUE"""),"2022/04/16 (土)
休日午前")</f>
        <v>2022/04/16 (土)
休日午前</v>
      </c>
      <c r="B21" s="52"/>
      <c r="C21" s="52"/>
      <c r="D21" s="52"/>
      <c r="E21" s="52" t="str">
        <f ca="1">IFERROR(__xludf.DUMMYFUNCTION("""COMPUTED_VALUE"""),"2022/05/11 (水)
平日夜間")</f>
        <v>2022/05/11 (水)
平日夜間</v>
      </c>
      <c r="F21" s="52" t="str">
        <f ca="1">IFERROR(__xludf.DUMMYFUNCTION("""COMPUTED_VALUE"""),"佐藤")</f>
        <v>佐藤</v>
      </c>
      <c r="G21" s="52" t="str">
        <f ca="1">IFERROR(__xludf.DUMMYFUNCTION("""COMPUTED_VALUE"""),"千種")</f>
        <v>千種</v>
      </c>
      <c r="H21" s="52"/>
    </row>
    <row r="22" spans="1:8" ht="12.75" hidden="1" x14ac:dyDescent="0.35">
      <c r="A22" s="52" t="str">
        <f ca="1">IFERROR(__xludf.DUMMYFUNCTION("""COMPUTED_VALUE"""),"2022/04/16 (土)
休日午後")</f>
        <v>2022/04/16 (土)
休日午後</v>
      </c>
      <c r="B22" s="52"/>
      <c r="C22" s="52"/>
      <c r="D22" s="52"/>
      <c r="E22" s="52" t="str">
        <f ca="1">IFERROR(__xludf.DUMMYFUNCTION("""COMPUTED_VALUE"""),"2022/05/12 (木)
平日夜間")</f>
        <v>2022/05/12 (木)
平日夜間</v>
      </c>
      <c r="F22" s="52" t="str">
        <f ca="1">IFERROR(__xludf.DUMMYFUNCTION("""COMPUTED_VALUE"""),"勝俣")</f>
        <v>勝俣</v>
      </c>
      <c r="G22" s="52" t="str">
        <f ca="1">IFERROR(__xludf.DUMMYFUNCTION("""COMPUTED_VALUE"""),"宗")</f>
        <v>宗</v>
      </c>
      <c r="H22" s="52" t="str">
        <f ca="1">IFERROR(__xludf.DUMMYFUNCTION("""COMPUTED_VALUE"""),"宗病棟")</f>
        <v>宗病棟</v>
      </c>
    </row>
    <row r="23" spans="1:8" ht="12.75" hidden="1" x14ac:dyDescent="0.35">
      <c r="A23" s="52" t="str">
        <f ca="1">IFERROR(__xludf.DUMMYFUNCTION("""COMPUTED_VALUE"""),"2022/04/17 (日)
休日午前")</f>
        <v>2022/04/17 (日)
休日午前</v>
      </c>
      <c r="B23" s="52"/>
      <c r="C23" s="52"/>
      <c r="D23" s="52"/>
      <c r="E23" s="52" t="str">
        <f ca="1">IFERROR(__xludf.DUMMYFUNCTION("""COMPUTED_VALUE"""),"2022/05/13 (金)
平日夜間")</f>
        <v>2022/05/13 (金)
平日夜間</v>
      </c>
      <c r="F23" s="52" t="str">
        <f ca="1">IFERROR(__xludf.DUMMYFUNCTION("""COMPUTED_VALUE"""),"福井")</f>
        <v>福井</v>
      </c>
      <c r="G23" s="52" t="str">
        <f ca="1">IFERROR(__xludf.DUMMYFUNCTION("""COMPUTED_VALUE"""),"なし")</f>
        <v>なし</v>
      </c>
      <c r="H23" s="52"/>
    </row>
    <row r="24" spans="1:8" ht="12.75" hidden="1" x14ac:dyDescent="0.35">
      <c r="A24" s="52" t="str">
        <f ca="1">IFERROR(__xludf.DUMMYFUNCTION("""COMPUTED_VALUE"""),"2022/04/17 (日)
休日午後")</f>
        <v>2022/04/17 (日)
休日午後</v>
      </c>
      <c r="B24" s="52"/>
      <c r="C24" s="52"/>
      <c r="D24" s="52"/>
      <c r="E24" s="52" t="str">
        <f ca="1">IFERROR(__xludf.DUMMYFUNCTION("""COMPUTED_VALUE"""),"2022/05/14 (土)
休日午前")</f>
        <v>2022/05/14 (土)
休日午前</v>
      </c>
      <c r="F24" s="52" t="str">
        <f ca="1">IFERROR(__xludf.DUMMYFUNCTION("""COMPUTED_VALUE"""),"勝俣")</f>
        <v>勝俣</v>
      </c>
      <c r="G24" s="52" t="str">
        <f ca="1">IFERROR(__xludf.DUMMYFUNCTION("""COMPUTED_VALUE"""),"なし")</f>
        <v>なし</v>
      </c>
      <c r="H24" s="52" t="str">
        <f ca="1">IFERROR(__xludf.DUMMYFUNCTION("""COMPUTED_VALUE"""),"湯川E森岳F勝俣A林哲B")</f>
        <v>湯川E森岳F勝俣A林哲B</v>
      </c>
    </row>
    <row r="25" spans="1:8" ht="12.75" hidden="1" x14ac:dyDescent="0.35">
      <c r="A25" s="52" t="str">
        <f ca="1">IFERROR(__xludf.DUMMYFUNCTION("""COMPUTED_VALUE"""),"2022/04/18 (月)
平日夜間")</f>
        <v>2022/04/18 (月)
平日夜間</v>
      </c>
      <c r="B25" s="52"/>
      <c r="C25" s="52"/>
      <c r="D25" s="52"/>
      <c r="E25" s="52" t="str">
        <f ca="1">IFERROR(__xludf.DUMMYFUNCTION("""COMPUTED_VALUE"""),"2022/05/14 (土)
休日午後")</f>
        <v>2022/05/14 (土)
休日午後</v>
      </c>
      <c r="F25" s="52" t="str">
        <f ca="1">IFERROR(__xludf.DUMMYFUNCTION("""COMPUTED_VALUE"""),"林哲")</f>
        <v>林哲</v>
      </c>
      <c r="G25" s="52" t="str">
        <f ca="1">IFERROR(__xludf.DUMMYFUNCTION("""COMPUTED_VALUE"""),"なし")</f>
        <v>なし</v>
      </c>
      <c r="H25" s="52" t="str">
        <f ca="1">IFERROR(__xludf.DUMMYFUNCTION("""COMPUTED_VALUE"""),"湯川E森岳F勝俣A林哲B")</f>
        <v>湯川E森岳F勝俣A林哲B</v>
      </c>
    </row>
    <row r="26" spans="1:8" ht="12.75" hidden="1" x14ac:dyDescent="0.35">
      <c r="A26" s="52" t="str">
        <f ca="1">IFERROR(__xludf.DUMMYFUNCTION("""COMPUTED_VALUE"""),"2022/04/19 (火)
平日夜間")</f>
        <v>2022/04/19 (火)
平日夜間</v>
      </c>
      <c r="B26" s="52"/>
      <c r="C26" s="52"/>
      <c r="D26" s="52"/>
      <c r="E26" s="52" t="str">
        <f ca="1">IFERROR(__xludf.DUMMYFUNCTION("""COMPUTED_VALUE"""),"2022/05/15 (日)
休日午前")</f>
        <v>2022/05/15 (日)
休日午前</v>
      </c>
      <c r="F26" s="52" t="str">
        <f ca="1">IFERROR(__xludf.DUMMYFUNCTION("""COMPUTED_VALUE"""),"森岳")</f>
        <v>森岳</v>
      </c>
      <c r="G26" s="52" t="str">
        <f ca="1">IFERROR(__xludf.DUMMYFUNCTION("""COMPUTED_VALUE"""),"宗")</f>
        <v>宗</v>
      </c>
      <c r="H26" s="52" t="str">
        <f ca="1">IFERROR(__xludf.DUMMYFUNCTION("""COMPUTED_VALUE"""),"片山C新美E福里A")</f>
        <v>片山C新美E福里A</v>
      </c>
    </row>
    <row r="27" spans="1:8" ht="12.75" hidden="1" x14ac:dyDescent="0.35">
      <c r="A27" s="52" t="str">
        <f ca="1">IFERROR(__xludf.DUMMYFUNCTION("""COMPUTED_VALUE"""),"2022/04/20 (水)
平日夜間")</f>
        <v>2022/04/20 (水)
平日夜間</v>
      </c>
      <c r="B27" s="52"/>
      <c r="C27" s="52"/>
      <c r="D27" s="52"/>
      <c r="E27" s="52" t="str">
        <f ca="1">IFERROR(__xludf.DUMMYFUNCTION("""COMPUTED_VALUE"""),"2022/05/15 (日)
休日午後")</f>
        <v>2022/05/15 (日)
休日午後</v>
      </c>
      <c r="F27" s="52" t="str">
        <f ca="1">IFERROR(__xludf.DUMMYFUNCTION("""COMPUTED_VALUE"""),"福里")</f>
        <v>福里</v>
      </c>
      <c r="G27" s="52" t="str">
        <f ca="1">IFERROR(__xludf.DUMMYFUNCTION("""COMPUTED_VALUE"""),"なし")</f>
        <v>なし</v>
      </c>
      <c r="H27" s="52" t="str">
        <f ca="1">IFERROR(__xludf.DUMMYFUNCTION("""COMPUTED_VALUE"""),"片山C新美E福里A")</f>
        <v>片山C新美E福里A</v>
      </c>
    </row>
    <row r="28" spans="1:8" ht="12.75" hidden="1" x14ac:dyDescent="0.35">
      <c r="A28" s="52" t="str">
        <f ca="1">IFERROR(__xludf.DUMMYFUNCTION("""COMPUTED_VALUE"""),"2022/04/21 (木)
平日夜間")</f>
        <v>2022/04/21 (木)
平日夜間</v>
      </c>
      <c r="B28" s="52"/>
      <c r="C28" s="52"/>
      <c r="D28" s="52"/>
      <c r="E28" s="52" t="str">
        <f ca="1">IFERROR(__xludf.DUMMYFUNCTION("""COMPUTED_VALUE"""),"2022/05/16 (月)
平日夜間")</f>
        <v>2022/05/16 (月)
平日夜間</v>
      </c>
      <c r="F28" s="52" t="str">
        <f ca="1">IFERROR(__xludf.DUMMYFUNCTION("""COMPUTED_VALUE"""),"井上")</f>
        <v>井上</v>
      </c>
      <c r="G28" s="52" t="str">
        <f ca="1">IFERROR(__xludf.DUMMYFUNCTION("""COMPUTED_VALUE"""),"千種")</f>
        <v>千種</v>
      </c>
      <c r="H28" s="52" t="str">
        <f ca="1">IFERROR(__xludf.DUMMYFUNCTION("""COMPUTED_VALUE"""),"千種病棟勝俣コマ")</f>
        <v>千種病棟勝俣コマ</v>
      </c>
    </row>
    <row r="29" spans="1:8" ht="12.75" hidden="1" x14ac:dyDescent="0.35">
      <c r="A29" s="52" t="str">
        <f ca="1">IFERROR(__xludf.DUMMYFUNCTION("""COMPUTED_VALUE"""),"2022/04/22 (金)
平日夜間")</f>
        <v>2022/04/22 (金)
平日夜間</v>
      </c>
      <c r="B29" s="52"/>
      <c r="C29" s="52"/>
      <c r="D29" s="52"/>
      <c r="E29" s="52" t="str">
        <f ca="1">IFERROR(__xludf.DUMMYFUNCTION("""COMPUTED_VALUE"""),"2022/05/17 (火)
平日夜間")</f>
        <v>2022/05/17 (火)
平日夜間</v>
      </c>
      <c r="F29" s="52" t="str">
        <f ca="1">IFERROR(__xludf.DUMMYFUNCTION("""COMPUTED_VALUE"""),"勝俣")</f>
        <v>勝俣</v>
      </c>
      <c r="G29" s="52" t="str">
        <f ca="1">IFERROR(__xludf.DUMMYFUNCTION("""COMPUTED_VALUE"""),"中瀬")</f>
        <v>中瀬</v>
      </c>
      <c r="H29" s="52" t="str">
        <f ca="1">IFERROR(__xludf.DUMMYFUNCTION("""COMPUTED_VALUE"""),"中瀬病棟林智コマ")</f>
        <v>中瀬病棟林智コマ</v>
      </c>
    </row>
    <row r="30" spans="1:8" ht="12.75" hidden="1" x14ac:dyDescent="0.35">
      <c r="A30" s="52" t="str">
        <f ca="1">IFERROR(__xludf.DUMMYFUNCTION("""COMPUTED_VALUE"""),"2022/04/23 (土)
休日午前")</f>
        <v>2022/04/23 (土)
休日午前</v>
      </c>
      <c r="B30" s="52"/>
      <c r="C30" s="52"/>
      <c r="D30" s="52"/>
      <c r="E30" s="52" t="str">
        <f ca="1">IFERROR(__xludf.DUMMYFUNCTION("""COMPUTED_VALUE"""),"2022/05/18 (水)
平日夜間")</f>
        <v>2022/05/18 (水)
平日夜間</v>
      </c>
      <c r="F30" s="52" t="str">
        <f ca="1">IFERROR(__xludf.DUMMYFUNCTION("""COMPUTED_VALUE"""),"湯川")</f>
        <v>湯川</v>
      </c>
      <c r="G30" s="52" t="str">
        <f ca="1">IFERROR(__xludf.DUMMYFUNCTION("""COMPUTED_VALUE"""),"宮坂")</f>
        <v>宮坂</v>
      </c>
      <c r="H30" s="52"/>
    </row>
    <row r="31" spans="1:8" ht="12.75" hidden="1" x14ac:dyDescent="0.35">
      <c r="A31" s="52" t="str">
        <f ca="1">IFERROR(__xludf.DUMMYFUNCTION("""COMPUTED_VALUE"""),"2022/04/23 (土)
休日午後")</f>
        <v>2022/04/23 (土)
休日午後</v>
      </c>
      <c r="B31" s="52"/>
      <c r="C31" s="52"/>
      <c r="D31" s="52"/>
      <c r="E31" s="52" t="str">
        <f ca="1">IFERROR(__xludf.DUMMYFUNCTION("""COMPUTED_VALUE"""),"2022/05/19 (木)
平日夜間")</f>
        <v>2022/05/19 (木)
平日夜間</v>
      </c>
      <c r="F31" s="52" t="str">
        <f ca="1">IFERROR(__xludf.DUMMYFUNCTION("""COMPUTED_VALUE"""),"佐藤")</f>
        <v>佐藤</v>
      </c>
      <c r="G31" s="52" t="str">
        <f ca="1">IFERROR(__xludf.DUMMYFUNCTION("""COMPUTED_VALUE"""),"なし")</f>
        <v>なし</v>
      </c>
      <c r="H31" s="52" t="str">
        <f ca="1">IFERROR(__xludf.DUMMYFUNCTION("""COMPUTED_VALUE"""),"佐藤病棟")</f>
        <v>佐藤病棟</v>
      </c>
    </row>
    <row r="32" spans="1:8" ht="12.75" hidden="1" x14ac:dyDescent="0.35">
      <c r="A32" s="52" t="str">
        <f ca="1">IFERROR(__xludf.DUMMYFUNCTION("""COMPUTED_VALUE"""),"2022/04/24 (日)
休日午前")</f>
        <v>2022/04/24 (日)
休日午前</v>
      </c>
      <c r="B32" s="52"/>
      <c r="C32" s="52"/>
      <c r="D32" s="52"/>
      <c r="E32" s="52" t="str">
        <f ca="1">IFERROR(__xludf.DUMMYFUNCTION("""COMPUTED_VALUE"""),"2022/05/20 (金)
平日夜間")</f>
        <v>2022/05/20 (金)
平日夜間</v>
      </c>
      <c r="F32" s="52" t="str">
        <f ca="1">IFERROR(__xludf.DUMMYFUNCTION("""COMPUTED_VALUE"""),"柴山")</f>
        <v>柴山</v>
      </c>
      <c r="G32" s="52" t="str">
        <f ca="1">IFERROR(__xludf.DUMMYFUNCTION("""COMPUTED_VALUE"""),"なし")</f>
        <v>なし</v>
      </c>
      <c r="H32" s="52"/>
    </row>
    <row r="33" spans="1:8" ht="12.75" hidden="1" x14ac:dyDescent="0.35">
      <c r="A33" s="52" t="str">
        <f ca="1">IFERROR(__xludf.DUMMYFUNCTION("""COMPUTED_VALUE"""),"2022/04/24 (日)
休日午後")</f>
        <v>2022/04/24 (日)
休日午後</v>
      </c>
      <c r="B33" s="52"/>
      <c r="C33" s="52"/>
      <c r="D33" s="52"/>
      <c r="E33" s="52" t="str">
        <f ca="1">IFERROR(__xludf.DUMMYFUNCTION("""COMPUTED_VALUE"""),"2022/05/21 (土)
休日午前")</f>
        <v>2022/05/21 (土)
休日午前</v>
      </c>
      <c r="F33" s="52" t="str">
        <f ca="1">IFERROR(__xludf.DUMMYFUNCTION("""COMPUTED_VALUE"""),"井上")</f>
        <v>井上</v>
      </c>
      <c r="G33" s="52" t="str">
        <f ca="1">IFERROR(__xludf.DUMMYFUNCTION("""COMPUTED_VALUE"""),"なし")</f>
        <v>なし</v>
      </c>
      <c r="H33" s="52"/>
    </row>
    <row r="34" spans="1:8" ht="12.75" hidden="1" x14ac:dyDescent="0.35">
      <c r="A34" s="52" t="str">
        <f ca="1">IFERROR(__xludf.DUMMYFUNCTION("""COMPUTED_VALUE"""),"2022/04/25 (月)
平日夜間")</f>
        <v>2022/04/25 (月)
平日夜間</v>
      </c>
      <c r="B34" s="52"/>
      <c r="C34" s="52"/>
      <c r="D34" s="52"/>
      <c r="E34" s="52" t="str">
        <f ca="1">IFERROR(__xludf.DUMMYFUNCTION("""COMPUTED_VALUE"""),"2022/05/21 (土)
休日午後")</f>
        <v>2022/05/21 (土)
休日午後</v>
      </c>
      <c r="F34" s="52" t="str">
        <f ca="1">IFERROR(__xludf.DUMMYFUNCTION("""COMPUTED_VALUE"""),"菊野")</f>
        <v>菊野</v>
      </c>
      <c r="G34" s="52" t="str">
        <f ca="1">IFERROR(__xludf.DUMMYFUNCTION("""COMPUTED_VALUE"""),"なし")</f>
        <v>なし</v>
      </c>
      <c r="H34" s="52"/>
    </row>
    <row r="35" spans="1:8" ht="12.75" hidden="1" x14ac:dyDescent="0.35">
      <c r="A35" s="52" t="str">
        <f ca="1">IFERROR(__xludf.DUMMYFUNCTION("""COMPUTED_VALUE"""),"2022/04/26 (火)
平日夜間")</f>
        <v>2022/04/26 (火)
平日夜間</v>
      </c>
      <c r="B35" s="52"/>
      <c r="C35" s="52"/>
      <c r="D35" s="52"/>
      <c r="E35" s="52" t="str">
        <f ca="1">IFERROR(__xludf.DUMMYFUNCTION("""COMPUTED_VALUE"""),"2022/05/22 (日)
休日午前")</f>
        <v>2022/05/22 (日)
休日午前</v>
      </c>
      <c r="F35" s="52" t="str">
        <f ca="1">IFERROR(__xludf.DUMMYFUNCTION("""COMPUTED_VALUE"""),"太良")</f>
        <v>太良</v>
      </c>
      <c r="G35" s="52" t="str">
        <f ca="1">IFERROR(__xludf.DUMMYFUNCTION("""COMPUTED_VALUE"""),"なし")</f>
        <v>なし</v>
      </c>
      <c r="H35" s="52" t="str">
        <f ca="1">IFERROR(__xludf.DUMMYFUNCTION("""COMPUTED_VALUE"""),"能野E柴山A")</f>
        <v>能野E柴山A</v>
      </c>
    </row>
    <row r="36" spans="1:8" ht="12.75" hidden="1" x14ac:dyDescent="0.35">
      <c r="A36" s="52" t="str">
        <f ca="1">IFERROR(__xludf.DUMMYFUNCTION("""COMPUTED_VALUE"""),"2022/04/27 (水)
平日夜間")</f>
        <v>2022/04/27 (水)
平日夜間</v>
      </c>
      <c r="B36" s="52"/>
      <c r="C36" s="52"/>
      <c r="D36" s="52"/>
      <c r="E36" s="52" t="str">
        <f ca="1">IFERROR(__xludf.DUMMYFUNCTION("""COMPUTED_VALUE"""),"2022/05/22 (日)
休日午後")</f>
        <v>2022/05/22 (日)
休日午後</v>
      </c>
      <c r="F36" s="52" t="str">
        <f ca="1">IFERROR(__xludf.DUMMYFUNCTION("""COMPUTED_VALUE"""),"柴山")</f>
        <v>柴山</v>
      </c>
      <c r="G36" s="52" t="str">
        <f ca="1">IFERROR(__xludf.DUMMYFUNCTION("""COMPUTED_VALUE"""),"なし")</f>
        <v>なし</v>
      </c>
      <c r="H36" s="52" t="str">
        <f ca="1">IFERROR(__xludf.DUMMYFUNCTION("""COMPUTED_VALUE"""),"能野E柴山A")</f>
        <v>能野E柴山A</v>
      </c>
    </row>
    <row r="37" spans="1:8" ht="12.75" hidden="1" x14ac:dyDescent="0.35">
      <c r="A37" s="52" t="str">
        <f ca="1">IFERROR(__xludf.DUMMYFUNCTION("""COMPUTED_VALUE"""),"2022/04/28 (木)
平日夜間")</f>
        <v>2022/04/28 (木)
平日夜間</v>
      </c>
      <c r="B37" s="52"/>
      <c r="C37" s="52"/>
      <c r="D37" s="52"/>
      <c r="E37" s="52" t="str">
        <f ca="1">IFERROR(__xludf.DUMMYFUNCTION("""COMPUTED_VALUE"""),"2022/05/23 (月)
平日夜間")</f>
        <v>2022/05/23 (月)
平日夜間</v>
      </c>
      <c r="F37" s="52" t="str">
        <f ca="1">IFERROR(__xludf.DUMMYFUNCTION("""COMPUTED_VALUE"""),"林智")</f>
        <v>林智</v>
      </c>
      <c r="G37" s="52" t="str">
        <f ca="1">IFERROR(__xludf.DUMMYFUNCTION("""COMPUTED_VALUE"""),"伊藤")</f>
        <v>伊藤</v>
      </c>
      <c r="H37" s="52" t="str">
        <f ca="1">IFERROR(__xludf.DUMMYFUNCTION("""COMPUTED_VALUE"""),"新美コマ")</f>
        <v>新美コマ</v>
      </c>
    </row>
    <row r="38" spans="1:8" ht="12.75" hidden="1" x14ac:dyDescent="0.35">
      <c r="A38" s="52" t="str">
        <f ca="1">IFERROR(__xludf.DUMMYFUNCTION("""COMPUTED_VALUE"""),"2022/05/09 (月)
平日夜間")</f>
        <v>2022/05/09 (月)
平日夜間</v>
      </c>
      <c r="B38" s="52" t="str">
        <f ca="1">IFERROR(__xludf.DUMMYFUNCTION("""COMPUTED_VALUE"""),"福里")</f>
        <v>福里</v>
      </c>
      <c r="C38" s="52" t="str">
        <f ca="1">IFERROR(__xludf.DUMMYFUNCTION("""COMPUTED_VALUE"""),"なし")</f>
        <v>なし</v>
      </c>
      <c r="D38" s="52"/>
      <c r="E38" s="52" t="str">
        <f ca="1">IFERROR(__xludf.DUMMYFUNCTION("""COMPUTED_VALUE"""),"2022/05/24 (火)
平日夜間")</f>
        <v>2022/05/24 (火)
平日夜間</v>
      </c>
      <c r="F38" s="52" t="str">
        <f ca="1">IFERROR(__xludf.DUMMYFUNCTION("""COMPUTED_VALUE"""),"吉田")</f>
        <v>吉田</v>
      </c>
      <c r="G38" s="52" t="str">
        <f ca="1">IFERROR(__xludf.DUMMYFUNCTION("""COMPUTED_VALUE"""),"松井")</f>
        <v>松井</v>
      </c>
      <c r="H38" s="52" t="str">
        <f ca="1">IFERROR(__xludf.DUMMYFUNCTION("""COMPUTED_VALUE"""),"井上コマ")</f>
        <v>井上コマ</v>
      </c>
    </row>
    <row r="39" spans="1:8" ht="12.75" hidden="1" x14ac:dyDescent="0.35">
      <c r="A39" s="52" t="str">
        <f ca="1">IFERROR(__xludf.DUMMYFUNCTION("""COMPUTED_VALUE"""),"2022/05/10 (火)
平日夜間")</f>
        <v>2022/05/10 (火)
平日夜間</v>
      </c>
      <c r="B39" s="52" t="str">
        <f ca="1">IFERROR(__xludf.DUMMYFUNCTION("""COMPUTED_VALUE"""),"勝俣")</f>
        <v>勝俣</v>
      </c>
      <c r="C39" s="52" t="str">
        <f ca="1">IFERROR(__xludf.DUMMYFUNCTION("""COMPUTED_VALUE"""),"なし")</f>
        <v>なし</v>
      </c>
      <c r="D39" s="52" t="str">
        <f ca="1">IFERROR(__xludf.DUMMYFUNCTION("""COMPUTED_VALUE"""),"勝俣教育吉田コマ")</f>
        <v>勝俣教育吉田コマ</v>
      </c>
      <c r="E39" s="52" t="str">
        <f ca="1">IFERROR(__xludf.DUMMYFUNCTION("""COMPUTED_VALUE"""),"2022/05/25 (水)
平日夜間")</f>
        <v>2022/05/25 (水)
平日夜間</v>
      </c>
      <c r="F39" s="52" t="str">
        <f ca="1">IFERROR(__xludf.DUMMYFUNCTION("""COMPUTED_VALUE"""),"森岳")</f>
        <v>森岳</v>
      </c>
      <c r="G39" s="52" t="str">
        <f ca="1">IFERROR(__xludf.DUMMYFUNCTION("""COMPUTED_VALUE"""),"なし")</f>
        <v>なし</v>
      </c>
      <c r="H39" s="52" t="str">
        <f ca="1">IFERROR(__xludf.DUMMYFUNCTION("""COMPUTED_VALUE"""),"森岳病棟")</f>
        <v>森岳病棟</v>
      </c>
    </row>
    <row r="40" spans="1:8" ht="12.75" hidden="1" x14ac:dyDescent="0.35">
      <c r="A40" s="52" t="str">
        <f ca="1">IFERROR(__xludf.DUMMYFUNCTION("""COMPUTED_VALUE"""),"2022/05/11 (水)
平日夜間")</f>
        <v>2022/05/11 (水)
平日夜間</v>
      </c>
      <c r="B40" s="52" t="str">
        <f ca="1">IFERROR(__xludf.DUMMYFUNCTION("""COMPUTED_VALUE"""),"佐藤")</f>
        <v>佐藤</v>
      </c>
      <c r="C40" s="52" t="str">
        <f ca="1">IFERROR(__xludf.DUMMYFUNCTION("""COMPUTED_VALUE"""),"千種")</f>
        <v>千種</v>
      </c>
      <c r="D40" s="52"/>
      <c r="E40" s="52" t="str">
        <f ca="1">IFERROR(__xludf.DUMMYFUNCTION("""COMPUTED_VALUE"""),"2022/05/26 (木)
平日夜間")</f>
        <v>2022/05/26 (木)
平日夜間</v>
      </c>
      <c r="F40" s="52" t="str">
        <f ca="1">IFERROR(__xludf.DUMMYFUNCTION("""COMPUTED_VALUE"""),"新美")</f>
        <v>新美</v>
      </c>
      <c r="G40" s="52" t="str">
        <f ca="1">IFERROR(__xludf.DUMMYFUNCTION("""COMPUTED_VALUE"""),"中瀬")</f>
        <v>中瀬</v>
      </c>
      <c r="H40" s="52"/>
    </row>
    <row r="41" spans="1:8" ht="12.75" hidden="1" x14ac:dyDescent="0.35">
      <c r="A41" s="52" t="str">
        <f ca="1">IFERROR(__xludf.DUMMYFUNCTION("""COMPUTED_VALUE"""),"2022/05/12 (木)
平日夜間")</f>
        <v>2022/05/12 (木)
平日夜間</v>
      </c>
      <c r="B41" s="52" t="str">
        <f ca="1">IFERROR(__xludf.DUMMYFUNCTION("""COMPUTED_VALUE"""),"勝俣")</f>
        <v>勝俣</v>
      </c>
      <c r="C41" s="52" t="str">
        <f ca="1">IFERROR(__xludf.DUMMYFUNCTION("""COMPUTED_VALUE"""),"宗")</f>
        <v>宗</v>
      </c>
      <c r="D41" s="52" t="str">
        <f ca="1">IFERROR(__xludf.DUMMYFUNCTION("""COMPUTED_VALUE"""),"宗病棟")</f>
        <v>宗病棟</v>
      </c>
      <c r="E41" s="52" t="str">
        <f ca="1">IFERROR(__xludf.DUMMYFUNCTION("""COMPUTED_VALUE"""),"2022/05/27 (金)
平日夜間")</f>
        <v>2022/05/27 (金)
平日夜間</v>
      </c>
      <c r="F41" s="52" t="str">
        <f ca="1">IFERROR(__xludf.DUMMYFUNCTION("""COMPUTED_VALUE"""),"井上")</f>
        <v>井上</v>
      </c>
      <c r="G41" s="52" t="str">
        <f ca="1">IFERROR(__xludf.DUMMYFUNCTION("""COMPUTED_VALUE"""),"宮坂")</f>
        <v>宮坂</v>
      </c>
      <c r="H41" s="52" t="str">
        <f ca="1">IFERROR(__xludf.DUMMYFUNCTION("""COMPUTED_VALUE"""),"宮坂病棟")</f>
        <v>宮坂病棟</v>
      </c>
    </row>
    <row r="42" spans="1:8" ht="12.75" hidden="1" x14ac:dyDescent="0.35">
      <c r="A42" s="52" t="str">
        <f ca="1">IFERROR(__xludf.DUMMYFUNCTION("""COMPUTED_VALUE"""),"2022/05/13 (金)
平日夜間")</f>
        <v>2022/05/13 (金)
平日夜間</v>
      </c>
      <c r="B42" s="52" t="str">
        <f ca="1">IFERROR(__xludf.DUMMYFUNCTION("""COMPUTED_VALUE"""),"福井")</f>
        <v>福井</v>
      </c>
      <c r="C42" s="52" t="str">
        <f ca="1">IFERROR(__xludf.DUMMYFUNCTION("""COMPUTED_VALUE"""),"なし")</f>
        <v>なし</v>
      </c>
      <c r="D42" s="52"/>
      <c r="E42" s="52" t="str">
        <f ca="1">IFERROR(__xludf.DUMMYFUNCTION("""COMPUTED_VALUE"""),"2022/05/28 (土)
休日午前")</f>
        <v>2022/05/28 (土)
休日午前</v>
      </c>
      <c r="F42" s="52" t="str">
        <f ca="1">IFERROR(__xludf.DUMMYFUNCTION("""COMPUTED_VALUE"""),"林智")</f>
        <v>林智</v>
      </c>
      <c r="G42" s="52" t="str">
        <f ca="1">IFERROR(__xludf.DUMMYFUNCTION("""COMPUTED_VALUE"""),"なし")</f>
        <v>なし</v>
      </c>
      <c r="H42" s="52" t="str">
        <f ca="1">IFERROR(__xludf.DUMMYFUNCTION("""COMPUTED_VALUE"""),"山田C宗E新美F吉田B")</f>
        <v>山田C宗E新美F吉田B</v>
      </c>
    </row>
    <row r="43" spans="1:8" ht="12.75" hidden="1" x14ac:dyDescent="0.35">
      <c r="A43" s="52" t="str">
        <f ca="1">IFERROR(__xludf.DUMMYFUNCTION("""COMPUTED_VALUE"""),"2022/05/14 (土)
休日午前")</f>
        <v>2022/05/14 (土)
休日午前</v>
      </c>
      <c r="B43" s="52" t="str">
        <f ca="1">IFERROR(__xludf.DUMMYFUNCTION("""COMPUTED_VALUE"""),"勝俣")</f>
        <v>勝俣</v>
      </c>
      <c r="C43" s="52" t="str">
        <f ca="1">IFERROR(__xludf.DUMMYFUNCTION("""COMPUTED_VALUE"""),"なし")</f>
        <v>なし</v>
      </c>
      <c r="D43" s="52" t="str">
        <f ca="1">IFERROR(__xludf.DUMMYFUNCTION("""COMPUTED_VALUE"""),"湯川E森岳F勝俣A林哲B")</f>
        <v>湯川E森岳F勝俣A林哲B</v>
      </c>
      <c r="E43" s="52" t="str">
        <f ca="1">IFERROR(__xludf.DUMMYFUNCTION("""COMPUTED_VALUE"""),"2022/05/28 (土)
休日午後")</f>
        <v>2022/05/28 (土)
休日午後</v>
      </c>
      <c r="F43" s="52" t="str">
        <f ca="1">IFERROR(__xludf.DUMMYFUNCTION("""COMPUTED_VALUE"""),"吉田")</f>
        <v>吉田</v>
      </c>
      <c r="G43" s="52" t="str">
        <f ca="1">IFERROR(__xludf.DUMMYFUNCTION("""COMPUTED_VALUE"""),"なし")</f>
        <v>なし</v>
      </c>
      <c r="H43" s="52" t="str">
        <f ca="1">IFERROR(__xludf.DUMMYFUNCTION("""COMPUTED_VALUE"""),"山田C宗E新美F吉田B")</f>
        <v>山田C宗E新美F吉田B</v>
      </c>
    </row>
    <row r="44" spans="1:8" ht="12.75" hidden="1" x14ac:dyDescent="0.35">
      <c r="A44" s="52" t="str">
        <f ca="1">IFERROR(__xludf.DUMMYFUNCTION("""COMPUTED_VALUE"""),"2022/05/14 (土)
休日午後")</f>
        <v>2022/05/14 (土)
休日午後</v>
      </c>
      <c r="B44" s="52" t="str">
        <f ca="1">IFERROR(__xludf.DUMMYFUNCTION("""COMPUTED_VALUE"""),"林哲")</f>
        <v>林哲</v>
      </c>
      <c r="C44" s="52" t="str">
        <f ca="1">IFERROR(__xludf.DUMMYFUNCTION("""COMPUTED_VALUE"""),"なし")</f>
        <v>なし</v>
      </c>
      <c r="D44" s="52" t="str">
        <f ca="1">IFERROR(__xludf.DUMMYFUNCTION("""COMPUTED_VALUE"""),"湯川E森岳F勝俣A林哲B")</f>
        <v>湯川E森岳F勝俣A林哲B</v>
      </c>
      <c r="E44" s="52" t="str">
        <f ca="1">IFERROR(__xludf.DUMMYFUNCTION("""COMPUTED_VALUE"""),"2022/05/29 (日)
休日午前")</f>
        <v>2022/05/29 (日)
休日午前</v>
      </c>
      <c r="F44" s="52" t="str">
        <f ca="1">IFERROR(__xludf.DUMMYFUNCTION("""COMPUTED_VALUE"""),"新美")</f>
        <v>新美</v>
      </c>
      <c r="G44" s="52" t="str">
        <f ca="1">IFERROR(__xludf.DUMMYFUNCTION("""COMPUTED_VALUE"""),"能野")</f>
        <v>能野</v>
      </c>
      <c r="H44" s="52" t="str">
        <f ca="1">IFERROR(__xludf.DUMMYFUNCTION("""COMPUTED_VALUE"""),"佐藤E中瀬F")</f>
        <v>佐藤E中瀬F</v>
      </c>
    </row>
    <row r="45" spans="1:8" ht="12.75" hidden="1" x14ac:dyDescent="0.35">
      <c r="A45" s="52" t="str">
        <f ca="1">IFERROR(__xludf.DUMMYFUNCTION("""COMPUTED_VALUE"""),"2022/05/15 (日)
休日午前")</f>
        <v>2022/05/15 (日)
休日午前</v>
      </c>
      <c r="B45" s="52" t="str">
        <f ca="1">IFERROR(__xludf.DUMMYFUNCTION("""COMPUTED_VALUE"""),"森岳")</f>
        <v>森岳</v>
      </c>
      <c r="C45" s="52" t="str">
        <f ca="1">IFERROR(__xludf.DUMMYFUNCTION("""COMPUTED_VALUE"""),"宗")</f>
        <v>宗</v>
      </c>
      <c r="D45" s="52" t="str">
        <f ca="1">IFERROR(__xludf.DUMMYFUNCTION("""COMPUTED_VALUE"""),"片山C新美E福里A")</f>
        <v>片山C新美E福里A</v>
      </c>
      <c r="E45" s="52" t="str">
        <f ca="1">IFERROR(__xludf.DUMMYFUNCTION("""COMPUTED_VALUE"""),"2022/05/29 (日)
休日午後")</f>
        <v>2022/05/29 (日)
休日午後</v>
      </c>
      <c r="F45" s="52" t="str">
        <f ca="1">IFERROR(__xludf.DUMMYFUNCTION("""COMPUTED_VALUE"""),"福井")</f>
        <v>福井</v>
      </c>
      <c r="G45" s="52" t="str">
        <f ca="1">IFERROR(__xludf.DUMMYFUNCTION("""COMPUTED_VALUE"""),"なし")</f>
        <v>なし</v>
      </c>
      <c r="H45" s="52" t="str">
        <f ca="1">IFERROR(__xludf.DUMMYFUNCTION("""COMPUTED_VALUE"""),"佐藤E中瀬F")</f>
        <v>佐藤E中瀬F</v>
      </c>
    </row>
    <row r="46" spans="1:8" ht="12.75" hidden="1" x14ac:dyDescent="0.35">
      <c r="A46" s="52" t="str">
        <f ca="1">IFERROR(__xludf.DUMMYFUNCTION("""COMPUTED_VALUE"""),"2022/05/15 (日)
休日午後")</f>
        <v>2022/05/15 (日)
休日午後</v>
      </c>
      <c r="B46" s="52" t="str">
        <f ca="1">IFERROR(__xludf.DUMMYFUNCTION("""COMPUTED_VALUE"""),"福里")</f>
        <v>福里</v>
      </c>
      <c r="C46" s="52" t="str">
        <f ca="1">IFERROR(__xludf.DUMMYFUNCTION("""COMPUTED_VALUE"""),"なし")</f>
        <v>なし</v>
      </c>
      <c r="D46" s="52" t="str">
        <f ca="1">IFERROR(__xludf.DUMMYFUNCTION("""COMPUTED_VALUE"""),"片山C新美E福里A")</f>
        <v>片山C新美E福里A</v>
      </c>
      <c r="E46" s="52" t="str">
        <f ca="1">IFERROR(__xludf.DUMMYFUNCTION("""COMPUTED_VALUE"""),"2022/05/30 (月)
平日夜間")</f>
        <v>2022/05/30 (月)
平日夜間</v>
      </c>
      <c r="F46" s="52" t="str">
        <f ca="1">IFERROR(__xludf.DUMMYFUNCTION("""COMPUTED_VALUE"""),"太良")</f>
        <v>太良</v>
      </c>
      <c r="G46" s="52" t="str">
        <f ca="1">IFERROR(__xludf.DUMMYFUNCTION("""COMPUTED_VALUE"""),"松井")</f>
        <v>松井</v>
      </c>
      <c r="H46" s="52" t="str">
        <f ca="1">IFERROR(__xludf.DUMMYFUNCTION("""COMPUTED_VALUE"""),"松井病棟福里コマ")</f>
        <v>松井病棟福里コマ</v>
      </c>
    </row>
    <row r="47" spans="1:8" ht="12.75" hidden="1" x14ac:dyDescent="0.35">
      <c r="A47" s="52" t="str">
        <f ca="1">IFERROR(__xludf.DUMMYFUNCTION("""COMPUTED_VALUE"""),"2022/05/16 (月)
平日夜間")</f>
        <v>2022/05/16 (月)
平日夜間</v>
      </c>
      <c r="B47" s="52" t="str">
        <f ca="1">IFERROR(__xludf.DUMMYFUNCTION("""COMPUTED_VALUE"""),"井上")</f>
        <v>井上</v>
      </c>
      <c r="C47" s="52" t="str">
        <f ca="1">IFERROR(__xludf.DUMMYFUNCTION("""COMPUTED_VALUE"""),"千種")</f>
        <v>千種</v>
      </c>
      <c r="D47" s="52" t="str">
        <f ca="1">IFERROR(__xludf.DUMMYFUNCTION("""COMPUTED_VALUE"""),"千種病棟勝俣コマ")</f>
        <v>千種病棟勝俣コマ</v>
      </c>
      <c r="E47" s="52" t="str">
        <f ca="1">IFERROR(__xludf.DUMMYFUNCTION("""COMPUTED_VALUE"""),"2022/05/31 (火)
平日夜間")</f>
        <v>2022/05/31 (火)
平日夜間</v>
      </c>
      <c r="F47" s="52" t="str">
        <f ca="1">IFERROR(__xludf.DUMMYFUNCTION("""COMPUTED_VALUE"""),"湯川")</f>
        <v>湯川</v>
      </c>
      <c r="G47" s="52" t="str">
        <f ca="1">IFERROR(__xludf.DUMMYFUNCTION("""COMPUTED_VALUE"""),"伊藤")</f>
        <v>伊藤</v>
      </c>
      <c r="H47" s="52" t="str">
        <f ca="1">IFERROR(__xludf.DUMMYFUNCTION("""COMPUTED_VALUE"""),"伊藤病棟尾田コマ")</f>
        <v>伊藤病棟尾田コマ</v>
      </c>
    </row>
    <row r="48" spans="1:8" ht="12.75" hidden="1" x14ac:dyDescent="0.35">
      <c r="A48" s="52" t="str">
        <f ca="1">IFERROR(__xludf.DUMMYFUNCTION("""COMPUTED_VALUE"""),"2022/05/17 (火)
平日夜間")</f>
        <v>2022/05/17 (火)
平日夜間</v>
      </c>
      <c r="B48" s="52" t="str">
        <f ca="1">IFERROR(__xludf.DUMMYFUNCTION("""COMPUTED_VALUE"""),"勝俣")</f>
        <v>勝俣</v>
      </c>
      <c r="C48" s="52" t="str">
        <f ca="1">IFERROR(__xludf.DUMMYFUNCTION("""COMPUTED_VALUE"""),"中瀬")</f>
        <v>中瀬</v>
      </c>
      <c r="D48" s="52" t="str">
        <f ca="1">IFERROR(__xludf.DUMMYFUNCTION("""COMPUTED_VALUE"""),"中瀬病棟林智コマ")</f>
        <v>中瀬病棟林智コマ</v>
      </c>
      <c r="E48" s="52" t="str">
        <f ca="1">IFERROR(__xludf.DUMMYFUNCTION("""COMPUTED_VALUE"""),"2022/06/01 (水)
平日夜間")</f>
        <v>2022/06/01 (水)
平日夜間</v>
      </c>
      <c r="F48" s="52" t="str">
        <f ca="1">IFERROR(__xludf.DUMMYFUNCTION("""COMPUTED_VALUE"""),"福井")</f>
        <v>福井</v>
      </c>
      <c r="G48" s="52"/>
      <c r="H48" s="52"/>
    </row>
    <row r="49" spans="1:8" ht="12.75" hidden="1" x14ac:dyDescent="0.35">
      <c r="A49" s="52" t="str">
        <f ca="1">IFERROR(__xludf.DUMMYFUNCTION("""COMPUTED_VALUE"""),"2022/05/18 (水)
平日夜間")</f>
        <v>2022/05/18 (水)
平日夜間</v>
      </c>
      <c r="B49" s="52" t="str">
        <f ca="1">IFERROR(__xludf.DUMMYFUNCTION("""COMPUTED_VALUE"""),"湯川")</f>
        <v>湯川</v>
      </c>
      <c r="C49" s="52" t="str">
        <f ca="1">IFERROR(__xludf.DUMMYFUNCTION("""COMPUTED_VALUE"""),"宮坂")</f>
        <v>宮坂</v>
      </c>
      <c r="D49" s="52"/>
      <c r="E49" s="52" t="str">
        <f ca="1">IFERROR(__xludf.DUMMYFUNCTION("""COMPUTED_VALUE"""),"2022/06/02 (木)
平日夜間")</f>
        <v>2022/06/02 (木)
平日夜間</v>
      </c>
      <c r="F49" s="52" t="str">
        <f ca="1">IFERROR(__xludf.DUMMYFUNCTION("""COMPUTED_VALUE"""),"菊野")</f>
        <v>菊野</v>
      </c>
      <c r="G49" s="52"/>
      <c r="H49" s="52"/>
    </row>
    <row r="50" spans="1:8" ht="12.75" hidden="1" x14ac:dyDescent="0.35">
      <c r="A50" s="52" t="str">
        <f ca="1">IFERROR(__xludf.DUMMYFUNCTION("""COMPUTED_VALUE"""),"2022/05/19 (木)
平日夜間")</f>
        <v>2022/05/19 (木)
平日夜間</v>
      </c>
      <c r="B50" s="52" t="str">
        <f ca="1">IFERROR(__xludf.DUMMYFUNCTION("""COMPUTED_VALUE"""),"佐藤")</f>
        <v>佐藤</v>
      </c>
      <c r="C50" s="52" t="str">
        <f ca="1">IFERROR(__xludf.DUMMYFUNCTION("""COMPUTED_VALUE"""),"なし")</f>
        <v>なし</v>
      </c>
      <c r="D50" s="52" t="str">
        <f ca="1">IFERROR(__xludf.DUMMYFUNCTION("""COMPUTED_VALUE"""),"佐藤病棟")</f>
        <v>佐藤病棟</v>
      </c>
      <c r="E50" s="52" t="str">
        <f ca="1">IFERROR(__xludf.DUMMYFUNCTION("""COMPUTED_VALUE"""),"2022/06/03 (金)
平日夜間")</f>
        <v>2022/06/03 (金)
平日夜間</v>
      </c>
      <c r="F50" s="52" t="str">
        <f ca="1">IFERROR(__xludf.DUMMYFUNCTION("""COMPUTED_VALUE"""),"中瀬")</f>
        <v>中瀬</v>
      </c>
      <c r="G50" s="52"/>
      <c r="H50" s="52" t="str">
        <f ca="1">IFERROR(__xludf.DUMMYFUNCTION("""COMPUTED_VALUE"""),"吉田コマ")</f>
        <v>吉田コマ</v>
      </c>
    </row>
    <row r="51" spans="1:8" ht="12.75" hidden="1" x14ac:dyDescent="0.35">
      <c r="A51" s="52" t="str">
        <f ca="1">IFERROR(__xludf.DUMMYFUNCTION("""COMPUTED_VALUE"""),"2022/05/20 (金)
平日夜間")</f>
        <v>2022/05/20 (金)
平日夜間</v>
      </c>
      <c r="B51" s="52" t="str">
        <f ca="1">IFERROR(__xludf.DUMMYFUNCTION("""COMPUTED_VALUE"""),"柴山")</f>
        <v>柴山</v>
      </c>
      <c r="C51" s="52" t="str">
        <f ca="1">IFERROR(__xludf.DUMMYFUNCTION("""COMPUTED_VALUE"""),"なし")</f>
        <v>なし</v>
      </c>
      <c r="D51" s="52"/>
      <c r="E51" s="52" t="str">
        <f ca="1">IFERROR(__xludf.DUMMYFUNCTION("""COMPUTED_VALUE"""),"2022/06/04 (土)
休日午前")</f>
        <v>2022/06/04 (土)
休日午前</v>
      </c>
      <c r="F51" s="52" t="str">
        <f ca="1">IFERROR(__xludf.DUMMYFUNCTION("""COMPUTED_VALUE"""),"菊野")</f>
        <v>菊野</v>
      </c>
      <c r="G51" s="52"/>
      <c r="H51" s="52" t="str">
        <f ca="1">IFERROR(__xludf.DUMMYFUNCTION("""COMPUTED_VALUE"""),"福井E菊野F")</f>
        <v>福井E菊野F</v>
      </c>
    </row>
    <row r="52" spans="1:8" ht="12.75" hidden="1" x14ac:dyDescent="0.35">
      <c r="A52" s="52" t="str">
        <f ca="1">IFERROR(__xludf.DUMMYFUNCTION("""COMPUTED_VALUE"""),"2022/05/21 (土)
休日午前")</f>
        <v>2022/05/21 (土)
休日午前</v>
      </c>
      <c r="B52" s="52" t="str">
        <f ca="1">IFERROR(__xludf.DUMMYFUNCTION("""COMPUTED_VALUE"""),"井上")</f>
        <v>井上</v>
      </c>
      <c r="C52" s="52" t="str">
        <f ca="1">IFERROR(__xludf.DUMMYFUNCTION("""COMPUTED_VALUE"""),"なし")</f>
        <v>なし</v>
      </c>
      <c r="D52" s="52"/>
      <c r="E52" s="52" t="str">
        <f ca="1">IFERROR(__xludf.DUMMYFUNCTION("""COMPUTED_VALUE"""),"2022/06/04 (土)
休日午後")</f>
        <v>2022/06/04 (土)
休日午後</v>
      </c>
      <c r="F52" s="52" t="str">
        <f ca="1">IFERROR(__xludf.DUMMYFUNCTION("""COMPUTED_VALUE"""),"福井")</f>
        <v>福井</v>
      </c>
      <c r="G52" s="52"/>
      <c r="H52" s="52" t="str">
        <f ca="1">IFERROR(__xludf.DUMMYFUNCTION("""COMPUTED_VALUE"""),"福井E菊野F")</f>
        <v>福井E菊野F</v>
      </c>
    </row>
    <row r="53" spans="1:8" ht="12.75" hidden="1" x14ac:dyDescent="0.35">
      <c r="A53" s="52" t="str">
        <f ca="1">IFERROR(__xludf.DUMMYFUNCTION("""COMPUTED_VALUE"""),"2022/05/21 (土)
休日午後")</f>
        <v>2022/05/21 (土)
休日午後</v>
      </c>
      <c r="B53" s="52" t="str">
        <f ca="1">IFERROR(__xludf.DUMMYFUNCTION("""COMPUTED_VALUE"""),"菊野")</f>
        <v>菊野</v>
      </c>
      <c r="C53" s="52" t="str">
        <f ca="1">IFERROR(__xludf.DUMMYFUNCTION("""COMPUTED_VALUE"""),"なし")</f>
        <v>なし</v>
      </c>
      <c r="D53" s="52"/>
      <c r="E53" s="52" t="str">
        <f ca="1">IFERROR(__xludf.DUMMYFUNCTION("""COMPUTED_VALUE"""),"2022/06/05 (日)
休日午前")</f>
        <v>2022/06/05 (日)
休日午前</v>
      </c>
      <c r="F53" s="52" t="str">
        <f ca="1">IFERROR(__xludf.DUMMYFUNCTION("""COMPUTED_VALUE"""),"佐藤")</f>
        <v>佐藤</v>
      </c>
      <c r="G53" s="52"/>
      <c r="H53" s="52" t="str">
        <f ca="1">IFERROR(__xludf.DUMMYFUNCTION("""COMPUTED_VALUE"""),"尾田E湯川F林哲B")</f>
        <v>尾田E湯川F林哲B</v>
      </c>
    </row>
    <row r="54" spans="1:8" ht="12.75" hidden="1" x14ac:dyDescent="0.35">
      <c r="A54" s="52" t="str">
        <f ca="1">IFERROR(__xludf.DUMMYFUNCTION("""COMPUTED_VALUE"""),"2022/05/22 (日)
休日午前")</f>
        <v>2022/05/22 (日)
休日午前</v>
      </c>
      <c r="B54" s="52" t="str">
        <f ca="1">IFERROR(__xludf.DUMMYFUNCTION("""COMPUTED_VALUE"""),"太良")</f>
        <v>太良</v>
      </c>
      <c r="C54" s="52" t="str">
        <f ca="1">IFERROR(__xludf.DUMMYFUNCTION("""COMPUTED_VALUE"""),"なし")</f>
        <v>なし</v>
      </c>
      <c r="D54" s="52" t="str">
        <f ca="1">IFERROR(__xludf.DUMMYFUNCTION("""COMPUTED_VALUE"""),"能野E柴山A")</f>
        <v>能野E柴山A</v>
      </c>
      <c r="E54" s="52" t="str">
        <f ca="1">IFERROR(__xludf.DUMMYFUNCTION("""COMPUTED_VALUE"""),"2022/06/05 (日)
休日午後")</f>
        <v>2022/06/05 (日)
休日午後</v>
      </c>
      <c r="F54" s="52" t="str">
        <f ca="1">IFERROR(__xludf.DUMMYFUNCTION("""COMPUTED_VALUE"""),"林哲")</f>
        <v>林哲</v>
      </c>
      <c r="G54" s="52"/>
      <c r="H54" s="52" t="str">
        <f ca="1">IFERROR(__xludf.DUMMYFUNCTION("""COMPUTED_VALUE"""),"尾田E湯川F林哲B")</f>
        <v>尾田E湯川F林哲B</v>
      </c>
    </row>
    <row r="55" spans="1:8" ht="12.75" hidden="1" x14ac:dyDescent="0.35">
      <c r="A55" s="52" t="str">
        <f ca="1">IFERROR(__xludf.DUMMYFUNCTION("""COMPUTED_VALUE"""),"2022/05/22 (日)
休日午後")</f>
        <v>2022/05/22 (日)
休日午後</v>
      </c>
      <c r="B55" s="52" t="str">
        <f ca="1">IFERROR(__xludf.DUMMYFUNCTION("""COMPUTED_VALUE"""),"柴山")</f>
        <v>柴山</v>
      </c>
      <c r="C55" s="52" t="str">
        <f ca="1">IFERROR(__xludf.DUMMYFUNCTION("""COMPUTED_VALUE"""),"なし")</f>
        <v>なし</v>
      </c>
      <c r="D55" s="52" t="str">
        <f ca="1">IFERROR(__xludf.DUMMYFUNCTION("""COMPUTED_VALUE"""),"能野E柴山A")</f>
        <v>能野E柴山A</v>
      </c>
      <c r="E55" s="52" t="str">
        <f ca="1">IFERROR(__xludf.DUMMYFUNCTION("""COMPUTED_VALUE"""),"2022/06/06 (月)
平日夜間")</f>
        <v>2022/06/06 (月)
平日夜間</v>
      </c>
      <c r="F55" s="52" t="str">
        <f ca="1">IFERROR(__xludf.DUMMYFUNCTION("""COMPUTED_VALUE"""),"井上")</f>
        <v>井上</v>
      </c>
      <c r="G55" s="52"/>
      <c r="H55" s="52" t="str">
        <f ca="1">IFERROR(__xludf.DUMMYFUNCTION("""COMPUTED_VALUE"""),"井上病棟太良コマ")</f>
        <v>井上病棟太良コマ</v>
      </c>
    </row>
    <row r="56" spans="1:8" ht="12.75" hidden="1" x14ac:dyDescent="0.35">
      <c r="A56" s="52" t="str">
        <f ca="1">IFERROR(__xludf.DUMMYFUNCTION("""COMPUTED_VALUE"""),"2022/05/23 (月)
平日夜間")</f>
        <v>2022/05/23 (月)
平日夜間</v>
      </c>
      <c r="B56" s="52" t="str">
        <f ca="1">IFERROR(__xludf.DUMMYFUNCTION("""COMPUTED_VALUE"""),"林智")</f>
        <v>林智</v>
      </c>
      <c r="C56" s="52" t="str">
        <f ca="1">IFERROR(__xludf.DUMMYFUNCTION("""COMPUTED_VALUE"""),"伊藤")</f>
        <v>伊藤</v>
      </c>
      <c r="D56" s="52" t="str">
        <f ca="1">IFERROR(__xludf.DUMMYFUNCTION("""COMPUTED_VALUE"""),"新美コマ")</f>
        <v>新美コマ</v>
      </c>
      <c r="E56" s="52" t="str">
        <f ca="1">IFERROR(__xludf.DUMMYFUNCTION("""COMPUTED_VALUE"""),"2022/06/07 (火)
平日夜間")</f>
        <v>2022/06/07 (火)
平日夜間</v>
      </c>
      <c r="F56" s="52" t="str">
        <f ca="1">IFERROR(__xludf.DUMMYFUNCTION("""COMPUTED_VALUE"""),"中瀬")</f>
        <v>中瀬</v>
      </c>
      <c r="G56" s="52"/>
      <c r="H56" s="52" t="str">
        <f ca="1">IFERROR(__xludf.DUMMYFUNCTION("""COMPUTED_VALUE"""),"中瀬病棟勝俣コマ")</f>
        <v>中瀬病棟勝俣コマ</v>
      </c>
    </row>
    <row r="57" spans="1:8" ht="12.75" hidden="1" x14ac:dyDescent="0.35">
      <c r="A57" s="52" t="str">
        <f ca="1">IFERROR(__xludf.DUMMYFUNCTION("""COMPUTED_VALUE"""),"2022/05/24 (火)
平日夜間")</f>
        <v>2022/05/24 (火)
平日夜間</v>
      </c>
      <c r="B57" s="52" t="str">
        <f ca="1">IFERROR(__xludf.DUMMYFUNCTION("""COMPUTED_VALUE"""),"吉田")</f>
        <v>吉田</v>
      </c>
      <c r="C57" s="52" t="str">
        <f ca="1">IFERROR(__xludf.DUMMYFUNCTION("""COMPUTED_VALUE"""),"松井")</f>
        <v>松井</v>
      </c>
      <c r="D57" s="52" t="str">
        <f ca="1">IFERROR(__xludf.DUMMYFUNCTION("""COMPUTED_VALUE"""),"井上コマ")</f>
        <v>井上コマ</v>
      </c>
      <c r="E57" s="52" t="str">
        <f ca="1">IFERROR(__xludf.DUMMYFUNCTION("""COMPUTED_VALUE"""),"2022/06/08 (水)
平日夜間")</f>
        <v>2022/06/08 (水)
平日夜間</v>
      </c>
      <c r="F57" s="52" t="str">
        <f ca="1">IFERROR(__xludf.DUMMYFUNCTION("""COMPUTED_VALUE"""),"中村")</f>
        <v>中村</v>
      </c>
      <c r="G57" s="52"/>
      <c r="H57" s="52" t="str">
        <f ca="1">IFERROR(__xludf.DUMMYFUNCTION("""COMPUTED_VALUE"""),"中村病棟")</f>
        <v>中村病棟</v>
      </c>
    </row>
    <row r="58" spans="1:8" ht="12.75" hidden="1" x14ac:dyDescent="0.35">
      <c r="A58" s="52" t="str">
        <f ca="1">IFERROR(__xludf.DUMMYFUNCTION("""COMPUTED_VALUE"""),"2022/05/25 (水)
平日夜間")</f>
        <v>2022/05/25 (水)
平日夜間</v>
      </c>
      <c r="B58" s="52" t="str">
        <f ca="1">IFERROR(__xludf.DUMMYFUNCTION("""COMPUTED_VALUE"""),"森岳")</f>
        <v>森岳</v>
      </c>
      <c r="C58" s="52" t="str">
        <f ca="1">IFERROR(__xludf.DUMMYFUNCTION("""COMPUTED_VALUE"""),"なし")</f>
        <v>なし</v>
      </c>
      <c r="D58" s="52" t="str">
        <f ca="1">IFERROR(__xludf.DUMMYFUNCTION("""COMPUTED_VALUE"""),"森岳病棟")</f>
        <v>森岳病棟</v>
      </c>
      <c r="E58" s="52" t="str">
        <f ca="1">IFERROR(__xludf.DUMMYFUNCTION("""COMPUTED_VALUE"""),"2022/06/09 (木)
平日夜間")</f>
        <v>2022/06/09 (木)
平日夜間</v>
      </c>
      <c r="F58" s="52" t="str">
        <f ca="1">IFERROR(__xludf.DUMMYFUNCTION("""COMPUTED_VALUE"""),"河瀬")</f>
        <v>河瀬</v>
      </c>
      <c r="G58" s="52"/>
      <c r="H58" s="52" t="str">
        <f ca="1">IFERROR(__xludf.DUMMYFUNCTION("""COMPUTED_VALUE"""),"河瀬病棟新美教育")</f>
        <v>河瀬病棟新美教育</v>
      </c>
    </row>
    <row r="59" spans="1:8" ht="12.75" hidden="1" x14ac:dyDescent="0.35">
      <c r="A59" s="52" t="str">
        <f ca="1">IFERROR(__xludf.DUMMYFUNCTION("""COMPUTED_VALUE"""),"2022/05/26 (木)
平日夜間")</f>
        <v>2022/05/26 (木)
平日夜間</v>
      </c>
      <c r="B59" s="52" t="str">
        <f ca="1">IFERROR(__xludf.DUMMYFUNCTION("""COMPUTED_VALUE"""),"新美")</f>
        <v>新美</v>
      </c>
      <c r="C59" s="52" t="str">
        <f ca="1">IFERROR(__xludf.DUMMYFUNCTION("""COMPUTED_VALUE"""),"中瀬")</f>
        <v>中瀬</v>
      </c>
      <c r="D59" s="52"/>
      <c r="E59" s="52" t="str">
        <f ca="1">IFERROR(__xludf.DUMMYFUNCTION("""COMPUTED_VALUE"""),"2022/06/10 (金)
平日夜間")</f>
        <v>2022/06/10 (金)
平日夜間</v>
      </c>
      <c r="F59" s="52" t="str">
        <f ca="1">IFERROR(__xludf.DUMMYFUNCTION("""COMPUTED_VALUE"""),"宮坂")</f>
        <v>宮坂</v>
      </c>
      <c r="G59" s="52"/>
      <c r="H59" s="52"/>
    </row>
    <row r="60" spans="1:8" ht="12.75" hidden="1" x14ac:dyDescent="0.35">
      <c r="A60" s="52" t="str">
        <f ca="1">IFERROR(__xludf.DUMMYFUNCTION("""COMPUTED_VALUE"""),"2022/05/27 (金)
平日夜間")</f>
        <v>2022/05/27 (金)
平日夜間</v>
      </c>
      <c r="B60" s="52" t="str">
        <f ca="1">IFERROR(__xludf.DUMMYFUNCTION("""COMPUTED_VALUE"""),"井上")</f>
        <v>井上</v>
      </c>
      <c r="C60" s="52" t="str">
        <f ca="1">IFERROR(__xludf.DUMMYFUNCTION("""COMPUTED_VALUE"""),"宮坂")</f>
        <v>宮坂</v>
      </c>
      <c r="D60" s="52" t="str">
        <f ca="1">IFERROR(__xludf.DUMMYFUNCTION("""COMPUTED_VALUE"""),"宮坂病棟")</f>
        <v>宮坂病棟</v>
      </c>
      <c r="E60" s="52" t="str">
        <f ca="1">IFERROR(__xludf.DUMMYFUNCTION("""COMPUTED_VALUE"""),"2022/06/11 (土)
休日午前")</f>
        <v>2022/06/11 (土)
休日午前</v>
      </c>
      <c r="F60" s="52" t="str">
        <f ca="1">IFERROR(__xludf.DUMMYFUNCTION("""COMPUTED_VALUE"""),"井上")</f>
        <v>井上</v>
      </c>
      <c r="G60" s="52"/>
      <c r="H60" s="52" t="str">
        <f ca="1">IFERROR(__xludf.DUMMYFUNCTION("""COMPUTED_VALUE"""),"山田C松井F")</f>
        <v>山田C松井F</v>
      </c>
    </row>
    <row r="61" spans="1:8" ht="12.75" hidden="1" x14ac:dyDescent="0.35">
      <c r="A61" s="52" t="str">
        <f ca="1">IFERROR(__xludf.DUMMYFUNCTION("""COMPUTED_VALUE"""),"2022/05/28 (土)
休日午前")</f>
        <v>2022/05/28 (土)
休日午前</v>
      </c>
      <c r="B61" s="52" t="str">
        <f ca="1">IFERROR(__xludf.DUMMYFUNCTION("""COMPUTED_VALUE"""),"林智")</f>
        <v>林智</v>
      </c>
      <c r="C61" s="52" t="str">
        <f ca="1">IFERROR(__xludf.DUMMYFUNCTION("""COMPUTED_VALUE"""),"なし")</f>
        <v>なし</v>
      </c>
      <c r="D61" s="52" t="str">
        <f ca="1">IFERROR(__xludf.DUMMYFUNCTION("""COMPUTED_VALUE"""),"山田C宗E新美F吉田B")</f>
        <v>山田C宗E新美F吉田B</v>
      </c>
      <c r="E61" s="52" t="str">
        <f ca="1">IFERROR(__xludf.DUMMYFUNCTION("""COMPUTED_VALUE"""),"2022/06/11 (土)
休日午後")</f>
        <v>2022/06/11 (土)
休日午後</v>
      </c>
      <c r="F61" s="52" t="str">
        <f ca="1">IFERROR(__xludf.DUMMYFUNCTION("""COMPUTED_VALUE"""),"河瀬")</f>
        <v>河瀬</v>
      </c>
      <c r="G61" s="52"/>
      <c r="H61" s="52" t="str">
        <f ca="1">IFERROR(__xludf.DUMMYFUNCTION("""COMPUTED_VALUE"""),"山田C松井F")</f>
        <v>山田C松井F</v>
      </c>
    </row>
    <row r="62" spans="1:8" ht="12.75" hidden="1" x14ac:dyDescent="0.35">
      <c r="A62" s="52" t="str">
        <f ca="1">IFERROR(__xludf.DUMMYFUNCTION("""COMPUTED_VALUE"""),"2022/05/28 (土)
休日午後")</f>
        <v>2022/05/28 (土)
休日午後</v>
      </c>
      <c r="B62" s="52" t="str">
        <f ca="1">IFERROR(__xludf.DUMMYFUNCTION("""COMPUTED_VALUE"""),"吉田")</f>
        <v>吉田</v>
      </c>
      <c r="C62" s="52" t="str">
        <f ca="1">IFERROR(__xludf.DUMMYFUNCTION("""COMPUTED_VALUE"""),"なし")</f>
        <v>なし</v>
      </c>
      <c r="D62" s="52" t="str">
        <f ca="1">IFERROR(__xludf.DUMMYFUNCTION("""COMPUTED_VALUE"""),"山田C宗E新美F吉田B")</f>
        <v>山田C宗E新美F吉田B</v>
      </c>
      <c r="E62" s="52" t="str">
        <f ca="1">IFERROR(__xludf.DUMMYFUNCTION("""COMPUTED_VALUE"""),"2022/06/12 (日)
休日午前")</f>
        <v>2022/06/12 (日)
休日午前</v>
      </c>
      <c r="F62" s="52" t="str">
        <f ca="1">IFERROR(__xludf.DUMMYFUNCTION("""COMPUTED_VALUE"""),"新美")</f>
        <v>新美</v>
      </c>
      <c r="G62" s="52"/>
      <c r="H62" s="52" t="str">
        <f ca="1">IFERROR(__xludf.DUMMYFUNCTION("""COMPUTED_VALUE"""),"宗E勝俣F")</f>
        <v>宗E勝俣F</v>
      </c>
    </row>
    <row r="63" spans="1:8" ht="12.75" hidden="1" x14ac:dyDescent="0.35">
      <c r="A63" s="52" t="str">
        <f ca="1">IFERROR(__xludf.DUMMYFUNCTION("""COMPUTED_VALUE"""),"2022/05/29 (日)
休日午前")</f>
        <v>2022/05/29 (日)
休日午前</v>
      </c>
      <c r="B63" s="52" t="str">
        <f ca="1">IFERROR(__xludf.DUMMYFUNCTION("""COMPUTED_VALUE"""),"新美")</f>
        <v>新美</v>
      </c>
      <c r="C63" s="52" t="str">
        <f ca="1">IFERROR(__xludf.DUMMYFUNCTION("""COMPUTED_VALUE"""),"能野")</f>
        <v>能野</v>
      </c>
      <c r="D63" s="52" t="str">
        <f ca="1">IFERROR(__xludf.DUMMYFUNCTION("""COMPUTED_VALUE"""),"佐藤E中瀬F")</f>
        <v>佐藤E中瀬F</v>
      </c>
      <c r="E63" s="52" t="str">
        <f ca="1">IFERROR(__xludf.DUMMYFUNCTION("""COMPUTED_VALUE"""),"2022/06/12 (日)
休日午後")</f>
        <v>2022/06/12 (日)
休日午後</v>
      </c>
      <c r="F63" s="52" t="str">
        <f ca="1">IFERROR(__xludf.DUMMYFUNCTION("""COMPUTED_VALUE"""),"伊藤")</f>
        <v>伊藤</v>
      </c>
      <c r="G63" s="52"/>
      <c r="H63" s="52" t="str">
        <f ca="1">IFERROR(__xludf.DUMMYFUNCTION("""COMPUTED_VALUE"""),"宗E勝俣F")</f>
        <v>宗E勝俣F</v>
      </c>
    </row>
    <row r="64" spans="1:8" ht="12.75" hidden="1" x14ac:dyDescent="0.35">
      <c r="A64" s="52" t="str">
        <f ca="1">IFERROR(__xludf.DUMMYFUNCTION("""COMPUTED_VALUE"""),"2022/05/29 (日)
休日午後")</f>
        <v>2022/05/29 (日)
休日午後</v>
      </c>
      <c r="B64" s="52" t="str">
        <f ca="1">IFERROR(__xludf.DUMMYFUNCTION("""COMPUTED_VALUE"""),"福井")</f>
        <v>福井</v>
      </c>
      <c r="C64" s="52" t="str">
        <f ca="1">IFERROR(__xludf.DUMMYFUNCTION("""COMPUTED_VALUE"""),"なし")</f>
        <v>なし</v>
      </c>
      <c r="D64" s="52" t="str">
        <f ca="1">IFERROR(__xludf.DUMMYFUNCTION("""COMPUTED_VALUE"""),"佐藤E中瀬F")</f>
        <v>佐藤E中瀬F</v>
      </c>
      <c r="E64" s="52" t="str">
        <f ca="1">IFERROR(__xludf.DUMMYFUNCTION("""COMPUTED_VALUE"""),"2022/06/13 (月)
平日夜間")</f>
        <v>2022/06/13 (月)
平日夜間</v>
      </c>
      <c r="F64" s="52" t="str">
        <f ca="1">IFERROR(__xludf.DUMMYFUNCTION("""COMPUTED_VALUE"""),"福里")</f>
        <v>福里</v>
      </c>
      <c r="G64" s="52"/>
      <c r="H64" s="52" t="str">
        <f ca="1">IFERROR(__xludf.DUMMYFUNCTION("""COMPUTED_VALUE"""),"新美コマ")</f>
        <v>新美コマ</v>
      </c>
    </row>
    <row r="65" spans="1:8" ht="12.75" hidden="1" x14ac:dyDescent="0.35">
      <c r="A65" s="52" t="str">
        <f ca="1">IFERROR(__xludf.DUMMYFUNCTION("""COMPUTED_VALUE"""),"2022/05/30 (月)
平日夜間")</f>
        <v>2022/05/30 (月)
平日夜間</v>
      </c>
      <c r="B65" s="52" t="str">
        <f ca="1">IFERROR(__xludf.DUMMYFUNCTION("""COMPUTED_VALUE"""),"太良")</f>
        <v>太良</v>
      </c>
      <c r="C65" s="52" t="str">
        <f ca="1">IFERROR(__xludf.DUMMYFUNCTION("""COMPUTED_VALUE"""),"松井")</f>
        <v>松井</v>
      </c>
      <c r="D65" s="52" t="str">
        <f ca="1">IFERROR(__xludf.DUMMYFUNCTION("""COMPUTED_VALUE"""),"松井病棟福里コマ")</f>
        <v>松井病棟福里コマ</v>
      </c>
      <c r="E65" s="52" t="str">
        <f ca="1">IFERROR(__xludf.DUMMYFUNCTION("""COMPUTED_VALUE"""),"2022/06/14 (火)
平日夜間")</f>
        <v>2022/06/14 (火)
平日夜間</v>
      </c>
      <c r="F65" s="52" t="str">
        <f ca="1">IFERROR(__xludf.DUMMYFUNCTION("""COMPUTED_VALUE"""),"菊野")</f>
        <v>菊野</v>
      </c>
      <c r="G65" s="52"/>
      <c r="H65" s="52" t="str">
        <f ca="1">IFERROR(__xludf.DUMMYFUNCTION("""COMPUTED_VALUE"""),"菊野病棟尾田コマ")</f>
        <v>菊野病棟尾田コマ</v>
      </c>
    </row>
    <row r="66" spans="1:8" ht="12.75" hidden="1" x14ac:dyDescent="0.35">
      <c r="A66" s="52" t="str">
        <f ca="1">IFERROR(__xludf.DUMMYFUNCTION("""COMPUTED_VALUE"""),"2022/05/31 (火)
平日夜間")</f>
        <v>2022/05/31 (火)
平日夜間</v>
      </c>
      <c r="B66" s="52" t="str">
        <f ca="1">IFERROR(__xludf.DUMMYFUNCTION("""COMPUTED_VALUE"""),"湯川")</f>
        <v>湯川</v>
      </c>
      <c r="C66" s="52" t="str">
        <f ca="1">IFERROR(__xludf.DUMMYFUNCTION("""COMPUTED_VALUE"""),"伊藤")</f>
        <v>伊藤</v>
      </c>
      <c r="D66" s="52" t="str">
        <f ca="1">IFERROR(__xludf.DUMMYFUNCTION("""COMPUTED_VALUE"""),"伊藤病棟尾田コマ")</f>
        <v>伊藤病棟尾田コマ</v>
      </c>
      <c r="E66" s="52" t="str">
        <f ca="1">IFERROR(__xludf.DUMMYFUNCTION("""COMPUTED_VALUE"""),"2022/06/15 (水)
平日夜間")</f>
        <v>2022/06/15 (水)
平日夜間</v>
      </c>
      <c r="F66" s="52" t="str">
        <f ca="1">IFERROR(__xludf.DUMMYFUNCTION("""COMPUTED_VALUE"""),"佐藤")</f>
        <v>佐藤</v>
      </c>
      <c r="G66" s="52"/>
      <c r="H66" s="52" t="str">
        <f ca="1">IFERROR(__xludf.DUMMYFUNCTION("""COMPUTED_VALUE"""),"佐藤病棟")</f>
        <v>佐藤病棟</v>
      </c>
    </row>
    <row r="67" spans="1:8" ht="12.75" hidden="1" x14ac:dyDescent="0.35">
      <c r="A67" s="52" t="str">
        <f ca="1">IFERROR(__xludf.DUMMYFUNCTION("""COMPUTED_VALUE"""),"2022/06/01 (水)
平日夜間")</f>
        <v>2022/06/01 (水)
平日夜間</v>
      </c>
      <c r="B67" s="52" t="str">
        <f ca="1">IFERROR(__xludf.DUMMYFUNCTION("""COMPUTED_VALUE"""),"福井")</f>
        <v>福井</v>
      </c>
      <c r="C67" s="52"/>
      <c r="D67" s="52"/>
      <c r="E67" s="52" t="str">
        <f ca="1">IFERROR(__xludf.DUMMYFUNCTION("""COMPUTED_VALUE"""),"2022/06/16 (木)
平日夜間")</f>
        <v>2022/06/16 (木)
平日夜間</v>
      </c>
      <c r="F67" s="52" t="str">
        <f ca="1">IFERROR(__xludf.DUMMYFUNCTION("""COMPUTED_VALUE"""),"森岳")</f>
        <v>森岳</v>
      </c>
      <c r="G67" s="52"/>
      <c r="H67" s="52" t="str">
        <f ca="1">IFERROR(__xludf.DUMMYFUNCTION("""COMPUTED_VALUE"""),"森岳病棟")</f>
        <v>森岳病棟</v>
      </c>
    </row>
    <row r="68" spans="1:8" ht="12.75" hidden="1" x14ac:dyDescent="0.35">
      <c r="A68" s="52" t="str">
        <f ca="1">IFERROR(__xludf.DUMMYFUNCTION("""COMPUTED_VALUE"""),"2022/06/02 (木)
平日夜間")</f>
        <v>2022/06/02 (木)
平日夜間</v>
      </c>
      <c r="B68" s="52" t="str">
        <f ca="1">IFERROR(__xludf.DUMMYFUNCTION("""COMPUTED_VALUE"""),"菊野")</f>
        <v>菊野</v>
      </c>
      <c r="C68" s="52"/>
      <c r="D68" s="52"/>
      <c r="E68" s="52" t="str">
        <f ca="1">IFERROR(__xludf.DUMMYFUNCTION("""COMPUTED_VALUE"""),"2022/06/17 (金)
平日夜間")</f>
        <v>2022/06/17 (金)
平日夜間</v>
      </c>
      <c r="F68" s="52" t="str">
        <f ca="1">IFERROR(__xludf.DUMMYFUNCTION("""COMPUTED_VALUE"""),"伊藤")</f>
        <v>伊藤</v>
      </c>
      <c r="G68" s="52"/>
      <c r="H68" s="52" t="str">
        <f ca="1">IFERROR(__xludf.DUMMYFUNCTION("""COMPUTED_VALUE"""),"福井教育伊東病棟")</f>
        <v>福井教育伊東病棟</v>
      </c>
    </row>
    <row r="69" spans="1:8" ht="12.75" hidden="1" x14ac:dyDescent="0.35">
      <c r="A69" s="52" t="str">
        <f ca="1">IFERROR(__xludf.DUMMYFUNCTION("""COMPUTED_VALUE"""),"2022/06/03 (金)
平日夜間")</f>
        <v>2022/06/03 (金)
平日夜間</v>
      </c>
      <c r="B69" s="52" t="str">
        <f ca="1">IFERROR(__xludf.DUMMYFUNCTION("""COMPUTED_VALUE"""),"中瀬")</f>
        <v>中瀬</v>
      </c>
      <c r="C69" s="52"/>
      <c r="D69" s="52" t="str">
        <f ca="1">IFERROR(__xludf.DUMMYFUNCTION("""COMPUTED_VALUE"""),"吉田コマ")</f>
        <v>吉田コマ</v>
      </c>
      <c r="E69" s="52" t="str">
        <f ca="1">IFERROR(__xludf.DUMMYFUNCTION("""COMPUTED_VALUE"""),"2022/06/18 (土)
休日午前")</f>
        <v>2022/06/18 (土)
休日午前</v>
      </c>
      <c r="F69" s="52" t="str">
        <f ca="1">IFERROR(__xludf.DUMMYFUNCTION("""COMPUTED_VALUE"""),"湯川")</f>
        <v>湯川</v>
      </c>
      <c r="G69" s="52"/>
      <c r="H69" s="52" t="str">
        <f ca="1">IFERROR(__xludf.DUMMYFUNCTION("""COMPUTED_VALUE"""),"福里A")</f>
        <v>福里A</v>
      </c>
    </row>
    <row r="70" spans="1:8" ht="12.75" hidden="1" x14ac:dyDescent="0.35">
      <c r="A70" s="52" t="str">
        <f ca="1">IFERROR(__xludf.DUMMYFUNCTION("""COMPUTED_VALUE"""),"2022/06/04 (土)
休日午前")</f>
        <v>2022/06/04 (土)
休日午前</v>
      </c>
      <c r="B70" s="52" t="str">
        <f ca="1">IFERROR(__xludf.DUMMYFUNCTION("""COMPUTED_VALUE"""),"菊野")</f>
        <v>菊野</v>
      </c>
      <c r="C70" s="52"/>
      <c r="D70" s="52" t="str">
        <f ca="1">IFERROR(__xludf.DUMMYFUNCTION("""COMPUTED_VALUE"""),"福井E菊野F")</f>
        <v>福井E菊野F</v>
      </c>
      <c r="E70" s="52" t="str">
        <f ca="1">IFERROR(__xludf.DUMMYFUNCTION("""COMPUTED_VALUE"""),"2022/06/18 (土)
休日午後")</f>
        <v>2022/06/18 (土)
休日午後</v>
      </c>
      <c r="F70" s="52" t="str">
        <f ca="1">IFERROR(__xludf.DUMMYFUNCTION("""COMPUTED_VALUE"""),"福里")</f>
        <v>福里</v>
      </c>
      <c r="G70" s="52"/>
      <c r="H70" s="52" t="str">
        <f ca="1">IFERROR(__xludf.DUMMYFUNCTION("""COMPUTED_VALUE"""),"福里A")</f>
        <v>福里A</v>
      </c>
    </row>
    <row r="71" spans="1:8" ht="12.75" hidden="1" x14ac:dyDescent="0.35">
      <c r="A71" s="52" t="str">
        <f ca="1">IFERROR(__xludf.DUMMYFUNCTION("""COMPUTED_VALUE"""),"2022/06/04 (土)
休日午後")</f>
        <v>2022/06/04 (土)
休日午後</v>
      </c>
      <c r="B71" s="52" t="str">
        <f ca="1">IFERROR(__xludf.DUMMYFUNCTION("""COMPUTED_VALUE"""),"福井")</f>
        <v>福井</v>
      </c>
      <c r="C71" s="52"/>
      <c r="D71" s="52" t="str">
        <f ca="1">IFERROR(__xludf.DUMMYFUNCTION("""COMPUTED_VALUE"""),"福井E菊野F")</f>
        <v>福井E菊野F</v>
      </c>
      <c r="E71" s="52" t="str">
        <f ca="1">IFERROR(__xludf.DUMMYFUNCTION("""COMPUTED_VALUE"""),"2022/06/19 (日)
休日午前")</f>
        <v>2022/06/19 (日)
休日午前</v>
      </c>
      <c r="F71" s="52" t="str">
        <f ca="1">IFERROR(__xludf.DUMMYFUNCTION("""COMPUTED_VALUE"""),"吉田")</f>
        <v>吉田</v>
      </c>
      <c r="G71" s="52"/>
      <c r="H71" s="52" t="str">
        <f ca="1">IFERROR(__xludf.DUMMYFUNCTION("""COMPUTED_VALUE"""),"片山C井上E太良A")</f>
        <v>片山C井上E太良A</v>
      </c>
    </row>
    <row r="72" spans="1:8" ht="12.75" hidden="1" x14ac:dyDescent="0.35">
      <c r="A72" s="52" t="str">
        <f ca="1">IFERROR(__xludf.DUMMYFUNCTION("""COMPUTED_VALUE"""),"2022/06/05 (日)
休日午前")</f>
        <v>2022/06/05 (日)
休日午前</v>
      </c>
      <c r="B72" s="52" t="str">
        <f ca="1">IFERROR(__xludf.DUMMYFUNCTION("""COMPUTED_VALUE"""),"佐藤")</f>
        <v>佐藤</v>
      </c>
      <c r="C72" s="52"/>
      <c r="D72" s="52" t="str">
        <f ca="1">IFERROR(__xludf.DUMMYFUNCTION("""COMPUTED_VALUE"""),"尾田E湯川F林哲B")</f>
        <v>尾田E湯川F林哲B</v>
      </c>
      <c r="E72" s="52" t="str">
        <f ca="1">IFERROR(__xludf.DUMMYFUNCTION("""COMPUTED_VALUE"""),"2022/06/19 (日)
休日午後")</f>
        <v>2022/06/19 (日)
休日午後</v>
      </c>
      <c r="F72" s="52" t="str">
        <f ca="1">IFERROR(__xludf.DUMMYFUNCTION("""COMPUTED_VALUE"""),"太良")</f>
        <v>太良</v>
      </c>
      <c r="G72" s="52"/>
      <c r="H72" s="52" t="str">
        <f ca="1">IFERROR(__xludf.DUMMYFUNCTION("""COMPUTED_VALUE"""),"片山C井上E太良A")</f>
        <v>片山C井上E太良A</v>
      </c>
    </row>
    <row r="73" spans="1:8" ht="12.75" hidden="1" x14ac:dyDescent="0.35">
      <c r="A73" s="52" t="str">
        <f ca="1">IFERROR(__xludf.DUMMYFUNCTION("""COMPUTED_VALUE"""),"2022/06/05 (日)
休日午後")</f>
        <v>2022/06/05 (日)
休日午後</v>
      </c>
      <c r="B73" s="52" t="str">
        <f ca="1">IFERROR(__xludf.DUMMYFUNCTION("""COMPUTED_VALUE"""),"林哲")</f>
        <v>林哲</v>
      </c>
      <c r="C73" s="52"/>
      <c r="D73" s="52" t="str">
        <f ca="1">IFERROR(__xludf.DUMMYFUNCTION("""COMPUTED_VALUE"""),"尾田E湯川F林哲B")</f>
        <v>尾田E湯川F林哲B</v>
      </c>
      <c r="E73" s="52" t="str">
        <f ca="1">IFERROR(__xludf.DUMMYFUNCTION("""COMPUTED_VALUE"""),"2022/06/20 (月)
平日夜間")</f>
        <v>2022/06/20 (月)
平日夜間</v>
      </c>
      <c r="F73" s="52" t="str">
        <f ca="1">IFERROR(__xludf.DUMMYFUNCTION("""COMPUTED_VALUE"""),"新美")</f>
        <v>新美</v>
      </c>
      <c r="G73" s="52"/>
      <c r="H73" s="52" t="str">
        <f ca="1">IFERROR(__xludf.DUMMYFUNCTION("""COMPUTED_VALUE"""),"新美病棟林智コマ")</f>
        <v>新美病棟林智コマ</v>
      </c>
    </row>
    <row r="74" spans="1:8" ht="12.75" hidden="1" x14ac:dyDescent="0.35">
      <c r="A74" s="52" t="str">
        <f ca="1">IFERROR(__xludf.DUMMYFUNCTION("""COMPUTED_VALUE"""),"2022/06/06 (月)
平日夜間")</f>
        <v>2022/06/06 (月)
平日夜間</v>
      </c>
      <c r="B74" s="52" t="str">
        <f ca="1">IFERROR(__xludf.DUMMYFUNCTION("""COMPUTED_VALUE"""),"井上")</f>
        <v>井上</v>
      </c>
      <c r="C74" s="52"/>
      <c r="D74" s="52" t="str">
        <f ca="1">IFERROR(__xludf.DUMMYFUNCTION("""COMPUTED_VALUE"""),"井上病棟太良コマ")</f>
        <v>井上病棟太良コマ</v>
      </c>
      <c r="E74" s="52" t="str">
        <f ca="1">IFERROR(__xludf.DUMMYFUNCTION("""COMPUTED_VALUE"""),"2022/06/21 (火)
平日夜間")</f>
        <v>2022/06/21 (火)
平日夜間</v>
      </c>
      <c r="F74" s="52" t="str">
        <f ca="1">IFERROR(__xludf.DUMMYFUNCTION("""COMPUTED_VALUE"""),"尾田")</f>
        <v>尾田</v>
      </c>
      <c r="G74" s="52"/>
      <c r="H74" s="52" t="str">
        <f ca="1">IFERROR(__xludf.DUMMYFUNCTION("""COMPUTED_VALUE"""),"尾田教育井上コマ")</f>
        <v>尾田教育井上コマ</v>
      </c>
    </row>
    <row r="75" spans="1:8" ht="12.75" hidden="1" x14ac:dyDescent="0.35">
      <c r="A75" s="52" t="str">
        <f ca="1">IFERROR(__xludf.DUMMYFUNCTION("""COMPUTED_VALUE"""),"2022/06/07 (火)
平日夜間")</f>
        <v>2022/06/07 (火)
平日夜間</v>
      </c>
      <c r="B75" s="52" t="str">
        <f ca="1">IFERROR(__xludf.DUMMYFUNCTION("""COMPUTED_VALUE"""),"中瀬")</f>
        <v>中瀬</v>
      </c>
      <c r="C75" s="52"/>
      <c r="D75" s="52" t="str">
        <f ca="1">IFERROR(__xludf.DUMMYFUNCTION("""COMPUTED_VALUE"""),"中瀬病棟勝俣コマ")</f>
        <v>中瀬病棟勝俣コマ</v>
      </c>
      <c r="E75" s="52" t="str">
        <f ca="1">IFERROR(__xludf.DUMMYFUNCTION("""COMPUTED_VALUE"""),"2022/06/22 (水)
平日夜間")</f>
        <v>2022/06/22 (水)
平日夜間</v>
      </c>
      <c r="F75" s="52" t="str">
        <f ca="1">IFERROR(__xludf.DUMMYFUNCTION("""COMPUTED_VALUE"""),"湯川")</f>
        <v>湯川</v>
      </c>
      <c r="G75" s="52"/>
      <c r="H75" s="52" t="str">
        <f ca="1">IFERROR(__xludf.DUMMYFUNCTION("""COMPUTED_VALUE"""),"湯川教育")</f>
        <v>湯川教育</v>
      </c>
    </row>
    <row r="76" spans="1:8" ht="12.75" hidden="1" x14ac:dyDescent="0.35">
      <c r="A76" s="52" t="str">
        <f ca="1">IFERROR(__xludf.DUMMYFUNCTION("""COMPUTED_VALUE"""),"2022/06/08 (水)
平日夜間")</f>
        <v>2022/06/08 (水)
平日夜間</v>
      </c>
      <c r="B76" s="52" t="str">
        <f ca="1">IFERROR(__xludf.DUMMYFUNCTION("""COMPUTED_VALUE"""),"中村")</f>
        <v>中村</v>
      </c>
      <c r="C76" s="52"/>
      <c r="D76" s="52" t="str">
        <f ca="1">IFERROR(__xludf.DUMMYFUNCTION("""COMPUTED_VALUE"""),"中村病棟")</f>
        <v>中村病棟</v>
      </c>
      <c r="E76" s="52" t="str">
        <f ca="1">IFERROR(__xludf.DUMMYFUNCTION("""COMPUTED_VALUE"""),"2022/06/23 (木)
平日夜間")</f>
        <v>2022/06/23 (木)
平日夜間</v>
      </c>
      <c r="F76" s="52" t="str">
        <f ca="1">IFERROR(__xludf.DUMMYFUNCTION("""COMPUTED_VALUE"""),"宮坂")</f>
        <v>宮坂</v>
      </c>
      <c r="G76" s="52"/>
      <c r="H76" s="52" t="str">
        <f ca="1">IFERROR(__xludf.DUMMYFUNCTION("""COMPUTED_VALUE"""),"宮坂病棟")</f>
        <v>宮坂病棟</v>
      </c>
    </row>
    <row r="77" spans="1:8" ht="12.75" hidden="1" x14ac:dyDescent="0.35">
      <c r="A77" s="52" t="str">
        <f ca="1">IFERROR(__xludf.DUMMYFUNCTION("""COMPUTED_VALUE"""),"2022/06/09 (木)
平日夜間")</f>
        <v>2022/06/09 (木)
平日夜間</v>
      </c>
      <c r="B77" s="52" t="str">
        <f ca="1">IFERROR(__xludf.DUMMYFUNCTION("""COMPUTED_VALUE"""),"河瀬")</f>
        <v>河瀬</v>
      </c>
      <c r="C77" s="52"/>
      <c r="D77" s="52" t="str">
        <f ca="1">IFERROR(__xludf.DUMMYFUNCTION("""COMPUTED_VALUE"""),"河瀬病棟新美教育")</f>
        <v>河瀬病棟新美教育</v>
      </c>
      <c r="E77" s="52" t="str">
        <f ca="1">IFERROR(__xludf.DUMMYFUNCTION("""COMPUTED_VALUE"""),"2022/06/24 (金)
平日夜間")</f>
        <v>2022/06/24 (金)
平日夜間</v>
      </c>
      <c r="F77" s="52" t="str">
        <f ca="1">IFERROR(__xludf.DUMMYFUNCTION("""COMPUTED_VALUE"""),"勝俣")</f>
        <v>勝俣</v>
      </c>
      <c r="G77" s="52"/>
      <c r="H77" s="52" t="str">
        <f ca="1">IFERROR(__xludf.DUMMYFUNCTION("""COMPUTED_VALUE"""),"勝俣病棟")</f>
        <v>勝俣病棟</v>
      </c>
    </row>
    <row r="78" spans="1:8" ht="12.75" hidden="1" x14ac:dyDescent="0.35">
      <c r="A78" s="52" t="str">
        <f ca="1">IFERROR(__xludf.DUMMYFUNCTION("""COMPUTED_VALUE"""),"2022/06/10 (金)
平日夜間")</f>
        <v>2022/06/10 (金)
平日夜間</v>
      </c>
      <c r="B78" s="52" t="str">
        <f ca="1">IFERROR(__xludf.DUMMYFUNCTION("""COMPUTED_VALUE"""),"宮坂")</f>
        <v>宮坂</v>
      </c>
      <c r="C78" s="52"/>
      <c r="D78" s="52"/>
      <c r="E78" s="52" t="str">
        <f ca="1">IFERROR(__xludf.DUMMYFUNCTION("""COMPUTED_VALUE"""),"2022/06/25 (土)
休日午前")</f>
        <v>2022/06/25 (土)
休日午前</v>
      </c>
      <c r="F78" s="52" t="str">
        <f ca="1">IFERROR(__xludf.DUMMYFUNCTION("""COMPUTED_VALUE"""),"勝俣")</f>
        <v>勝俣</v>
      </c>
      <c r="G78" s="52"/>
      <c r="H78" s="52" t="str">
        <f ca="1">IFERROR(__xludf.DUMMYFUNCTION("""COMPUTED_VALUE"""),"森伸C中瀬F")</f>
        <v>森伸C中瀬F</v>
      </c>
    </row>
    <row r="79" spans="1:8" ht="12.75" hidden="1" x14ac:dyDescent="0.35">
      <c r="A79" s="52" t="str">
        <f ca="1">IFERROR(__xludf.DUMMYFUNCTION("""COMPUTED_VALUE"""),"2022/06/11 (土)
休日午前")</f>
        <v>2022/06/11 (土)
休日午前</v>
      </c>
      <c r="B79" s="52" t="str">
        <f ca="1">IFERROR(__xludf.DUMMYFUNCTION("""COMPUTED_VALUE"""),"井上")</f>
        <v>井上</v>
      </c>
      <c r="C79" s="52"/>
      <c r="D79" s="52" t="str">
        <f ca="1">IFERROR(__xludf.DUMMYFUNCTION("""COMPUTED_VALUE"""),"山田C松井F")</f>
        <v>山田C松井F</v>
      </c>
      <c r="E79" s="52" t="str">
        <f ca="1">IFERROR(__xludf.DUMMYFUNCTION("""COMPUTED_VALUE"""),"2022/06/25 (土)
休日午後")</f>
        <v>2022/06/25 (土)
休日午後</v>
      </c>
      <c r="F79" s="52" t="str">
        <f ca="1">IFERROR(__xludf.DUMMYFUNCTION("""COMPUTED_VALUE"""),"中村")</f>
        <v>中村</v>
      </c>
      <c r="G79" s="52"/>
      <c r="H79" s="52" t="str">
        <f ca="1">IFERROR(__xludf.DUMMYFUNCTION("""COMPUTED_VALUE"""),"森伸C中瀬F")</f>
        <v>森伸C中瀬F</v>
      </c>
    </row>
    <row r="80" spans="1:8" ht="12.75" hidden="1" x14ac:dyDescent="0.35">
      <c r="A80" s="52" t="str">
        <f ca="1">IFERROR(__xludf.DUMMYFUNCTION("""COMPUTED_VALUE"""),"2022/06/11 (土)
休日午後")</f>
        <v>2022/06/11 (土)
休日午後</v>
      </c>
      <c r="B80" s="52" t="str">
        <f ca="1">IFERROR(__xludf.DUMMYFUNCTION("""COMPUTED_VALUE"""),"河瀬")</f>
        <v>河瀬</v>
      </c>
      <c r="C80" s="52"/>
      <c r="D80" s="52" t="str">
        <f ca="1">IFERROR(__xludf.DUMMYFUNCTION("""COMPUTED_VALUE"""),"山田C松井F")</f>
        <v>山田C松井F</v>
      </c>
      <c r="E80" s="52" t="str">
        <f ca="1">IFERROR(__xludf.DUMMYFUNCTION("""COMPUTED_VALUE"""),"2022/06/26 (日)
休日午前")</f>
        <v>2022/06/26 (日)
休日午前</v>
      </c>
      <c r="F80" s="52" t="str">
        <f ca="1">IFERROR(__xludf.DUMMYFUNCTION("""COMPUTED_VALUE"""),"柴山")</f>
        <v>柴山</v>
      </c>
      <c r="G80" s="52"/>
      <c r="H80" s="52" t="str">
        <f ca="1">IFERROR(__xludf.DUMMYFUNCTION("""COMPUTED_VALUE"""),"河瀬E柴山A林智B")</f>
        <v>河瀬E柴山A林智B</v>
      </c>
    </row>
    <row r="81" spans="1:8" ht="12.75" hidden="1" x14ac:dyDescent="0.35">
      <c r="A81" s="52" t="str">
        <f ca="1">IFERROR(__xludf.DUMMYFUNCTION("""COMPUTED_VALUE"""),"2022/06/12 (日)
休日午前")</f>
        <v>2022/06/12 (日)
休日午前</v>
      </c>
      <c r="B81" s="52" t="str">
        <f ca="1">IFERROR(__xludf.DUMMYFUNCTION("""COMPUTED_VALUE"""),"新美")</f>
        <v>新美</v>
      </c>
      <c r="C81" s="52"/>
      <c r="D81" s="52" t="str">
        <f ca="1">IFERROR(__xludf.DUMMYFUNCTION("""COMPUTED_VALUE"""),"宗E勝俣F")</f>
        <v>宗E勝俣F</v>
      </c>
      <c r="E81" s="52" t="str">
        <f ca="1">IFERROR(__xludf.DUMMYFUNCTION("""COMPUTED_VALUE"""),"2022/06/26 (日)
休日午後")</f>
        <v>2022/06/26 (日)
休日午後</v>
      </c>
      <c r="F81" s="52" t="str">
        <f ca="1">IFERROR(__xludf.DUMMYFUNCTION("""COMPUTED_VALUE"""),"林智")</f>
        <v>林智</v>
      </c>
      <c r="G81" s="52"/>
      <c r="H81" s="52" t="str">
        <f ca="1">IFERROR(__xludf.DUMMYFUNCTION("""COMPUTED_VALUE"""),"河瀬E柴山A林智B")</f>
        <v>河瀬E柴山A林智B</v>
      </c>
    </row>
    <row r="82" spans="1:8" ht="12.75" hidden="1" x14ac:dyDescent="0.35">
      <c r="A82" s="52" t="str">
        <f ca="1">IFERROR(__xludf.DUMMYFUNCTION("""COMPUTED_VALUE"""),"2022/06/12 (日)
休日午後")</f>
        <v>2022/06/12 (日)
休日午後</v>
      </c>
      <c r="B82" s="52" t="str">
        <f ca="1">IFERROR(__xludf.DUMMYFUNCTION("""COMPUTED_VALUE"""),"伊藤")</f>
        <v>伊藤</v>
      </c>
      <c r="C82" s="52"/>
      <c r="D82" s="52" t="str">
        <f ca="1">IFERROR(__xludf.DUMMYFUNCTION("""COMPUTED_VALUE"""),"宗E勝俣F")</f>
        <v>宗E勝俣F</v>
      </c>
      <c r="E82" s="52" t="str">
        <f ca="1">IFERROR(__xludf.DUMMYFUNCTION("""COMPUTED_VALUE"""),"2022/06/27 (月)
平日夜間")</f>
        <v>2022/06/27 (月)
平日夜間</v>
      </c>
      <c r="F82" s="52" t="str">
        <f ca="1">IFERROR(__xludf.DUMMYFUNCTION("""COMPUTED_VALUE"""),"森岳")</f>
        <v>森岳</v>
      </c>
      <c r="G82" s="52"/>
      <c r="H82" s="52" t="str">
        <f ca="1">IFERROR(__xludf.DUMMYFUNCTION("""COMPUTED_VALUE"""),"森岳病棟福里コマ")</f>
        <v>森岳病棟福里コマ</v>
      </c>
    </row>
    <row r="83" spans="1:8" ht="12.75" hidden="1" x14ac:dyDescent="0.35">
      <c r="A83" s="52" t="str">
        <f ca="1">IFERROR(__xludf.DUMMYFUNCTION("""COMPUTED_VALUE"""),"2022/06/13 (月)
平日夜間")</f>
        <v>2022/06/13 (月)
平日夜間</v>
      </c>
      <c r="B83" s="52" t="str">
        <f ca="1">IFERROR(__xludf.DUMMYFUNCTION("""COMPUTED_VALUE"""),"福里")</f>
        <v>福里</v>
      </c>
      <c r="C83" s="52"/>
      <c r="D83" s="52" t="str">
        <f ca="1">IFERROR(__xludf.DUMMYFUNCTION("""COMPUTED_VALUE"""),"新美コマ")</f>
        <v>新美コマ</v>
      </c>
      <c r="E83" s="52" t="str">
        <f ca="1">IFERROR(__xludf.DUMMYFUNCTION("""COMPUTED_VALUE"""),"2022/06/28 (火)
平日夜間")</f>
        <v>2022/06/28 (火)
平日夜間</v>
      </c>
      <c r="F83" s="52" t="str">
        <f ca="1">IFERROR(__xludf.DUMMYFUNCTION("""COMPUTED_VALUE"""),"柴山")</f>
        <v>柴山</v>
      </c>
      <c r="G83" s="52"/>
      <c r="H83" s="52" t="str">
        <f ca="1">IFERROR(__xludf.DUMMYFUNCTION("""COMPUTED_VALUE"""),"湯川コマ")</f>
        <v>湯川コマ</v>
      </c>
    </row>
    <row r="84" spans="1:8" ht="12.75" hidden="1" x14ac:dyDescent="0.35">
      <c r="A84" s="52" t="str">
        <f ca="1">IFERROR(__xludf.DUMMYFUNCTION("""COMPUTED_VALUE"""),"2022/06/14 (火)
平日夜間")</f>
        <v>2022/06/14 (火)
平日夜間</v>
      </c>
      <c r="B84" s="52" t="str">
        <f ca="1">IFERROR(__xludf.DUMMYFUNCTION("""COMPUTED_VALUE"""),"菊野")</f>
        <v>菊野</v>
      </c>
      <c r="C84" s="52"/>
      <c r="D84" s="52" t="str">
        <f ca="1">IFERROR(__xludf.DUMMYFUNCTION("""COMPUTED_VALUE"""),"菊野病棟尾田コマ")</f>
        <v>菊野病棟尾田コマ</v>
      </c>
      <c r="E84" s="52" t="str">
        <f ca="1">IFERROR(__xludf.DUMMYFUNCTION("""COMPUTED_VALUE"""),"2022/06/29 (水)
平日夜間")</f>
        <v>2022/06/29 (水)
平日夜間</v>
      </c>
      <c r="F84" s="52" t="str">
        <f ca="1">IFERROR(__xludf.DUMMYFUNCTION("""COMPUTED_VALUE"""),"松井")</f>
        <v>松井</v>
      </c>
      <c r="G84" s="52"/>
      <c r="H84" s="52" t="str">
        <f ca="1">IFERROR(__xludf.DUMMYFUNCTION("""COMPUTED_VALUE"""),"松井病棟")</f>
        <v>松井病棟</v>
      </c>
    </row>
    <row r="85" spans="1:8" ht="12.75" hidden="1" x14ac:dyDescent="0.35">
      <c r="A85" s="52" t="str">
        <f ca="1">IFERROR(__xludf.DUMMYFUNCTION("""COMPUTED_VALUE"""),"2022/06/15 (水)
平日夜間")</f>
        <v>2022/06/15 (水)
平日夜間</v>
      </c>
      <c r="B85" s="52" t="str">
        <f ca="1">IFERROR(__xludf.DUMMYFUNCTION("""COMPUTED_VALUE"""),"佐藤")</f>
        <v>佐藤</v>
      </c>
      <c r="C85" s="52"/>
      <c r="D85" s="52" t="str">
        <f ca="1">IFERROR(__xludf.DUMMYFUNCTION("""COMPUTED_VALUE"""),"佐藤病棟")</f>
        <v>佐藤病棟</v>
      </c>
      <c r="E85" s="52" t="str">
        <f ca="1">IFERROR(__xludf.DUMMYFUNCTION("""COMPUTED_VALUE"""),"2022/06/30 (木)
平日夜間")</f>
        <v>2022/06/30 (木)
平日夜間</v>
      </c>
      <c r="F85" s="52" t="str">
        <f ca="1">IFERROR(__xludf.DUMMYFUNCTION("""COMPUTED_VALUE"""),"宗")</f>
        <v>宗</v>
      </c>
      <c r="G85" s="52"/>
      <c r="H85" s="52" t="str">
        <f ca="1">IFERROR(__xludf.DUMMYFUNCTION("""COMPUTED_VALUE"""),"宗病棟")</f>
        <v>宗病棟</v>
      </c>
    </row>
    <row r="86" spans="1:8" ht="12.75" hidden="1" x14ac:dyDescent="0.35">
      <c r="A86" s="52" t="str">
        <f ca="1">IFERROR(__xludf.DUMMYFUNCTION("""COMPUTED_VALUE"""),"2022/06/16 (木)
平日夜間")</f>
        <v>2022/06/16 (木)
平日夜間</v>
      </c>
      <c r="B86" s="52" t="str">
        <f ca="1">IFERROR(__xludf.DUMMYFUNCTION("""COMPUTED_VALUE"""),"森岳")</f>
        <v>森岳</v>
      </c>
      <c r="C86" s="52"/>
      <c r="D86" s="52" t="str">
        <f ca="1">IFERROR(__xludf.DUMMYFUNCTION("""COMPUTED_VALUE"""),"森岳病棟")</f>
        <v>森岳病棟</v>
      </c>
      <c r="E86" s="52" t="str">
        <f ca="1">IFERROR(__xludf.DUMMYFUNCTION("""COMPUTED_VALUE"""),"2022/07/01 (金)
平日夜間")</f>
        <v>2022/07/01 (金)
平日夜間</v>
      </c>
      <c r="F86" s="52" t="str">
        <f ca="1">IFERROR(__xludf.DUMMYFUNCTION("""COMPUTED_VALUE"""),"福里")</f>
        <v>福里</v>
      </c>
      <c r="G86" s="52"/>
      <c r="H86" s="52" t="str">
        <f ca="1">IFERROR(__xludf.DUMMYFUNCTION("""COMPUTED_VALUE"""),"井上コマ")</f>
        <v>井上コマ</v>
      </c>
    </row>
    <row r="87" spans="1:8" ht="12.75" hidden="1" x14ac:dyDescent="0.35">
      <c r="A87" s="52" t="str">
        <f ca="1">IFERROR(__xludf.DUMMYFUNCTION("""COMPUTED_VALUE"""),"2022/06/17 (金)
平日夜間")</f>
        <v>2022/06/17 (金)
平日夜間</v>
      </c>
      <c r="B87" s="52" t="str">
        <f ca="1">IFERROR(__xludf.DUMMYFUNCTION("""COMPUTED_VALUE"""),"伊藤")</f>
        <v>伊藤</v>
      </c>
      <c r="C87" s="52"/>
      <c r="D87" s="52" t="str">
        <f ca="1">IFERROR(__xludf.DUMMYFUNCTION("""COMPUTED_VALUE"""),"福井教育伊東病棟")</f>
        <v>福井教育伊東病棟</v>
      </c>
      <c r="E87" s="52" t="str">
        <f ca="1">IFERROR(__xludf.DUMMYFUNCTION("""COMPUTED_VALUE"""),"2022/07/02 (土)
休日午前")</f>
        <v>2022/07/02 (土)
休日午前</v>
      </c>
      <c r="F87" s="52" t="str">
        <f ca="1">IFERROR(__xludf.DUMMYFUNCTION("""COMPUTED_VALUE"""),"柴山")</f>
        <v>柴山</v>
      </c>
      <c r="G87" s="52"/>
      <c r="H87" s="52" t="str">
        <f ca="1">IFERROR(__xludf.DUMMYFUNCTION("""COMPUTED_VALUE"""),"新美E 森岳A")</f>
        <v>新美E 森岳A</v>
      </c>
    </row>
    <row r="88" spans="1:8" ht="12.75" hidden="1" x14ac:dyDescent="0.35">
      <c r="A88" s="52" t="str">
        <f ca="1">IFERROR(__xludf.DUMMYFUNCTION("""COMPUTED_VALUE"""),"2022/06/18 (土)
休日午前")</f>
        <v>2022/06/18 (土)
休日午前</v>
      </c>
      <c r="B88" s="52" t="str">
        <f ca="1">IFERROR(__xludf.DUMMYFUNCTION("""COMPUTED_VALUE"""),"湯川")</f>
        <v>湯川</v>
      </c>
      <c r="C88" s="52"/>
      <c r="D88" s="52" t="str">
        <f ca="1">IFERROR(__xludf.DUMMYFUNCTION("""COMPUTED_VALUE"""),"福里A")</f>
        <v>福里A</v>
      </c>
      <c r="E88" s="52" t="str">
        <f ca="1">IFERROR(__xludf.DUMMYFUNCTION("""COMPUTED_VALUE"""),"2022/07/02 (土)
休日午後")</f>
        <v>2022/07/02 (土)
休日午後</v>
      </c>
      <c r="F88" s="52" t="str">
        <f ca="1">IFERROR(__xludf.DUMMYFUNCTION("""COMPUTED_VALUE"""),"森岳")</f>
        <v>森岳</v>
      </c>
      <c r="G88" s="52"/>
      <c r="H88" s="52" t="str">
        <f ca="1">IFERROR(__xludf.DUMMYFUNCTION("""COMPUTED_VALUE"""),"新美E 森岳A")</f>
        <v>新美E 森岳A</v>
      </c>
    </row>
    <row r="89" spans="1:8" ht="12.75" hidden="1" x14ac:dyDescent="0.35">
      <c r="A89" s="52" t="str">
        <f ca="1">IFERROR(__xludf.DUMMYFUNCTION("""COMPUTED_VALUE"""),"2022/06/18 (土)
休日午後")</f>
        <v>2022/06/18 (土)
休日午後</v>
      </c>
      <c r="B89" s="52" t="str">
        <f ca="1">IFERROR(__xludf.DUMMYFUNCTION("""COMPUTED_VALUE"""),"福里")</f>
        <v>福里</v>
      </c>
      <c r="C89" s="52"/>
      <c r="D89" s="52" t="str">
        <f ca="1">IFERROR(__xludf.DUMMYFUNCTION("""COMPUTED_VALUE"""),"福里A")</f>
        <v>福里A</v>
      </c>
      <c r="E89" s="52" t="str">
        <f ca="1">IFERROR(__xludf.DUMMYFUNCTION("""COMPUTED_VALUE"""),"2022/07/03 (日)
休日午前")</f>
        <v>2022/07/03 (日)
休日午前</v>
      </c>
      <c r="F89" s="52" t="str">
        <f ca="1">IFERROR(__xludf.DUMMYFUNCTION("""COMPUTED_VALUE"""),"菊野")</f>
        <v>菊野</v>
      </c>
      <c r="G89" s="52"/>
      <c r="H89" s="52" t="str">
        <f ca="1">IFERROR(__xludf.DUMMYFUNCTION("""COMPUTED_VALUE"""),"佐藤F尾田B")</f>
        <v>佐藤F尾田B</v>
      </c>
    </row>
    <row r="90" spans="1:8" ht="12.75" hidden="1" x14ac:dyDescent="0.35">
      <c r="A90" s="52" t="str">
        <f ca="1">IFERROR(__xludf.DUMMYFUNCTION("""COMPUTED_VALUE"""),"2022/06/19 (日)
休日午前")</f>
        <v>2022/06/19 (日)
休日午前</v>
      </c>
      <c r="B90" s="52" t="str">
        <f ca="1">IFERROR(__xludf.DUMMYFUNCTION("""COMPUTED_VALUE"""),"吉田")</f>
        <v>吉田</v>
      </c>
      <c r="C90" s="52"/>
      <c r="D90" s="52" t="str">
        <f ca="1">IFERROR(__xludf.DUMMYFUNCTION("""COMPUTED_VALUE"""),"片山C井上E太良A")</f>
        <v>片山C井上E太良A</v>
      </c>
      <c r="E90" s="52" t="str">
        <f ca="1">IFERROR(__xludf.DUMMYFUNCTION("""COMPUTED_VALUE"""),"2022/07/03 (日)
休日午後")</f>
        <v>2022/07/03 (日)
休日午後</v>
      </c>
      <c r="F90" s="52" t="str">
        <f ca="1">IFERROR(__xludf.DUMMYFUNCTION("""COMPUTED_VALUE"""),"尾田")</f>
        <v>尾田</v>
      </c>
      <c r="G90" s="52"/>
      <c r="H90" s="52" t="str">
        <f ca="1">IFERROR(__xludf.DUMMYFUNCTION("""COMPUTED_VALUE"""),"佐藤F尾田B")</f>
        <v>佐藤F尾田B</v>
      </c>
    </row>
    <row r="91" spans="1:8" ht="12.75" hidden="1" x14ac:dyDescent="0.35">
      <c r="A91" s="52" t="str">
        <f ca="1">IFERROR(__xludf.DUMMYFUNCTION("""COMPUTED_VALUE"""),"2022/06/19 (日)
休日午後")</f>
        <v>2022/06/19 (日)
休日午後</v>
      </c>
      <c r="B91" s="52" t="str">
        <f ca="1">IFERROR(__xludf.DUMMYFUNCTION("""COMPUTED_VALUE"""),"太良")</f>
        <v>太良</v>
      </c>
      <c r="C91" s="52"/>
      <c r="D91" s="52" t="str">
        <f ca="1">IFERROR(__xludf.DUMMYFUNCTION("""COMPUTED_VALUE"""),"片山C井上E太良A")</f>
        <v>片山C井上E太良A</v>
      </c>
      <c r="E91" s="52" t="str">
        <f ca="1">IFERROR(__xludf.DUMMYFUNCTION("""COMPUTED_VALUE"""),"2022/07/04 (月)
平日夜間")</f>
        <v>2022/07/04 (月)
平日夜間</v>
      </c>
      <c r="F91" s="52" t="str">
        <f ca="1">IFERROR(__xludf.DUMMYFUNCTION("""COMPUTED_VALUE"""),"中瀬")</f>
        <v>中瀬</v>
      </c>
      <c r="G91" s="52"/>
      <c r="H91" s="52" t="str">
        <f ca="1">IFERROR(__xludf.DUMMYFUNCTION("""COMPUTED_VALUE"""),"中瀬病棟太良コマ")</f>
        <v>中瀬病棟太良コマ</v>
      </c>
    </row>
    <row r="92" spans="1:8" ht="12.75" hidden="1" x14ac:dyDescent="0.35">
      <c r="A92" s="52" t="str">
        <f ca="1">IFERROR(__xludf.DUMMYFUNCTION("""COMPUTED_VALUE"""),"2022/06/20 (月)
平日夜間")</f>
        <v>2022/06/20 (月)
平日夜間</v>
      </c>
      <c r="B92" s="52" t="str">
        <f ca="1">IFERROR(__xludf.DUMMYFUNCTION("""COMPUTED_VALUE"""),"新美")</f>
        <v>新美</v>
      </c>
      <c r="C92" s="52"/>
      <c r="D92" s="52" t="str">
        <f ca="1">IFERROR(__xludf.DUMMYFUNCTION("""COMPUTED_VALUE"""),"新美病棟林智コマ")</f>
        <v>新美病棟林智コマ</v>
      </c>
      <c r="E92" s="52" t="str">
        <f ca="1">IFERROR(__xludf.DUMMYFUNCTION("""COMPUTED_VALUE"""),"2022/07/05 (火)
平日夜間")</f>
        <v>2022/07/05 (火)
平日夜間</v>
      </c>
      <c r="F92" s="52" t="str">
        <f ca="1">IFERROR(__xludf.DUMMYFUNCTION("""COMPUTED_VALUE"""),"湯川")</f>
        <v>湯川</v>
      </c>
      <c r="G92" s="52"/>
      <c r="H92" s="52" t="str">
        <f ca="1">IFERROR(__xludf.DUMMYFUNCTION("""COMPUTED_VALUE"""),"林智コマ")</f>
        <v>林智コマ</v>
      </c>
    </row>
    <row r="93" spans="1:8" ht="12.75" hidden="1" x14ac:dyDescent="0.35">
      <c r="A93" s="52" t="str">
        <f ca="1">IFERROR(__xludf.DUMMYFUNCTION("""COMPUTED_VALUE"""),"2022/06/21 (火)
平日夜間")</f>
        <v>2022/06/21 (火)
平日夜間</v>
      </c>
      <c r="B93" s="52" t="str">
        <f ca="1">IFERROR(__xludf.DUMMYFUNCTION("""COMPUTED_VALUE"""),"尾田")</f>
        <v>尾田</v>
      </c>
      <c r="C93" s="52"/>
      <c r="D93" s="52" t="str">
        <f ca="1">IFERROR(__xludf.DUMMYFUNCTION("""COMPUTED_VALUE"""),"尾田教育井上コマ")</f>
        <v>尾田教育井上コマ</v>
      </c>
      <c r="E93" s="52" t="str">
        <f ca="1">IFERROR(__xludf.DUMMYFUNCTION("""COMPUTED_VALUE"""),"2022/07/06 (水)
平日夜間")</f>
        <v>2022/07/06 (水)
平日夜間</v>
      </c>
      <c r="F93" s="52" t="str">
        <f ca="1">IFERROR(__xludf.DUMMYFUNCTION("""COMPUTED_VALUE"""),"中村")</f>
        <v>中村</v>
      </c>
      <c r="G93" s="52"/>
      <c r="H93" s="52" t="str">
        <f ca="1">IFERROR(__xludf.DUMMYFUNCTION("""COMPUTED_VALUE"""),"中村病棟")</f>
        <v>中村病棟</v>
      </c>
    </row>
    <row r="94" spans="1:8" ht="12.75" hidden="1" x14ac:dyDescent="0.35">
      <c r="A94" s="52" t="str">
        <f ca="1">IFERROR(__xludf.DUMMYFUNCTION("""COMPUTED_VALUE"""),"2022/06/22 (水)
平日夜間")</f>
        <v>2022/06/22 (水)
平日夜間</v>
      </c>
      <c r="B94" s="52" t="str">
        <f ca="1">IFERROR(__xludf.DUMMYFUNCTION("""COMPUTED_VALUE"""),"湯川")</f>
        <v>湯川</v>
      </c>
      <c r="C94" s="52"/>
      <c r="D94" s="52" t="str">
        <f ca="1">IFERROR(__xludf.DUMMYFUNCTION("""COMPUTED_VALUE"""),"湯川教育")</f>
        <v>湯川教育</v>
      </c>
      <c r="E94" s="52" t="str">
        <f ca="1">IFERROR(__xludf.DUMMYFUNCTION("""COMPUTED_VALUE"""),"2022/07/07 (木)
平日夜間")</f>
        <v>2022/07/07 (木)
平日夜間</v>
      </c>
      <c r="F94" s="52" t="str">
        <f ca="1">IFERROR(__xludf.DUMMYFUNCTION("""COMPUTED_VALUE"""),"柴山")</f>
        <v>柴山</v>
      </c>
      <c r="G94" s="52"/>
      <c r="H94" s="52" t="str">
        <f ca="1">IFERROR(__xludf.DUMMYFUNCTION("""COMPUTED_VALUE"""),"柴山病棟")</f>
        <v>柴山病棟</v>
      </c>
    </row>
    <row r="95" spans="1:8" ht="12.75" hidden="1" x14ac:dyDescent="0.35">
      <c r="A95" s="52" t="str">
        <f ca="1">IFERROR(__xludf.DUMMYFUNCTION("""COMPUTED_VALUE"""),"2022/06/23 (木)
平日夜間")</f>
        <v>2022/06/23 (木)
平日夜間</v>
      </c>
      <c r="B95" s="52" t="str">
        <f ca="1">IFERROR(__xludf.DUMMYFUNCTION("""COMPUTED_VALUE"""),"宮坂")</f>
        <v>宮坂</v>
      </c>
      <c r="C95" s="52"/>
      <c r="D95" s="52" t="str">
        <f ca="1">IFERROR(__xludf.DUMMYFUNCTION("""COMPUTED_VALUE"""),"宮坂病棟")</f>
        <v>宮坂病棟</v>
      </c>
      <c r="E95" s="52" t="str">
        <f ca="1">IFERROR(__xludf.DUMMYFUNCTION("""COMPUTED_VALUE"""),"2022/07/08 (金)
平日夜間")</f>
        <v>2022/07/08 (金)
平日夜間</v>
      </c>
      <c r="F95" s="52" t="str">
        <f ca="1">IFERROR(__xludf.DUMMYFUNCTION("""COMPUTED_VALUE"""),"宗")</f>
        <v>宗</v>
      </c>
      <c r="G95" s="52"/>
      <c r="H95" s="52"/>
    </row>
    <row r="96" spans="1:8" ht="12.75" hidden="1" x14ac:dyDescent="0.35">
      <c r="A96" s="52" t="str">
        <f ca="1">IFERROR(__xludf.DUMMYFUNCTION("""COMPUTED_VALUE"""),"2022/06/24 (金)
平日夜間")</f>
        <v>2022/06/24 (金)
平日夜間</v>
      </c>
      <c r="B96" s="52" t="str">
        <f ca="1">IFERROR(__xludf.DUMMYFUNCTION("""COMPUTED_VALUE"""),"勝俣")</f>
        <v>勝俣</v>
      </c>
      <c r="C96" s="52"/>
      <c r="D96" s="52" t="str">
        <f ca="1">IFERROR(__xludf.DUMMYFUNCTION("""COMPUTED_VALUE"""),"勝俣病棟")</f>
        <v>勝俣病棟</v>
      </c>
      <c r="E96" s="52" t="str">
        <f ca="1">IFERROR(__xludf.DUMMYFUNCTION("""COMPUTED_VALUE"""),"2022/07/09 (土)
休日午前")</f>
        <v>2022/07/09 (土)
休日午前</v>
      </c>
      <c r="F96" s="52" t="str">
        <f ca="1">IFERROR(__xludf.DUMMYFUNCTION("""COMPUTED_VALUE"""),"佐藤")</f>
        <v>佐藤</v>
      </c>
      <c r="G96" s="52"/>
      <c r="H96" s="52" t="str">
        <f ca="1">IFERROR(__xludf.DUMMYFUNCTION("""COMPUTED_VALUE"""),"山田B")</f>
        <v>山田B</v>
      </c>
    </row>
    <row r="97" spans="1:8" ht="12.75" hidden="1" x14ac:dyDescent="0.35">
      <c r="A97" s="52" t="str">
        <f ca="1">IFERROR(__xludf.DUMMYFUNCTION("""COMPUTED_VALUE"""),"2022/06/25 (土)
休日午前")</f>
        <v>2022/06/25 (土)
休日午前</v>
      </c>
      <c r="B97" s="52" t="str">
        <f ca="1">IFERROR(__xludf.DUMMYFUNCTION("""COMPUTED_VALUE"""),"勝俣")</f>
        <v>勝俣</v>
      </c>
      <c r="C97" s="52"/>
      <c r="D97" s="52" t="str">
        <f ca="1">IFERROR(__xludf.DUMMYFUNCTION("""COMPUTED_VALUE"""),"森伸C中瀬F")</f>
        <v>森伸C中瀬F</v>
      </c>
      <c r="E97" s="52" t="str">
        <f ca="1">IFERROR(__xludf.DUMMYFUNCTION("""COMPUTED_VALUE"""),"2022/07/09 (土)
休日午後")</f>
        <v>2022/07/09 (土)
休日午後</v>
      </c>
      <c r="F97" s="52" t="str">
        <f ca="1">IFERROR(__xludf.DUMMYFUNCTION("""COMPUTED_VALUE"""),"菊野")</f>
        <v>菊野</v>
      </c>
      <c r="G97" s="52"/>
      <c r="H97" s="52" t="str">
        <f ca="1">IFERROR(__xludf.DUMMYFUNCTION("""COMPUTED_VALUE"""),"山田B")</f>
        <v>山田B</v>
      </c>
    </row>
    <row r="98" spans="1:8" ht="12.75" hidden="1" x14ac:dyDescent="0.35">
      <c r="A98" s="52" t="str">
        <f ca="1">IFERROR(__xludf.DUMMYFUNCTION("""COMPUTED_VALUE"""),"2022/06/25 (土)
休日午後")</f>
        <v>2022/06/25 (土)
休日午後</v>
      </c>
      <c r="B98" s="52" t="str">
        <f ca="1">IFERROR(__xludf.DUMMYFUNCTION("""COMPUTED_VALUE"""),"中村")</f>
        <v>中村</v>
      </c>
      <c r="C98" s="52"/>
      <c r="D98" s="52" t="str">
        <f ca="1">IFERROR(__xludf.DUMMYFUNCTION("""COMPUTED_VALUE"""),"森伸C中瀬F")</f>
        <v>森伸C中瀬F</v>
      </c>
      <c r="E98" s="52" t="str">
        <f ca="1">IFERROR(__xludf.DUMMYFUNCTION("""COMPUTED_VALUE"""),"2022/07/10 (日)
休日午前")</f>
        <v>2022/07/10 (日)
休日午前</v>
      </c>
      <c r="F98" s="52" t="str">
        <f ca="1">IFERROR(__xludf.DUMMYFUNCTION("""COMPUTED_VALUE"""),"中村")</f>
        <v>中村</v>
      </c>
      <c r="G98" s="52"/>
      <c r="H98" s="52" t="str">
        <f ca="1">IFERROR(__xludf.DUMMYFUNCTION("""COMPUTED_VALUE"""),"片山C福井E松井F宗A")</f>
        <v>片山C福井E松井F宗A</v>
      </c>
    </row>
    <row r="99" spans="1:8" ht="12.75" hidden="1" x14ac:dyDescent="0.35">
      <c r="A99" s="52" t="str">
        <f ca="1">IFERROR(__xludf.DUMMYFUNCTION("""COMPUTED_VALUE"""),"2022/06/26 (日)
休日午前")</f>
        <v>2022/06/26 (日)
休日午前</v>
      </c>
      <c r="B99" s="52" t="str">
        <f ca="1">IFERROR(__xludf.DUMMYFUNCTION("""COMPUTED_VALUE"""),"柴山")</f>
        <v>柴山</v>
      </c>
      <c r="C99" s="52"/>
      <c r="D99" s="52" t="str">
        <f ca="1">IFERROR(__xludf.DUMMYFUNCTION("""COMPUTED_VALUE"""),"河瀬E柴山A林智B")</f>
        <v>河瀬E柴山A林智B</v>
      </c>
      <c r="E99" s="52" t="str">
        <f ca="1">IFERROR(__xludf.DUMMYFUNCTION("""COMPUTED_VALUE"""),"2022/07/10 (日)
休日午後")</f>
        <v>2022/07/10 (日)
休日午後</v>
      </c>
      <c r="F99" s="52" t="str">
        <f ca="1">IFERROR(__xludf.DUMMYFUNCTION("""COMPUTED_VALUE"""),"宗")</f>
        <v>宗</v>
      </c>
      <c r="G99" s="52"/>
      <c r="H99" s="52" t="str">
        <f ca="1">IFERROR(__xludf.DUMMYFUNCTION("""COMPUTED_VALUE"""),"片山C福井E松井F宗A")</f>
        <v>片山C福井E松井F宗A</v>
      </c>
    </row>
    <row r="100" spans="1:8" ht="12.75" hidden="1" x14ac:dyDescent="0.35">
      <c r="A100" s="52" t="str">
        <f ca="1">IFERROR(__xludf.DUMMYFUNCTION("""COMPUTED_VALUE"""),"2022/06/26 (日)
休日午後")</f>
        <v>2022/06/26 (日)
休日午後</v>
      </c>
      <c r="B100" s="52" t="str">
        <f ca="1">IFERROR(__xludf.DUMMYFUNCTION("""COMPUTED_VALUE"""),"林智")</f>
        <v>林智</v>
      </c>
      <c r="C100" s="52"/>
      <c r="D100" s="52" t="str">
        <f ca="1">IFERROR(__xludf.DUMMYFUNCTION("""COMPUTED_VALUE"""),"河瀬E柴山A林智B")</f>
        <v>河瀬E柴山A林智B</v>
      </c>
      <c r="E100" s="52" t="str">
        <f ca="1">IFERROR(__xludf.DUMMYFUNCTION("""COMPUTED_VALUE"""),"2022/07/11 (月)
平日夜間")</f>
        <v>2022/07/11 (月)
平日夜間</v>
      </c>
      <c r="F100" s="52" t="str">
        <f ca="1">IFERROR(__xludf.DUMMYFUNCTION("""COMPUTED_VALUE"""),"林智")</f>
        <v>林智</v>
      </c>
      <c r="G100" s="52"/>
      <c r="H100" s="52" t="str">
        <f ca="1">IFERROR(__xludf.DUMMYFUNCTION("""COMPUTED_VALUE"""),"林智教育新美コマ")</f>
        <v>林智教育新美コマ</v>
      </c>
    </row>
    <row r="101" spans="1:8" ht="12.75" hidden="1" x14ac:dyDescent="0.35">
      <c r="A101" s="52" t="str">
        <f ca="1">IFERROR(__xludf.DUMMYFUNCTION("""COMPUTED_VALUE"""),"2022/06/27 (月)
平日夜間")</f>
        <v>2022/06/27 (月)
平日夜間</v>
      </c>
      <c r="B101" s="52" t="str">
        <f ca="1">IFERROR(__xludf.DUMMYFUNCTION("""COMPUTED_VALUE"""),"森岳")</f>
        <v>森岳</v>
      </c>
      <c r="C101" s="52"/>
      <c r="D101" s="52" t="str">
        <f ca="1">IFERROR(__xludf.DUMMYFUNCTION("""COMPUTED_VALUE"""),"森岳病棟福里コマ")</f>
        <v>森岳病棟福里コマ</v>
      </c>
      <c r="E101" s="52" t="str">
        <f ca="1">IFERROR(__xludf.DUMMYFUNCTION("""COMPUTED_VALUE"""),"2022/07/12 (火)
平日夜間")</f>
        <v>2022/07/12 (火)
平日夜間</v>
      </c>
      <c r="F101" s="52" t="str">
        <f ca="1">IFERROR(__xludf.DUMMYFUNCTION("""COMPUTED_VALUE"""),"菊野")</f>
        <v>菊野</v>
      </c>
      <c r="G101" s="52"/>
      <c r="H101" s="52" t="str">
        <f ca="1">IFERROR(__xludf.DUMMYFUNCTION("""COMPUTED_VALUE"""),"菊野病棟吉田コマ")</f>
        <v>菊野病棟吉田コマ</v>
      </c>
    </row>
    <row r="102" spans="1:8" ht="12.75" hidden="1" x14ac:dyDescent="0.35">
      <c r="A102" s="52" t="str">
        <f ca="1">IFERROR(__xludf.DUMMYFUNCTION("""COMPUTED_VALUE"""),"2022/06/28 (火)
平日夜間")</f>
        <v>2022/06/28 (火)
平日夜間</v>
      </c>
      <c r="B102" s="52" t="str">
        <f ca="1">IFERROR(__xludf.DUMMYFUNCTION("""COMPUTED_VALUE"""),"柴山")</f>
        <v>柴山</v>
      </c>
      <c r="C102" s="52"/>
      <c r="D102" s="52" t="str">
        <f ca="1">IFERROR(__xludf.DUMMYFUNCTION("""COMPUTED_VALUE"""),"湯川コマ")</f>
        <v>湯川コマ</v>
      </c>
      <c r="E102" s="52" t="str">
        <f ca="1">IFERROR(__xludf.DUMMYFUNCTION("""COMPUTED_VALUE"""),"2022/07/13 (水)
平日夜間")</f>
        <v>2022/07/13 (水)
平日夜間</v>
      </c>
      <c r="F102" s="52" t="str">
        <f ca="1">IFERROR(__xludf.DUMMYFUNCTION("""COMPUTED_VALUE"""),"宮坂")</f>
        <v>宮坂</v>
      </c>
      <c r="G102" s="52"/>
      <c r="H102" s="52" t="str">
        <f ca="1">IFERROR(__xludf.DUMMYFUNCTION("""COMPUTED_VALUE"""),"宮坂病棟")</f>
        <v>宮坂病棟</v>
      </c>
    </row>
    <row r="103" spans="1:8" ht="12.75" hidden="1" x14ac:dyDescent="0.35">
      <c r="A103" s="52" t="str">
        <f ca="1">IFERROR(__xludf.DUMMYFUNCTION("""COMPUTED_VALUE"""),"2022/06/29 (水)
平日夜間")</f>
        <v>2022/06/29 (水)
平日夜間</v>
      </c>
      <c r="B103" s="52" t="str">
        <f ca="1">IFERROR(__xludf.DUMMYFUNCTION("""COMPUTED_VALUE"""),"松井")</f>
        <v>松井</v>
      </c>
      <c r="C103" s="52"/>
      <c r="D103" s="52" t="str">
        <f ca="1">IFERROR(__xludf.DUMMYFUNCTION("""COMPUTED_VALUE"""),"松井病棟")</f>
        <v>松井病棟</v>
      </c>
      <c r="E103" s="52" t="str">
        <f ca="1">IFERROR(__xludf.DUMMYFUNCTION("""COMPUTED_VALUE"""),"2022/07/14 (木)
平日夜間")</f>
        <v>2022/07/14 (木)
平日夜間</v>
      </c>
      <c r="F103" s="52" t="str">
        <f ca="1">IFERROR(__xludf.DUMMYFUNCTION("""COMPUTED_VALUE"""),"佐藤")</f>
        <v>佐藤</v>
      </c>
      <c r="G103" s="52"/>
      <c r="H103" s="52" t="str">
        <f ca="1">IFERROR(__xludf.DUMMYFUNCTION("""COMPUTED_VALUE"""),"佐藤病棟")</f>
        <v>佐藤病棟</v>
      </c>
    </row>
    <row r="104" spans="1:8" ht="12.75" hidden="1" x14ac:dyDescent="0.35">
      <c r="A104" s="52" t="str">
        <f ca="1">IFERROR(__xludf.DUMMYFUNCTION("""COMPUTED_VALUE"""),"2022/06/30 (木)
平日夜間")</f>
        <v>2022/06/30 (木)
平日夜間</v>
      </c>
      <c r="B104" s="52" t="str">
        <f ca="1">IFERROR(__xludf.DUMMYFUNCTION("""COMPUTED_VALUE"""),"宗")</f>
        <v>宗</v>
      </c>
      <c r="C104" s="52"/>
      <c r="D104" s="52" t="str">
        <f ca="1">IFERROR(__xludf.DUMMYFUNCTION("""COMPUTED_VALUE"""),"宗病棟")</f>
        <v>宗病棟</v>
      </c>
      <c r="E104" s="52" t="str">
        <f ca="1">IFERROR(__xludf.DUMMYFUNCTION("""COMPUTED_VALUE"""),"2022/07/15 (金)
平日夜間")</f>
        <v>2022/07/15 (金)
平日夜間</v>
      </c>
      <c r="F104" s="52" t="str">
        <f ca="1">IFERROR(__xludf.DUMMYFUNCTION("""COMPUTED_VALUE"""),"松井")</f>
        <v>松井</v>
      </c>
      <c r="G104" s="52"/>
      <c r="H104" s="52"/>
    </row>
    <row r="105" spans="1:8" ht="12.75" hidden="1" x14ac:dyDescent="0.35">
      <c r="A105" s="52" t="str">
        <f ca="1">IFERROR(__xludf.DUMMYFUNCTION("""COMPUTED_VALUE"""),"2022/07/01 (金)
平日夜間")</f>
        <v>2022/07/01 (金)
平日夜間</v>
      </c>
      <c r="B105" s="52" t="str">
        <f ca="1">IFERROR(__xludf.DUMMYFUNCTION("""COMPUTED_VALUE"""),"福里")</f>
        <v>福里</v>
      </c>
      <c r="C105" s="52"/>
      <c r="D105" s="52" t="str">
        <f ca="1">IFERROR(__xludf.DUMMYFUNCTION("""COMPUTED_VALUE"""),"井上コマ")</f>
        <v>井上コマ</v>
      </c>
      <c r="E105" s="52" t="str">
        <f ca="1">IFERROR(__xludf.DUMMYFUNCTION("""COMPUTED_VALUE"""),"2022/07/16 (土)
休日午前")</f>
        <v>2022/07/16 (土)
休日午前</v>
      </c>
      <c r="F105" s="52" t="str">
        <f ca="1">IFERROR(__xludf.DUMMYFUNCTION("""COMPUTED_VALUE"""),"宮坂")</f>
        <v>宮坂</v>
      </c>
      <c r="G105" s="52"/>
      <c r="H105" s="52" t="str">
        <f ca="1">IFERROR(__xludf.DUMMYFUNCTION("""COMPUTED_VALUE"""),"林哲A")</f>
        <v>林哲A</v>
      </c>
    </row>
    <row r="106" spans="1:8" ht="12.75" hidden="1" x14ac:dyDescent="0.35">
      <c r="A106" s="52" t="str">
        <f ca="1">IFERROR(__xludf.DUMMYFUNCTION("""COMPUTED_VALUE"""),"2022/07/02 (土)
休日午前")</f>
        <v>2022/07/02 (土)
休日午前</v>
      </c>
      <c r="B106" s="52" t="str">
        <f ca="1">IFERROR(__xludf.DUMMYFUNCTION("""COMPUTED_VALUE"""),"柴山")</f>
        <v>柴山</v>
      </c>
      <c r="C106" s="52"/>
      <c r="D106" s="52" t="str">
        <f ca="1">IFERROR(__xludf.DUMMYFUNCTION("""COMPUTED_VALUE"""),"新美E 森岳A")</f>
        <v>新美E 森岳A</v>
      </c>
      <c r="E106" s="52" t="str">
        <f ca="1">IFERROR(__xludf.DUMMYFUNCTION("""COMPUTED_VALUE"""),"2022/07/16 (土)
休日午後")</f>
        <v>2022/07/16 (土)
休日午後</v>
      </c>
      <c r="F106" s="52" t="str">
        <f ca="1">IFERROR(__xludf.DUMMYFUNCTION("""COMPUTED_VALUE"""),"林哲")</f>
        <v>林哲</v>
      </c>
      <c r="G106" s="52"/>
      <c r="H106" s="52" t="str">
        <f ca="1">IFERROR(__xludf.DUMMYFUNCTION("""COMPUTED_VALUE"""),"林哲A")</f>
        <v>林哲A</v>
      </c>
    </row>
    <row r="107" spans="1:8" ht="12.75" hidden="1" x14ac:dyDescent="0.35">
      <c r="A107" s="52" t="str">
        <f ca="1">IFERROR(__xludf.DUMMYFUNCTION("""COMPUTED_VALUE"""),"2022/07/02 (土)
休日午後")</f>
        <v>2022/07/02 (土)
休日午後</v>
      </c>
      <c r="B107" s="52" t="str">
        <f ca="1">IFERROR(__xludf.DUMMYFUNCTION("""COMPUTED_VALUE"""),"森岳")</f>
        <v>森岳</v>
      </c>
      <c r="C107" s="52"/>
      <c r="D107" s="52" t="str">
        <f ca="1">IFERROR(__xludf.DUMMYFUNCTION("""COMPUTED_VALUE"""),"新美E 森岳A")</f>
        <v>新美E 森岳A</v>
      </c>
      <c r="E107" s="52" t="str">
        <f ca="1">IFERROR(__xludf.DUMMYFUNCTION("""COMPUTED_VALUE"""),"2022/07/17 (日)
休日午前")</f>
        <v>2022/07/17 (日)
休日午前</v>
      </c>
      <c r="F107" s="52" t="str">
        <f ca="1">IFERROR(__xludf.DUMMYFUNCTION("""COMPUTED_VALUE"""),"河瀬")</f>
        <v>河瀬</v>
      </c>
      <c r="G107" s="52"/>
      <c r="H107" s="52" t="str">
        <f ca="1">IFERROR(__xludf.DUMMYFUNCTION("""COMPUTED_VALUE"""),"井上F湯川A河瀬B")</f>
        <v>井上F湯川A河瀬B</v>
      </c>
    </row>
    <row r="108" spans="1:8" ht="12.75" hidden="1" x14ac:dyDescent="0.35">
      <c r="A108" s="52" t="str">
        <f ca="1">IFERROR(__xludf.DUMMYFUNCTION("""COMPUTED_VALUE"""),"2022/07/03 (日)
休日午前")</f>
        <v>2022/07/03 (日)
休日午前</v>
      </c>
      <c r="B108" s="52" t="str">
        <f ca="1">IFERROR(__xludf.DUMMYFUNCTION("""COMPUTED_VALUE"""),"菊野")</f>
        <v>菊野</v>
      </c>
      <c r="C108" s="52"/>
      <c r="D108" s="52" t="str">
        <f ca="1">IFERROR(__xludf.DUMMYFUNCTION("""COMPUTED_VALUE"""),"佐藤F尾田B")</f>
        <v>佐藤F尾田B</v>
      </c>
      <c r="E108" s="52" t="str">
        <f ca="1">IFERROR(__xludf.DUMMYFUNCTION("""COMPUTED_VALUE"""),"2022/07/17 (日)
休日午後")</f>
        <v>2022/07/17 (日)
休日午後</v>
      </c>
      <c r="F108" s="52" t="str">
        <f ca="1">IFERROR(__xludf.DUMMYFUNCTION("""COMPUTED_VALUE"""),"湯川")</f>
        <v>湯川</v>
      </c>
      <c r="G108" s="52"/>
      <c r="H108" s="52" t="str">
        <f ca="1">IFERROR(__xludf.DUMMYFUNCTION("""COMPUTED_VALUE"""),"井上F湯川A河瀬B")</f>
        <v>井上F湯川A河瀬B</v>
      </c>
    </row>
    <row r="109" spans="1:8" ht="12.75" hidden="1" x14ac:dyDescent="0.35">
      <c r="A109" s="52" t="str">
        <f ca="1">IFERROR(__xludf.DUMMYFUNCTION("""COMPUTED_VALUE"""),"2022/07/03 (日)
休日午後")</f>
        <v>2022/07/03 (日)
休日午後</v>
      </c>
      <c r="B109" s="52" t="str">
        <f ca="1">IFERROR(__xludf.DUMMYFUNCTION("""COMPUTED_VALUE"""),"尾田")</f>
        <v>尾田</v>
      </c>
      <c r="C109" s="52"/>
      <c r="D109" s="52" t="str">
        <f ca="1">IFERROR(__xludf.DUMMYFUNCTION("""COMPUTED_VALUE"""),"佐藤F尾田B")</f>
        <v>佐藤F尾田B</v>
      </c>
      <c r="E109" s="52" t="str">
        <f ca="1">IFERROR(__xludf.DUMMYFUNCTION("""COMPUTED_VALUE"""),"2022/07/18 (月)
休日午前")</f>
        <v>2022/07/18 (月)
休日午前</v>
      </c>
      <c r="F109" s="52" t="str">
        <f ca="1">IFERROR(__xludf.DUMMYFUNCTION("""COMPUTED_VALUE"""),"福里")</f>
        <v>福里</v>
      </c>
      <c r="G109" s="52"/>
      <c r="H109" s="52" t="str">
        <f ca="1">IFERROR(__xludf.DUMMYFUNCTION("""COMPUTED_VALUE"""),"中瀬E伊藤F福里A太良B吉田コマ")</f>
        <v>中瀬E伊藤F福里A太良B吉田コマ</v>
      </c>
    </row>
    <row r="110" spans="1:8" ht="12.75" hidden="1" x14ac:dyDescent="0.35">
      <c r="A110" s="52" t="str">
        <f ca="1">IFERROR(__xludf.DUMMYFUNCTION("""COMPUTED_VALUE"""),"2022/07/04 (月)
平日夜間")</f>
        <v>2022/07/04 (月)
平日夜間</v>
      </c>
      <c r="B110" s="52" t="str">
        <f ca="1">IFERROR(__xludf.DUMMYFUNCTION("""COMPUTED_VALUE"""),"中瀬")</f>
        <v>中瀬</v>
      </c>
      <c r="C110" s="52"/>
      <c r="D110" s="52" t="str">
        <f ca="1">IFERROR(__xludf.DUMMYFUNCTION("""COMPUTED_VALUE"""),"中瀬病棟太良コマ")</f>
        <v>中瀬病棟太良コマ</v>
      </c>
      <c r="E110" s="52" t="str">
        <f ca="1">IFERROR(__xludf.DUMMYFUNCTION("""COMPUTED_VALUE"""),"2022/07/18 (月)
休日午後")</f>
        <v>2022/07/18 (月)
休日午後</v>
      </c>
      <c r="F110" s="52" t="str">
        <f ca="1">IFERROR(__xludf.DUMMYFUNCTION("""COMPUTED_VALUE"""),"太良")</f>
        <v>太良</v>
      </c>
      <c r="G110" s="52"/>
      <c r="H110" s="52" t="str">
        <f ca="1">IFERROR(__xludf.DUMMYFUNCTION("""COMPUTED_VALUE"""),"中瀬E伊藤F福里A太良B吉田コマ")</f>
        <v>中瀬E伊藤F福里A太良B吉田コマ</v>
      </c>
    </row>
    <row r="111" spans="1:8" ht="12.75" hidden="1" x14ac:dyDescent="0.35">
      <c r="A111" s="52" t="str">
        <f ca="1">IFERROR(__xludf.DUMMYFUNCTION("""COMPUTED_VALUE"""),"2022/07/05 (火)
平日夜間")</f>
        <v>2022/07/05 (火)
平日夜間</v>
      </c>
      <c r="B111" s="52" t="str">
        <f ca="1">IFERROR(__xludf.DUMMYFUNCTION("""COMPUTED_VALUE"""),"湯川")</f>
        <v>湯川</v>
      </c>
      <c r="C111" s="52"/>
      <c r="D111" s="52" t="str">
        <f ca="1">IFERROR(__xludf.DUMMYFUNCTION("""COMPUTED_VALUE"""),"林智コマ")</f>
        <v>林智コマ</v>
      </c>
      <c r="E111" s="52" t="str">
        <f ca="1">IFERROR(__xludf.DUMMYFUNCTION("""COMPUTED_VALUE"""),"2022/07/19 (火)
平日夜間")</f>
        <v>2022/07/19 (火)
平日夜間</v>
      </c>
      <c r="F111" s="52" t="str">
        <f ca="1">IFERROR(__xludf.DUMMYFUNCTION("""COMPUTED_VALUE"""),"新美")</f>
        <v>新美</v>
      </c>
      <c r="G111" s="52"/>
      <c r="H111" s="52" t="str">
        <f ca="1">IFERROR(__xludf.DUMMYFUNCTION("""COMPUTED_VALUE"""),"新美病棟尾田コマ")</f>
        <v>新美病棟尾田コマ</v>
      </c>
    </row>
    <row r="112" spans="1:8" ht="12.75" hidden="1" x14ac:dyDescent="0.35">
      <c r="A112" s="52" t="str">
        <f ca="1">IFERROR(__xludf.DUMMYFUNCTION("""COMPUTED_VALUE"""),"2022/07/06 (水)
平日夜間")</f>
        <v>2022/07/06 (水)
平日夜間</v>
      </c>
      <c r="B112" s="52" t="str">
        <f ca="1">IFERROR(__xludf.DUMMYFUNCTION("""COMPUTED_VALUE"""),"中村")</f>
        <v>中村</v>
      </c>
      <c r="C112" s="52"/>
      <c r="D112" s="52" t="str">
        <f ca="1">IFERROR(__xludf.DUMMYFUNCTION("""COMPUTED_VALUE"""),"中村病棟")</f>
        <v>中村病棟</v>
      </c>
      <c r="E112" s="52" t="str">
        <f ca="1">IFERROR(__xludf.DUMMYFUNCTION("""COMPUTED_VALUE"""),"2022/07/20 (水)
平日夜間")</f>
        <v>2022/07/20 (水)
平日夜間</v>
      </c>
      <c r="F112" s="52" t="str">
        <f ca="1">IFERROR(__xludf.DUMMYFUNCTION("""COMPUTED_VALUE"""),"松井")</f>
        <v>松井</v>
      </c>
      <c r="G112" s="52"/>
      <c r="H112" s="52"/>
    </row>
    <row r="113" spans="1:8" ht="12.75" hidden="1" x14ac:dyDescent="0.35">
      <c r="A113" s="52" t="str">
        <f ca="1">IFERROR(__xludf.DUMMYFUNCTION("""COMPUTED_VALUE"""),"2022/07/07 (木)
平日夜間")</f>
        <v>2022/07/07 (木)
平日夜間</v>
      </c>
      <c r="B113" s="52" t="str">
        <f ca="1">IFERROR(__xludf.DUMMYFUNCTION("""COMPUTED_VALUE"""),"柴山")</f>
        <v>柴山</v>
      </c>
      <c r="C113" s="52"/>
      <c r="D113" s="52" t="str">
        <f ca="1">IFERROR(__xludf.DUMMYFUNCTION("""COMPUTED_VALUE"""),"柴山病棟")</f>
        <v>柴山病棟</v>
      </c>
      <c r="E113" s="52" t="str">
        <f ca="1">IFERROR(__xludf.DUMMYFUNCTION("""COMPUTED_VALUE"""),"2022/07/21 (木)
平日夜間")</f>
        <v>2022/07/21 (木)
平日夜間</v>
      </c>
      <c r="F113" s="52" t="str">
        <f ca="1">IFERROR(__xludf.DUMMYFUNCTION("""COMPUTED_VALUE"""),"柴山")</f>
        <v>柴山</v>
      </c>
      <c r="G113" s="52"/>
      <c r="H113" s="52"/>
    </row>
    <row r="114" spans="1:8" ht="12.75" hidden="1" x14ac:dyDescent="0.35">
      <c r="A114" s="52" t="str">
        <f ca="1">IFERROR(__xludf.DUMMYFUNCTION("""COMPUTED_VALUE"""),"2022/07/08 (金)
平日夜間")</f>
        <v>2022/07/08 (金)
平日夜間</v>
      </c>
      <c r="B114" s="52" t="str">
        <f ca="1">IFERROR(__xludf.DUMMYFUNCTION("""COMPUTED_VALUE"""),"宗")</f>
        <v>宗</v>
      </c>
      <c r="C114" s="52"/>
      <c r="D114" s="52"/>
      <c r="E114" s="52" t="str">
        <f ca="1">IFERROR(__xludf.DUMMYFUNCTION("""COMPUTED_VALUE"""),"2022/07/22 (金)
平日夜間")</f>
        <v>2022/07/22 (金)
平日夜間</v>
      </c>
      <c r="F114" s="52" t="str">
        <f ca="1">IFERROR(__xludf.DUMMYFUNCTION("""COMPUTED_VALUE"""),"福井")</f>
        <v>福井</v>
      </c>
      <c r="G114" s="52"/>
      <c r="H114" s="52"/>
    </row>
    <row r="115" spans="1:8" ht="12.75" hidden="1" x14ac:dyDescent="0.35">
      <c r="A115" s="52" t="str">
        <f ca="1">IFERROR(__xludf.DUMMYFUNCTION("""COMPUTED_VALUE"""),"2022/07/09 (土)
休日午前")</f>
        <v>2022/07/09 (土)
休日午前</v>
      </c>
      <c r="B115" s="52" t="str">
        <f ca="1">IFERROR(__xludf.DUMMYFUNCTION("""COMPUTED_VALUE"""),"佐藤")</f>
        <v>佐藤</v>
      </c>
      <c r="C115" s="52"/>
      <c r="D115" s="52" t="str">
        <f ca="1">IFERROR(__xludf.DUMMYFUNCTION("""COMPUTED_VALUE"""),"山田B")</f>
        <v>山田B</v>
      </c>
      <c r="E115" s="52" t="str">
        <f ca="1">IFERROR(__xludf.DUMMYFUNCTION("""COMPUTED_VALUE"""),"2022/07/23 (土)
休日午前")</f>
        <v>2022/07/23 (土)
休日午前</v>
      </c>
      <c r="F115" s="52" t="str">
        <f ca="1">IFERROR(__xludf.DUMMYFUNCTION("""COMPUTED_VALUE"""),"中瀬")</f>
        <v>中瀬</v>
      </c>
      <c r="G115" s="52"/>
      <c r="H115" s="52" t="str">
        <f ca="1">IFERROR(__xludf.DUMMYFUNCTION("""COMPUTED_VALUE"""),"柴山E松井F吉田B")</f>
        <v>柴山E松井F吉田B</v>
      </c>
    </row>
    <row r="116" spans="1:8" ht="12.75" hidden="1" x14ac:dyDescent="0.35">
      <c r="A116" s="52" t="str">
        <f ca="1">IFERROR(__xludf.DUMMYFUNCTION("""COMPUTED_VALUE"""),"2022/07/09 (土)
休日午後")</f>
        <v>2022/07/09 (土)
休日午後</v>
      </c>
      <c r="B116" s="52" t="str">
        <f ca="1">IFERROR(__xludf.DUMMYFUNCTION("""COMPUTED_VALUE"""),"菊野")</f>
        <v>菊野</v>
      </c>
      <c r="C116" s="52"/>
      <c r="D116" s="52" t="str">
        <f ca="1">IFERROR(__xludf.DUMMYFUNCTION("""COMPUTED_VALUE"""),"山田B")</f>
        <v>山田B</v>
      </c>
      <c r="E116" s="52" t="str">
        <f ca="1">IFERROR(__xludf.DUMMYFUNCTION("""COMPUTED_VALUE"""),"2022/07/23 (土)
休日午後")</f>
        <v>2022/07/23 (土)
休日午後</v>
      </c>
      <c r="F116" s="52" t="str">
        <f ca="1">IFERROR(__xludf.DUMMYFUNCTION("""COMPUTED_VALUE"""),"吉田")</f>
        <v>吉田</v>
      </c>
      <c r="G116" s="52"/>
      <c r="H116" s="52" t="str">
        <f ca="1">IFERROR(__xludf.DUMMYFUNCTION("""COMPUTED_VALUE"""),"柴山E松井F吉田B")</f>
        <v>柴山E松井F吉田B</v>
      </c>
    </row>
    <row r="117" spans="1:8" ht="12.75" hidden="1" x14ac:dyDescent="0.35">
      <c r="A117" s="52" t="str">
        <f ca="1">IFERROR(__xludf.DUMMYFUNCTION("""COMPUTED_VALUE"""),"2022/07/10 (日)
休日午前")</f>
        <v>2022/07/10 (日)
休日午前</v>
      </c>
      <c r="B117" s="52" t="str">
        <f ca="1">IFERROR(__xludf.DUMMYFUNCTION("""COMPUTED_VALUE"""),"中村")</f>
        <v>中村</v>
      </c>
      <c r="C117" s="52"/>
      <c r="D117" s="52" t="str">
        <f ca="1">IFERROR(__xludf.DUMMYFUNCTION("""COMPUTED_VALUE"""),"片山C福井E松井F宗A")</f>
        <v>片山C福井E松井F宗A</v>
      </c>
      <c r="E117" s="52" t="str">
        <f ca="1">IFERROR(__xludf.DUMMYFUNCTION("""COMPUTED_VALUE"""),"2022/07/24 (日)
休日午前")</f>
        <v>2022/07/24 (日)
休日午前</v>
      </c>
      <c r="F117" s="52" t="str">
        <f ca="1">IFERROR(__xludf.DUMMYFUNCTION("""COMPUTED_VALUE"""),"福井")</f>
        <v>福井</v>
      </c>
      <c r="G117" s="52"/>
      <c r="H117" s="52" t="str">
        <f ca="1">IFERROR(__xludf.DUMMYFUNCTION("""COMPUTED_VALUE"""),"福井E菊野F")</f>
        <v>福井E菊野F</v>
      </c>
    </row>
    <row r="118" spans="1:8" ht="12.75" hidden="1" x14ac:dyDescent="0.35">
      <c r="A118" s="52" t="str">
        <f ca="1">IFERROR(__xludf.DUMMYFUNCTION("""COMPUTED_VALUE"""),"2022/07/10 (日)
休日午後")</f>
        <v>2022/07/10 (日)
休日午後</v>
      </c>
      <c r="B118" s="52" t="str">
        <f ca="1">IFERROR(__xludf.DUMMYFUNCTION("""COMPUTED_VALUE"""),"宗")</f>
        <v>宗</v>
      </c>
      <c r="C118" s="52"/>
      <c r="D118" s="52" t="str">
        <f ca="1">IFERROR(__xludf.DUMMYFUNCTION("""COMPUTED_VALUE"""),"片山C福井E松井F宗A")</f>
        <v>片山C福井E松井F宗A</v>
      </c>
      <c r="E118" s="52" t="str">
        <f ca="1">IFERROR(__xludf.DUMMYFUNCTION("""COMPUTED_VALUE"""),"2022/07/24 (日)
休日午後")</f>
        <v>2022/07/24 (日)
休日午後</v>
      </c>
      <c r="F118" s="52" t="str">
        <f ca="1">IFERROR(__xludf.DUMMYFUNCTION("""COMPUTED_VALUE"""),"宮坂")</f>
        <v>宮坂</v>
      </c>
      <c r="G118" s="52"/>
      <c r="H118" s="52" t="str">
        <f ca="1">IFERROR(__xludf.DUMMYFUNCTION("""COMPUTED_VALUE"""),"福井E菊野F")</f>
        <v>福井E菊野F</v>
      </c>
    </row>
    <row r="119" spans="1:8" ht="12.75" hidden="1" x14ac:dyDescent="0.35">
      <c r="A119" s="52" t="str">
        <f ca="1">IFERROR(__xludf.DUMMYFUNCTION("""COMPUTED_VALUE"""),"2022/07/11 (月)
平日夜間")</f>
        <v>2022/07/11 (月)
平日夜間</v>
      </c>
      <c r="B119" s="52" t="str">
        <f ca="1">IFERROR(__xludf.DUMMYFUNCTION("""COMPUTED_VALUE"""),"林智")</f>
        <v>林智</v>
      </c>
      <c r="C119" s="52"/>
      <c r="D119" s="52" t="str">
        <f ca="1">IFERROR(__xludf.DUMMYFUNCTION("""COMPUTED_VALUE"""),"林智教育新美コマ")</f>
        <v>林智教育新美コマ</v>
      </c>
      <c r="E119" s="52" t="str">
        <f ca="1">IFERROR(__xludf.DUMMYFUNCTION("""COMPUTED_VALUE"""),"2022/07/25 (月)
平日夜間")</f>
        <v>2022/07/25 (月)
平日夜間</v>
      </c>
      <c r="F119" s="52" t="str">
        <f ca="1">IFERROR(__xludf.DUMMYFUNCTION("""COMPUTED_VALUE"""),"林智")</f>
        <v>林智</v>
      </c>
      <c r="G119" s="52"/>
      <c r="H119" s="52" t="str">
        <f ca="1">IFERROR(__xludf.DUMMYFUNCTION("""COMPUTED_VALUE"""),"林智教育井上湯川コマ")</f>
        <v>林智教育井上湯川コマ</v>
      </c>
    </row>
    <row r="120" spans="1:8" ht="12.75" hidden="1" x14ac:dyDescent="0.35">
      <c r="A120" s="52" t="str">
        <f ca="1">IFERROR(__xludf.DUMMYFUNCTION("""COMPUTED_VALUE"""),"2022/07/12 (火)
平日夜間")</f>
        <v>2022/07/12 (火)
平日夜間</v>
      </c>
      <c r="B120" s="52" t="str">
        <f ca="1">IFERROR(__xludf.DUMMYFUNCTION("""COMPUTED_VALUE"""),"菊野")</f>
        <v>菊野</v>
      </c>
      <c r="C120" s="52"/>
      <c r="D120" s="52" t="str">
        <f ca="1">IFERROR(__xludf.DUMMYFUNCTION("""COMPUTED_VALUE"""),"菊野病棟吉田コマ")</f>
        <v>菊野病棟吉田コマ</v>
      </c>
      <c r="E120" s="52" t="str">
        <f ca="1">IFERROR(__xludf.DUMMYFUNCTION("""COMPUTED_VALUE"""),"2022/07/26 (火)
平日夜間")</f>
        <v>2022/07/26 (火)
平日夜間</v>
      </c>
      <c r="F120" s="52" t="str">
        <f ca="1">IFERROR(__xludf.DUMMYFUNCTION("""COMPUTED_VALUE"""),"宗")</f>
        <v>宗</v>
      </c>
      <c r="G120" s="52"/>
      <c r="H120" s="52" t="str">
        <f ca="1">IFERROR(__xludf.DUMMYFUNCTION("""COMPUTED_VALUE"""),"福里コマ")</f>
        <v>福里コマ</v>
      </c>
    </row>
    <row r="121" spans="1:8" ht="12.75" hidden="1" x14ac:dyDescent="0.35">
      <c r="A121" s="52" t="str">
        <f ca="1">IFERROR(__xludf.DUMMYFUNCTION("""COMPUTED_VALUE"""),"2022/07/13 (水)
平日夜間")</f>
        <v>2022/07/13 (水)
平日夜間</v>
      </c>
      <c r="B121" s="52" t="str">
        <f ca="1">IFERROR(__xludf.DUMMYFUNCTION("""COMPUTED_VALUE"""),"宮坂")</f>
        <v>宮坂</v>
      </c>
      <c r="C121" s="52"/>
      <c r="D121" s="52" t="str">
        <f ca="1">IFERROR(__xludf.DUMMYFUNCTION("""COMPUTED_VALUE"""),"宮坂病棟")</f>
        <v>宮坂病棟</v>
      </c>
      <c r="E121" s="52" t="str">
        <f ca="1">IFERROR(__xludf.DUMMYFUNCTION("""COMPUTED_VALUE"""),"2022/07/27 (水)
平日夜間")</f>
        <v>2022/07/27 (水)
平日夜間</v>
      </c>
      <c r="F121" s="52" t="str">
        <f ca="1">IFERROR(__xludf.DUMMYFUNCTION("""COMPUTED_VALUE"""),"井上")</f>
        <v>井上</v>
      </c>
      <c r="G121" s="52"/>
      <c r="H121" s="52"/>
    </row>
    <row r="122" spans="1:8" ht="12.75" hidden="1" x14ac:dyDescent="0.35">
      <c r="A122" s="52" t="str">
        <f ca="1">IFERROR(__xludf.DUMMYFUNCTION("""COMPUTED_VALUE"""),"2022/07/14 (木)
平日夜間")</f>
        <v>2022/07/14 (木)
平日夜間</v>
      </c>
      <c r="B122" s="52" t="str">
        <f ca="1">IFERROR(__xludf.DUMMYFUNCTION("""COMPUTED_VALUE"""),"佐藤")</f>
        <v>佐藤</v>
      </c>
      <c r="C122" s="52"/>
      <c r="D122" s="52" t="str">
        <f ca="1">IFERROR(__xludf.DUMMYFUNCTION("""COMPUTED_VALUE"""),"佐藤病棟")</f>
        <v>佐藤病棟</v>
      </c>
      <c r="E122" s="52" t="str">
        <f ca="1">IFERROR(__xludf.DUMMYFUNCTION("""COMPUTED_VALUE"""),"2022/07/28 (木)
平日夜間")</f>
        <v>2022/07/28 (木)
平日夜間</v>
      </c>
      <c r="F122" s="52" t="str">
        <f ca="1">IFERROR(__xludf.DUMMYFUNCTION("""COMPUTED_VALUE"""),"福里")</f>
        <v>福里</v>
      </c>
      <c r="G122" s="52"/>
      <c r="H122" s="52"/>
    </row>
    <row r="123" spans="1:8" ht="12.75" hidden="1" x14ac:dyDescent="0.35">
      <c r="A123" s="52" t="str">
        <f ca="1">IFERROR(__xludf.DUMMYFUNCTION("""COMPUTED_VALUE"""),"2022/07/15 (金)
平日夜間")</f>
        <v>2022/07/15 (金)
平日夜間</v>
      </c>
      <c r="B123" s="52" t="str">
        <f ca="1">IFERROR(__xludf.DUMMYFUNCTION("""COMPUTED_VALUE"""),"松井")</f>
        <v>松井</v>
      </c>
      <c r="C123" s="52"/>
      <c r="D123" s="52"/>
      <c r="E123" s="52" t="str">
        <f ca="1">IFERROR(__xludf.DUMMYFUNCTION("""COMPUTED_VALUE"""),"2022/07/29 (金)
平日夜間")</f>
        <v>2022/07/29 (金)
平日夜間</v>
      </c>
      <c r="F123" s="52" t="str">
        <f ca="1">IFERROR(__xludf.DUMMYFUNCTION("""COMPUTED_VALUE"""),"河瀬")</f>
        <v>河瀬</v>
      </c>
      <c r="G123" s="52"/>
      <c r="H123" s="52" t="str">
        <f ca="1">IFERROR(__xludf.DUMMYFUNCTION("""COMPUTED_VALUE"""),"勝俣コマ")</f>
        <v>勝俣コマ</v>
      </c>
    </row>
    <row r="124" spans="1:8" ht="12.75" hidden="1" x14ac:dyDescent="0.35">
      <c r="A124" s="52" t="str">
        <f ca="1">IFERROR(__xludf.DUMMYFUNCTION("""COMPUTED_VALUE"""),"2022/07/16 (土)
休日午前")</f>
        <v>2022/07/16 (土)
休日午前</v>
      </c>
      <c r="B124" s="52" t="str">
        <f ca="1">IFERROR(__xludf.DUMMYFUNCTION("""COMPUTED_VALUE"""),"宮坂")</f>
        <v>宮坂</v>
      </c>
      <c r="C124" s="52"/>
      <c r="D124" s="52" t="str">
        <f ca="1">IFERROR(__xludf.DUMMYFUNCTION("""COMPUTED_VALUE"""),"林哲A")</f>
        <v>林哲A</v>
      </c>
      <c r="E124" s="52" t="str">
        <f ca="1">IFERROR(__xludf.DUMMYFUNCTION("""COMPUTED_VALUE"""),"2022/07/30 (土)
休日午前")</f>
        <v>2022/07/30 (土)
休日午前</v>
      </c>
      <c r="F124" s="52" t="str">
        <f ca="1">IFERROR(__xludf.DUMMYFUNCTION("""COMPUTED_VALUE"""),"福井")</f>
        <v>福井</v>
      </c>
      <c r="G124" s="52"/>
      <c r="H124" s="52" t="str">
        <f ca="1">IFERROR(__xludf.DUMMYFUNCTION("""COMPUTED_VALUE"""),"森伸C中村F")</f>
        <v>森伸C中村F</v>
      </c>
    </row>
    <row r="125" spans="1:8" ht="12.75" hidden="1" x14ac:dyDescent="0.35">
      <c r="A125" s="52" t="str">
        <f ca="1">IFERROR(__xludf.DUMMYFUNCTION("""COMPUTED_VALUE"""),"2022/07/16 (土)
休日午後")</f>
        <v>2022/07/16 (土)
休日午後</v>
      </c>
      <c r="B125" s="52" t="str">
        <f ca="1">IFERROR(__xludf.DUMMYFUNCTION("""COMPUTED_VALUE"""),"林哲")</f>
        <v>林哲</v>
      </c>
      <c r="C125" s="52"/>
      <c r="D125" s="52" t="str">
        <f ca="1">IFERROR(__xludf.DUMMYFUNCTION("""COMPUTED_VALUE"""),"林哲A")</f>
        <v>林哲A</v>
      </c>
      <c r="E125" s="52" t="str">
        <f ca="1">IFERROR(__xludf.DUMMYFUNCTION("""COMPUTED_VALUE"""),"2022/07/30 (土)
休日午後")</f>
        <v>2022/07/30 (土)
休日午後</v>
      </c>
      <c r="F125" s="52" t="str">
        <f ca="1">IFERROR(__xludf.DUMMYFUNCTION("""COMPUTED_VALUE"""),"松井")</f>
        <v>松井</v>
      </c>
      <c r="G125" s="52"/>
      <c r="H125" s="52" t="str">
        <f ca="1">IFERROR(__xludf.DUMMYFUNCTION("""COMPUTED_VALUE"""),"森伸C中村F")</f>
        <v>森伸C中村F</v>
      </c>
    </row>
    <row r="126" spans="1:8" ht="12.75" hidden="1" x14ac:dyDescent="0.35">
      <c r="A126" s="52" t="str">
        <f ca="1">IFERROR(__xludf.DUMMYFUNCTION("""COMPUTED_VALUE"""),"2022/07/17 (日)
休日午前")</f>
        <v>2022/07/17 (日)
休日午前</v>
      </c>
      <c r="B126" s="52" t="str">
        <f ca="1">IFERROR(__xludf.DUMMYFUNCTION("""COMPUTED_VALUE"""),"河瀬")</f>
        <v>河瀬</v>
      </c>
      <c r="C126" s="52"/>
      <c r="D126" s="52" t="str">
        <f ca="1">IFERROR(__xludf.DUMMYFUNCTION("""COMPUTED_VALUE"""),"井上F湯川A河瀬B")</f>
        <v>井上F湯川A河瀬B</v>
      </c>
      <c r="E126" s="52" t="str">
        <f ca="1">IFERROR(__xludf.DUMMYFUNCTION("""COMPUTED_VALUE"""),"2022/07/31 (日)
休日午前")</f>
        <v>2022/07/31 (日)
休日午前</v>
      </c>
      <c r="F126" s="52" t="str">
        <f ca="1">IFERROR(__xludf.DUMMYFUNCTION("""COMPUTED_VALUE"""),"伊藤")</f>
        <v>伊藤</v>
      </c>
      <c r="G126" s="52"/>
      <c r="H126" s="52" t="str">
        <f ca="1">IFERROR(__xludf.DUMMYFUNCTION("""COMPUTED_VALUE"""),"宮坂F伊藤A勝俣B")</f>
        <v>宮坂F伊藤A勝俣B</v>
      </c>
    </row>
    <row r="127" spans="1:8" ht="12.75" hidden="1" x14ac:dyDescent="0.35">
      <c r="A127" s="52" t="str">
        <f ca="1">IFERROR(__xludf.DUMMYFUNCTION("""COMPUTED_VALUE"""),"2022/07/17 (日)
休日午後")</f>
        <v>2022/07/17 (日)
休日午後</v>
      </c>
      <c r="B127" s="52" t="str">
        <f ca="1">IFERROR(__xludf.DUMMYFUNCTION("""COMPUTED_VALUE"""),"湯川")</f>
        <v>湯川</v>
      </c>
      <c r="C127" s="52"/>
      <c r="D127" s="52" t="str">
        <f ca="1">IFERROR(__xludf.DUMMYFUNCTION("""COMPUTED_VALUE"""),"井上F湯川A河瀬B")</f>
        <v>井上F湯川A河瀬B</v>
      </c>
      <c r="E127" s="52" t="str">
        <f ca="1">IFERROR(__xludf.DUMMYFUNCTION("""COMPUTED_VALUE"""),"2022/07/31 (日)
休日午後")</f>
        <v>2022/07/31 (日)
休日午後</v>
      </c>
      <c r="F127" s="52" t="str">
        <f ca="1">IFERROR(__xludf.DUMMYFUNCTION("""COMPUTED_VALUE"""),"勝俣")</f>
        <v>勝俣</v>
      </c>
      <c r="G127" s="52"/>
      <c r="H127" s="52" t="str">
        <f ca="1">IFERROR(__xludf.DUMMYFUNCTION("""COMPUTED_VALUE"""),"宮坂F伊藤A勝俣B")</f>
        <v>宮坂F伊藤A勝俣B</v>
      </c>
    </row>
    <row r="128" spans="1:8" ht="12.75" hidden="1" x14ac:dyDescent="0.35">
      <c r="A128" s="52" t="str">
        <f ca="1">IFERROR(__xludf.DUMMYFUNCTION("""COMPUTED_VALUE"""),"2022/07/18 (月)
休日午前")</f>
        <v>2022/07/18 (月)
休日午前</v>
      </c>
      <c r="B128" s="52" t="str">
        <f ca="1">IFERROR(__xludf.DUMMYFUNCTION("""COMPUTED_VALUE"""),"福里")</f>
        <v>福里</v>
      </c>
      <c r="C128" s="52"/>
      <c r="D128" s="52" t="str">
        <f ca="1">IFERROR(__xludf.DUMMYFUNCTION("""COMPUTED_VALUE"""),"中瀬E伊藤F福里A太良B吉田コマ")</f>
        <v>中瀬E伊藤F福里A太良B吉田コマ</v>
      </c>
      <c r="E128" s="52" t="str">
        <f ca="1">IFERROR(__xludf.DUMMYFUNCTION("""COMPUTED_VALUE"""),"2022/08/01 (月)
平日夜間")</f>
        <v>2022/08/01 (月)
平日夜間</v>
      </c>
      <c r="F128" s="52" t="str">
        <f ca="1">IFERROR(__xludf.DUMMYFUNCTION("""COMPUTED_VALUE"""),"吉田")</f>
        <v>吉田</v>
      </c>
      <c r="G128" s="52"/>
      <c r="H128" s="52" t="str">
        <f ca="1">IFERROR(__xludf.DUMMYFUNCTION("""COMPUTED_VALUE"""),"吉田教育湯川コマ")</f>
        <v>吉田教育湯川コマ</v>
      </c>
    </row>
    <row r="129" spans="1:8" ht="12.75" hidden="1" x14ac:dyDescent="0.35">
      <c r="A129" s="52" t="str">
        <f ca="1">IFERROR(__xludf.DUMMYFUNCTION("""COMPUTED_VALUE"""),"2022/07/18 (月)
休日午後")</f>
        <v>2022/07/18 (月)
休日午後</v>
      </c>
      <c r="B129" s="52" t="str">
        <f ca="1">IFERROR(__xludf.DUMMYFUNCTION("""COMPUTED_VALUE"""),"太良")</f>
        <v>太良</v>
      </c>
      <c r="C129" s="52"/>
      <c r="D129" s="52" t="str">
        <f ca="1">IFERROR(__xludf.DUMMYFUNCTION("""COMPUTED_VALUE"""),"中瀬E伊藤F福里A太良B吉田コマ")</f>
        <v>中瀬E伊藤F福里A太良B吉田コマ</v>
      </c>
      <c r="E129" s="52" t="str">
        <f ca="1">IFERROR(__xludf.DUMMYFUNCTION("""COMPUTED_VALUE"""),"2022/08/02 (火)
平日夜間")</f>
        <v>2022/08/02 (火)
平日夜間</v>
      </c>
      <c r="F129" s="52" t="str">
        <f ca="1">IFERROR(__xludf.DUMMYFUNCTION("""COMPUTED_VALUE"""),"勝俣")</f>
        <v>勝俣</v>
      </c>
      <c r="G129" s="52"/>
      <c r="H129" s="52" t="str">
        <f ca="1">IFERROR(__xludf.DUMMYFUNCTION("""COMPUTED_VALUE"""),"勝俣病棟新見コマ")</f>
        <v>勝俣病棟新見コマ</v>
      </c>
    </row>
    <row r="130" spans="1:8" ht="12.75" hidden="1" x14ac:dyDescent="0.35">
      <c r="A130" s="52" t="str">
        <f ca="1">IFERROR(__xludf.DUMMYFUNCTION("""COMPUTED_VALUE"""),"2022/07/19 (火)
平日夜間")</f>
        <v>2022/07/19 (火)
平日夜間</v>
      </c>
      <c r="B130" s="52" t="str">
        <f ca="1">IFERROR(__xludf.DUMMYFUNCTION("""COMPUTED_VALUE"""),"新美")</f>
        <v>新美</v>
      </c>
      <c r="C130" s="52"/>
      <c r="D130" s="52" t="str">
        <f ca="1">IFERROR(__xludf.DUMMYFUNCTION("""COMPUTED_VALUE"""),"新美病棟尾田コマ")</f>
        <v>新美病棟尾田コマ</v>
      </c>
      <c r="E130" s="52" t="str">
        <f ca="1">IFERROR(__xludf.DUMMYFUNCTION("""COMPUTED_VALUE"""),"2022/08/03 (水)
平日夜間")</f>
        <v>2022/08/03 (水)
平日夜間</v>
      </c>
      <c r="F130" s="52" t="str">
        <f ca="1">IFERROR(__xludf.DUMMYFUNCTION("""COMPUTED_VALUE"""),"伊藤")</f>
        <v>伊藤</v>
      </c>
      <c r="G130" s="52"/>
      <c r="H130" s="52"/>
    </row>
    <row r="131" spans="1:8" ht="12.75" hidden="1" x14ac:dyDescent="0.35">
      <c r="A131" s="52" t="str">
        <f ca="1">IFERROR(__xludf.DUMMYFUNCTION("""COMPUTED_VALUE"""),"2022/07/20 (水)
平日夜間")</f>
        <v>2022/07/20 (水)
平日夜間</v>
      </c>
      <c r="B131" s="52" t="str">
        <f ca="1">IFERROR(__xludf.DUMMYFUNCTION("""COMPUTED_VALUE"""),"松井")</f>
        <v>松井</v>
      </c>
      <c r="C131" s="52"/>
      <c r="D131" s="52"/>
      <c r="E131" s="52" t="str">
        <f ca="1">IFERROR(__xludf.DUMMYFUNCTION("""COMPUTED_VALUE"""),"2022/08/04 (木)
平日夜間")</f>
        <v>2022/08/04 (木)
平日夜間</v>
      </c>
      <c r="F131" s="52" t="str">
        <f ca="1">IFERROR(__xludf.DUMMYFUNCTION("""COMPUTED_VALUE"""),"中瀬")</f>
        <v>中瀬</v>
      </c>
      <c r="G131" s="52"/>
      <c r="H131" s="52"/>
    </row>
    <row r="132" spans="1:8" ht="12.75" hidden="1" x14ac:dyDescent="0.35">
      <c r="A132" s="52" t="str">
        <f ca="1">IFERROR(__xludf.DUMMYFUNCTION("""COMPUTED_VALUE"""),"2022/07/21 (木)
平日夜間")</f>
        <v>2022/07/21 (木)
平日夜間</v>
      </c>
      <c r="B132" s="52" t="str">
        <f ca="1">IFERROR(__xludf.DUMMYFUNCTION("""COMPUTED_VALUE"""),"柴山")</f>
        <v>柴山</v>
      </c>
      <c r="C132" s="52"/>
      <c r="D132" s="52"/>
      <c r="E132" s="52" t="str">
        <f ca="1">IFERROR(__xludf.DUMMYFUNCTION("""COMPUTED_VALUE"""),"2022/08/05 (金)
平日夜間")</f>
        <v>2022/08/05 (金)
平日夜間</v>
      </c>
      <c r="F132" s="52" t="str">
        <f ca="1">IFERROR(__xludf.DUMMYFUNCTION("""COMPUTED_VALUE"""),"湯川")</f>
        <v>湯川</v>
      </c>
      <c r="G132" s="52"/>
      <c r="H132" s="52" t="str">
        <f ca="1">IFERROR(__xludf.DUMMYFUNCTION("""COMPUTED_VALUE"""),"湯川病棟勝俣コマ")</f>
        <v>湯川病棟勝俣コマ</v>
      </c>
    </row>
    <row r="133" spans="1:8" ht="12.75" hidden="1" x14ac:dyDescent="0.35">
      <c r="A133" s="52" t="str">
        <f ca="1">IFERROR(__xludf.DUMMYFUNCTION("""COMPUTED_VALUE"""),"2022/07/22 (金)
平日夜間")</f>
        <v>2022/07/22 (金)
平日夜間</v>
      </c>
      <c r="B133" s="52" t="str">
        <f ca="1">IFERROR(__xludf.DUMMYFUNCTION("""COMPUTED_VALUE"""),"福井")</f>
        <v>福井</v>
      </c>
      <c r="C133" s="52"/>
      <c r="D133" s="52"/>
      <c r="E133" s="52" t="str">
        <f ca="1">IFERROR(__xludf.DUMMYFUNCTION("""COMPUTED_VALUE"""),"2022/08/06 (土)
休日午前")</f>
        <v>2022/08/06 (土)
休日午前</v>
      </c>
      <c r="F133" s="52" t="str">
        <f ca="1">IFERROR(__xludf.DUMMYFUNCTION("""COMPUTED_VALUE"""),"宗")</f>
        <v>宗</v>
      </c>
      <c r="G133" s="52"/>
      <c r="H133" s="52" t="str">
        <f ca="1">IFERROR(__xludf.DUMMYFUNCTION("""COMPUTED_VALUE"""),"宗E森岳F中瀬A山田B")</f>
        <v>宗E森岳F中瀬A山田B</v>
      </c>
    </row>
    <row r="134" spans="1:8" ht="12.75" hidden="1" x14ac:dyDescent="0.35">
      <c r="A134" s="52" t="str">
        <f ca="1">IFERROR(__xludf.DUMMYFUNCTION("""COMPUTED_VALUE"""),"2022/07/23 (土)
休日午前")</f>
        <v>2022/07/23 (土)
休日午前</v>
      </c>
      <c r="B134" s="52" t="str">
        <f ca="1">IFERROR(__xludf.DUMMYFUNCTION("""COMPUTED_VALUE"""),"中瀬")</f>
        <v>中瀬</v>
      </c>
      <c r="C134" s="52"/>
      <c r="D134" s="52" t="str">
        <f ca="1">IFERROR(__xludf.DUMMYFUNCTION("""COMPUTED_VALUE"""),"柴山E松井F吉田B")</f>
        <v>柴山E松井F吉田B</v>
      </c>
      <c r="E134" s="52" t="str">
        <f ca="1">IFERROR(__xludf.DUMMYFUNCTION("""COMPUTED_VALUE"""),"2022/08/06 (土)
休日午後")</f>
        <v>2022/08/06 (土)
休日午後</v>
      </c>
      <c r="F134" s="52" t="str">
        <f ca="1">IFERROR(__xludf.DUMMYFUNCTION("""COMPUTED_VALUE"""),"中瀬")</f>
        <v>中瀬</v>
      </c>
      <c r="G134" s="52"/>
      <c r="H134" s="52" t="str">
        <f ca="1">IFERROR(__xludf.DUMMYFUNCTION("""COMPUTED_VALUE"""),"宗E森岳F中瀬A山田B")</f>
        <v>宗E森岳F中瀬A山田B</v>
      </c>
    </row>
    <row r="135" spans="1:8" ht="12.75" hidden="1" x14ac:dyDescent="0.35">
      <c r="A135" s="52" t="str">
        <f ca="1">IFERROR(__xludf.DUMMYFUNCTION("""COMPUTED_VALUE"""),"2022/07/23 (土)
休日午後")</f>
        <v>2022/07/23 (土)
休日午後</v>
      </c>
      <c r="B135" s="52" t="str">
        <f ca="1">IFERROR(__xludf.DUMMYFUNCTION("""COMPUTED_VALUE"""),"吉田")</f>
        <v>吉田</v>
      </c>
      <c r="C135" s="52"/>
      <c r="D135" s="52" t="str">
        <f ca="1">IFERROR(__xludf.DUMMYFUNCTION("""COMPUTED_VALUE"""),"柴山E松井F吉田B")</f>
        <v>柴山E松井F吉田B</v>
      </c>
      <c r="E135" s="52" t="str">
        <f ca="1">IFERROR(__xludf.DUMMYFUNCTION("""COMPUTED_VALUE"""),"2022/08/07 (日)
休日午前")</f>
        <v>2022/08/07 (日)
休日午前</v>
      </c>
      <c r="F135" s="52" t="str">
        <f ca="1">IFERROR(__xludf.DUMMYFUNCTION("""COMPUTED_VALUE"""),"新美")</f>
        <v>新美</v>
      </c>
      <c r="G135" s="52"/>
      <c r="H135" s="52" t="str">
        <f ca="1">IFERROR(__xludf.DUMMYFUNCTION("""COMPUTED_VALUE"""),"稲葉E伊藤F")</f>
        <v>稲葉E伊藤F</v>
      </c>
    </row>
    <row r="136" spans="1:8" ht="12.75" hidden="1" x14ac:dyDescent="0.35">
      <c r="A136" s="52" t="str">
        <f ca="1">IFERROR(__xludf.DUMMYFUNCTION("""COMPUTED_VALUE"""),"2022/07/24 (日)
休日午前")</f>
        <v>2022/07/24 (日)
休日午前</v>
      </c>
      <c r="B136" s="52" t="str">
        <f ca="1">IFERROR(__xludf.DUMMYFUNCTION("""COMPUTED_VALUE"""),"福井")</f>
        <v>福井</v>
      </c>
      <c r="C136" s="52"/>
      <c r="D136" s="52" t="str">
        <f ca="1">IFERROR(__xludf.DUMMYFUNCTION("""COMPUTED_VALUE"""),"福井E菊野F")</f>
        <v>福井E菊野F</v>
      </c>
      <c r="E136" s="52" t="str">
        <f ca="1">IFERROR(__xludf.DUMMYFUNCTION("""COMPUTED_VALUE"""),"2022/08/07 (日)
休日午後")</f>
        <v>2022/08/07 (日)
休日午後</v>
      </c>
      <c r="F136" s="52" t="str">
        <f ca="1">IFERROR(__xludf.DUMMYFUNCTION("""COMPUTED_VALUE"""),"湯川")</f>
        <v>湯川</v>
      </c>
      <c r="G136" s="52"/>
      <c r="H136" s="52" t="str">
        <f ca="1">IFERROR(__xludf.DUMMYFUNCTION("""COMPUTED_VALUE"""),"稲葉E伊藤F")</f>
        <v>稲葉E伊藤F</v>
      </c>
    </row>
    <row r="137" spans="1:8" ht="12.75" hidden="1" x14ac:dyDescent="0.35">
      <c r="A137" s="52" t="str">
        <f ca="1">IFERROR(__xludf.DUMMYFUNCTION("""COMPUTED_VALUE"""),"2022/07/24 (日)
休日午後")</f>
        <v>2022/07/24 (日)
休日午後</v>
      </c>
      <c r="B137" s="52" t="str">
        <f ca="1">IFERROR(__xludf.DUMMYFUNCTION("""COMPUTED_VALUE"""),"宮坂")</f>
        <v>宮坂</v>
      </c>
      <c r="C137" s="52"/>
      <c r="D137" s="52" t="str">
        <f ca="1">IFERROR(__xludf.DUMMYFUNCTION("""COMPUTED_VALUE"""),"福井E菊野F")</f>
        <v>福井E菊野F</v>
      </c>
      <c r="E137" s="52" t="str">
        <f ca="1">IFERROR(__xludf.DUMMYFUNCTION("""COMPUTED_VALUE"""),"2022/08/08 (月)
平日夜間")</f>
        <v>2022/08/08 (月)
平日夜間</v>
      </c>
      <c r="F137" s="52" t="str">
        <f ca="1">IFERROR(__xludf.DUMMYFUNCTION("""COMPUTED_VALUE"""),"福井")</f>
        <v>福井</v>
      </c>
      <c r="G137" s="52"/>
      <c r="H137" s="52" t="str">
        <f ca="1">IFERROR(__xludf.DUMMYFUNCTION("""COMPUTED_VALUE"""),"福井病棟太良コマ")</f>
        <v>福井病棟太良コマ</v>
      </c>
    </row>
    <row r="138" spans="1:8" ht="12.75" hidden="1" x14ac:dyDescent="0.35">
      <c r="A138" s="52" t="str">
        <f ca="1">IFERROR(__xludf.DUMMYFUNCTION("""COMPUTED_VALUE"""),"2022/07/25 (月)
平日夜間")</f>
        <v>2022/07/25 (月)
平日夜間</v>
      </c>
      <c r="B138" s="52" t="str">
        <f ca="1">IFERROR(__xludf.DUMMYFUNCTION("""COMPUTED_VALUE"""),"林智")</f>
        <v>林智</v>
      </c>
      <c r="C138" s="52"/>
      <c r="D138" s="52" t="str">
        <f ca="1">IFERROR(__xludf.DUMMYFUNCTION("""COMPUTED_VALUE"""),"林智教育井上湯川コマ")</f>
        <v>林智教育井上湯川コマ</v>
      </c>
      <c r="E138" s="52" t="str">
        <f ca="1">IFERROR(__xludf.DUMMYFUNCTION("""COMPUTED_VALUE"""),"2022/08/09 (火)
平日夜間")</f>
        <v>2022/08/09 (火)
平日夜間</v>
      </c>
      <c r="F138" s="52" t="str">
        <f ca="1">IFERROR(__xludf.DUMMYFUNCTION("""COMPUTED_VALUE"""),"福里")</f>
        <v>福里</v>
      </c>
      <c r="G138" s="52"/>
      <c r="H138" s="52" t="str">
        <f ca="1">IFERROR(__xludf.DUMMYFUNCTION("""COMPUTED_VALUE"""),"吉田コマ")</f>
        <v>吉田コマ</v>
      </c>
    </row>
    <row r="139" spans="1:8" ht="12.75" hidden="1" x14ac:dyDescent="0.35">
      <c r="A139" s="52" t="str">
        <f ca="1">IFERROR(__xludf.DUMMYFUNCTION("""COMPUTED_VALUE"""),"2022/07/26 (火)
平日夜間")</f>
        <v>2022/07/26 (火)
平日夜間</v>
      </c>
      <c r="B139" s="52" t="str">
        <f ca="1">IFERROR(__xludf.DUMMYFUNCTION("""COMPUTED_VALUE"""),"宗")</f>
        <v>宗</v>
      </c>
      <c r="C139" s="52"/>
      <c r="D139" s="52" t="str">
        <f ca="1">IFERROR(__xludf.DUMMYFUNCTION("""COMPUTED_VALUE"""),"福里コマ")</f>
        <v>福里コマ</v>
      </c>
      <c r="E139" s="52" t="str">
        <f ca="1">IFERROR(__xludf.DUMMYFUNCTION("""COMPUTED_VALUE"""),"2022/08/10 (水)
平日夜間")</f>
        <v>2022/08/10 (水)
平日夜間</v>
      </c>
      <c r="F139" s="52" t="str">
        <f ca="1">IFERROR(__xludf.DUMMYFUNCTION("""COMPUTED_VALUE"""),"菊野")</f>
        <v>菊野</v>
      </c>
      <c r="G139" s="52"/>
      <c r="H139" s="52"/>
    </row>
    <row r="140" spans="1:8" ht="12.75" hidden="1" x14ac:dyDescent="0.35">
      <c r="A140" s="52" t="str">
        <f ca="1">IFERROR(__xludf.DUMMYFUNCTION("""COMPUTED_VALUE"""),"2022/07/27 (水)
平日夜間")</f>
        <v>2022/07/27 (水)
平日夜間</v>
      </c>
      <c r="B140" s="52" t="str">
        <f ca="1">IFERROR(__xludf.DUMMYFUNCTION("""COMPUTED_VALUE"""),"井上")</f>
        <v>井上</v>
      </c>
      <c r="C140" s="52"/>
      <c r="D140" s="52"/>
      <c r="E140" s="52" t="str">
        <f ca="1">IFERROR(__xludf.DUMMYFUNCTION("""COMPUTED_VALUE"""),"2022/08/11 (木)
休日午前")</f>
        <v>2022/08/11 (木)
休日午前</v>
      </c>
      <c r="F140" s="52" t="str">
        <f ca="1">IFERROR(__xludf.DUMMYFUNCTION("""COMPUTED_VALUE"""),"福井")</f>
        <v>福井</v>
      </c>
      <c r="G140" s="52"/>
      <c r="H140" s="52" t="str">
        <f ca="1">IFERROR(__xludf.DUMMYFUNCTION("""COMPUTED_VALUE"""),"井上E林智コマ")</f>
        <v>井上E林智コマ</v>
      </c>
    </row>
    <row r="141" spans="1:8" ht="12.75" hidden="1" x14ac:dyDescent="0.35">
      <c r="A141" s="52" t="str">
        <f ca="1">IFERROR(__xludf.DUMMYFUNCTION("""COMPUTED_VALUE"""),"2022/07/28 (木)
平日夜間")</f>
        <v>2022/07/28 (木)
平日夜間</v>
      </c>
      <c r="B141" s="52" t="str">
        <f ca="1">IFERROR(__xludf.DUMMYFUNCTION("""COMPUTED_VALUE"""),"福里")</f>
        <v>福里</v>
      </c>
      <c r="C141" s="52"/>
      <c r="D141" s="52"/>
      <c r="E141" s="52" t="str">
        <f ca="1">IFERROR(__xludf.DUMMYFUNCTION("""COMPUTED_VALUE"""),"2022/08/11 (木)
休日午後")</f>
        <v>2022/08/11 (木)
休日午後</v>
      </c>
      <c r="F141" s="52" t="str">
        <f ca="1">IFERROR(__xludf.DUMMYFUNCTION("""COMPUTED_VALUE"""),"中瀬")</f>
        <v>中瀬</v>
      </c>
      <c r="G141" s="52"/>
      <c r="H141" s="52" t="str">
        <f ca="1">IFERROR(__xludf.DUMMYFUNCTION("""COMPUTED_VALUE"""),"井上E林智コマ")</f>
        <v>井上E林智コマ</v>
      </c>
    </row>
    <row r="142" spans="1:8" ht="12.75" hidden="1" x14ac:dyDescent="0.35">
      <c r="A142" s="52" t="str">
        <f ca="1">IFERROR(__xludf.DUMMYFUNCTION("""COMPUTED_VALUE"""),"2022/07/29 (金)
平日夜間")</f>
        <v>2022/07/29 (金)
平日夜間</v>
      </c>
      <c r="B142" s="52" t="str">
        <f ca="1">IFERROR(__xludf.DUMMYFUNCTION("""COMPUTED_VALUE"""),"河瀬")</f>
        <v>河瀬</v>
      </c>
      <c r="C142" s="52"/>
      <c r="D142" s="52" t="str">
        <f ca="1">IFERROR(__xludf.DUMMYFUNCTION("""COMPUTED_VALUE"""),"勝俣コマ")</f>
        <v>勝俣コマ</v>
      </c>
      <c r="E142" s="52" t="str">
        <f ca="1">IFERROR(__xludf.DUMMYFUNCTION("""COMPUTED_VALUE"""),"2022/08/12 (金)
平日夜間")</f>
        <v>2022/08/12 (金)
平日夜間</v>
      </c>
      <c r="F142" s="52" t="str">
        <f ca="1">IFERROR(__xludf.DUMMYFUNCTION("""COMPUTED_VALUE"""),"宮坂")</f>
        <v>宮坂</v>
      </c>
      <c r="G142" s="52"/>
      <c r="H142" s="52" t="str">
        <f ca="1">IFERROR(__xludf.DUMMYFUNCTION("""COMPUTED_VALUE"""),"宮坂病棟")</f>
        <v>宮坂病棟</v>
      </c>
    </row>
    <row r="143" spans="1:8" ht="12.75" hidden="1" x14ac:dyDescent="0.35">
      <c r="A143" s="52" t="str">
        <f ca="1">IFERROR(__xludf.DUMMYFUNCTION("""COMPUTED_VALUE"""),"2022/07/30 (土)
休日午前")</f>
        <v>2022/07/30 (土)
休日午前</v>
      </c>
      <c r="B143" s="52" t="str">
        <f ca="1">IFERROR(__xludf.DUMMYFUNCTION("""COMPUTED_VALUE"""),"福井")</f>
        <v>福井</v>
      </c>
      <c r="C143" s="52"/>
      <c r="D143" s="52" t="str">
        <f ca="1">IFERROR(__xludf.DUMMYFUNCTION("""COMPUTED_VALUE"""),"森伸C中村F")</f>
        <v>森伸C中村F</v>
      </c>
      <c r="E143" s="52" t="str">
        <f ca="1">IFERROR(__xludf.DUMMYFUNCTION("""COMPUTED_VALUE"""),"2022/08/13 (土)
休日午前")</f>
        <v>2022/08/13 (土)
休日午前</v>
      </c>
      <c r="F143" s="52" t="str">
        <f ca="1">IFERROR(__xludf.DUMMYFUNCTION("""COMPUTED_VALUE"""),"吉田")</f>
        <v>吉田</v>
      </c>
      <c r="G143" s="52"/>
      <c r="H143" s="52" t="str">
        <f ca="1">IFERROR(__xludf.DUMMYFUNCTION("""COMPUTED_VALUE"""),"柴山E")</f>
        <v>柴山E</v>
      </c>
    </row>
    <row r="144" spans="1:8" ht="12.75" hidden="1" x14ac:dyDescent="0.35">
      <c r="A144" s="52" t="str">
        <f ca="1">IFERROR(__xludf.DUMMYFUNCTION("""COMPUTED_VALUE"""),"2022/07/30 (土)
休日午後")</f>
        <v>2022/07/30 (土)
休日午後</v>
      </c>
      <c r="B144" s="52" t="str">
        <f ca="1">IFERROR(__xludf.DUMMYFUNCTION("""COMPUTED_VALUE"""),"松井")</f>
        <v>松井</v>
      </c>
      <c r="C144" s="52"/>
      <c r="D144" s="52" t="str">
        <f ca="1">IFERROR(__xludf.DUMMYFUNCTION("""COMPUTED_VALUE"""),"森伸C中村F")</f>
        <v>森伸C中村F</v>
      </c>
      <c r="E144" s="52" t="str">
        <f ca="1">IFERROR(__xludf.DUMMYFUNCTION("""COMPUTED_VALUE"""),"2022/08/13 (土)
休日午後")</f>
        <v>2022/08/13 (土)
休日午後</v>
      </c>
      <c r="F144" s="52" t="str">
        <f ca="1">IFERROR(__xludf.DUMMYFUNCTION("""COMPUTED_VALUE"""),"福井")</f>
        <v>福井</v>
      </c>
      <c r="G144" s="52"/>
      <c r="H144" s="52" t="str">
        <f ca="1">IFERROR(__xludf.DUMMYFUNCTION("""COMPUTED_VALUE"""),"柴山E")</f>
        <v>柴山E</v>
      </c>
    </row>
    <row r="145" spans="1:8" ht="12.75" hidden="1" x14ac:dyDescent="0.35">
      <c r="A145" s="52" t="str">
        <f ca="1">IFERROR(__xludf.DUMMYFUNCTION("""COMPUTED_VALUE"""),"2022/07/31 (日)
休日午前")</f>
        <v>2022/07/31 (日)
休日午前</v>
      </c>
      <c r="B145" s="52" t="str">
        <f ca="1">IFERROR(__xludf.DUMMYFUNCTION("""COMPUTED_VALUE"""),"伊藤")</f>
        <v>伊藤</v>
      </c>
      <c r="C145" s="52"/>
      <c r="D145" s="52" t="str">
        <f ca="1">IFERROR(__xludf.DUMMYFUNCTION("""COMPUTED_VALUE"""),"宮坂F伊藤A勝俣B")</f>
        <v>宮坂F伊藤A勝俣B</v>
      </c>
      <c r="E145" s="52" t="str">
        <f ca="1">IFERROR(__xludf.DUMMYFUNCTION("""COMPUTED_VALUE"""),"2022/08/14 (日)
休日午前")</f>
        <v>2022/08/14 (日)
休日午前</v>
      </c>
      <c r="F145" s="52" t="str">
        <f ca="1">IFERROR(__xludf.DUMMYFUNCTION("""COMPUTED_VALUE"""),"林智")</f>
        <v>林智</v>
      </c>
      <c r="G145" s="52"/>
      <c r="H145" s="52" t="str">
        <f ca="1">IFERROR(__xludf.DUMMYFUNCTION("""COMPUTED_VALUE"""),"鈴木F松井A")</f>
        <v>鈴木F松井A</v>
      </c>
    </row>
    <row r="146" spans="1:8" ht="12.75" hidden="1" x14ac:dyDescent="0.35">
      <c r="A146" s="52" t="str">
        <f ca="1">IFERROR(__xludf.DUMMYFUNCTION("""COMPUTED_VALUE"""),"2022/07/31 (日)
休日午後")</f>
        <v>2022/07/31 (日)
休日午後</v>
      </c>
      <c r="B146" s="52" t="str">
        <f ca="1">IFERROR(__xludf.DUMMYFUNCTION("""COMPUTED_VALUE"""),"勝俣")</f>
        <v>勝俣</v>
      </c>
      <c r="C146" s="52"/>
      <c r="D146" s="52" t="str">
        <f ca="1">IFERROR(__xludf.DUMMYFUNCTION("""COMPUTED_VALUE"""),"宮坂F伊藤A勝俣B")</f>
        <v>宮坂F伊藤A勝俣B</v>
      </c>
      <c r="E146" s="52" t="str">
        <f ca="1">IFERROR(__xludf.DUMMYFUNCTION("""COMPUTED_VALUE"""),"2022/08/14 (日)
休日午後")</f>
        <v>2022/08/14 (日)
休日午後</v>
      </c>
      <c r="F146" s="52" t="str">
        <f ca="1">IFERROR(__xludf.DUMMYFUNCTION("""COMPUTED_VALUE"""),"松井")</f>
        <v>松井</v>
      </c>
      <c r="G146" s="52"/>
      <c r="H146" s="52" t="str">
        <f ca="1">IFERROR(__xludf.DUMMYFUNCTION("""COMPUTED_VALUE"""),"鈴木F松井A")</f>
        <v>鈴木F松井A</v>
      </c>
    </row>
    <row r="147" spans="1:8" ht="12.75" hidden="1" x14ac:dyDescent="0.35">
      <c r="A147" s="52" t="str">
        <f ca="1">IFERROR(__xludf.DUMMYFUNCTION("""COMPUTED_VALUE"""),"2022/08/01 (月)
平日夜間")</f>
        <v>2022/08/01 (月)
平日夜間</v>
      </c>
      <c r="B147" s="52" t="str">
        <f ca="1">IFERROR(__xludf.DUMMYFUNCTION("""COMPUTED_VALUE"""),"吉田")</f>
        <v>吉田</v>
      </c>
      <c r="C147" s="52"/>
      <c r="D147" s="52" t="str">
        <f ca="1">IFERROR(__xludf.DUMMYFUNCTION("""COMPUTED_VALUE"""),"吉田教育湯川コマ")</f>
        <v>吉田教育湯川コマ</v>
      </c>
      <c r="E147" s="52" t="str">
        <f ca="1">IFERROR(__xludf.DUMMYFUNCTION("""COMPUTED_VALUE"""),"2022/08/15 (月)
平日夜間")</f>
        <v>2022/08/15 (月)
平日夜間</v>
      </c>
      <c r="F147" s="52" t="str">
        <f ca="1">IFERROR(__xludf.DUMMYFUNCTION("""COMPUTED_VALUE"""),"尾田")</f>
        <v>尾田</v>
      </c>
      <c r="G147" s="52"/>
      <c r="H147" s="52" t="str">
        <f ca="1">IFERROR(__xludf.DUMMYFUNCTION("""COMPUTED_VALUE"""),"尾田病棟福里コマ")</f>
        <v>尾田病棟福里コマ</v>
      </c>
    </row>
    <row r="148" spans="1:8" ht="12.75" hidden="1" x14ac:dyDescent="0.35">
      <c r="A148" s="52" t="str">
        <f ca="1">IFERROR(__xludf.DUMMYFUNCTION("""COMPUTED_VALUE"""),"2022/08/02 (火)
平日夜間")</f>
        <v>2022/08/02 (火)
平日夜間</v>
      </c>
      <c r="B148" s="52" t="str">
        <f ca="1">IFERROR(__xludf.DUMMYFUNCTION("""COMPUTED_VALUE"""),"勝俣")</f>
        <v>勝俣</v>
      </c>
      <c r="C148" s="52"/>
      <c r="D148" s="52" t="str">
        <f ca="1">IFERROR(__xludf.DUMMYFUNCTION("""COMPUTED_VALUE"""),"勝俣病棟新見コマ")</f>
        <v>勝俣病棟新見コマ</v>
      </c>
      <c r="E148" s="52" t="str">
        <f ca="1">IFERROR(__xludf.DUMMYFUNCTION("""COMPUTED_VALUE"""),"2022/08/16 (火)
平日夜間")</f>
        <v>2022/08/16 (火)
平日夜間</v>
      </c>
      <c r="F148" s="52" t="str">
        <f ca="1">IFERROR(__xludf.DUMMYFUNCTION("""COMPUTED_VALUE"""),"森岳")</f>
        <v>森岳</v>
      </c>
      <c r="G148" s="52"/>
      <c r="H148" s="52" t="str">
        <f ca="1">IFERROR(__xludf.DUMMYFUNCTION("""COMPUTED_VALUE"""),"森岳病棟林智コマ")</f>
        <v>森岳病棟林智コマ</v>
      </c>
    </row>
    <row r="149" spans="1:8" ht="12.75" hidden="1" x14ac:dyDescent="0.35">
      <c r="A149" s="52" t="str">
        <f ca="1">IFERROR(__xludf.DUMMYFUNCTION("""COMPUTED_VALUE"""),"2022/08/03 (水)
平日夜間")</f>
        <v>2022/08/03 (水)
平日夜間</v>
      </c>
      <c r="B149" s="52" t="str">
        <f ca="1">IFERROR(__xludf.DUMMYFUNCTION("""COMPUTED_VALUE"""),"伊藤")</f>
        <v>伊藤</v>
      </c>
      <c r="C149" s="52"/>
      <c r="D149" s="52"/>
      <c r="E149" s="52" t="str">
        <f ca="1">IFERROR(__xludf.DUMMYFUNCTION("""COMPUTED_VALUE"""),"2022/08/17 (水)
平日夜間")</f>
        <v>2022/08/17 (水)
平日夜間</v>
      </c>
      <c r="F149" s="52" t="str">
        <f ca="1">IFERROR(__xludf.DUMMYFUNCTION("""COMPUTED_VALUE"""),"菊野")</f>
        <v>菊野</v>
      </c>
      <c r="G149" s="52"/>
      <c r="H149" s="52" t="str">
        <f ca="1">IFERROR(__xludf.DUMMYFUNCTION("""COMPUTED_VALUE"""),"菊野病棟")</f>
        <v>菊野病棟</v>
      </c>
    </row>
    <row r="150" spans="1:8" ht="12.75" hidden="1" x14ac:dyDescent="0.35">
      <c r="A150" s="52" t="str">
        <f ca="1">IFERROR(__xludf.DUMMYFUNCTION("""COMPUTED_VALUE"""),"2022/08/04 (木)
平日夜間")</f>
        <v>2022/08/04 (木)
平日夜間</v>
      </c>
      <c r="B150" s="52" t="str">
        <f ca="1">IFERROR(__xludf.DUMMYFUNCTION("""COMPUTED_VALUE"""),"中瀬")</f>
        <v>中瀬</v>
      </c>
      <c r="C150" s="52"/>
      <c r="D150" s="52"/>
      <c r="E150" s="52" t="str">
        <f ca="1">IFERROR(__xludf.DUMMYFUNCTION("""COMPUTED_VALUE"""),"2022/08/18 (木)
平日夜間")</f>
        <v>2022/08/18 (木)
平日夜間</v>
      </c>
      <c r="F150" s="52" t="str">
        <f ca="1">IFERROR(__xludf.DUMMYFUNCTION("""COMPUTED_VALUE"""),"井上")</f>
        <v>井上</v>
      </c>
      <c r="G150" s="52"/>
      <c r="H150" s="52"/>
    </row>
    <row r="151" spans="1:8" ht="12.75" hidden="1" x14ac:dyDescent="0.35">
      <c r="A151" s="52" t="str">
        <f ca="1">IFERROR(__xludf.DUMMYFUNCTION("""COMPUTED_VALUE"""),"2022/08/05 (金)
平日夜間")</f>
        <v>2022/08/05 (金)
平日夜間</v>
      </c>
      <c r="B151" s="52" t="str">
        <f ca="1">IFERROR(__xludf.DUMMYFUNCTION("""COMPUTED_VALUE"""),"湯川")</f>
        <v>湯川</v>
      </c>
      <c r="C151" s="52"/>
      <c r="D151" s="52" t="str">
        <f ca="1">IFERROR(__xludf.DUMMYFUNCTION("""COMPUTED_VALUE"""),"湯川病棟勝俣コマ")</f>
        <v>湯川病棟勝俣コマ</v>
      </c>
      <c r="E151" s="52" t="str">
        <f ca="1">IFERROR(__xludf.DUMMYFUNCTION("""COMPUTED_VALUE"""),"2022/08/19 (金)
平日夜間")</f>
        <v>2022/08/19 (金)
平日夜間</v>
      </c>
      <c r="F151" s="52" t="str">
        <f ca="1">IFERROR(__xludf.DUMMYFUNCTION("""COMPUTED_VALUE"""),"伊藤")</f>
        <v>伊藤</v>
      </c>
      <c r="G151" s="52"/>
      <c r="H151" s="52" t="str">
        <f ca="1">IFERROR(__xludf.DUMMYFUNCTION("""COMPUTED_VALUE"""),"吉田教育伊藤病棟")</f>
        <v>吉田教育伊藤病棟</v>
      </c>
    </row>
    <row r="152" spans="1:8" ht="12.75" hidden="1" x14ac:dyDescent="0.35">
      <c r="A152" s="52" t="str">
        <f ca="1">IFERROR(__xludf.DUMMYFUNCTION("""COMPUTED_VALUE"""),"2022/08/06 (土)
休日午前")</f>
        <v>2022/08/06 (土)
休日午前</v>
      </c>
      <c r="B152" s="52" t="str">
        <f ca="1">IFERROR(__xludf.DUMMYFUNCTION("""COMPUTED_VALUE"""),"宗")</f>
        <v>宗</v>
      </c>
      <c r="C152" s="52"/>
      <c r="D152" s="52" t="str">
        <f ca="1">IFERROR(__xludf.DUMMYFUNCTION("""COMPUTED_VALUE"""),"宗E森岳F中瀬A山田B")</f>
        <v>宗E森岳F中瀬A山田B</v>
      </c>
      <c r="E152" s="52" t="str">
        <f ca="1">IFERROR(__xludf.DUMMYFUNCTION("""COMPUTED_VALUE"""),"2022/08/20 (土)
休日午前")</f>
        <v>2022/08/20 (土)
休日午前</v>
      </c>
      <c r="F152" s="52" t="str">
        <f ca="1">IFERROR(__xludf.DUMMYFUNCTION("""COMPUTED_VALUE"""),"勝俣")</f>
        <v>勝俣</v>
      </c>
      <c r="G152" s="52"/>
      <c r="H152" s="52" t="str">
        <f ca="1">IFERROR(__xludf.DUMMYFUNCTION("""COMPUTED_VALUE"""),"森伸C湯川E福井F佐藤A")</f>
        <v>森伸C湯川E福井F佐藤A</v>
      </c>
    </row>
    <row r="153" spans="1:8" ht="12.75" hidden="1" x14ac:dyDescent="0.35">
      <c r="A153" s="52" t="str">
        <f ca="1">IFERROR(__xludf.DUMMYFUNCTION("""COMPUTED_VALUE"""),"2022/08/06 (土)
休日午後")</f>
        <v>2022/08/06 (土)
休日午後</v>
      </c>
      <c r="B153" s="52" t="str">
        <f ca="1">IFERROR(__xludf.DUMMYFUNCTION("""COMPUTED_VALUE"""),"中瀬")</f>
        <v>中瀬</v>
      </c>
      <c r="C153" s="52"/>
      <c r="D153" s="52" t="str">
        <f ca="1">IFERROR(__xludf.DUMMYFUNCTION("""COMPUTED_VALUE"""),"宗E森岳F中瀬A山田B")</f>
        <v>宗E森岳F中瀬A山田B</v>
      </c>
      <c r="E153" s="52" t="str">
        <f ca="1">IFERROR(__xludf.DUMMYFUNCTION("""COMPUTED_VALUE"""),"2022/08/20 (土)
休日午後")</f>
        <v>2022/08/20 (土)
休日午後</v>
      </c>
      <c r="F153" s="52" t="str">
        <f ca="1">IFERROR(__xludf.DUMMYFUNCTION("""COMPUTED_VALUE"""),"佐藤")</f>
        <v>佐藤</v>
      </c>
      <c r="G153" s="52"/>
      <c r="H153" s="52" t="str">
        <f ca="1">IFERROR(__xludf.DUMMYFUNCTION("""COMPUTED_VALUE"""),"森伸C湯川E福井F佐藤A")</f>
        <v>森伸C湯川E福井F佐藤A</v>
      </c>
    </row>
    <row r="154" spans="1:8" ht="12.75" hidden="1" x14ac:dyDescent="0.35">
      <c r="A154" s="52" t="str">
        <f ca="1">IFERROR(__xludf.DUMMYFUNCTION("""COMPUTED_VALUE"""),"2022/08/07 (日)
休日午前")</f>
        <v>2022/08/07 (日)
休日午前</v>
      </c>
      <c r="B154" s="52" t="str">
        <f ca="1">IFERROR(__xludf.DUMMYFUNCTION("""COMPUTED_VALUE"""),"新美")</f>
        <v>新美</v>
      </c>
      <c r="C154" s="52"/>
      <c r="D154" s="52" t="str">
        <f ca="1">IFERROR(__xludf.DUMMYFUNCTION("""COMPUTED_VALUE"""),"稲葉E伊藤F")</f>
        <v>稲葉E伊藤F</v>
      </c>
      <c r="E154" s="52" t="str">
        <f ca="1">IFERROR(__xludf.DUMMYFUNCTION("""COMPUTED_VALUE"""),"2022/08/21 (日)
休日午前")</f>
        <v>2022/08/21 (日)
休日午前</v>
      </c>
      <c r="F154" s="52" t="str">
        <f ca="1">IFERROR(__xludf.DUMMYFUNCTION("""COMPUTED_VALUE"""),"森岳")</f>
        <v>森岳</v>
      </c>
      <c r="G154" s="52"/>
      <c r="H154" s="52" t="str">
        <f ca="1">IFERROR(__xludf.DUMMYFUNCTION("""COMPUTED_VALUE"""),"福里A")</f>
        <v>福里A</v>
      </c>
    </row>
    <row r="155" spans="1:8" ht="12.75" hidden="1" x14ac:dyDescent="0.35">
      <c r="A155" s="52" t="str">
        <f ca="1">IFERROR(__xludf.DUMMYFUNCTION("""COMPUTED_VALUE"""),"2022/08/07 (日)
休日午後")</f>
        <v>2022/08/07 (日)
休日午後</v>
      </c>
      <c r="B155" s="52" t="str">
        <f ca="1">IFERROR(__xludf.DUMMYFUNCTION("""COMPUTED_VALUE"""),"湯川")</f>
        <v>湯川</v>
      </c>
      <c r="C155" s="52"/>
      <c r="D155" s="52" t="str">
        <f ca="1">IFERROR(__xludf.DUMMYFUNCTION("""COMPUTED_VALUE"""),"稲葉E伊藤F")</f>
        <v>稲葉E伊藤F</v>
      </c>
      <c r="E155" s="52" t="str">
        <f ca="1">IFERROR(__xludf.DUMMYFUNCTION("""COMPUTED_VALUE"""),"2022/08/21 (日)
休日午後")</f>
        <v>2022/08/21 (日)
休日午後</v>
      </c>
      <c r="F155" s="52" t="str">
        <f ca="1">IFERROR(__xludf.DUMMYFUNCTION("""COMPUTED_VALUE"""),"福里")</f>
        <v>福里</v>
      </c>
      <c r="G155" s="52"/>
      <c r="H155" s="52" t="str">
        <f ca="1">IFERROR(__xludf.DUMMYFUNCTION("""COMPUTED_VALUE"""),"福里A")</f>
        <v>福里A</v>
      </c>
    </row>
    <row r="156" spans="1:8" ht="12.75" hidden="1" x14ac:dyDescent="0.35">
      <c r="A156" s="52" t="str">
        <f ca="1">IFERROR(__xludf.DUMMYFUNCTION("""COMPUTED_VALUE"""),"2022/08/08 (月)
平日夜間")</f>
        <v>2022/08/08 (月)
平日夜間</v>
      </c>
      <c r="B156" s="52" t="str">
        <f ca="1">IFERROR(__xludf.DUMMYFUNCTION("""COMPUTED_VALUE"""),"福井")</f>
        <v>福井</v>
      </c>
      <c r="C156" s="52"/>
      <c r="D156" s="52" t="str">
        <f ca="1">IFERROR(__xludf.DUMMYFUNCTION("""COMPUTED_VALUE"""),"福井病棟太良コマ")</f>
        <v>福井病棟太良コマ</v>
      </c>
      <c r="E156" s="52" t="str">
        <f ca="1">IFERROR(__xludf.DUMMYFUNCTION("""COMPUTED_VALUE"""),"2022/08/22 (月)
平日夜間")</f>
        <v>2022/08/22 (月)
平日夜間</v>
      </c>
      <c r="F156" s="52" t="str">
        <f ca="1">IFERROR(__xludf.DUMMYFUNCTION("""COMPUTED_VALUE"""),"林智")</f>
        <v>林智</v>
      </c>
      <c r="G156" s="52"/>
      <c r="H156" s="52" t="str">
        <f ca="1">IFERROR(__xludf.DUMMYFUNCTION("""COMPUTED_VALUE"""),"林智教育太良コマ")</f>
        <v>林智教育太良コマ</v>
      </c>
    </row>
    <row r="157" spans="1:8" ht="12.75" hidden="1" x14ac:dyDescent="0.35">
      <c r="A157" s="52" t="str">
        <f ca="1">IFERROR(__xludf.DUMMYFUNCTION("""COMPUTED_VALUE"""),"2022/08/09 (火)
平日夜間")</f>
        <v>2022/08/09 (火)
平日夜間</v>
      </c>
      <c r="B157" s="52" t="str">
        <f ca="1">IFERROR(__xludf.DUMMYFUNCTION("""COMPUTED_VALUE"""),"福里")</f>
        <v>福里</v>
      </c>
      <c r="C157" s="52"/>
      <c r="D157" s="52" t="str">
        <f ca="1">IFERROR(__xludf.DUMMYFUNCTION("""COMPUTED_VALUE"""),"吉田コマ")</f>
        <v>吉田コマ</v>
      </c>
      <c r="E157" s="52" t="str">
        <f ca="1">IFERROR(__xludf.DUMMYFUNCTION("""COMPUTED_VALUE"""),"2022/08/23 (火)
平日夜間")</f>
        <v>2022/08/23 (火)
平日夜間</v>
      </c>
      <c r="F157" s="52" t="str">
        <f ca="1">IFERROR(__xludf.DUMMYFUNCTION("""COMPUTED_VALUE"""),"井上")</f>
        <v>井上</v>
      </c>
      <c r="G157" s="52"/>
      <c r="H157" s="52" t="str">
        <f ca="1">IFERROR(__xludf.DUMMYFUNCTION("""COMPUTED_VALUE"""),"井上病棟新美コマ")</f>
        <v>井上病棟新美コマ</v>
      </c>
    </row>
    <row r="158" spans="1:8" ht="12.75" hidden="1" x14ac:dyDescent="0.35">
      <c r="A158" s="52" t="str">
        <f ca="1">IFERROR(__xludf.DUMMYFUNCTION("""COMPUTED_VALUE"""),"2022/08/10 (水)
平日夜間")</f>
        <v>2022/08/10 (水)
平日夜間</v>
      </c>
      <c r="B158" s="52" t="str">
        <f ca="1">IFERROR(__xludf.DUMMYFUNCTION("""COMPUTED_VALUE"""),"菊野")</f>
        <v>菊野</v>
      </c>
      <c r="C158" s="52"/>
      <c r="D158" s="52"/>
      <c r="E158" s="52" t="str">
        <f ca="1">IFERROR(__xludf.DUMMYFUNCTION("""COMPUTED_VALUE"""),"2022/08/24 (水)
平日夜間")</f>
        <v>2022/08/24 (水)
平日夜間</v>
      </c>
      <c r="F158" s="52" t="str">
        <f ca="1">IFERROR(__xludf.DUMMYFUNCTION("""COMPUTED_VALUE"""),"宗")</f>
        <v>宗</v>
      </c>
      <c r="G158" s="52"/>
      <c r="H158" s="52" t="str">
        <f ca="1">IFERROR(__xludf.DUMMYFUNCTION("""COMPUTED_VALUE"""),"宗病棟")</f>
        <v>宗病棟</v>
      </c>
    </row>
    <row r="159" spans="1:8" ht="12.75" hidden="1" x14ac:dyDescent="0.35">
      <c r="A159" s="52" t="str">
        <f ca="1">IFERROR(__xludf.DUMMYFUNCTION("""COMPUTED_VALUE"""),"2022/08/11 (木)
休日午前")</f>
        <v>2022/08/11 (木)
休日午前</v>
      </c>
      <c r="B159" s="52" t="str">
        <f ca="1">IFERROR(__xludf.DUMMYFUNCTION("""COMPUTED_VALUE"""),"福井")</f>
        <v>福井</v>
      </c>
      <c r="C159" s="52"/>
      <c r="D159" s="52" t="str">
        <f ca="1">IFERROR(__xludf.DUMMYFUNCTION("""COMPUTED_VALUE"""),"井上E林智コマ")</f>
        <v>井上E林智コマ</v>
      </c>
      <c r="E159" s="52" t="str">
        <f ca="1">IFERROR(__xludf.DUMMYFUNCTION("""COMPUTED_VALUE"""),"2022/08/25 (木)
平日夜間")</f>
        <v>2022/08/25 (木)
平日夜間</v>
      </c>
      <c r="F159" s="52" t="str">
        <f ca="1">IFERROR(__xludf.DUMMYFUNCTION("""COMPUTED_VALUE"""),"松井")</f>
        <v>松井</v>
      </c>
      <c r="G159" s="52"/>
      <c r="H159" s="52"/>
    </row>
    <row r="160" spans="1:8" ht="12.75" hidden="1" x14ac:dyDescent="0.35">
      <c r="A160" s="52" t="str">
        <f ca="1">IFERROR(__xludf.DUMMYFUNCTION("""COMPUTED_VALUE"""),"2022/08/11 (木)
休日午後")</f>
        <v>2022/08/11 (木)
休日午後</v>
      </c>
      <c r="B160" s="52" t="str">
        <f ca="1">IFERROR(__xludf.DUMMYFUNCTION("""COMPUTED_VALUE"""),"中瀬")</f>
        <v>中瀬</v>
      </c>
      <c r="C160" s="52"/>
      <c r="D160" s="52" t="str">
        <f ca="1">IFERROR(__xludf.DUMMYFUNCTION("""COMPUTED_VALUE"""),"井上E林智コマ")</f>
        <v>井上E林智コマ</v>
      </c>
      <c r="E160" s="52" t="str">
        <f ca="1">IFERROR(__xludf.DUMMYFUNCTION("""COMPUTED_VALUE"""),"2022/08/26 (金)
平日夜間")</f>
        <v>2022/08/26 (金)
平日夜間</v>
      </c>
      <c r="F160" s="52" t="str">
        <f ca="1">IFERROR(__xludf.DUMMYFUNCTION("""COMPUTED_VALUE"""),"柴山")</f>
        <v>柴山</v>
      </c>
      <c r="G160" s="52"/>
      <c r="H160" s="52"/>
    </row>
    <row r="161" spans="1:8" ht="12.75" hidden="1" x14ac:dyDescent="0.35">
      <c r="A161" s="52" t="str">
        <f ca="1">IFERROR(__xludf.DUMMYFUNCTION("""COMPUTED_VALUE"""),"2022/08/12 (金)
平日夜間")</f>
        <v>2022/08/12 (金)
平日夜間</v>
      </c>
      <c r="B161" s="52" t="str">
        <f ca="1">IFERROR(__xludf.DUMMYFUNCTION("""COMPUTED_VALUE"""),"宮坂")</f>
        <v>宮坂</v>
      </c>
      <c r="C161" s="52"/>
      <c r="D161" s="52" t="str">
        <f ca="1">IFERROR(__xludf.DUMMYFUNCTION("""COMPUTED_VALUE"""),"宮坂病棟")</f>
        <v>宮坂病棟</v>
      </c>
      <c r="E161" s="52" t="str">
        <f ca="1">IFERROR(__xludf.DUMMYFUNCTION("""COMPUTED_VALUE"""),"2022/08/27 (土)
休日午前")</f>
        <v>2022/08/27 (土)
休日午前</v>
      </c>
      <c r="F161" s="52" t="str">
        <f ca="1">IFERROR(__xludf.DUMMYFUNCTION("""COMPUTED_VALUE"""),"井上")</f>
        <v>井上</v>
      </c>
      <c r="G161" s="52"/>
      <c r="H161" s="52" t="str">
        <f ca="1">IFERROR(__xludf.DUMMYFUNCTION("""COMPUTED_VALUE"""),"新美E林哲B")</f>
        <v>新美E林哲B</v>
      </c>
    </row>
    <row r="162" spans="1:8" ht="12.75" hidden="1" x14ac:dyDescent="0.35">
      <c r="A162" s="52" t="str">
        <f ca="1">IFERROR(__xludf.DUMMYFUNCTION("""COMPUTED_VALUE"""),"2022/08/13 (土)
休日午前")</f>
        <v>2022/08/13 (土)
休日午前</v>
      </c>
      <c r="B162" s="52" t="str">
        <f ca="1">IFERROR(__xludf.DUMMYFUNCTION("""COMPUTED_VALUE"""),"吉田")</f>
        <v>吉田</v>
      </c>
      <c r="C162" s="52"/>
      <c r="D162" s="52" t="str">
        <f ca="1">IFERROR(__xludf.DUMMYFUNCTION("""COMPUTED_VALUE"""),"柴山E")</f>
        <v>柴山E</v>
      </c>
      <c r="E162" s="52" t="str">
        <f ca="1">IFERROR(__xludf.DUMMYFUNCTION("""COMPUTED_VALUE"""),"2022/08/27 (土)
休日午後")</f>
        <v>2022/08/27 (土)
休日午後</v>
      </c>
      <c r="F162" s="52" t="str">
        <f ca="1">IFERROR(__xludf.DUMMYFUNCTION("""COMPUTED_VALUE"""),"林哲")</f>
        <v>林哲</v>
      </c>
      <c r="G162" s="52"/>
      <c r="H162" s="52" t="str">
        <f ca="1">IFERROR(__xludf.DUMMYFUNCTION("""COMPUTED_VALUE"""),"新美E林哲B")</f>
        <v>新美E林哲B</v>
      </c>
    </row>
    <row r="163" spans="1:8" ht="12.75" hidden="1" x14ac:dyDescent="0.35">
      <c r="A163" s="52" t="str">
        <f ca="1">IFERROR(__xludf.DUMMYFUNCTION("""COMPUTED_VALUE"""),"2022/08/13 (土)
休日午後")</f>
        <v>2022/08/13 (土)
休日午後</v>
      </c>
      <c r="B163" s="52" t="str">
        <f ca="1">IFERROR(__xludf.DUMMYFUNCTION("""COMPUTED_VALUE"""),"福井")</f>
        <v>福井</v>
      </c>
      <c r="C163" s="52"/>
      <c r="D163" s="52" t="str">
        <f ca="1">IFERROR(__xludf.DUMMYFUNCTION("""COMPUTED_VALUE"""),"柴山E")</f>
        <v>柴山E</v>
      </c>
      <c r="E163" s="52" t="str">
        <f ca="1">IFERROR(__xludf.DUMMYFUNCTION("""COMPUTED_VALUE"""),"2022/08/28 (日)
休日午前")</f>
        <v>2022/08/28 (日)
休日午前</v>
      </c>
      <c r="F163" s="52" t="str">
        <f ca="1">IFERROR(__xludf.DUMMYFUNCTION("""COMPUTED_VALUE"""),"宮坂")</f>
        <v>宮坂</v>
      </c>
      <c r="G163" s="52"/>
      <c r="H163" s="52" t="str">
        <f ca="1">IFERROR(__xludf.DUMMYFUNCTION("""COMPUTED_VALUE"""),"片山C宮坂E菊野F太良B")</f>
        <v>片山C宮坂E菊野F太良B</v>
      </c>
    </row>
    <row r="164" spans="1:8" ht="12.75" hidden="1" x14ac:dyDescent="0.35">
      <c r="A164" s="52" t="str">
        <f ca="1">IFERROR(__xludf.DUMMYFUNCTION("""COMPUTED_VALUE"""),"2022/08/14 (日)
休日午前")</f>
        <v>2022/08/14 (日)
休日午前</v>
      </c>
      <c r="B164" s="52" t="str">
        <f ca="1">IFERROR(__xludf.DUMMYFUNCTION("""COMPUTED_VALUE"""),"林智")</f>
        <v>林智</v>
      </c>
      <c r="C164" s="52"/>
      <c r="D164" s="52" t="str">
        <f ca="1">IFERROR(__xludf.DUMMYFUNCTION("""COMPUTED_VALUE"""),"鈴木F松井A")</f>
        <v>鈴木F松井A</v>
      </c>
      <c r="E164" s="52" t="str">
        <f ca="1">IFERROR(__xludf.DUMMYFUNCTION("""COMPUTED_VALUE"""),"2022/08/28 (日)
休日午後")</f>
        <v>2022/08/28 (日)
休日午後</v>
      </c>
      <c r="F164" s="52" t="str">
        <f ca="1">IFERROR(__xludf.DUMMYFUNCTION("""COMPUTED_VALUE"""),"太良")</f>
        <v>太良</v>
      </c>
      <c r="G164" s="52"/>
      <c r="H164" s="52" t="str">
        <f ca="1">IFERROR(__xludf.DUMMYFUNCTION("""COMPUTED_VALUE"""),"片山C宮坂E菊野F太良B")</f>
        <v>片山C宮坂E菊野F太良B</v>
      </c>
    </row>
    <row r="165" spans="1:8" ht="12.75" hidden="1" x14ac:dyDescent="0.35">
      <c r="A165" s="52" t="str">
        <f ca="1">IFERROR(__xludf.DUMMYFUNCTION("""COMPUTED_VALUE"""),"2022/08/14 (日)
休日午後")</f>
        <v>2022/08/14 (日)
休日午後</v>
      </c>
      <c r="B165" s="52" t="str">
        <f ca="1">IFERROR(__xludf.DUMMYFUNCTION("""COMPUTED_VALUE"""),"松井")</f>
        <v>松井</v>
      </c>
      <c r="C165" s="52"/>
      <c r="D165" s="52" t="str">
        <f ca="1">IFERROR(__xludf.DUMMYFUNCTION("""COMPUTED_VALUE"""),"鈴木F松井A")</f>
        <v>鈴木F松井A</v>
      </c>
      <c r="E165" s="52" t="str">
        <f ca="1">IFERROR(__xludf.DUMMYFUNCTION("""COMPUTED_VALUE"""),"2022/08/29 (月)
平日夜間")</f>
        <v>2022/08/29 (月)
平日夜間</v>
      </c>
      <c r="F165" s="52" t="str">
        <f ca="1">IFERROR(__xludf.DUMMYFUNCTION("""COMPUTED_VALUE"""),"柴山")</f>
        <v>柴山</v>
      </c>
      <c r="G165" s="52"/>
      <c r="H165" s="52" t="str">
        <f ca="1">IFERROR(__xludf.DUMMYFUNCTION("""COMPUTED_VALUE"""),"柴山教育井上コマ")</f>
        <v>柴山教育井上コマ</v>
      </c>
    </row>
    <row r="166" spans="1:8" ht="12.75" hidden="1" x14ac:dyDescent="0.35">
      <c r="A166" s="52" t="str">
        <f ca="1">IFERROR(__xludf.DUMMYFUNCTION("""COMPUTED_VALUE"""),"2022/08/15 (月)
平日夜間")</f>
        <v>2022/08/15 (月)
平日夜間</v>
      </c>
      <c r="B166" s="52" t="str">
        <f ca="1">IFERROR(__xludf.DUMMYFUNCTION("""COMPUTED_VALUE"""),"尾田")</f>
        <v>尾田</v>
      </c>
      <c r="C166" s="52"/>
      <c r="D166" s="52" t="str">
        <f ca="1">IFERROR(__xludf.DUMMYFUNCTION("""COMPUTED_VALUE"""),"尾田病棟福里コマ")</f>
        <v>尾田病棟福里コマ</v>
      </c>
      <c r="E166" s="52" t="str">
        <f ca="1">IFERROR(__xludf.DUMMYFUNCTION("""COMPUTED_VALUE"""),"2022/08/30 (火)
平日夜間")</f>
        <v>2022/08/30 (火)
平日夜間</v>
      </c>
      <c r="F166" s="52" t="str">
        <f ca="1">IFERROR(__xludf.DUMMYFUNCTION("""COMPUTED_VALUE"""),"勝俣")</f>
        <v>勝俣</v>
      </c>
      <c r="G166" s="52"/>
      <c r="H166" s="52" t="str">
        <f ca="1">IFERROR(__xludf.DUMMYFUNCTION("""COMPUTED_VALUE"""),"吉田コマ")</f>
        <v>吉田コマ</v>
      </c>
    </row>
    <row r="167" spans="1:8" ht="12.75" hidden="1" x14ac:dyDescent="0.35">
      <c r="A167" s="52" t="str">
        <f ca="1">IFERROR(__xludf.DUMMYFUNCTION("""COMPUTED_VALUE"""),"2022/08/16 (火)
平日夜間")</f>
        <v>2022/08/16 (火)
平日夜間</v>
      </c>
      <c r="B167" s="52" t="str">
        <f ca="1">IFERROR(__xludf.DUMMYFUNCTION("""COMPUTED_VALUE"""),"森岳")</f>
        <v>森岳</v>
      </c>
      <c r="C167" s="52"/>
      <c r="D167" s="52" t="str">
        <f ca="1">IFERROR(__xludf.DUMMYFUNCTION("""COMPUTED_VALUE"""),"森岳病棟林智コマ")</f>
        <v>森岳病棟林智コマ</v>
      </c>
      <c r="E167" s="52" t="str">
        <f ca="1">IFERROR(__xludf.DUMMYFUNCTION("""COMPUTED_VALUE"""),"2022/08/31 (水)
平日夜間")</f>
        <v>2022/08/31 (水)
平日夜間</v>
      </c>
      <c r="F167" s="52" t="str">
        <f ca="1">IFERROR(__xludf.DUMMYFUNCTION("""COMPUTED_VALUE"""),"尾田")</f>
        <v>尾田</v>
      </c>
      <c r="G167" s="52"/>
      <c r="H167" s="52" t="str">
        <f ca="1">IFERROR(__xludf.DUMMYFUNCTION("""COMPUTED_VALUE"""),"尾田教育")</f>
        <v>尾田教育</v>
      </c>
    </row>
    <row r="168" spans="1:8" ht="12.75" hidden="1" x14ac:dyDescent="0.35">
      <c r="A168" s="52" t="str">
        <f ca="1">IFERROR(__xludf.DUMMYFUNCTION("""COMPUTED_VALUE"""),"2022/08/17 (水)
平日夜間")</f>
        <v>2022/08/17 (水)
平日夜間</v>
      </c>
      <c r="B168" s="52" t="str">
        <f ca="1">IFERROR(__xludf.DUMMYFUNCTION("""COMPUTED_VALUE"""),"菊野")</f>
        <v>菊野</v>
      </c>
      <c r="C168" s="52"/>
      <c r="D168" s="52" t="str">
        <f ca="1">IFERROR(__xludf.DUMMYFUNCTION("""COMPUTED_VALUE"""),"菊野病棟")</f>
        <v>菊野病棟</v>
      </c>
      <c r="E168" s="52" t="str">
        <f ca="1">IFERROR(__xludf.DUMMYFUNCTION("""COMPUTED_VALUE"""),"2022/09/01 (木)
平日夜間")</f>
        <v>2022/09/01 (木)
平日夜間</v>
      </c>
      <c r="F168" s="52" t="str">
        <f ca="1">IFERROR(__xludf.DUMMYFUNCTION("""COMPUTED_VALUE"""),"福里")</f>
        <v>福里</v>
      </c>
      <c r="G168" s="52"/>
      <c r="H168" s="52"/>
    </row>
    <row r="169" spans="1:8" ht="12.75" hidden="1" x14ac:dyDescent="0.35">
      <c r="A169" s="52" t="str">
        <f ca="1">IFERROR(__xludf.DUMMYFUNCTION("""COMPUTED_VALUE"""),"2022/08/18 (木)
平日夜間")</f>
        <v>2022/08/18 (木)
平日夜間</v>
      </c>
      <c r="B169" s="52" t="str">
        <f ca="1">IFERROR(__xludf.DUMMYFUNCTION("""COMPUTED_VALUE"""),"井上")</f>
        <v>井上</v>
      </c>
      <c r="C169" s="52"/>
      <c r="D169" s="52"/>
      <c r="E169" s="52" t="str">
        <f ca="1">IFERROR(__xludf.DUMMYFUNCTION("""COMPUTED_VALUE"""),"2022/09/02 (金)
平日夜間")</f>
        <v>2022/09/02 (金)
平日夜間</v>
      </c>
      <c r="F169" s="52" t="str">
        <f ca="1">IFERROR(__xludf.DUMMYFUNCTION("""COMPUTED_VALUE"""),"宮坂")</f>
        <v>宮坂</v>
      </c>
      <c r="G169" s="52"/>
      <c r="H169" s="52" t="str">
        <f ca="1">IFERROR(__xludf.DUMMYFUNCTION("""COMPUTED_VALUE"""),"宮坂病棟勝俣コマ")</f>
        <v>宮坂病棟勝俣コマ</v>
      </c>
    </row>
    <row r="170" spans="1:8" ht="12.75" hidden="1" x14ac:dyDescent="0.35">
      <c r="A170" s="52" t="str">
        <f ca="1">IFERROR(__xludf.DUMMYFUNCTION("""COMPUTED_VALUE"""),"2022/08/19 (金)
平日夜間")</f>
        <v>2022/08/19 (金)
平日夜間</v>
      </c>
      <c r="B170" s="52" t="str">
        <f ca="1">IFERROR(__xludf.DUMMYFUNCTION("""COMPUTED_VALUE"""),"伊藤")</f>
        <v>伊藤</v>
      </c>
      <c r="C170" s="52"/>
      <c r="D170" s="52" t="str">
        <f ca="1">IFERROR(__xludf.DUMMYFUNCTION("""COMPUTED_VALUE"""),"吉田教育伊藤病棟")</f>
        <v>吉田教育伊藤病棟</v>
      </c>
      <c r="E170" s="52" t="str">
        <f ca="1">IFERROR(__xludf.DUMMYFUNCTION("""COMPUTED_VALUE"""),"2022/09/03 (土)
休日午前")</f>
        <v>2022/09/03 (土)
休日午前</v>
      </c>
      <c r="F170" s="52" t="str">
        <f ca="1">IFERROR(__xludf.DUMMYFUNCTION("""COMPUTED_VALUE"""),"宗")</f>
        <v>宗</v>
      </c>
      <c r="G170" s="52"/>
      <c r="H170" s="52" t="str">
        <f ca="1">IFERROR(__xludf.DUMMYFUNCTION("""COMPUTED_VALUE"""),"湯川E井上F宗A林智B")</f>
        <v>湯川E井上F宗A林智B</v>
      </c>
    </row>
    <row r="171" spans="1:8" ht="12.75" hidden="1" x14ac:dyDescent="0.35">
      <c r="A171" s="52" t="str">
        <f ca="1">IFERROR(__xludf.DUMMYFUNCTION("""COMPUTED_VALUE"""),"2022/08/20 (土)
休日午前")</f>
        <v>2022/08/20 (土)
休日午前</v>
      </c>
      <c r="B171" s="52" t="str">
        <f ca="1">IFERROR(__xludf.DUMMYFUNCTION("""COMPUTED_VALUE"""),"勝俣")</f>
        <v>勝俣</v>
      </c>
      <c r="C171" s="52"/>
      <c r="D171" s="52" t="str">
        <f ca="1">IFERROR(__xludf.DUMMYFUNCTION("""COMPUTED_VALUE"""),"森伸C湯川E福井F佐藤A")</f>
        <v>森伸C湯川E福井F佐藤A</v>
      </c>
      <c r="E171" s="52" t="str">
        <f ca="1">IFERROR(__xludf.DUMMYFUNCTION("""COMPUTED_VALUE"""),"2022/09/03 (土)
休日午後")</f>
        <v>2022/09/03 (土)
休日午後</v>
      </c>
      <c r="F171" s="52" t="str">
        <f ca="1">IFERROR(__xludf.DUMMYFUNCTION("""COMPUTED_VALUE"""),"林智")</f>
        <v>林智</v>
      </c>
      <c r="G171" s="52"/>
      <c r="H171" s="52" t="str">
        <f ca="1">IFERROR(__xludf.DUMMYFUNCTION("""COMPUTED_VALUE"""),"湯川E井上F宗A林智B")</f>
        <v>湯川E井上F宗A林智B</v>
      </c>
    </row>
    <row r="172" spans="1:8" ht="12.75" hidden="1" x14ac:dyDescent="0.35">
      <c r="A172" s="52" t="str">
        <f ca="1">IFERROR(__xludf.DUMMYFUNCTION("""COMPUTED_VALUE"""),"2022/08/20 (土)
休日午後")</f>
        <v>2022/08/20 (土)
休日午後</v>
      </c>
      <c r="B172" s="52" t="str">
        <f ca="1">IFERROR(__xludf.DUMMYFUNCTION("""COMPUTED_VALUE"""),"佐藤")</f>
        <v>佐藤</v>
      </c>
      <c r="C172" s="52"/>
      <c r="D172" s="52" t="str">
        <f ca="1">IFERROR(__xludf.DUMMYFUNCTION("""COMPUTED_VALUE"""),"森伸C湯川E福井F佐藤A")</f>
        <v>森伸C湯川E福井F佐藤A</v>
      </c>
      <c r="E172" s="52" t="str">
        <f ca="1">IFERROR(__xludf.DUMMYFUNCTION("""COMPUTED_VALUE"""),"2022/09/04 (日)
休日午前")</f>
        <v>2022/09/04 (日)
休日午前</v>
      </c>
      <c r="F172" s="52" t="str">
        <f ca="1">IFERROR(__xludf.DUMMYFUNCTION("""COMPUTED_VALUE"""),"宮坂")</f>
        <v>宮坂</v>
      </c>
      <c r="G172" s="52"/>
      <c r="H172" s="52" t="str">
        <f ca="1">IFERROR(__xludf.DUMMYFUNCTION("""COMPUTED_VALUE"""),"福井E")</f>
        <v>福井E</v>
      </c>
    </row>
    <row r="173" spans="1:8" ht="12.75" hidden="1" x14ac:dyDescent="0.35">
      <c r="A173" s="52" t="str">
        <f ca="1">IFERROR(__xludf.DUMMYFUNCTION("""COMPUTED_VALUE"""),"2022/08/21 (日)
休日午前")</f>
        <v>2022/08/21 (日)
休日午前</v>
      </c>
      <c r="B173" s="52" t="str">
        <f ca="1">IFERROR(__xludf.DUMMYFUNCTION("""COMPUTED_VALUE"""),"森岳")</f>
        <v>森岳</v>
      </c>
      <c r="C173" s="52"/>
      <c r="D173" s="52" t="str">
        <f ca="1">IFERROR(__xludf.DUMMYFUNCTION("""COMPUTED_VALUE"""),"福里A")</f>
        <v>福里A</v>
      </c>
      <c r="E173" s="52" t="str">
        <f ca="1">IFERROR(__xludf.DUMMYFUNCTION("""COMPUTED_VALUE"""),"2022/09/04 (日)
休日午後")</f>
        <v>2022/09/04 (日)
休日午後</v>
      </c>
      <c r="F173" s="52" t="str">
        <f ca="1">IFERROR(__xludf.DUMMYFUNCTION("""COMPUTED_VALUE"""),"松井")</f>
        <v>松井</v>
      </c>
      <c r="G173" s="52"/>
      <c r="H173" s="52" t="str">
        <f ca="1">IFERROR(__xludf.DUMMYFUNCTION("""COMPUTED_VALUE"""),"福井E")</f>
        <v>福井E</v>
      </c>
    </row>
    <row r="174" spans="1:8" ht="12.75" hidden="1" x14ac:dyDescent="0.35">
      <c r="A174" s="52" t="str">
        <f ca="1">IFERROR(__xludf.DUMMYFUNCTION("""COMPUTED_VALUE"""),"2022/08/21 (日)
休日午後")</f>
        <v>2022/08/21 (日)
休日午後</v>
      </c>
      <c r="B174" s="52" t="str">
        <f ca="1">IFERROR(__xludf.DUMMYFUNCTION("""COMPUTED_VALUE"""),"福里")</f>
        <v>福里</v>
      </c>
      <c r="C174" s="52"/>
      <c r="D174" s="52" t="str">
        <f ca="1">IFERROR(__xludf.DUMMYFUNCTION("""COMPUTED_VALUE"""),"福里A")</f>
        <v>福里A</v>
      </c>
      <c r="E174" s="52" t="str">
        <f ca="1">IFERROR(__xludf.DUMMYFUNCTION("""COMPUTED_VALUE"""),"2022/09/05 (月)
平日夜間")</f>
        <v>2022/09/05 (月)
平日夜間</v>
      </c>
      <c r="F174" s="52" t="str">
        <f ca="1">IFERROR(__xludf.DUMMYFUNCTION("""COMPUTED_VALUE"""),"福里")</f>
        <v>福里</v>
      </c>
      <c r="G174" s="52"/>
      <c r="H174" s="52" t="str">
        <f ca="1">IFERROR(__xludf.DUMMYFUNCTION("""COMPUTED_VALUE"""),"太良コマ")</f>
        <v>太良コマ</v>
      </c>
    </row>
    <row r="175" spans="1:8" ht="12.75" hidden="1" x14ac:dyDescent="0.35">
      <c r="A175" s="52" t="str">
        <f ca="1">IFERROR(__xludf.DUMMYFUNCTION("""COMPUTED_VALUE"""),"2022/08/22 (月)
平日夜間")</f>
        <v>2022/08/22 (月)
平日夜間</v>
      </c>
      <c r="B175" s="52" t="str">
        <f ca="1">IFERROR(__xludf.DUMMYFUNCTION("""COMPUTED_VALUE"""),"林智")</f>
        <v>林智</v>
      </c>
      <c r="C175" s="52"/>
      <c r="D175" s="52" t="str">
        <f ca="1">IFERROR(__xludf.DUMMYFUNCTION("""COMPUTED_VALUE"""),"林智教育太良コマ")</f>
        <v>林智教育太良コマ</v>
      </c>
      <c r="E175" s="52" t="str">
        <f ca="1">IFERROR(__xludf.DUMMYFUNCTION("""COMPUTED_VALUE"""),"2022/09/06 (火)
平日夜間")</f>
        <v>2022/09/06 (火)
平日夜間</v>
      </c>
      <c r="F175" s="52" t="str">
        <f ca="1">IFERROR(__xludf.DUMMYFUNCTION("""COMPUTED_VALUE"""),"笠原")</f>
        <v>笠原</v>
      </c>
      <c r="G175" s="52"/>
      <c r="H175" s="52" t="str">
        <f ca="1">IFERROR(__xludf.DUMMYFUNCTION("""COMPUTED_VALUE"""),"新美コマ")</f>
        <v>新美コマ</v>
      </c>
    </row>
    <row r="176" spans="1:8" ht="12.75" hidden="1" x14ac:dyDescent="0.35">
      <c r="A176" s="52" t="str">
        <f ca="1">IFERROR(__xludf.DUMMYFUNCTION("""COMPUTED_VALUE"""),"2022/08/23 (火)
平日夜間")</f>
        <v>2022/08/23 (火)
平日夜間</v>
      </c>
      <c r="B176" s="52" t="str">
        <f ca="1">IFERROR(__xludf.DUMMYFUNCTION("""COMPUTED_VALUE"""),"井上")</f>
        <v>井上</v>
      </c>
      <c r="C176" s="52"/>
      <c r="D176" s="52" t="str">
        <f ca="1">IFERROR(__xludf.DUMMYFUNCTION("""COMPUTED_VALUE"""),"井上病棟新美コマ")</f>
        <v>井上病棟新美コマ</v>
      </c>
      <c r="E176" s="52" t="str">
        <f ca="1">IFERROR(__xludf.DUMMYFUNCTION("""COMPUTED_VALUE"""),"2022/09/07 (水)
平日夜間")</f>
        <v>2022/09/07 (水)
平日夜間</v>
      </c>
      <c r="F176" s="52" t="str">
        <f ca="1">IFERROR(__xludf.DUMMYFUNCTION("""COMPUTED_VALUE"""),"松井")</f>
        <v>松井</v>
      </c>
      <c r="G176" s="52"/>
      <c r="H176" s="52"/>
    </row>
    <row r="177" spans="1:8" ht="12.75" hidden="1" x14ac:dyDescent="0.35">
      <c r="A177" s="52" t="str">
        <f ca="1">IFERROR(__xludf.DUMMYFUNCTION("""COMPUTED_VALUE"""),"2022/08/24 (水)
平日夜間")</f>
        <v>2022/08/24 (水)
平日夜間</v>
      </c>
      <c r="B177" s="52" t="str">
        <f ca="1">IFERROR(__xludf.DUMMYFUNCTION("""COMPUTED_VALUE"""),"宗")</f>
        <v>宗</v>
      </c>
      <c r="C177" s="52"/>
      <c r="D177" s="52" t="str">
        <f ca="1">IFERROR(__xludf.DUMMYFUNCTION("""COMPUTED_VALUE"""),"宗病棟")</f>
        <v>宗病棟</v>
      </c>
      <c r="E177" s="52" t="str">
        <f ca="1">IFERROR(__xludf.DUMMYFUNCTION("""COMPUTED_VALUE"""),"2022/09/08 (木)
平日夜間")</f>
        <v>2022/09/08 (木)
平日夜間</v>
      </c>
      <c r="F177" s="52" t="str">
        <f ca="1">IFERROR(__xludf.DUMMYFUNCTION("""COMPUTED_VALUE"""),"鈴木")</f>
        <v>鈴木</v>
      </c>
      <c r="G177" s="52"/>
      <c r="H177" s="52"/>
    </row>
    <row r="178" spans="1:8" ht="12.75" hidden="1" x14ac:dyDescent="0.35">
      <c r="A178" s="52" t="str">
        <f ca="1">IFERROR(__xludf.DUMMYFUNCTION("""COMPUTED_VALUE"""),"2022/08/25 (木)
平日夜間")</f>
        <v>2022/08/25 (木)
平日夜間</v>
      </c>
      <c r="B178" s="52" t="str">
        <f ca="1">IFERROR(__xludf.DUMMYFUNCTION("""COMPUTED_VALUE"""),"松井")</f>
        <v>松井</v>
      </c>
      <c r="C178" s="52"/>
      <c r="D178" s="52"/>
      <c r="E178" s="52" t="str">
        <f ca="1">IFERROR(__xludf.DUMMYFUNCTION("""COMPUTED_VALUE"""),"2022/09/09 (金)
平日夜間")</f>
        <v>2022/09/09 (金)
平日夜間</v>
      </c>
      <c r="F178" s="52" t="str">
        <f ca="1">IFERROR(__xludf.DUMMYFUNCTION("""COMPUTED_VALUE"""),"稲葉")</f>
        <v>稲葉</v>
      </c>
      <c r="G178" s="52"/>
      <c r="H178" s="52"/>
    </row>
    <row r="179" spans="1:8" ht="12.75" hidden="1" x14ac:dyDescent="0.35">
      <c r="A179" s="52" t="str">
        <f ca="1">IFERROR(__xludf.DUMMYFUNCTION("""COMPUTED_VALUE"""),"2022/08/26 (金)
平日夜間")</f>
        <v>2022/08/26 (金)
平日夜間</v>
      </c>
      <c r="B179" s="52" t="str">
        <f ca="1">IFERROR(__xludf.DUMMYFUNCTION("""COMPUTED_VALUE"""),"柴山")</f>
        <v>柴山</v>
      </c>
      <c r="C179" s="52"/>
      <c r="D179" s="52"/>
      <c r="E179" s="52" t="str">
        <f ca="1">IFERROR(__xludf.DUMMYFUNCTION("""COMPUTED_VALUE"""),"2022/09/10 (土)
休日午前")</f>
        <v>2022/09/10 (土)
休日午前</v>
      </c>
      <c r="F179" s="52" t="str">
        <f ca="1">IFERROR(__xludf.DUMMYFUNCTION("""COMPUTED_VALUE"""),"井上")</f>
        <v>井上</v>
      </c>
      <c r="G179" s="52"/>
      <c r="H179" s="52" t="str">
        <f ca="1">IFERROR(__xludf.DUMMYFUNCTION("""COMPUTED_VALUE"""),"勝俣F山田B")</f>
        <v>勝俣F山田B</v>
      </c>
    </row>
    <row r="180" spans="1:8" ht="12.75" hidden="1" x14ac:dyDescent="0.35">
      <c r="A180" s="52" t="str">
        <f ca="1">IFERROR(__xludf.DUMMYFUNCTION("""COMPUTED_VALUE"""),"2022/08/27 (土)
休日午前")</f>
        <v>2022/08/27 (土)
休日午前</v>
      </c>
      <c r="B180" s="52" t="str">
        <f ca="1">IFERROR(__xludf.DUMMYFUNCTION("""COMPUTED_VALUE"""),"井上")</f>
        <v>井上</v>
      </c>
      <c r="C180" s="52"/>
      <c r="D180" s="52" t="str">
        <f ca="1">IFERROR(__xludf.DUMMYFUNCTION("""COMPUTED_VALUE"""),"新美E林哲B")</f>
        <v>新美E林哲B</v>
      </c>
      <c r="E180" s="52" t="str">
        <f ca="1">IFERROR(__xludf.DUMMYFUNCTION("""COMPUTED_VALUE"""),"2022/09/10 (土)
休日午後")</f>
        <v>2022/09/10 (土)
休日午後</v>
      </c>
      <c r="F180" s="52" t="str">
        <f ca="1">IFERROR(__xludf.DUMMYFUNCTION("""COMPUTED_VALUE"""),"湯川")</f>
        <v>湯川</v>
      </c>
      <c r="G180" s="52"/>
      <c r="H180" s="52" t="str">
        <f ca="1">IFERROR(__xludf.DUMMYFUNCTION("""COMPUTED_VALUE"""),"勝俣F山田B")</f>
        <v>勝俣F山田B</v>
      </c>
    </row>
    <row r="181" spans="1:8" ht="12.75" hidden="1" x14ac:dyDescent="0.35">
      <c r="A181" s="52" t="str">
        <f ca="1">IFERROR(__xludf.DUMMYFUNCTION("""COMPUTED_VALUE"""),"2022/08/27 (土)
休日午後")</f>
        <v>2022/08/27 (土)
休日午後</v>
      </c>
      <c r="B181" s="52" t="str">
        <f ca="1">IFERROR(__xludf.DUMMYFUNCTION("""COMPUTED_VALUE"""),"林哲")</f>
        <v>林哲</v>
      </c>
      <c r="C181" s="52"/>
      <c r="D181" s="52" t="str">
        <f ca="1">IFERROR(__xludf.DUMMYFUNCTION("""COMPUTED_VALUE"""),"新美E林哲B")</f>
        <v>新美E林哲B</v>
      </c>
      <c r="E181" s="52" t="str">
        <f ca="1">IFERROR(__xludf.DUMMYFUNCTION("""COMPUTED_VALUE"""),"2022/09/11 (日)
休日午前")</f>
        <v>2022/09/11 (日)
休日午前</v>
      </c>
      <c r="F181" s="52" t="str">
        <f ca="1">IFERROR(__xludf.DUMMYFUNCTION("""COMPUTED_VALUE"""),"新美")</f>
        <v>新美</v>
      </c>
      <c r="G181" s="52"/>
      <c r="H181" s="52" t="str">
        <f ca="1">IFERROR(__xludf.DUMMYFUNCTION("""COMPUTED_VALUE"""),"尾田E笠原B")</f>
        <v>尾田E笠原B</v>
      </c>
    </row>
    <row r="182" spans="1:8" ht="12.75" hidden="1" x14ac:dyDescent="0.35">
      <c r="A182" s="52" t="str">
        <f ca="1">IFERROR(__xludf.DUMMYFUNCTION("""COMPUTED_VALUE"""),"2022/08/28 (日)
休日午前")</f>
        <v>2022/08/28 (日)
休日午前</v>
      </c>
      <c r="B182" s="52" t="str">
        <f ca="1">IFERROR(__xludf.DUMMYFUNCTION("""COMPUTED_VALUE"""),"宮坂")</f>
        <v>宮坂</v>
      </c>
      <c r="C182" s="52"/>
      <c r="D182" s="52" t="str">
        <f ca="1">IFERROR(__xludf.DUMMYFUNCTION("""COMPUTED_VALUE"""),"片山C宮坂E菊野F太良B")</f>
        <v>片山C宮坂E菊野F太良B</v>
      </c>
      <c r="E182" s="52" t="str">
        <f ca="1">IFERROR(__xludf.DUMMYFUNCTION("""COMPUTED_VALUE"""),"2022/09/11 (日)
休日午後")</f>
        <v>2022/09/11 (日)
休日午後</v>
      </c>
      <c r="F182" s="52" t="str">
        <f ca="1">IFERROR(__xludf.DUMMYFUNCTION("""COMPUTED_VALUE"""),"笠原")</f>
        <v>笠原</v>
      </c>
      <c r="G182" s="52"/>
      <c r="H182" s="52" t="str">
        <f ca="1">IFERROR(__xludf.DUMMYFUNCTION("""COMPUTED_VALUE"""),"尾田E笠原B")</f>
        <v>尾田E笠原B</v>
      </c>
    </row>
    <row r="183" spans="1:8" ht="12.75" hidden="1" x14ac:dyDescent="0.35">
      <c r="A183" s="52" t="str">
        <f ca="1">IFERROR(__xludf.DUMMYFUNCTION("""COMPUTED_VALUE"""),"2022/08/28 (日)
休日午後")</f>
        <v>2022/08/28 (日)
休日午後</v>
      </c>
      <c r="B183" s="52" t="str">
        <f ca="1">IFERROR(__xludf.DUMMYFUNCTION("""COMPUTED_VALUE"""),"太良")</f>
        <v>太良</v>
      </c>
      <c r="C183" s="52"/>
      <c r="D183" s="52" t="str">
        <f ca="1">IFERROR(__xludf.DUMMYFUNCTION("""COMPUTED_VALUE"""),"片山C宮坂E菊野F太良B")</f>
        <v>片山C宮坂E菊野F太良B</v>
      </c>
      <c r="E183" s="52" t="str">
        <f ca="1">IFERROR(__xludf.DUMMYFUNCTION("""COMPUTED_VALUE"""),"2022/09/12 (月)
平日夜間")</f>
        <v>2022/09/12 (月)
平日夜間</v>
      </c>
      <c r="F183" s="52" t="str">
        <f ca="1">IFERROR(__xludf.DUMMYFUNCTION("""COMPUTED_VALUE"""),"菊野")</f>
        <v>菊野</v>
      </c>
      <c r="G183" s="52"/>
      <c r="H183" s="52" t="str">
        <f ca="1">IFERROR(__xludf.DUMMYFUNCTION("""COMPUTED_VALUE"""),"菊野病棟福里コマ")</f>
        <v>菊野病棟福里コマ</v>
      </c>
    </row>
    <row r="184" spans="1:8" ht="12.75" hidden="1" x14ac:dyDescent="0.35">
      <c r="A184" s="52" t="str">
        <f ca="1">IFERROR(__xludf.DUMMYFUNCTION("""COMPUTED_VALUE"""),"2022/08/29 (月)
平日夜間")</f>
        <v>2022/08/29 (月)
平日夜間</v>
      </c>
      <c r="B184" s="52" t="str">
        <f ca="1">IFERROR(__xludf.DUMMYFUNCTION("""COMPUTED_VALUE"""),"柴山")</f>
        <v>柴山</v>
      </c>
      <c r="C184" s="52"/>
      <c r="D184" s="52" t="str">
        <f ca="1">IFERROR(__xludf.DUMMYFUNCTION("""COMPUTED_VALUE"""),"柴山教育井上コマ")</f>
        <v>柴山教育井上コマ</v>
      </c>
      <c r="E184" s="52" t="str">
        <f ca="1">IFERROR(__xludf.DUMMYFUNCTION("""COMPUTED_VALUE"""),"2022/09/13 (火)
平日夜間")</f>
        <v>2022/09/13 (火)
平日夜間</v>
      </c>
      <c r="F184" s="52" t="str">
        <f ca="1">IFERROR(__xludf.DUMMYFUNCTION("""COMPUTED_VALUE"""),"伊藤")</f>
        <v>伊藤</v>
      </c>
      <c r="G184" s="52"/>
      <c r="H184" s="52" t="str">
        <f ca="1">IFERROR(__xludf.DUMMYFUNCTION("""COMPUTED_VALUE"""),"吉田コマ")</f>
        <v>吉田コマ</v>
      </c>
    </row>
    <row r="185" spans="1:8" ht="12.75" hidden="1" x14ac:dyDescent="0.35">
      <c r="A185" s="52" t="str">
        <f ca="1">IFERROR(__xludf.DUMMYFUNCTION("""COMPUTED_VALUE"""),"2022/08/30 (火)
平日夜間")</f>
        <v>2022/08/30 (火)
平日夜間</v>
      </c>
      <c r="B185" s="52" t="str">
        <f ca="1">IFERROR(__xludf.DUMMYFUNCTION("""COMPUTED_VALUE"""),"勝俣")</f>
        <v>勝俣</v>
      </c>
      <c r="C185" s="52"/>
      <c r="D185" s="52" t="str">
        <f ca="1">IFERROR(__xludf.DUMMYFUNCTION("""COMPUTED_VALUE"""),"吉田コマ")</f>
        <v>吉田コマ</v>
      </c>
      <c r="E185" s="52" t="str">
        <f ca="1">IFERROR(__xludf.DUMMYFUNCTION("""COMPUTED_VALUE"""),"2022/09/14 (水)
平日夜間")</f>
        <v>2022/09/14 (水)
平日夜間</v>
      </c>
      <c r="F185" s="52" t="str">
        <f ca="1">IFERROR(__xludf.DUMMYFUNCTION("""COMPUTED_VALUE"""),"鈴木")</f>
        <v>鈴木</v>
      </c>
      <c r="G185" s="52"/>
      <c r="H185" s="52"/>
    </row>
    <row r="186" spans="1:8" ht="12.75" hidden="1" x14ac:dyDescent="0.35">
      <c r="A186" s="52" t="str">
        <f ca="1">IFERROR(__xludf.DUMMYFUNCTION("""COMPUTED_VALUE"""),"2022/08/31 (水)
平日夜間")</f>
        <v>2022/08/31 (水)
平日夜間</v>
      </c>
      <c r="B186" s="52" t="str">
        <f ca="1">IFERROR(__xludf.DUMMYFUNCTION("""COMPUTED_VALUE"""),"尾田")</f>
        <v>尾田</v>
      </c>
      <c r="C186" s="52"/>
      <c r="D186" s="52" t="str">
        <f ca="1">IFERROR(__xludf.DUMMYFUNCTION("""COMPUTED_VALUE"""),"尾田教育")</f>
        <v>尾田教育</v>
      </c>
      <c r="E186" s="52" t="str">
        <f ca="1">IFERROR(__xludf.DUMMYFUNCTION("""COMPUTED_VALUE"""),"2022/09/15 (木)
平日夜間")</f>
        <v>2022/09/15 (木)
平日夜間</v>
      </c>
      <c r="F186" s="52" t="str">
        <f ca="1">IFERROR(__xludf.DUMMYFUNCTION("""COMPUTED_VALUE"""),"湯川")</f>
        <v>湯川</v>
      </c>
      <c r="G186" s="52"/>
      <c r="H186" s="52" t="str">
        <f ca="1">IFERROR(__xludf.DUMMYFUNCTION("""COMPUTED_VALUE"""),"湯川病棟")</f>
        <v>湯川病棟</v>
      </c>
    </row>
    <row r="187" spans="1:8" ht="12.75" hidden="1" x14ac:dyDescent="0.35">
      <c r="A187" s="52" t="str">
        <f ca="1">IFERROR(__xludf.DUMMYFUNCTION("""COMPUTED_VALUE"""),"2022/09/01 (木)
平日夜間")</f>
        <v>2022/09/01 (木)
平日夜間</v>
      </c>
      <c r="B187" s="52" t="str">
        <f ca="1">IFERROR(__xludf.DUMMYFUNCTION("""COMPUTED_VALUE"""),"福里")</f>
        <v>福里</v>
      </c>
      <c r="C187" s="52"/>
      <c r="D187" s="52"/>
      <c r="E187" s="52" t="str">
        <f ca="1">IFERROR(__xludf.DUMMYFUNCTION("""COMPUTED_VALUE"""),"2022/09/16 (金)
平日夜間")</f>
        <v>2022/09/16 (金)
平日夜間</v>
      </c>
      <c r="F187" s="52" t="str">
        <f ca="1">IFERROR(__xludf.DUMMYFUNCTION("""COMPUTED_VALUE"""),"井上")</f>
        <v>井上</v>
      </c>
      <c r="G187" s="52"/>
      <c r="H187" s="52" t="str">
        <f ca="1">IFERROR(__xludf.DUMMYFUNCTION("""COMPUTED_VALUE"""),"井上病棟")</f>
        <v>井上病棟</v>
      </c>
    </row>
    <row r="188" spans="1:8" ht="12.75" hidden="1" x14ac:dyDescent="0.35">
      <c r="A188" s="52" t="str">
        <f ca="1">IFERROR(__xludf.DUMMYFUNCTION("""COMPUTED_VALUE"""),"2022/09/02 (金)
平日夜間")</f>
        <v>2022/09/02 (金)
平日夜間</v>
      </c>
      <c r="B188" s="52" t="str">
        <f ca="1">IFERROR(__xludf.DUMMYFUNCTION("""COMPUTED_VALUE"""),"宮坂")</f>
        <v>宮坂</v>
      </c>
      <c r="C188" s="52"/>
      <c r="D188" s="52" t="str">
        <f ca="1">IFERROR(__xludf.DUMMYFUNCTION("""COMPUTED_VALUE"""),"宮坂病棟勝俣コマ")</f>
        <v>宮坂病棟勝俣コマ</v>
      </c>
      <c r="E188" s="52" t="str">
        <f ca="1">IFERROR(__xludf.DUMMYFUNCTION("""COMPUTED_VALUE"""),"2022/09/17 (土)
休日午前")</f>
        <v>2022/09/17 (土)
休日午前</v>
      </c>
      <c r="F188" s="52" t="str">
        <f ca="1">IFERROR(__xludf.DUMMYFUNCTION("""COMPUTED_VALUE"""),"湯川")</f>
        <v>湯川</v>
      </c>
      <c r="G188" s="52"/>
      <c r="H188" s="52" t="str">
        <f ca="1">IFERROR(__xludf.DUMMYFUNCTION("""COMPUTED_VALUE"""),"宮坂F佐藤A林哲B")</f>
        <v>宮坂F佐藤A林哲B</v>
      </c>
    </row>
    <row r="189" spans="1:8" ht="12.75" hidden="1" x14ac:dyDescent="0.35">
      <c r="A189" s="52" t="str">
        <f ca="1">IFERROR(__xludf.DUMMYFUNCTION("""COMPUTED_VALUE"""),"2022/09/03 (土)
休日午前")</f>
        <v>2022/09/03 (土)
休日午前</v>
      </c>
      <c r="B189" s="52" t="str">
        <f ca="1">IFERROR(__xludf.DUMMYFUNCTION("""COMPUTED_VALUE"""),"宗")</f>
        <v>宗</v>
      </c>
      <c r="C189" s="52"/>
      <c r="D189" s="52" t="str">
        <f ca="1">IFERROR(__xludf.DUMMYFUNCTION("""COMPUTED_VALUE"""),"湯川E井上F宗A林智B")</f>
        <v>湯川E井上F宗A林智B</v>
      </c>
      <c r="E189" s="52" t="str">
        <f ca="1">IFERROR(__xludf.DUMMYFUNCTION("""COMPUTED_VALUE"""),"2022/09/17 (土)
休日午後")</f>
        <v>2022/09/17 (土)
休日午後</v>
      </c>
      <c r="F189" s="52" t="str">
        <f ca="1">IFERROR(__xludf.DUMMYFUNCTION("""COMPUTED_VALUE"""),"林哲")</f>
        <v>林哲</v>
      </c>
      <c r="G189" s="52"/>
      <c r="H189" s="52" t="str">
        <f ca="1">IFERROR(__xludf.DUMMYFUNCTION("""COMPUTED_VALUE"""),"宮坂F佐藤A林哲B")</f>
        <v>宮坂F佐藤A林哲B</v>
      </c>
    </row>
    <row r="190" spans="1:8" ht="12.75" hidden="1" x14ac:dyDescent="0.35">
      <c r="A190" s="52" t="str">
        <f ca="1">IFERROR(__xludf.DUMMYFUNCTION("""COMPUTED_VALUE"""),"2022/09/03 (土)
休日午後")</f>
        <v>2022/09/03 (土)
休日午後</v>
      </c>
      <c r="B190" s="52" t="str">
        <f ca="1">IFERROR(__xludf.DUMMYFUNCTION("""COMPUTED_VALUE"""),"林智")</f>
        <v>林智</v>
      </c>
      <c r="C190" s="52"/>
      <c r="D190" s="52" t="str">
        <f ca="1">IFERROR(__xludf.DUMMYFUNCTION("""COMPUTED_VALUE"""),"湯川E井上F宗A林智B")</f>
        <v>湯川E井上F宗A林智B</v>
      </c>
      <c r="E190" s="52" t="str">
        <f ca="1">IFERROR(__xludf.DUMMYFUNCTION("""COMPUTED_VALUE"""),"2022/09/18 (日)
休日午前")</f>
        <v>2022/09/18 (日)
休日午前</v>
      </c>
      <c r="F190" s="52" t="str">
        <f ca="1">IFERROR(__xludf.DUMMYFUNCTION("""COMPUTED_VALUE"""),"森岳")</f>
        <v>森岳</v>
      </c>
      <c r="G190" s="52"/>
      <c r="H190" s="52" t="str">
        <f ca="1">IFERROR(__xludf.DUMMYFUNCTION("""COMPUTED_VALUE"""),"片山C柴山E中瀬F森岳A吉田B")</f>
        <v>片山C柴山E中瀬F森岳A吉田B</v>
      </c>
    </row>
    <row r="191" spans="1:8" ht="12.75" hidden="1" x14ac:dyDescent="0.35">
      <c r="A191" s="52" t="str">
        <f ca="1">IFERROR(__xludf.DUMMYFUNCTION("""COMPUTED_VALUE"""),"2022/09/04 (日)
休日午前")</f>
        <v>2022/09/04 (日)
休日午前</v>
      </c>
      <c r="B191" s="52" t="str">
        <f ca="1">IFERROR(__xludf.DUMMYFUNCTION("""COMPUTED_VALUE"""),"宮坂")</f>
        <v>宮坂</v>
      </c>
      <c r="C191" s="52"/>
      <c r="D191" s="52" t="str">
        <f ca="1">IFERROR(__xludf.DUMMYFUNCTION("""COMPUTED_VALUE"""),"福井E")</f>
        <v>福井E</v>
      </c>
      <c r="E191" s="52" t="str">
        <f ca="1">IFERROR(__xludf.DUMMYFUNCTION("""COMPUTED_VALUE"""),"2022/09/18 (日)
休日午後")</f>
        <v>2022/09/18 (日)
休日午後</v>
      </c>
      <c r="F191" s="52" t="str">
        <f ca="1">IFERROR(__xludf.DUMMYFUNCTION("""COMPUTED_VALUE"""),"吉田")</f>
        <v>吉田</v>
      </c>
      <c r="G191" s="52"/>
      <c r="H191" s="52" t="str">
        <f ca="1">IFERROR(__xludf.DUMMYFUNCTION("""COMPUTED_VALUE"""),"片山C柴山E中瀬F森岳A吉田B")</f>
        <v>片山C柴山E中瀬F森岳A吉田B</v>
      </c>
    </row>
    <row r="192" spans="1:8" ht="12.75" hidden="1" x14ac:dyDescent="0.35">
      <c r="A192" s="52" t="str">
        <f ca="1">IFERROR(__xludf.DUMMYFUNCTION("""COMPUTED_VALUE"""),"2022/09/04 (日)
休日午後")</f>
        <v>2022/09/04 (日)
休日午後</v>
      </c>
      <c r="B192" s="52" t="str">
        <f ca="1">IFERROR(__xludf.DUMMYFUNCTION("""COMPUTED_VALUE"""),"松井")</f>
        <v>松井</v>
      </c>
      <c r="C192" s="52"/>
      <c r="D192" s="52" t="str">
        <f ca="1">IFERROR(__xludf.DUMMYFUNCTION("""COMPUTED_VALUE"""),"福井E")</f>
        <v>福井E</v>
      </c>
      <c r="E192" s="52" t="str">
        <f ca="1">IFERROR(__xludf.DUMMYFUNCTION("""COMPUTED_VALUE"""),"2022/09/19 (月)
休日午前")</f>
        <v>2022/09/19 (月)
休日午前</v>
      </c>
      <c r="F192" s="52" t="str">
        <f ca="1">IFERROR(__xludf.DUMMYFUNCTION("""COMPUTED_VALUE"""),"中瀬")</f>
        <v>中瀬</v>
      </c>
      <c r="G192" s="52"/>
      <c r="H192" s="52" t="str">
        <f ca="1">IFERROR(__xludf.DUMMYFUNCTION("""COMPUTED_VALUE"""),"稲葉E伊藤F新美A")</f>
        <v>稲葉E伊藤F新美A</v>
      </c>
    </row>
    <row r="193" spans="1:8" ht="12.75" hidden="1" x14ac:dyDescent="0.35">
      <c r="A193" s="52" t="str">
        <f ca="1">IFERROR(__xludf.DUMMYFUNCTION("""COMPUTED_VALUE"""),"2022/09/05 (月)
平日夜間")</f>
        <v>2022/09/05 (月)
平日夜間</v>
      </c>
      <c r="B193" s="52" t="str">
        <f ca="1">IFERROR(__xludf.DUMMYFUNCTION("""COMPUTED_VALUE"""),"福里")</f>
        <v>福里</v>
      </c>
      <c r="C193" s="52"/>
      <c r="D193" s="52" t="str">
        <f ca="1">IFERROR(__xludf.DUMMYFUNCTION("""COMPUTED_VALUE"""),"太良コマ")</f>
        <v>太良コマ</v>
      </c>
      <c r="E193" s="52" t="str">
        <f ca="1">IFERROR(__xludf.DUMMYFUNCTION("""COMPUTED_VALUE"""),"2022/09/19 (月)
休日午後")</f>
        <v>2022/09/19 (月)
休日午後</v>
      </c>
      <c r="F193" s="52" t="str">
        <f ca="1">IFERROR(__xludf.DUMMYFUNCTION("""COMPUTED_VALUE"""),"新美")</f>
        <v>新美</v>
      </c>
      <c r="G193" s="52"/>
      <c r="H193" s="52" t="str">
        <f ca="1">IFERROR(__xludf.DUMMYFUNCTION("""COMPUTED_VALUE"""),"稲葉E伊藤F新美A")</f>
        <v>稲葉E伊藤F新美A</v>
      </c>
    </row>
    <row r="194" spans="1:8" ht="12.75" hidden="1" x14ac:dyDescent="0.35">
      <c r="A194" s="52" t="str">
        <f ca="1">IFERROR(__xludf.DUMMYFUNCTION("""COMPUTED_VALUE"""),"2022/09/06 (火)
平日夜間")</f>
        <v>2022/09/06 (火)
平日夜間</v>
      </c>
      <c r="B194" s="52" t="str">
        <f ca="1">IFERROR(__xludf.DUMMYFUNCTION("""COMPUTED_VALUE"""),"笠原")</f>
        <v>笠原</v>
      </c>
      <c r="C194" s="52"/>
      <c r="D194" s="52" t="str">
        <f ca="1">IFERROR(__xludf.DUMMYFUNCTION("""COMPUTED_VALUE"""),"新美コマ")</f>
        <v>新美コマ</v>
      </c>
      <c r="E194" s="52" t="str">
        <f ca="1">IFERROR(__xludf.DUMMYFUNCTION("""COMPUTED_VALUE"""),"2022/09/20 (火)
平日夜間")</f>
        <v>2022/09/20 (火)
平日夜間</v>
      </c>
      <c r="F194" s="52" t="str">
        <f ca="1">IFERROR(__xludf.DUMMYFUNCTION("""COMPUTED_VALUE"""),"菊野")</f>
        <v>菊野</v>
      </c>
      <c r="G194" s="52"/>
      <c r="H194" s="52" t="str">
        <f ca="1">IFERROR(__xludf.DUMMYFUNCTION("""COMPUTED_VALUE"""),"尾田コマ")</f>
        <v>尾田コマ</v>
      </c>
    </row>
    <row r="195" spans="1:8" ht="12.75" hidden="1" x14ac:dyDescent="0.35">
      <c r="A195" s="52" t="str">
        <f ca="1">IFERROR(__xludf.DUMMYFUNCTION("""COMPUTED_VALUE"""),"2022/09/07 (水)
平日夜間")</f>
        <v>2022/09/07 (水)
平日夜間</v>
      </c>
      <c r="B195" s="52" t="str">
        <f ca="1">IFERROR(__xludf.DUMMYFUNCTION("""COMPUTED_VALUE"""),"松井")</f>
        <v>松井</v>
      </c>
      <c r="C195" s="52"/>
      <c r="D195" s="52"/>
      <c r="E195" s="52" t="str">
        <f ca="1">IFERROR(__xludf.DUMMYFUNCTION("""COMPUTED_VALUE"""),"2022/09/21 (水)
平日夜間")</f>
        <v>2022/09/21 (水)
平日夜間</v>
      </c>
      <c r="F195" s="52" t="str">
        <f ca="1">IFERROR(__xludf.DUMMYFUNCTION("""COMPUTED_VALUE"""),"福井")</f>
        <v>福井</v>
      </c>
      <c r="G195" s="52"/>
      <c r="H195" s="52" t="str">
        <f ca="1">IFERROR(__xludf.DUMMYFUNCTION("""COMPUTED_VALUE"""),"福井病棟")</f>
        <v>福井病棟</v>
      </c>
    </row>
    <row r="196" spans="1:8" ht="12.75" hidden="1" x14ac:dyDescent="0.35">
      <c r="A196" s="52" t="str">
        <f ca="1">IFERROR(__xludf.DUMMYFUNCTION("""COMPUTED_VALUE"""),"2022/09/08 (木)
平日夜間")</f>
        <v>2022/09/08 (木)
平日夜間</v>
      </c>
      <c r="B196" s="52" t="str">
        <f ca="1">IFERROR(__xludf.DUMMYFUNCTION("""COMPUTED_VALUE"""),"鈴木")</f>
        <v>鈴木</v>
      </c>
      <c r="C196" s="52"/>
      <c r="D196" s="52"/>
      <c r="E196" s="52" t="str">
        <f ca="1">IFERROR(__xludf.DUMMYFUNCTION("""COMPUTED_VALUE"""),"2022/09/22 (木)
平日夜間")</f>
        <v>2022/09/22 (木)
平日夜間</v>
      </c>
      <c r="F196" s="52" t="str">
        <f ca="1">IFERROR(__xludf.DUMMYFUNCTION("""COMPUTED_VALUE"""),"勝俣")</f>
        <v>勝俣</v>
      </c>
      <c r="G196" s="52"/>
      <c r="H196" s="52" t="str">
        <f ca="1">IFERROR(__xludf.DUMMYFUNCTION("""COMPUTED_VALUE"""),"勝俣病棟")</f>
        <v>勝俣病棟</v>
      </c>
    </row>
    <row r="197" spans="1:8" ht="12.75" hidden="1" x14ac:dyDescent="0.35">
      <c r="A197" s="52" t="str">
        <f ca="1">IFERROR(__xludf.DUMMYFUNCTION("""COMPUTED_VALUE"""),"2022/09/09 (金)
平日夜間")</f>
        <v>2022/09/09 (金)
平日夜間</v>
      </c>
      <c r="B197" s="52" t="str">
        <f ca="1">IFERROR(__xludf.DUMMYFUNCTION("""COMPUTED_VALUE"""),"稲葉")</f>
        <v>稲葉</v>
      </c>
      <c r="C197" s="52"/>
      <c r="D197" s="52"/>
      <c r="E197" s="52" t="str">
        <f ca="1">IFERROR(__xludf.DUMMYFUNCTION("""COMPUTED_VALUE"""),"2022/09/23 (金)
休日午前")</f>
        <v>2022/09/23 (金)
休日午前</v>
      </c>
      <c r="F197" s="52" t="str">
        <f ca="1">IFERROR(__xludf.DUMMYFUNCTION("""COMPUTED_VALUE"""),"勝俣")</f>
        <v>勝俣</v>
      </c>
      <c r="G197" s="52"/>
      <c r="H197" s="52" t="str">
        <f ca="1">IFERROR(__xludf.DUMMYFUNCTION("""COMPUTED_VALUE"""),"森伸C福里B")</f>
        <v>森伸C福里B</v>
      </c>
    </row>
    <row r="198" spans="1:8" ht="12.75" hidden="1" x14ac:dyDescent="0.35">
      <c r="A198" s="52" t="str">
        <f ca="1">IFERROR(__xludf.DUMMYFUNCTION("""COMPUTED_VALUE"""),"2022/09/10 (土)
休日午前")</f>
        <v>2022/09/10 (土)
休日午前</v>
      </c>
      <c r="B198" s="52" t="str">
        <f ca="1">IFERROR(__xludf.DUMMYFUNCTION("""COMPUTED_VALUE"""),"井上")</f>
        <v>井上</v>
      </c>
      <c r="C198" s="52"/>
      <c r="D198" s="52" t="str">
        <f ca="1">IFERROR(__xludf.DUMMYFUNCTION("""COMPUTED_VALUE"""),"勝俣F山田B")</f>
        <v>勝俣F山田B</v>
      </c>
      <c r="E198" s="52" t="str">
        <f ca="1">IFERROR(__xludf.DUMMYFUNCTION("""COMPUTED_VALUE"""),"2022/09/23 (金)
休日午後")</f>
        <v>2022/09/23 (金)
休日午後</v>
      </c>
      <c r="F198" s="52" t="str">
        <f ca="1">IFERROR(__xludf.DUMMYFUNCTION("""COMPUTED_VALUE"""),"福里")</f>
        <v>福里</v>
      </c>
      <c r="G198" s="52"/>
      <c r="H198" s="52" t="str">
        <f ca="1">IFERROR(__xludf.DUMMYFUNCTION("""COMPUTED_VALUE"""),"森伸C福里B")</f>
        <v>森伸C福里B</v>
      </c>
    </row>
    <row r="199" spans="1:8" ht="12.75" hidden="1" x14ac:dyDescent="0.35">
      <c r="A199" s="52" t="str">
        <f ca="1">IFERROR(__xludf.DUMMYFUNCTION("""COMPUTED_VALUE"""),"2022/09/10 (土)
休日午後")</f>
        <v>2022/09/10 (土)
休日午後</v>
      </c>
      <c r="B199" s="52" t="str">
        <f ca="1">IFERROR(__xludf.DUMMYFUNCTION("""COMPUTED_VALUE"""),"湯川")</f>
        <v>湯川</v>
      </c>
      <c r="C199" s="52"/>
      <c r="D199" s="52" t="str">
        <f ca="1">IFERROR(__xludf.DUMMYFUNCTION("""COMPUTED_VALUE"""),"勝俣F山田B")</f>
        <v>勝俣F山田B</v>
      </c>
      <c r="E199" s="52" t="str">
        <f ca="1">IFERROR(__xludf.DUMMYFUNCTION("""COMPUTED_VALUE"""),"2022/09/24 (土)
休日午前")</f>
        <v>2022/09/24 (土)
休日午前</v>
      </c>
      <c r="F199" s="52" t="str">
        <f ca="1">IFERROR(__xludf.DUMMYFUNCTION("""COMPUTED_VALUE"""),"柴山")</f>
        <v>柴山</v>
      </c>
      <c r="G199" s="52"/>
      <c r="H199" s="52" t="str">
        <f ca="1">IFERROR(__xludf.DUMMYFUNCTION("""COMPUTED_VALUE"""),"菊野F")</f>
        <v>菊野F</v>
      </c>
    </row>
    <row r="200" spans="1:8" ht="12.75" hidden="1" x14ac:dyDescent="0.35">
      <c r="A200" s="52" t="str">
        <f ca="1">IFERROR(__xludf.DUMMYFUNCTION("""COMPUTED_VALUE"""),"2022/09/11 (日)
休日午前")</f>
        <v>2022/09/11 (日)
休日午前</v>
      </c>
      <c r="B200" s="52" t="str">
        <f ca="1">IFERROR(__xludf.DUMMYFUNCTION("""COMPUTED_VALUE"""),"新美")</f>
        <v>新美</v>
      </c>
      <c r="C200" s="52"/>
      <c r="D200" s="52" t="str">
        <f ca="1">IFERROR(__xludf.DUMMYFUNCTION("""COMPUTED_VALUE"""),"尾田E笠原B")</f>
        <v>尾田E笠原B</v>
      </c>
      <c r="E200" s="52" t="str">
        <f ca="1">IFERROR(__xludf.DUMMYFUNCTION("""COMPUTED_VALUE"""),"2022/09/24 (土)
休日午後")</f>
        <v>2022/09/24 (土)
休日午後</v>
      </c>
      <c r="F200" s="52" t="str">
        <f ca="1">IFERROR(__xludf.DUMMYFUNCTION("""COMPUTED_VALUE"""),"稲葉")</f>
        <v>稲葉</v>
      </c>
      <c r="G200" s="52"/>
      <c r="H200" s="52" t="str">
        <f ca="1">IFERROR(__xludf.DUMMYFUNCTION("""COMPUTED_VALUE"""),"菊野F")</f>
        <v>菊野F</v>
      </c>
    </row>
    <row r="201" spans="1:8" ht="12.75" hidden="1" x14ac:dyDescent="0.35">
      <c r="A201" s="52" t="str">
        <f ca="1">IFERROR(__xludf.DUMMYFUNCTION("""COMPUTED_VALUE"""),"2022/09/11 (日)
休日午後")</f>
        <v>2022/09/11 (日)
休日午後</v>
      </c>
      <c r="B201" s="52" t="str">
        <f ca="1">IFERROR(__xludf.DUMMYFUNCTION("""COMPUTED_VALUE"""),"笠原")</f>
        <v>笠原</v>
      </c>
      <c r="C201" s="52"/>
      <c r="D201" s="52" t="str">
        <f ca="1">IFERROR(__xludf.DUMMYFUNCTION("""COMPUTED_VALUE"""),"尾田E笠原B")</f>
        <v>尾田E笠原B</v>
      </c>
      <c r="E201" s="52" t="str">
        <f ca="1">IFERROR(__xludf.DUMMYFUNCTION("""COMPUTED_VALUE"""),"2022/09/25 (日)
休日午前")</f>
        <v>2022/09/25 (日)
休日午前</v>
      </c>
      <c r="F201" s="52" t="str">
        <f ca="1">IFERROR(__xludf.DUMMYFUNCTION("""COMPUTED_VALUE"""),"太良")</f>
        <v>太良</v>
      </c>
      <c r="G201" s="52"/>
      <c r="H201" s="52" t="str">
        <f ca="1">IFERROR(__xludf.DUMMYFUNCTION("""COMPUTED_VALUE"""),"松井F鈴木A太良B")</f>
        <v>松井F鈴木A太良B</v>
      </c>
    </row>
    <row r="202" spans="1:8" ht="12.75" hidden="1" x14ac:dyDescent="0.35">
      <c r="A202" s="52" t="str">
        <f ca="1">IFERROR(__xludf.DUMMYFUNCTION("""COMPUTED_VALUE"""),"2022/09/12 (月)
平日夜間")</f>
        <v>2022/09/12 (月)
平日夜間</v>
      </c>
      <c r="B202" s="52" t="str">
        <f ca="1">IFERROR(__xludf.DUMMYFUNCTION("""COMPUTED_VALUE"""),"菊野")</f>
        <v>菊野</v>
      </c>
      <c r="C202" s="52"/>
      <c r="D202" s="52" t="str">
        <f ca="1">IFERROR(__xludf.DUMMYFUNCTION("""COMPUTED_VALUE"""),"菊野病棟福里コマ")</f>
        <v>菊野病棟福里コマ</v>
      </c>
      <c r="E202" s="52" t="str">
        <f ca="1">IFERROR(__xludf.DUMMYFUNCTION("""COMPUTED_VALUE"""),"2022/09/25 (日)
休日午後")</f>
        <v>2022/09/25 (日)
休日午後</v>
      </c>
      <c r="F202" s="52" t="str">
        <f ca="1">IFERROR(__xludf.DUMMYFUNCTION("""COMPUTED_VALUE"""),"鈴木")</f>
        <v>鈴木</v>
      </c>
      <c r="G202" s="52"/>
      <c r="H202" s="52" t="str">
        <f ca="1">IFERROR(__xludf.DUMMYFUNCTION("""COMPUTED_VALUE"""),"松井F鈴木A太良B")</f>
        <v>松井F鈴木A太良B</v>
      </c>
    </row>
    <row r="203" spans="1:8" ht="12.75" hidden="1" x14ac:dyDescent="0.35">
      <c r="A203" s="52" t="str">
        <f ca="1">IFERROR(__xludf.DUMMYFUNCTION("""COMPUTED_VALUE"""),"2022/09/13 (火)
平日夜間")</f>
        <v>2022/09/13 (火)
平日夜間</v>
      </c>
      <c r="B203" s="52" t="str">
        <f ca="1">IFERROR(__xludf.DUMMYFUNCTION("""COMPUTED_VALUE"""),"伊藤")</f>
        <v>伊藤</v>
      </c>
      <c r="C203" s="52"/>
      <c r="D203" s="52" t="str">
        <f ca="1">IFERROR(__xludf.DUMMYFUNCTION("""COMPUTED_VALUE"""),"吉田コマ")</f>
        <v>吉田コマ</v>
      </c>
      <c r="E203" s="52" t="str">
        <f ca="1">IFERROR(__xludf.DUMMYFUNCTION("""COMPUTED_VALUE"""),"2022/09/26 (月)
平日夜間")</f>
        <v>2022/09/26 (月)
平日夜間</v>
      </c>
      <c r="F203" s="52" t="str">
        <f ca="1">IFERROR(__xludf.DUMMYFUNCTION("""COMPUTED_VALUE"""),"尾田")</f>
        <v>尾田</v>
      </c>
      <c r="G203" s="52"/>
      <c r="H203" s="52" t="str">
        <f ca="1">IFERROR(__xludf.DUMMYFUNCTION("""COMPUTED_VALUE"""),"尾田病棟湯川コマ")</f>
        <v>尾田病棟湯川コマ</v>
      </c>
    </row>
    <row r="204" spans="1:8" ht="12.75" hidden="1" x14ac:dyDescent="0.35">
      <c r="A204" s="52" t="str">
        <f ca="1">IFERROR(__xludf.DUMMYFUNCTION("""COMPUTED_VALUE"""),"2022/09/14 (水)
平日夜間")</f>
        <v>2022/09/14 (水)
平日夜間</v>
      </c>
      <c r="B204" s="52" t="str">
        <f ca="1">IFERROR(__xludf.DUMMYFUNCTION("""COMPUTED_VALUE"""),"鈴木")</f>
        <v>鈴木</v>
      </c>
      <c r="C204" s="52"/>
      <c r="D204" s="52"/>
      <c r="E204" s="52" t="str">
        <f ca="1">IFERROR(__xludf.DUMMYFUNCTION("""COMPUTED_VALUE"""),"2022/09/27 (火)
平日夜間")</f>
        <v>2022/09/27 (火)
平日夜間</v>
      </c>
      <c r="F204" s="52" t="str">
        <f ca="1">IFERROR(__xludf.DUMMYFUNCTION("""COMPUTED_VALUE"""),"柴山")</f>
        <v>柴山</v>
      </c>
      <c r="G204" s="52"/>
      <c r="H204" s="52" t="str">
        <f ca="1">IFERROR(__xludf.DUMMYFUNCTION("""COMPUTED_VALUE"""),"稲葉病棟柴山教育林智コマ")</f>
        <v>稲葉病棟柴山教育林智コマ</v>
      </c>
    </row>
    <row r="205" spans="1:8" ht="12.75" hidden="1" x14ac:dyDescent="0.35">
      <c r="A205" s="52" t="str">
        <f ca="1">IFERROR(__xludf.DUMMYFUNCTION("""COMPUTED_VALUE"""),"2022/09/15 (木)
平日夜間")</f>
        <v>2022/09/15 (木)
平日夜間</v>
      </c>
      <c r="B205" s="52" t="str">
        <f ca="1">IFERROR(__xludf.DUMMYFUNCTION("""COMPUTED_VALUE"""),"湯川")</f>
        <v>湯川</v>
      </c>
      <c r="C205" s="52"/>
      <c r="D205" s="52" t="str">
        <f ca="1">IFERROR(__xludf.DUMMYFUNCTION("""COMPUTED_VALUE"""),"湯川病棟")</f>
        <v>湯川病棟</v>
      </c>
      <c r="E205" s="52" t="str">
        <f ca="1">IFERROR(__xludf.DUMMYFUNCTION("""COMPUTED_VALUE"""),"2022/09/28 (水)
平日夜間")</f>
        <v>2022/09/28 (水)
平日夜間</v>
      </c>
      <c r="F205" s="52" t="str">
        <f ca="1">IFERROR(__xludf.DUMMYFUNCTION("""COMPUTED_VALUE"""),"中瀬")</f>
        <v>中瀬</v>
      </c>
      <c r="G205" s="52"/>
      <c r="H205" s="52" t="str">
        <f ca="1">IFERROR(__xludf.DUMMYFUNCTION("""COMPUTED_VALUE"""),"中瀬病棟")</f>
        <v>中瀬病棟</v>
      </c>
    </row>
    <row r="206" spans="1:8" ht="12.75" hidden="1" x14ac:dyDescent="0.35">
      <c r="A206" s="52" t="str">
        <f ca="1">IFERROR(__xludf.DUMMYFUNCTION("""COMPUTED_VALUE"""),"2022/09/16 (金)
平日夜間")</f>
        <v>2022/09/16 (金)
平日夜間</v>
      </c>
      <c r="B206" s="52" t="str">
        <f ca="1">IFERROR(__xludf.DUMMYFUNCTION("""COMPUTED_VALUE"""),"井上")</f>
        <v>井上</v>
      </c>
      <c r="C206" s="52"/>
      <c r="D206" s="52" t="str">
        <f ca="1">IFERROR(__xludf.DUMMYFUNCTION("""COMPUTED_VALUE"""),"井上病棟")</f>
        <v>井上病棟</v>
      </c>
      <c r="E206" s="52" t="str">
        <f ca="1">IFERROR(__xludf.DUMMYFUNCTION("""COMPUTED_VALUE"""),"2022/09/29 (木)
平日夜間")</f>
        <v>2022/09/29 (木)
平日夜間</v>
      </c>
      <c r="F206" s="52" t="str">
        <f ca="1">IFERROR(__xludf.DUMMYFUNCTION("""COMPUTED_VALUE"""),"柴山")</f>
        <v>柴山</v>
      </c>
      <c r="G206" s="52"/>
      <c r="H206" s="52"/>
    </row>
    <row r="207" spans="1:8" ht="12.75" hidden="1" x14ac:dyDescent="0.35">
      <c r="A207" s="52" t="str">
        <f ca="1">IFERROR(__xludf.DUMMYFUNCTION("""COMPUTED_VALUE"""),"2022/09/17 (土)
休日午前")</f>
        <v>2022/09/17 (土)
休日午前</v>
      </c>
      <c r="B207" s="52" t="str">
        <f ca="1">IFERROR(__xludf.DUMMYFUNCTION("""COMPUTED_VALUE"""),"湯川")</f>
        <v>湯川</v>
      </c>
      <c r="C207" s="52"/>
      <c r="D207" s="52" t="str">
        <f ca="1">IFERROR(__xludf.DUMMYFUNCTION("""COMPUTED_VALUE"""),"宮坂F佐藤A林哲B")</f>
        <v>宮坂F佐藤A林哲B</v>
      </c>
      <c r="E207" s="52" t="str">
        <f ca="1">IFERROR(__xludf.DUMMYFUNCTION("""COMPUTED_VALUE"""),"2022/09/30 (金)
平日夜間")</f>
        <v>2022/09/30 (金)
平日夜間</v>
      </c>
      <c r="F207" s="52" t="str">
        <f ca="1">IFERROR(__xludf.DUMMYFUNCTION("""COMPUTED_VALUE"""),"伊藤")</f>
        <v>伊藤</v>
      </c>
      <c r="G207" s="52"/>
      <c r="H207" s="52" t="str">
        <f ca="1">IFERROR(__xludf.DUMMYFUNCTION("""COMPUTED_VALUE"""),"伊藤病棟井上コマ")</f>
        <v>伊藤病棟井上コマ</v>
      </c>
    </row>
    <row r="208" spans="1:8" ht="12.75" hidden="1" x14ac:dyDescent="0.35">
      <c r="A208" s="52" t="str">
        <f ca="1">IFERROR(__xludf.DUMMYFUNCTION("""COMPUTED_VALUE"""),"2022/09/17 (土)
休日午後")</f>
        <v>2022/09/17 (土)
休日午後</v>
      </c>
      <c r="B208" s="52" t="str">
        <f ca="1">IFERROR(__xludf.DUMMYFUNCTION("""COMPUTED_VALUE"""),"林哲")</f>
        <v>林哲</v>
      </c>
      <c r="C208" s="52"/>
      <c r="D208" s="52" t="str">
        <f ca="1">IFERROR(__xludf.DUMMYFUNCTION("""COMPUTED_VALUE"""),"宮坂F佐藤A林哲B")</f>
        <v>宮坂F佐藤A林哲B</v>
      </c>
      <c r="E208" s="52" t="str">
        <f ca="1">IFERROR(__xludf.DUMMYFUNCTION("""COMPUTED_VALUE"""),"2022/10/01 (土)
休日午前")</f>
        <v>2022/10/01 (土)
休日午前</v>
      </c>
      <c r="F208" s="52" t="str">
        <f ca="1">IFERROR(__xludf.DUMMYFUNCTION("""COMPUTED_VALUE"""),"宮坂")</f>
        <v>宮坂</v>
      </c>
      <c r="G208" s="52"/>
      <c r="H208" s="52" t="str">
        <f ca="1">IFERROR(__xludf.DUMMYFUNCTION("""COMPUTED_VALUE"""),"宗A森岳E橋元F")</f>
        <v>宗A森岳E橋元F</v>
      </c>
    </row>
    <row r="209" spans="1:8" ht="12.75" hidden="1" x14ac:dyDescent="0.35">
      <c r="A209" s="52" t="str">
        <f ca="1">IFERROR(__xludf.DUMMYFUNCTION("""COMPUTED_VALUE"""),"2022/09/18 (日)
休日午前")</f>
        <v>2022/09/18 (日)
休日午前</v>
      </c>
      <c r="B209" s="52" t="str">
        <f ca="1">IFERROR(__xludf.DUMMYFUNCTION("""COMPUTED_VALUE"""),"森岳")</f>
        <v>森岳</v>
      </c>
      <c r="C209" s="52"/>
      <c r="D209" s="52" t="str">
        <f ca="1">IFERROR(__xludf.DUMMYFUNCTION("""COMPUTED_VALUE"""),"片山C柴山E中瀬F森岳A吉田B")</f>
        <v>片山C柴山E中瀬F森岳A吉田B</v>
      </c>
      <c r="E209" s="52" t="str">
        <f ca="1">IFERROR(__xludf.DUMMYFUNCTION("""COMPUTED_VALUE"""),"2022/10/01 (土)
休日午後")</f>
        <v>2022/10/01 (土)
休日午後</v>
      </c>
      <c r="F209" s="52" t="str">
        <f ca="1">IFERROR(__xludf.DUMMYFUNCTION("""COMPUTED_VALUE"""),"宗")</f>
        <v>宗</v>
      </c>
      <c r="G209" s="52"/>
      <c r="H209" s="52" t="str">
        <f ca="1">IFERROR(__xludf.DUMMYFUNCTION("""COMPUTED_VALUE"""),"宗A森岳E橋元F")</f>
        <v>宗A森岳E橋元F</v>
      </c>
    </row>
    <row r="210" spans="1:8" ht="12.75" hidden="1" x14ac:dyDescent="0.35">
      <c r="A210" s="52" t="str">
        <f ca="1">IFERROR(__xludf.DUMMYFUNCTION("""COMPUTED_VALUE"""),"2022/09/18 (日)
休日午後")</f>
        <v>2022/09/18 (日)
休日午後</v>
      </c>
      <c r="B210" s="52" t="str">
        <f ca="1">IFERROR(__xludf.DUMMYFUNCTION("""COMPUTED_VALUE"""),"吉田")</f>
        <v>吉田</v>
      </c>
      <c r="C210" s="52"/>
      <c r="D210" s="52" t="str">
        <f ca="1">IFERROR(__xludf.DUMMYFUNCTION("""COMPUTED_VALUE"""),"片山C柴山E中瀬F森岳A吉田B")</f>
        <v>片山C柴山E中瀬F森岳A吉田B</v>
      </c>
      <c r="E210" s="52" t="str">
        <f ca="1">IFERROR(__xludf.DUMMYFUNCTION("""COMPUTED_VALUE"""),"2022/10/02 (日)
休日午前")</f>
        <v>2022/10/02 (日)
休日午前</v>
      </c>
      <c r="F210" s="52" t="str">
        <f ca="1">IFERROR(__xludf.DUMMYFUNCTION("""COMPUTED_VALUE"""),"福井")</f>
        <v>福井</v>
      </c>
      <c r="G210" s="52"/>
      <c r="H210" s="52" t="str">
        <f ca="1">IFERROR(__xludf.DUMMYFUNCTION("""COMPUTED_VALUE"""),"尾田E林智B")</f>
        <v>尾田E林智B</v>
      </c>
    </row>
    <row r="211" spans="1:8" ht="12.75" hidden="1" x14ac:dyDescent="0.35">
      <c r="A211" s="52" t="str">
        <f ca="1">IFERROR(__xludf.DUMMYFUNCTION("""COMPUTED_VALUE"""),"2022/09/19 (月)
休日午前")</f>
        <v>2022/09/19 (月)
休日午前</v>
      </c>
      <c r="B211" s="52" t="str">
        <f ca="1">IFERROR(__xludf.DUMMYFUNCTION("""COMPUTED_VALUE"""),"中瀬")</f>
        <v>中瀬</v>
      </c>
      <c r="C211" s="52"/>
      <c r="D211" s="52" t="str">
        <f ca="1">IFERROR(__xludf.DUMMYFUNCTION("""COMPUTED_VALUE"""),"稲葉E伊藤F新美A")</f>
        <v>稲葉E伊藤F新美A</v>
      </c>
      <c r="E211" s="52" t="str">
        <f ca="1">IFERROR(__xludf.DUMMYFUNCTION("""COMPUTED_VALUE"""),"2022/10/02 (日)
休日午後")</f>
        <v>2022/10/02 (日)
休日午後</v>
      </c>
      <c r="F211" s="52" t="str">
        <f ca="1">IFERROR(__xludf.DUMMYFUNCTION("""COMPUTED_VALUE"""),"林智")</f>
        <v>林智</v>
      </c>
      <c r="G211" s="52"/>
      <c r="H211" s="52" t="str">
        <f ca="1">IFERROR(__xludf.DUMMYFUNCTION("""COMPUTED_VALUE"""),"尾田E林智B")</f>
        <v>尾田E林智B</v>
      </c>
    </row>
    <row r="212" spans="1:8" ht="12.75" hidden="1" x14ac:dyDescent="0.35">
      <c r="A212" s="52" t="str">
        <f ca="1">IFERROR(__xludf.DUMMYFUNCTION("""COMPUTED_VALUE"""),"2022/09/19 (月)
休日午後")</f>
        <v>2022/09/19 (月)
休日午後</v>
      </c>
      <c r="B212" s="52" t="str">
        <f ca="1">IFERROR(__xludf.DUMMYFUNCTION("""COMPUTED_VALUE"""),"新美")</f>
        <v>新美</v>
      </c>
      <c r="C212" s="52"/>
      <c r="D212" s="52" t="str">
        <f ca="1">IFERROR(__xludf.DUMMYFUNCTION("""COMPUTED_VALUE"""),"稲葉E伊藤F新美A")</f>
        <v>稲葉E伊藤F新美A</v>
      </c>
      <c r="E212" s="52" t="str">
        <f ca="1">IFERROR(__xludf.DUMMYFUNCTION("""COMPUTED_VALUE"""),"2022/10/03 (月)
平日夜間")</f>
        <v>2022/10/03 (月)
平日夜間</v>
      </c>
      <c r="F212" s="52" t="str">
        <f ca="1">IFERROR(__xludf.DUMMYFUNCTION("""COMPUTED_VALUE"""),"森岳")</f>
        <v>森岳</v>
      </c>
      <c r="G212" s="52"/>
      <c r="H212" s="52" t="str">
        <f ca="1">IFERROR(__xludf.DUMMYFUNCTION("""COMPUTED_VALUE"""),"太良コマ")</f>
        <v>太良コマ</v>
      </c>
    </row>
    <row r="213" spans="1:8" ht="12.75" hidden="1" x14ac:dyDescent="0.35">
      <c r="A213" s="52" t="str">
        <f ca="1">IFERROR(__xludf.DUMMYFUNCTION("""COMPUTED_VALUE"""),"2022/09/20 (火)
平日夜間")</f>
        <v>2022/09/20 (火)
平日夜間</v>
      </c>
      <c r="B213" s="52" t="str">
        <f ca="1">IFERROR(__xludf.DUMMYFUNCTION("""COMPUTED_VALUE"""),"菊野")</f>
        <v>菊野</v>
      </c>
      <c r="C213" s="52"/>
      <c r="D213" s="52" t="str">
        <f ca="1">IFERROR(__xludf.DUMMYFUNCTION("""COMPUTED_VALUE"""),"尾田コマ")</f>
        <v>尾田コマ</v>
      </c>
      <c r="E213" s="52" t="str">
        <f ca="1">IFERROR(__xludf.DUMMYFUNCTION("""COMPUTED_VALUE"""),"2022/10/04 (火)
平日夜間")</f>
        <v>2022/10/04 (火)
平日夜間</v>
      </c>
      <c r="F213" s="52" t="str">
        <f ca="1">IFERROR(__xludf.DUMMYFUNCTION("""COMPUTED_VALUE"""),"中野")</f>
        <v>中野</v>
      </c>
      <c r="G213" s="52"/>
      <c r="H213" s="52" t="str">
        <f ca="1">IFERROR(__xludf.DUMMYFUNCTION("""COMPUTED_VALUE"""),"中野病棟吉田コマ")</f>
        <v>中野病棟吉田コマ</v>
      </c>
    </row>
    <row r="214" spans="1:8" ht="12.75" hidden="1" x14ac:dyDescent="0.35">
      <c r="A214" s="52" t="str">
        <f ca="1">IFERROR(__xludf.DUMMYFUNCTION("""COMPUTED_VALUE"""),"2022/09/21 (水)
平日夜間")</f>
        <v>2022/09/21 (水)
平日夜間</v>
      </c>
      <c r="B214" s="52" t="str">
        <f ca="1">IFERROR(__xludf.DUMMYFUNCTION("""COMPUTED_VALUE"""),"福井")</f>
        <v>福井</v>
      </c>
      <c r="C214" s="52"/>
      <c r="D214" s="52" t="str">
        <f ca="1">IFERROR(__xludf.DUMMYFUNCTION("""COMPUTED_VALUE"""),"福井病棟")</f>
        <v>福井病棟</v>
      </c>
      <c r="E214" s="52" t="str">
        <f ca="1">IFERROR(__xludf.DUMMYFUNCTION("""COMPUTED_VALUE"""),"2022/10/05 (水)
平日夜間")</f>
        <v>2022/10/05 (水)
平日夜間</v>
      </c>
      <c r="F214" s="52" t="str">
        <f ca="1">IFERROR(__xludf.DUMMYFUNCTION("""COMPUTED_VALUE"""),"尾田")</f>
        <v>尾田</v>
      </c>
      <c r="G214" s="52"/>
      <c r="H214" s="52" t="str">
        <f ca="1">IFERROR(__xludf.DUMMYFUNCTION("""COMPUTED_VALUE"""),"尾田教育林智コマ")</f>
        <v>尾田教育林智コマ</v>
      </c>
    </row>
    <row r="215" spans="1:8" ht="12.75" hidden="1" x14ac:dyDescent="0.35">
      <c r="A215" s="52" t="str">
        <f ca="1">IFERROR(__xludf.DUMMYFUNCTION("""COMPUTED_VALUE"""),"2022/09/22 (木)
平日夜間")</f>
        <v>2022/09/22 (木)
平日夜間</v>
      </c>
      <c r="B215" s="52" t="str">
        <f ca="1">IFERROR(__xludf.DUMMYFUNCTION("""COMPUTED_VALUE"""),"勝俣")</f>
        <v>勝俣</v>
      </c>
      <c r="C215" s="52"/>
      <c r="D215" s="52" t="str">
        <f ca="1">IFERROR(__xludf.DUMMYFUNCTION("""COMPUTED_VALUE"""),"勝俣病棟")</f>
        <v>勝俣病棟</v>
      </c>
      <c r="E215" s="52" t="str">
        <f ca="1">IFERROR(__xludf.DUMMYFUNCTION("""COMPUTED_VALUE"""),"2022/10/06 (木)
平日夜間")</f>
        <v>2022/10/06 (木)
平日夜間</v>
      </c>
      <c r="F215" s="52" t="str">
        <f ca="1">IFERROR(__xludf.DUMMYFUNCTION("""COMPUTED_VALUE"""),"竹藤")</f>
        <v>竹藤</v>
      </c>
      <c r="G215" s="52"/>
      <c r="H215" s="52"/>
    </row>
    <row r="216" spans="1:8" ht="12.75" hidden="1" x14ac:dyDescent="0.35">
      <c r="A216" s="52" t="str">
        <f ca="1">IFERROR(__xludf.DUMMYFUNCTION("""COMPUTED_VALUE"""),"2022/09/23 (金)
休日午前")</f>
        <v>2022/09/23 (金)
休日午前</v>
      </c>
      <c r="B216" s="52" t="str">
        <f ca="1">IFERROR(__xludf.DUMMYFUNCTION("""COMPUTED_VALUE"""),"勝俣")</f>
        <v>勝俣</v>
      </c>
      <c r="C216" s="52"/>
      <c r="D216" s="52" t="str">
        <f ca="1">IFERROR(__xludf.DUMMYFUNCTION("""COMPUTED_VALUE"""),"森伸C福里B")</f>
        <v>森伸C福里B</v>
      </c>
      <c r="E216" s="52" t="str">
        <f ca="1">IFERROR(__xludf.DUMMYFUNCTION("""COMPUTED_VALUE"""),"2022/10/07 (金)
平日夜間")</f>
        <v>2022/10/07 (金)
平日夜間</v>
      </c>
      <c r="F216" s="52" t="str">
        <f ca="1">IFERROR(__xludf.DUMMYFUNCTION("""COMPUTED_VALUE"""),"宮坂")</f>
        <v>宮坂</v>
      </c>
      <c r="G216" s="52"/>
      <c r="H216" s="52" t="str">
        <f ca="1">IFERROR(__xludf.DUMMYFUNCTION("""COMPUTED_VALUE"""),"宮坂病棟竹藤コマ")</f>
        <v>宮坂病棟竹藤コマ</v>
      </c>
    </row>
    <row r="217" spans="1:8" ht="12.75" hidden="1" x14ac:dyDescent="0.35">
      <c r="A217" s="52" t="str">
        <f ca="1">IFERROR(__xludf.DUMMYFUNCTION("""COMPUTED_VALUE"""),"2022/09/23 (金)
休日午後")</f>
        <v>2022/09/23 (金)
休日午後</v>
      </c>
      <c r="B217" s="52" t="str">
        <f ca="1">IFERROR(__xludf.DUMMYFUNCTION("""COMPUTED_VALUE"""),"福里")</f>
        <v>福里</v>
      </c>
      <c r="C217" s="52"/>
      <c r="D217" s="52" t="str">
        <f ca="1">IFERROR(__xludf.DUMMYFUNCTION("""COMPUTED_VALUE"""),"森伸C福里B")</f>
        <v>森伸C福里B</v>
      </c>
      <c r="E217" s="52" t="str">
        <f ca="1">IFERROR(__xludf.DUMMYFUNCTION("""COMPUTED_VALUE"""),"2022/10/08 (土)
休日午前")</f>
        <v>2022/10/08 (土)
休日午前</v>
      </c>
      <c r="F217" s="52" t="str">
        <f ca="1">IFERROR(__xludf.DUMMYFUNCTION("""COMPUTED_VALUE"""),"菊野")</f>
        <v>菊野</v>
      </c>
      <c r="G217" s="52"/>
      <c r="H217" s="52" t="str">
        <f ca="1">IFERROR(__xludf.DUMMYFUNCTION("""COMPUTED_VALUE"""),"福井E菊野F林哲A")</f>
        <v>福井E菊野F林哲A</v>
      </c>
    </row>
    <row r="218" spans="1:8" ht="12.75" hidden="1" x14ac:dyDescent="0.35">
      <c r="A218" s="52" t="str">
        <f ca="1">IFERROR(__xludf.DUMMYFUNCTION("""COMPUTED_VALUE"""),"2022/09/24 (土)
休日午前")</f>
        <v>2022/09/24 (土)
休日午前</v>
      </c>
      <c r="B218" s="52" t="str">
        <f ca="1">IFERROR(__xludf.DUMMYFUNCTION("""COMPUTED_VALUE"""),"柴山")</f>
        <v>柴山</v>
      </c>
      <c r="C218" s="52"/>
      <c r="D218" s="52" t="str">
        <f ca="1">IFERROR(__xludf.DUMMYFUNCTION("""COMPUTED_VALUE"""),"菊野F")</f>
        <v>菊野F</v>
      </c>
      <c r="E218" s="52" t="str">
        <f ca="1">IFERROR(__xludf.DUMMYFUNCTION("""COMPUTED_VALUE"""),"2022/10/08 (土)
休日午後")</f>
        <v>2022/10/08 (土)
休日午後</v>
      </c>
      <c r="F218" s="52" t="str">
        <f ca="1">IFERROR(__xludf.DUMMYFUNCTION("""COMPUTED_VALUE"""),"林哲")</f>
        <v>林哲</v>
      </c>
      <c r="G218" s="52"/>
      <c r="H218" s="52" t="str">
        <f ca="1">IFERROR(__xludf.DUMMYFUNCTION("""COMPUTED_VALUE"""),"福井E菊野F林哲A")</f>
        <v>福井E菊野F林哲A</v>
      </c>
    </row>
    <row r="219" spans="1:8" ht="12.75" hidden="1" x14ac:dyDescent="0.35">
      <c r="A219" s="52" t="str">
        <f ca="1">IFERROR(__xludf.DUMMYFUNCTION("""COMPUTED_VALUE"""),"2022/09/24 (土)
休日午後")</f>
        <v>2022/09/24 (土)
休日午後</v>
      </c>
      <c r="B219" s="52" t="str">
        <f ca="1">IFERROR(__xludf.DUMMYFUNCTION("""COMPUTED_VALUE"""),"稲葉")</f>
        <v>稲葉</v>
      </c>
      <c r="C219" s="52"/>
      <c r="D219" s="52" t="str">
        <f ca="1">IFERROR(__xludf.DUMMYFUNCTION("""COMPUTED_VALUE"""),"菊野F")</f>
        <v>菊野F</v>
      </c>
      <c r="E219" s="52" t="str">
        <f ca="1">IFERROR(__xludf.DUMMYFUNCTION("""COMPUTED_VALUE"""),"2022/10/09 (日)
休日午前")</f>
        <v>2022/10/09 (日)
休日午前</v>
      </c>
      <c r="F219" s="52" t="str">
        <f ca="1">IFERROR(__xludf.DUMMYFUNCTION("""COMPUTED_VALUE"""),"森岳")</f>
        <v>森岳</v>
      </c>
      <c r="G219" s="52"/>
      <c r="H219" s="52" t="str">
        <f ca="1">IFERROR(__xludf.DUMMYFUNCTION("""COMPUTED_VALUE"""),"石田F森岳A勝俣B")</f>
        <v>石田F森岳A勝俣B</v>
      </c>
    </row>
    <row r="220" spans="1:8" ht="12.75" hidden="1" x14ac:dyDescent="0.35">
      <c r="A220" s="52" t="str">
        <f ca="1">IFERROR(__xludf.DUMMYFUNCTION("""COMPUTED_VALUE"""),"2022/09/25 (日)
休日午前")</f>
        <v>2022/09/25 (日)
休日午前</v>
      </c>
      <c r="B220" s="52" t="str">
        <f ca="1">IFERROR(__xludf.DUMMYFUNCTION("""COMPUTED_VALUE"""),"太良")</f>
        <v>太良</v>
      </c>
      <c r="C220" s="52"/>
      <c r="D220" s="52" t="str">
        <f ca="1">IFERROR(__xludf.DUMMYFUNCTION("""COMPUTED_VALUE"""),"松井F鈴木A太良B")</f>
        <v>松井F鈴木A太良B</v>
      </c>
      <c r="E220" s="52" t="str">
        <f ca="1">IFERROR(__xludf.DUMMYFUNCTION("""COMPUTED_VALUE"""),"2022/10/09 (日)
休日午後")</f>
        <v>2022/10/09 (日)
休日午後</v>
      </c>
      <c r="F220" s="52" t="str">
        <f ca="1">IFERROR(__xludf.DUMMYFUNCTION("""COMPUTED_VALUE"""),"勝俣")</f>
        <v>勝俣</v>
      </c>
      <c r="G220" s="52"/>
      <c r="H220" s="52" t="str">
        <f ca="1">IFERROR(__xludf.DUMMYFUNCTION("""COMPUTED_VALUE"""),"石田F森岳A勝俣B")</f>
        <v>石田F森岳A勝俣B</v>
      </c>
    </row>
    <row r="221" spans="1:8" ht="12.75" hidden="1" x14ac:dyDescent="0.35">
      <c r="A221" s="52" t="str">
        <f ca="1">IFERROR(__xludf.DUMMYFUNCTION("""COMPUTED_VALUE"""),"2022/09/25 (日)
休日午後")</f>
        <v>2022/09/25 (日)
休日午後</v>
      </c>
      <c r="B221" s="52" t="str">
        <f ca="1">IFERROR(__xludf.DUMMYFUNCTION("""COMPUTED_VALUE"""),"鈴木")</f>
        <v>鈴木</v>
      </c>
      <c r="C221" s="52"/>
      <c r="D221" s="52" t="str">
        <f ca="1">IFERROR(__xludf.DUMMYFUNCTION("""COMPUTED_VALUE"""),"松井F鈴木A太良B")</f>
        <v>松井F鈴木A太良B</v>
      </c>
      <c r="E221" s="52" t="str">
        <f ca="1">IFERROR(__xludf.DUMMYFUNCTION("""COMPUTED_VALUE"""),"2022/10/10 (月)
休日午前")</f>
        <v>2022/10/10 (月)
休日午前</v>
      </c>
      <c r="F221" s="52" t="str">
        <f ca="1">IFERROR(__xludf.DUMMYFUNCTION("""COMPUTED_VALUE"""),"宗")</f>
        <v>宗</v>
      </c>
      <c r="G221" s="52"/>
      <c r="H221" s="52" t="str">
        <f ca="1">IFERROR(__xludf.DUMMYFUNCTION("""COMPUTED_VALUE"""),"新美E吉田A林智コマ菊野コマ")</f>
        <v>新美E吉田A林智コマ菊野コマ</v>
      </c>
    </row>
    <row r="222" spans="1:8" ht="12.75" hidden="1" x14ac:dyDescent="0.35">
      <c r="A222" s="52" t="str">
        <f ca="1">IFERROR(__xludf.DUMMYFUNCTION("""COMPUTED_VALUE"""),"2022/09/26 (月)
平日夜間")</f>
        <v>2022/09/26 (月)
平日夜間</v>
      </c>
      <c r="B222" s="52" t="str">
        <f ca="1">IFERROR(__xludf.DUMMYFUNCTION("""COMPUTED_VALUE"""),"尾田")</f>
        <v>尾田</v>
      </c>
      <c r="C222" s="52"/>
      <c r="D222" s="52" t="str">
        <f ca="1">IFERROR(__xludf.DUMMYFUNCTION("""COMPUTED_VALUE"""),"尾田病棟湯川コマ")</f>
        <v>尾田病棟湯川コマ</v>
      </c>
      <c r="E222" s="52" t="str">
        <f ca="1">IFERROR(__xludf.DUMMYFUNCTION("""COMPUTED_VALUE"""),"2022/10/10 (月)
休日午後")</f>
        <v>2022/10/10 (月)
休日午後</v>
      </c>
      <c r="F222" s="52" t="str">
        <f ca="1">IFERROR(__xludf.DUMMYFUNCTION("""COMPUTED_VALUE"""),"吉田")</f>
        <v>吉田</v>
      </c>
      <c r="G222" s="52"/>
      <c r="H222" s="52" t="str">
        <f ca="1">IFERROR(__xludf.DUMMYFUNCTION("""COMPUTED_VALUE"""),"新美E吉田A林智コマ菊野コマ")</f>
        <v>新美E吉田A林智コマ菊野コマ</v>
      </c>
    </row>
    <row r="223" spans="1:8" ht="12.75" hidden="1" x14ac:dyDescent="0.35">
      <c r="A223" s="52" t="str">
        <f ca="1">IFERROR(__xludf.DUMMYFUNCTION("""COMPUTED_VALUE"""),"2022/09/27 (火)
平日夜間")</f>
        <v>2022/09/27 (火)
平日夜間</v>
      </c>
      <c r="B223" s="52" t="str">
        <f ca="1">IFERROR(__xludf.DUMMYFUNCTION("""COMPUTED_VALUE"""),"柴山")</f>
        <v>柴山</v>
      </c>
      <c r="C223" s="52"/>
      <c r="D223" s="52" t="str">
        <f ca="1">IFERROR(__xludf.DUMMYFUNCTION("""COMPUTED_VALUE"""),"稲葉病棟柴山教育林智コマ")</f>
        <v>稲葉病棟柴山教育林智コマ</v>
      </c>
      <c r="E223" s="52" t="str">
        <f ca="1">IFERROR(__xludf.DUMMYFUNCTION("""COMPUTED_VALUE"""),"2022/10/11 (火)
平日夜間")</f>
        <v>2022/10/11 (火)
平日夜間</v>
      </c>
      <c r="F223" s="52" t="str">
        <f ca="1">IFERROR(__xludf.DUMMYFUNCTION("""COMPUTED_VALUE"""),"西谷")</f>
        <v>西谷</v>
      </c>
      <c r="G223" s="52"/>
      <c r="H223" s="52" t="str">
        <f ca="1">IFERROR(__xludf.DUMMYFUNCTION("""COMPUTED_VALUE"""),"西谷病棟勝俣コマ")</f>
        <v>西谷病棟勝俣コマ</v>
      </c>
    </row>
    <row r="224" spans="1:8" ht="12.75" hidden="1" x14ac:dyDescent="0.35">
      <c r="A224" s="52" t="str">
        <f ca="1">IFERROR(__xludf.DUMMYFUNCTION("""COMPUTED_VALUE"""),"2022/09/28 (水)
平日夜間")</f>
        <v>2022/09/28 (水)
平日夜間</v>
      </c>
      <c r="B224" s="52" t="str">
        <f ca="1">IFERROR(__xludf.DUMMYFUNCTION("""COMPUTED_VALUE"""),"中瀬")</f>
        <v>中瀬</v>
      </c>
      <c r="C224" s="52"/>
      <c r="D224" s="52" t="str">
        <f ca="1">IFERROR(__xludf.DUMMYFUNCTION("""COMPUTED_VALUE"""),"中瀬病棟")</f>
        <v>中瀬病棟</v>
      </c>
      <c r="E224" s="52" t="str">
        <f ca="1">IFERROR(__xludf.DUMMYFUNCTION("""COMPUTED_VALUE"""),"2022/10/12 (水)
平日夜間")</f>
        <v>2022/10/12 (水)
平日夜間</v>
      </c>
      <c r="F224" s="52" t="str">
        <f ca="1">IFERROR(__xludf.DUMMYFUNCTION("""COMPUTED_VALUE"""),"福井")</f>
        <v>福井</v>
      </c>
      <c r="G224" s="52"/>
      <c r="H224" s="52" t="str">
        <f ca="1">IFERROR(__xludf.DUMMYFUNCTION("""COMPUTED_VALUE"""),"福井病棟")</f>
        <v>福井病棟</v>
      </c>
    </row>
    <row r="225" spans="1:8" ht="12.75" hidden="1" x14ac:dyDescent="0.35">
      <c r="A225" s="52" t="str">
        <f ca="1">IFERROR(__xludf.DUMMYFUNCTION("""COMPUTED_VALUE"""),"2022/09/29 (木)
平日夜間")</f>
        <v>2022/09/29 (木)
平日夜間</v>
      </c>
      <c r="B225" s="52" t="str">
        <f ca="1">IFERROR(__xludf.DUMMYFUNCTION("""COMPUTED_VALUE"""),"柴山")</f>
        <v>柴山</v>
      </c>
      <c r="C225" s="52"/>
      <c r="D225" s="52"/>
      <c r="E225" s="52" t="str">
        <f ca="1">IFERROR(__xludf.DUMMYFUNCTION("""COMPUTED_VALUE"""),"2022/10/13 (木)
平日夜間")</f>
        <v>2022/10/13 (木)
平日夜間</v>
      </c>
      <c r="F225" s="52" t="str">
        <f ca="1">IFERROR(__xludf.DUMMYFUNCTION("""COMPUTED_VALUE"""),"稲葉")</f>
        <v>稲葉</v>
      </c>
      <c r="G225" s="52"/>
      <c r="H225" s="52" t="str">
        <f ca="1">IFERROR(__xludf.DUMMYFUNCTION("""COMPUTED_VALUE"""),"稲葉病棟")</f>
        <v>稲葉病棟</v>
      </c>
    </row>
    <row r="226" spans="1:8" ht="12.75" hidden="1" x14ac:dyDescent="0.35">
      <c r="A226" s="52" t="str">
        <f ca="1">IFERROR(__xludf.DUMMYFUNCTION("""COMPUTED_VALUE"""),"2022/09/30 (金)
平日夜間")</f>
        <v>2022/09/30 (金)
平日夜間</v>
      </c>
      <c r="B226" s="52" t="str">
        <f ca="1">IFERROR(__xludf.DUMMYFUNCTION("""COMPUTED_VALUE"""),"伊藤")</f>
        <v>伊藤</v>
      </c>
      <c r="C226" s="52"/>
      <c r="D226" s="52" t="str">
        <f ca="1">IFERROR(__xludf.DUMMYFUNCTION("""COMPUTED_VALUE"""),"伊藤病棟井上コマ")</f>
        <v>伊藤病棟井上コマ</v>
      </c>
      <c r="E226" s="52" t="str">
        <f ca="1">IFERROR(__xludf.DUMMYFUNCTION("""COMPUTED_VALUE"""),"2022/10/14 (金)
平日夜間")</f>
        <v>2022/10/14 (金)
平日夜間</v>
      </c>
      <c r="F226" s="52" t="str">
        <f ca="1">IFERROR(__xludf.DUMMYFUNCTION("""COMPUTED_VALUE"""),"笠原")</f>
        <v>笠原</v>
      </c>
      <c r="G226" s="52"/>
      <c r="H226" s="52" t="str">
        <f ca="1">IFERROR(__xludf.DUMMYFUNCTION("""COMPUTED_VALUE"""),"笠原病棟")</f>
        <v>笠原病棟</v>
      </c>
    </row>
    <row r="227" spans="1:8" ht="12.75" hidden="1" x14ac:dyDescent="0.35">
      <c r="A227" s="52" t="str">
        <f ca="1">IFERROR(__xludf.DUMMYFUNCTION("""COMPUTED_VALUE"""),"2022/10/01 (土)
休日午前")</f>
        <v>2022/10/01 (土)
休日午前</v>
      </c>
      <c r="B227" s="52" t="str">
        <f ca="1">IFERROR(__xludf.DUMMYFUNCTION("""COMPUTED_VALUE"""),"宮坂")</f>
        <v>宮坂</v>
      </c>
      <c r="C227" s="52"/>
      <c r="D227" s="52" t="str">
        <f ca="1">IFERROR(__xludf.DUMMYFUNCTION("""COMPUTED_VALUE"""),"宗A森岳E橋元F")</f>
        <v>宗A森岳E橋元F</v>
      </c>
      <c r="E227" s="52" t="str">
        <f ca="1">IFERROR(__xludf.DUMMYFUNCTION("""COMPUTED_VALUE"""),"2022/10/15 (土)
休日午前")</f>
        <v>2022/10/15 (土)
休日午前</v>
      </c>
      <c r="F227" s="52" t="str">
        <f ca="1">IFERROR(__xludf.DUMMYFUNCTION("""COMPUTED_VALUE"""),"石田")</f>
        <v>石田</v>
      </c>
      <c r="G227" s="52"/>
      <c r="H227" s="52" t="str">
        <f ca="1">IFERROR(__xludf.DUMMYFUNCTION("""COMPUTED_VALUE"""),"宗F井上A")</f>
        <v>宗F井上A</v>
      </c>
    </row>
    <row r="228" spans="1:8" ht="12.75" hidden="1" x14ac:dyDescent="0.35">
      <c r="A228" s="52" t="str">
        <f ca="1">IFERROR(__xludf.DUMMYFUNCTION("""COMPUTED_VALUE"""),"2022/10/01 (土)
休日午後")</f>
        <v>2022/10/01 (土)
休日午後</v>
      </c>
      <c r="B228" s="52" t="str">
        <f ca="1">IFERROR(__xludf.DUMMYFUNCTION("""COMPUTED_VALUE"""),"宗")</f>
        <v>宗</v>
      </c>
      <c r="C228" s="52"/>
      <c r="D228" s="52" t="str">
        <f ca="1">IFERROR(__xludf.DUMMYFUNCTION("""COMPUTED_VALUE"""),"宗A森岳E橋元F")</f>
        <v>宗A森岳E橋元F</v>
      </c>
      <c r="E228" s="52" t="str">
        <f ca="1">IFERROR(__xludf.DUMMYFUNCTION("""COMPUTED_VALUE"""),"2022/10/15 (土)
休日午後")</f>
        <v>2022/10/15 (土)
休日午後</v>
      </c>
      <c r="F228" s="52" t="str">
        <f ca="1">IFERROR(__xludf.DUMMYFUNCTION("""COMPUTED_VALUE"""),"井上")</f>
        <v>井上</v>
      </c>
      <c r="G228" s="52"/>
      <c r="H228" s="52" t="str">
        <f ca="1">IFERROR(__xludf.DUMMYFUNCTION("""COMPUTED_VALUE"""),"宗F井上A")</f>
        <v>宗F井上A</v>
      </c>
    </row>
    <row r="229" spans="1:8" ht="12.75" hidden="1" x14ac:dyDescent="0.35">
      <c r="A229" s="52" t="str">
        <f ca="1">IFERROR(__xludf.DUMMYFUNCTION("""COMPUTED_VALUE"""),"2022/10/02 (日)
休日午前")</f>
        <v>2022/10/02 (日)
休日午前</v>
      </c>
      <c r="B229" s="52" t="str">
        <f ca="1">IFERROR(__xludf.DUMMYFUNCTION("""COMPUTED_VALUE"""),"福井")</f>
        <v>福井</v>
      </c>
      <c r="C229" s="52"/>
      <c r="D229" s="52" t="str">
        <f ca="1">IFERROR(__xludf.DUMMYFUNCTION("""COMPUTED_VALUE"""),"尾田E林智B")</f>
        <v>尾田E林智B</v>
      </c>
      <c r="E229" s="52" t="str">
        <f ca="1">IFERROR(__xludf.DUMMYFUNCTION("""COMPUTED_VALUE"""),"2022/10/16 (日)
休日午前")</f>
        <v>2022/10/16 (日)
休日午前</v>
      </c>
      <c r="F229" s="52" t="str">
        <f ca="1">IFERROR(__xludf.DUMMYFUNCTION("""COMPUTED_VALUE"""),"笠原")</f>
        <v>笠原</v>
      </c>
      <c r="G229" s="52"/>
      <c r="H229" s="52" t="str">
        <f ca="1">IFERROR(__xludf.DUMMYFUNCTION("""COMPUTED_VALUE"""),"森伸C松井F鈴木A")</f>
        <v>森伸C松井F鈴木A</v>
      </c>
    </row>
    <row r="230" spans="1:8" ht="12.75" hidden="1" x14ac:dyDescent="0.35">
      <c r="A230" s="52" t="str">
        <f ca="1">IFERROR(__xludf.DUMMYFUNCTION("""COMPUTED_VALUE"""),"2022/10/02 (日)
休日午後")</f>
        <v>2022/10/02 (日)
休日午後</v>
      </c>
      <c r="B230" s="52" t="str">
        <f ca="1">IFERROR(__xludf.DUMMYFUNCTION("""COMPUTED_VALUE"""),"林智")</f>
        <v>林智</v>
      </c>
      <c r="C230" s="52"/>
      <c r="D230" s="52" t="str">
        <f ca="1">IFERROR(__xludf.DUMMYFUNCTION("""COMPUTED_VALUE"""),"尾田E林智B")</f>
        <v>尾田E林智B</v>
      </c>
      <c r="E230" s="52" t="str">
        <f ca="1">IFERROR(__xludf.DUMMYFUNCTION("""COMPUTED_VALUE"""),"2022/10/16 (日)
休日午後")</f>
        <v>2022/10/16 (日)
休日午後</v>
      </c>
      <c r="F230" s="52" t="str">
        <f ca="1">IFERROR(__xludf.DUMMYFUNCTION("""COMPUTED_VALUE"""),"鈴木")</f>
        <v>鈴木</v>
      </c>
      <c r="G230" s="52"/>
      <c r="H230" s="52" t="str">
        <f ca="1">IFERROR(__xludf.DUMMYFUNCTION("""COMPUTED_VALUE"""),"森伸C松井F鈴木A")</f>
        <v>森伸C松井F鈴木A</v>
      </c>
    </row>
    <row r="231" spans="1:8" ht="12.75" hidden="1" x14ac:dyDescent="0.35">
      <c r="A231" s="52" t="str">
        <f ca="1">IFERROR(__xludf.DUMMYFUNCTION("""COMPUTED_VALUE"""),"2022/10/03 (月)
平日夜間")</f>
        <v>2022/10/03 (月)
平日夜間</v>
      </c>
      <c r="B231" s="52" t="str">
        <f ca="1">IFERROR(__xludf.DUMMYFUNCTION("""COMPUTED_VALUE"""),"森岳")</f>
        <v>森岳</v>
      </c>
      <c r="C231" s="52"/>
      <c r="D231" s="52" t="str">
        <f ca="1">IFERROR(__xludf.DUMMYFUNCTION("""COMPUTED_VALUE"""),"太良コマ")</f>
        <v>太良コマ</v>
      </c>
      <c r="E231" s="52" t="str">
        <f ca="1">IFERROR(__xludf.DUMMYFUNCTION("""COMPUTED_VALUE"""),"2022/10/17 (月)
平日夜間")</f>
        <v>2022/10/17 (月)
平日夜間</v>
      </c>
      <c r="F231" s="52" t="str">
        <f ca="1">IFERROR(__xludf.DUMMYFUNCTION("""COMPUTED_VALUE"""),"山口")</f>
        <v>山口</v>
      </c>
      <c r="G231" s="52"/>
      <c r="H231" s="52" t="str">
        <f ca="1">IFERROR(__xludf.DUMMYFUNCTION("""COMPUTED_VALUE"""),"太良コマ")</f>
        <v>太良コマ</v>
      </c>
    </row>
    <row r="232" spans="1:8" ht="12.75" hidden="1" x14ac:dyDescent="0.35">
      <c r="A232" s="52" t="str">
        <f ca="1">IFERROR(__xludf.DUMMYFUNCTION("""COMPUTED_VALUE"""),"2022/10/04 (火)
平日夜間")</f>
        <v>2022/10/04 (火)
平日夜間</v>
      </c>
      <c r="B232" s="52" t="str">
        <f ca="1">IFERROR(__xludf.DUMMYFUNCTION("""COMPUTED_VALUE"""),"中野")</f>
        <v>中野</v>
      </c>
      <c r="C232" s="52"/>
      <c r="D232" s="52" t="str">
        <f ca="1">IFERROR(__xludf.DUMMYFUNCTION("""COMPUTED_VALUE"""),"中野病棟吉田コマ")</f>
        <v>中野病棟吉田コマ</v>
      </c>
      <c r="E232" s="52" t="str">
        <f ca="1">IFERROR(__xludf.DUMMYFUNCTION("""COMPUTED_VALUE"""),"2022/10/18 (火)
平日夜間")</f>
        <v>2022/10/18 (火)
平日夜間</v>
      </c>
      <c r="F232" s="52" t="str">
        <f ca="1">IFERROR(__xludf.DUMMYFUNCTION("""COMPUTED_VALUE"""),"橋元")</f>
        <v>橋元</v>
      </c>
      <c r="G232" s="52"/>
      <c r="H232" s="52" t="str">
        <f ca="1">IFERROR(__xludf.DUMMYFUNCTION("""COMPUTED_VALUE"""),"新美コマ")</f>
        <v>新美コマ</v>
      </c>
    </row>
    <row r="233" spans="1:8" ht="12.75" hidden="1" x14ac:dyDescent="0.35">
      <c r="A233" s="52" t="str">
        <f ca="1">IFERROR(__xludf.DUMMYFUNCTION("""COMPUTED_VALUE"""),"2022/10/05 (水)
平日夜間")</f>
        <v>2022/10/05 (水)
平日夜間</v>
      </c>
      <c r="B233" s="52" t="str">
        <f ca="1">IFERROR(__xludf.DUMMYFUNCTION("""COMPUTED_VALUE"""),"尾田")</f>
        <v>尾田</v>
      </c>
      <c r="C233" s="52"/>
      <c r="D233" s="52" t="str">
        <f ca="1">IFERROR(__xludf.DUMMYFUNCTION("""COMPUTED_VALUE"""),"尾田教育林智コマ")</f>
        <v>尾田教育林智コマ</v>
      </c>
      <c r="E233" s="52" t="str">
        <f ca="1">IFERROR(__xludf.DUMMYFUNCTION("""COMPUTED_VALUE"""),"2022/10/19 (水)
平日夜間")</f>
        <v>2022/10/19 (水)
平日夜間</v>
      </c>
      <c r="F233" s="52" t="str">
        <f ca="1">IFERROR(__xludf.DUMMYFUNCTION("""COMPUTED_VALUE"""),"西谷")</f>
        <v>西谷</v>
      </c>
      <c r="G233" s="52"/>
      <c r="H233" s="52"/>
    </row>
    <row r="234" spans="1:8" ht="12.75" hidden="1" x14ac:dyDescent="0.35">
      <c r="A234" s="52" t="str">
        <f ca="1">IFERROR(__xludf.DUMMYFUNCTION("""COMPUTED_VALUE"""),"2022/10/06 (木)
平日夜間")</f>
        <v>2022/10/06 (木)
平日夜間</v>
      </c>
      <c r="B234" s="52" t="str">
        <f ca="1">IFERROR(__xludf.DUMMYFUNCTION("""COMPUTED_VALUE"""),"竹藤")</f>
        <v>竹藤</v>
      </c>
      <c r="C234" s="52"/>
      <c r="D234" s="52"/>
      <c r="E234" s="52" t="str">
        <f ca="1">IFERROR(__xludf.DUMMYFUNCTION("""COMPUTED_VALUE"""),"2022/10/20 (木)
平日夜間")</f>
        <v>2022/10/20 (木)
平日夜間</v>
      </c>
      <c r="F234" s="52" t="str">
        <f ca="1">IFERROR(__xludf.DUMMYFUNCTION("""COMPUTED_VALUE"""),"橋元")</f>
        <v>橋元</v>
      </c>
      <c r="G234" s="52"/>
      <c r="H234" s="52"/>
    </row>
    <row r="235" spans="1:8" ht="12.75" hidden="1" x14ac:dyDescent="0.35">
      <c r="A235" s="52" t="str">
        <f ca="1">IFERROR(__xludf.DUMMYFUNCTION("""COMPUTED_VALUE"""),"2022/10/07 (金)
平日夜間")</f>
        <v>2022/10/07 (金)
平日夜間</v>
      </c>
      <c r="B235" s="52" t="str">
        <f ca="1">IFERROR(__xludf.DUMMYFUNCTION("""COMPUTED_VALUE"""),"宮坂")</f>
        <v>宮坂</v>
      </c>
      <c r="C235" s="52"/>
      <c r="D235" s="52" t="str">
        <f ca="1">IFERROR(__xludf.DUMMYFUNCTION("""COMPUTED_VALUE"""),"宮坂病棟竹藤コマ")</f>
        <v>宮坂病棟竹藤コマ</v>
      </c>
      <c r="E235" s="52" t="str">
        <f ca="1">IFERROR(__xludf.DUMMYFUNCTION("""COMPUTED_VALUE"""),"2022/10/21 (金)
平日夜間")</f>
        <v>2022/10/21 (金)
平日夜間</v>
      </c>
      <c r="F235" s="52" t="str">
        <f ca="1">IFERROR(__xludf.DUMMYFUNCTION("""COMPUTED_VALUE"""),"井上")</f>
        <v>井上</v>
      </c>
      <c r="G235" s="52"/>
      <c r="H235" s="52" t="str">
        <f ca="1">IFERROR(__xludf.DUMMYFUNCTION("""COMPUTED_VALUE"""),"竹藤教育井上病棟")</f>
        <v>竹藤教育井上病棟</v>
      </c>
    </row>
    <row r="236" spans="1:8" ht="12.75" hidden="1" x14ac:dyDescent="0.35">
      <c r="A236" s="52" t="str">
        <f ca="1">IFERROR(__xludf.DUMMYFUNCTION("""COMPUTED_VALUE"""),"2022/10/08 (土)
休日午前")</f>
        <v>2022/10/08 (土)
休日午前</v>
      </c>
      <c r="B236" s="52" t="str">
        <f ca="1">IFERROR(__xludf.DUMMYFUNCTION("""COMPUTED_VALUE"""),"菊野")</f>
        <v>菊野</v>
      </c>
      <c r="C236" s="52"/>
      <c r="D236" s="52" t="str">
        <f ca="1">IFERROR(__xludf.DUMMYFUNCTION("""COMPUTED_VALUE"""),"福井E菊野F林哲A")</f>
        <v>福井E菊野F林哲A</v>
      </c>
      <c r="E236" s="52" t="str">
        <f ca="1">IFERROR(__xludf.DUMMYFUNCTION("""COMPUTED_VALUE"""),"2022/10/22 (土)
休日午前")</f>
        <v>2022/10/22 (土)
休日午前</v>
      </c>
      <c r="F236" s="52" t="str">
        <f ca="1">IFERROR(__xludf.DUMMYFUNCTION("""COMPUTED_VALUE"""),"松井")</f>
        <v>松井</v>
      </c>
      <c r="G236" s="52"/>
      <c r="H236" s="52" t="str">
        <f ca="1">IFERROR(__xludf.DUMMYFUNCTION("""COMPUTED_VALUE"""),"西谷E稲葉F山田B")</f>
        <v>西谷E稲葉F山田B</v>
      </c>
    </row>
    <row r="237" spans="1:8" ht="12.75" hidden="1" x14ac:dyDescent="0.35">
      <c r="A237" s="52" t="str">
        <f ca="1">IFERROR(__xludf.DUMMYFUNCTION("""COMPUTED_VALUE"""),"2022/10/08 (土)
休日午後")</f>
        <v>2022/10/08 (土)
休日午後</v>
      </c>
      <c r="B237" s="52" t="str">
        <f ca="1">IFERROR(__xludf.DUMMYFUNCTION("""COMPUTED_VALUE"""),"林哲")</f>
        <v>林哲</v>
      </c>
      <c r="C237" s="52"/>
      <c r="D237" s="52" t="str">
        <f ca="1">IFERROR(__xludf.DUMMYFUNCTION("""COMPUTED_VALUE"""),"福井E菊野F林哲A")</f>
        <v>福井E菊野F林哲A</v>
      </c>
      <c r="E237" s="52" t="str">
        <f ca="1">IFERROR(__xludf.DUMMYFUNCTION("""COMPUTED_VALUE"""),"2022/10/22 (土)
休日午後")</f>
        <v>2022/10/22 (土)
休日午後</v>
      </c>
      <c r="F237" s="52" t="str">
        <f ca="1">IFERROR(__xludf.DUMMYFUNCTION("""COMPUTED_VALUE"""),"山口")</f>
        <v>山口</v>
      </c>
      <c r="G237" s="52"/>
      <c r="H237" s="52" t="str">
        <f ca="1">IFERROR(__xludf.DUMMYFUNCTION("""COMPUTED_VALUE"""),"西谷E稲葉F山田B")</f>
        <v>西谷E稲葉F山田B</v>
      </c>
    </row>
    <row r="238" spans="1:8" ht="12.75" hidden="1" x14ac:dyDescent="0.35">
      <c r="A238" s="52" t="str">
        <f ca="1">IFERROR(__xludf.DUMMYFUNCTION("""COMPUTED_VALUE"""),"2022/10/09 (日)
休日午前")</f>
        <v>2022/10/09 (日)
休日午前</v>
      </c>
      <c r="B238" s="52" t="str">
        <f ca="1">IFERROR(__xludf.DUMMYFUNCTION("""COMPUTED_VALUE"""),"森岳")</f>
        <v>森岳</v>
      </c>
      <c r="C238" s="52"/>
      <c r="D238" s="52" t="str">
        <f ca="1">IFERROR(__xludf.DUMMYFUNCTION("""COMPUTED_VALUE"""),"石田F森岳A勝俣B")</f>
        <v>石田F森岳A勝俣B</v>
      </c>
      <c r="E238" s="52" t="str">
        <f ca="1">IFERROR(__xludf.DUMMYFUNCTION("""COMPUTED_VALUE"""),"2022/10/23 (日)
休日午前")</f>
        <v>2022/10/23 (日)
休日午前</v>
      </c>
      <c r="F238" s="52" t="str">
        <f ca="1">IFERROR(__xludf.DUMMYFUNCTION("""COMPUTED_VALUE"""),"太良")</f>
        <v>太良</v>
      </c>
      <c r="G238" s="52"/>
      <c r="H238" s="52" t="str">
        <f ca="1">IFERROR(__xludf.DUMMYFUNCTION("""COMPUTED_VALUE"""),"笠原E中野F")</f>
        <v>笠原E中野F</v>
      </c>
    </row>
    <row r="239" spans="1:8" ht="12.75" hidden="1" x14ac:dyDescent="0.35">
      <c r="A239" s="52" t="str">
        <f ca="1">IFERROR(__xludf.DUMMYFUNCTION("""COMPUTED_VALUE"""),"2022/10/09 (日)
休日午後")</f>
        <v>2022/10/09 (日)
休日午後</v>
      </c>
      <c r="B239" s="52" t="str">
        <f ca="1">IFERROR(__xludf.DUMMYFUNCTION("""COMPUTED_VALUE"""),"勝俣")</f>
        <v>勝俣</v>
      </c>
      <c r="C239" s="52"/>
      <c r="D239" s="52" t="str">
        <f ca="1">IFERROR(__xludf.DUMMYFUNCTION("""COMPUTED_VALUE"""),"石田F森岳A勝俣B")</f>
        <v>石田F森岳A勝俣B</v>
      </c>
      <c r="E239" s="52" t="str">
        <f ca="1">IFERROR(__xludf.DUMMYFUNCTION("""COMPUTED_VALUE"""),"2022/10/23 (日)
休日午後")</f>
        <v>2022/10/23 (日)
休日午後</v>
      </c>
      <c r="F239" s="52" t="str">
        <f ca="1">IFERROR(__xludf.DUMMYFUNCTION("""COMPUTED_VALUE"""),"竹藤")</f>
        <v>竹藤</v>
      </c>
      <c r="G239" s="52"/>
      <c r="H239" s="52" t="str">
        <f ca="1">IFERROR(__xludf.DUMMYFUNCTION("""COMPUTED_VALUE"""),"笠原E中野F")</f>
        <v>笠原E中野F</v>
      </c>
    </row>
    <row r="240" spans="1:8" ht="12.75" hidden="1" x14ac:dyDescent="0.35">
      <c r="A240" s="52" t="str">
        <f ca="1">IFERROR(__xludf.DUMMYFUNCTION("""COMPUTED_VALUE"""),"2022/10/10 (月)
休日午前")</f>
        <v>2022/10/10 (月)
休日午前</v>
      </c>
      <c r="B240" s="52" t="str">
        <f ca="1">IFERROR(__xludf.DUMMYFUNCTION("""COMPUTED_VALUE"""),"宗")</f>
        <v>宗</v>
      </c>
      <c r="C240" s="52"/>
      <c r="D240" s="52" t="str">
        <f ca="1">IFERROR(__xludf.DUMMYFUNCTION("""COMPUTED_VALUE"""),"新美E吉田A林智コマ菊野コマ")</f>
        <v>新美E吉田A林智コマ菊野コマ</v>
      </c>
      <c r="E240" s="52" t="str">
        <f ca="1">IFERROR(__xludf.DUMMYFUNCTION("""COMPUTED_VALUE"""),"2022/10/24 (月)
平日夜間")</f>
        <v>2022/10/24 (月)
平日夜間</v>
      </c>
      <c r="F240" s="52" t="str">
        <f ca="1">IFERROR(__xludf.DUMMYFUNCTION("""COMPUTED_VALUE"""),"石田")</f>
        <v>石田</v>
      </c>
      <c r="G240" s="52"/>
      <c r="H240" s="52" t="str">
        <f ca="1">IFERROR(__xludf.DUMMYFUNCTION("""COMPUTED_VALUE"""),"石田病棟井上コマ")</f>
        <v>石田病棟井上コマ</v>
      </c>
    </row>
    <row r="241" spans="1:8" ht="12.75" hidden="1" x14ac:dyDescent="0.35">
      <c r="A241" s="52" t="str">
        <f ca="1">IFERROR(__xludf.DUMMYFUNCTION("""COMPUTED_VALUE"""),"2022/10/10 (月)
休日午後")</f>
        <v>2022/10/10 (月)
休日午後</v>
      </c>
      <c r="B241" s="52" t="str">
        <f ca="1">IFERROR(__xludf.DUMMYFUNCTION("""COMPUTED_VALUE"""),"吉田")</f>
        <v>吉田</v>
      </c>
      <c r="C241" s="52"/>
      <c r="D241" s="52" t="str">
        <f ca="1">IFERROR(__xludf.DUMMYFUNCTION("""COMPUTED_VALUE"""),"新美E吉田A林智コマ菊野コマ")</f>
        <v>新美E吉田A林智コマ菊野コマ</v>
      </c>
      <c r="E241" s="52" t="str">
        <f ca="1">IFERROR(__xludf.DUMMYFUNCTION("""COMPUTED_VALUE"""),"2022/10/25 (火)
平日夜間")</f>
        <v>2022/10/25 (火)
平日夜間</v>
      </c>
      <c r="F241" s="52" t="str">
        <f ca="1">IFERROR(__xludf.DUMMYFUNCTION("""COMPUTED_VALUE"""),"太良")</f>
        <v>太良</v>
      </c>
      <c r="G241" s="52"/>
      <c r="H241" s="52" t="str">
        <f ca="1">IFERROR(__xludf.DUMMYFUNCTION("""COMPUTED_VALUE"""),"吉田コマ")</f>
        <v>吉田コマ</v>
      </c>
    </row>
    <row r="242" spans="1:8" ht="12.75" hidden="1" x14ac:dyDescent="0.35">
      <c r="A242" s="52" t="str">
        <f ca="1">IFERROR(__xludf.DUMMYFUNCTION("""COMPUTED_VALUE"""),"2022/10/11 (火)
平日夜間")</f>
        <v>2022/10/11 (火)
平日夜間</v>
      </c>
      <c r="B242" s="52" t="str">
        <f ca="1">IFERROR(__xludf.DUMMYFUNCTION("""COMPUTED_VALUE"""),"西谷")</f>
        <v>西谷</v>
      </c>
      <c r="C242" s="52"/>
      <c r="D242" s="52" t="str">
        <f ca="1">IFERROR(__xludf.DUMMYFUNCTION("""COMPUTED_VALUE"""),"西谷病棟勝俣コマ")</f>
        <v>西谷病棟勝俣コマ</v>
      </c>
      <c r="E242" s="52" t="str">
        <f ca="1">IFERROR(__xludf.DUMMYFUNCTION("""COMPUTED_VALUE"""),"2022/10/26 (水)
平日夜間")</f>
        <v>2022/10/26 (水)
平日夜間</v>
      </c>
      <c r="F242" s="52" t="str">
        <f ca="1">IFERROR(__xludf.DUMMYFUNCTION("""COMPUTED_VALUE"""),"菊野")</f>
        <v>菊野</v>
      </c>
      <c r="G242" s="52"/>
      <c r="H242" s="52"/>
    </row>
    <row r="243" spans="1:8" ht="12.75" hidden="1" x14ac:dyDescent="0.35">
      <c r="A243" s="52" t="str">
        <f ca="1">IFERROR(__xludf.DUMMYFUNCTION("""COMPUTED_VALUE"""),"2022/10/12 (水)
平日夜間")</f>
        <v>2022/10/12 (水)
平日夜間</v>
      </c>
      <c r="B243" s="52" t="str">
        <f ca="1">IFERROR(__xludf.DUMMYFUNCTION("""COMPUTED_VALUE"""),"福井")</f>
        <v>福井</v>
      </c>
      <c r="C243" s="52"/>
      <c r="D243" s="52" t="str">
        <f ca="1">IFERROR(__xludf.DUMMYFUNCTION("""COMPUTED_VALUE"""),"福井病棟")</f>
        <v>福井病棟</v>
      </c>
      <c r="E243" s="52" t="str">
        <f ca="1">IFERROR(__xludf.DUMMYFUNCTION("""COMPUTED_VALUE"""),"2022/10/27 (木)
平日夜間")</f>
        <v>2022/10/27 (木)
平日夜間</v>
      </c>
      <c r="F243" s="52" t="str">
        <f ca="1">IFERROR(__xludf.DUMMYFUNCTION("""COMPUTED_VALUE"""),"鈴木")</f>
        <v>鈴木</v>
      </c>
      <c r="G243" s="52"/>
      <c r="H243" s="52"/>
    </row>
    <row r="244" spans="1:8" ht="12.75" hidden="1" x14ac:dyDescent="0.35">
      <c r="A244" s="52" t="str">
        <f ca="1">IFERROR(__xludf.DUMMYFUNCTION("""COMPUTED_VALUE"""),"2022/10/13 (木)
平日夜間")</f>
        <v>2022/10/13 (木)
平日夜間</v>
      </c>
      <c r="B244" s="52" t="str">
        <f ca="1">IFERROR(__xludf.DUMMYFUNCTION("""COMPUTED_VALUE"""),"稲葉")</f>
        <v>稲葉</v>
      </c>
      <c r="C244" s="52"/>
      <c r="D244" s="52" t="str">
        <f ca="1">IFERROR(__xludf.DUMMYFUNCTION("""COMPUTED_VALUE"""),"稲葉病棟")</f>
        <v>稲葉病棟</v>
      </c>
      <c r="E244" s="52" t="str">
        <f ca="1">IFERROR(__xludf.DUMMYFUNCTION("""COMPUTED_VALUE"""),"2022/10/28 (金)
平日夜間")</f>
        <v>2022/10/28 (金)
平日夜間</v>
      </c>
      <c r="F244" s="52" t="str">
        <f ca="1">IFERROR(__xludf.DUMMYFUNCTION("""COMPUTED_VALUE"""),"松井")</f>
        <v>松井</v>
      </c>
      <c r="G244" s="52"/>
      <c r="H244" s="52" t="str">
        <f ca="1">IFERROR(__xludf.DUMMYFUNCTION("""COMPUTED_VALUE"""),"松井病棟")</f>
        <v>松井病棟</v>
      </c>
    </row>
    <row r="245" spans="1:8" ht="12.75" hidden="1" x14ac:dyDescent="0.35">
      <c r="A245" s="52" t="str">
        <f ca="1">IFERROR(__xludf.DUMMYFUNCTION("""COMPUTED_VALUE"""),"2022/10/14 (金)
平日夜間")</f>
        <v>2022/10/14 (金)
平日夜間</v>
      </c>
      <c r="B245" s="52" t="str">
        <f ca="1">IFERROR(__xludf.DUMMYFUNCTION("""COMPUTED_VALUE"""),"笠原")</f>
        <v>笠原</v>
      </c>
      <c r="C245" s="52"/>
      <c r="D245" s="52" t="str">
        <f ca="1">IFERROR(__xludf.DUMMYFUNCTION("""COMPUTED_VALUE"""),"笠原病棟")</f>
        <v>笠原病棟</v>
      </c>
      <c r="E245" s="52" t="str">
        <f ca="1">IFERROR(__xludf.DUMMYFUNCTION("""COMPUTED_VALUE"""),"2022/10/29 (土)
休日午前")</f>
        <v>2022/10/29 (土)
休日午前</v>
      </c>
      <c r="F245" s="52" t="str">
        <f ca="1">IFERROR(__xludf.DUMMYFUNCTION("""COMPUTED_VALUE"""),"稲葉")</f>
        <v>稲葉</v>
      </c>
      <c r="G245" s="52"/>
      <c r="H245" s="52" t="str">
        <f ca="1">IFERROR(__xludf.DUMMYFUNCTION("""COMPUTED_VALUE"""),"菊野E宮坂F橋元A")</f>
        <v>菊野E宮坂F橋元A</v>
      </c>
    </row>
    <row r="246" spans="1:8" ht="12.75" hidden="1" x14ac:dyDescent="0.35">
      <c r="A246" s="52" t="str">
        <f ca="1">IFERROR(__xludf.DUMMYFUNCTION("""COMPUTED_VALUE"""),"2022/10/15 (土)
休日午前")</f>
        <v>2022/10/15 (土)
休日午前</v>
      </c>
      <c r="B246" s="52" t="str">
        <f ca="1">IFERROR(__xludf.DUMMYFUNCTION("""COMPUTED_VALUE"""),"石田")</f>
        <v>石田</v>
      </c>
      <c r="C246" s="52"/>
      <c r="D246" s="52" t="str">
        <f ca="1">IFERROR(__xludf.DUMMYFUNCTION("""COMPUTED_VALUE"""),"宗F井上A")</f>
        <v>宗F井上A</v>
      </c>
      <c r="E246" s="52" t="str">
        <f ca="1">IFERROR(__xludf.DUMMYFUNCTION("""COMPUTED_VALUE"""),"2022/10/29 (土)
休日午後")</f>
        <v>2022/10/29 (土)
休日午後</v>
      </c>
      <c r="F246" s="52" t="str">
        <f ca="1">IFERROR(__xludf.DUMMYFUNCTION("""COMPUTED_VALUE"""),"橋元")</f>
        <v>橋元</v>
      </c>
      <c r="G246" s="52"/>
      <c r="H246" s="52" t="str">
        <f ca="1">IFERROR(__xludf.DUMMYFUNCTION("""COMPUTED_VALUE"""),"菊野E宮坂F橋元A")</f>
        <v>菊野E宮坂F橋元A</v>
      </c>
    </row>
    <row r="247" spans="1:8" ht="12.75" hidden="1" x14ac:dyDescent="0.35">
      <c r="A247" s="52" t="str">
        <f ca="1">IFERROR(__xludf.DUMMYFUNCTION("""COMPUTED_VALUE"""),"2022/10/15 (土)
休日午後")</f>
        <v>2022/10/15 (土)
休日午後</v>
      </c>
      <c r="B247" s="52" t="str">
        <f ca="1">IFERROR(__xludf.DUMMYFUNCTION("""COMPUTED_VALUE"""),"井上")</f>
        <v>井上</v>
      </c>
      <c r="C247" s="52"/>
      <c r="D247" s="52" t="str">
        <f ca="1">IFERROR(__xludf.DUMMYFUNCTION("""COMPUTED_VALUE"""),"宗F井上A")</f>
        <v>宗F井上A</v>
      </c>
      <c r="E247" s="52" t="str">
        <f ca="1">IFERROR(__xludf.DUMMYFUNCTION("""COMPUTED_VALUE"""),"2022/10/30 (日)
休日午前")</f>
        <v>2022/10/30 (日)
休日午前</v>
      </c>
      <c r="F247" s="52" t="str">
        <f ca="1">IFERROR(__xludf.DUMMYFUNCTION("""COMPUTED_VALUE"""),"新美")</f>
        <v>新美</v>
      </c>
      <c r="G247" s="52"/>
      <c r="H247" s="52" t="str">
        <f ca="1">IFERROR(__xludf.DUMMYFUNCTION("""COMPUTED_VALUE"""),"片山C竹藤E太良B")</f>
        <v>片山C竹藤E太良B</v>
      </c>
    </row>
    <row r="248" spans="1:8" ht="12.75" hidden="1" x14ac:dyDescent="0.35">
      <c r="A248" s="52" t="str">
        <f ca="1">IFERROR(__xludf.DUMMYFUNCTION("""COMPUTED_VALUE"""),"2022/10/16 (日)
休日午前")</f>
        <v>2022/10/16 (日)
休日午前</v>
      </c>
      <c r="B248" s="52" t="str">
        <f ca="1">IFERROR(__xludf.DUMMYFUNCTION("""COMPUTED_VALUE"""),"笠原")</f>
        <v>笠原</v>
      </c>
      <c r="C248" s="52"/>
      <c r="D248" s="52" t="str">
        <f ca="1">IFERROR(__xludf.DUMMYFUNCTION("""COMPUTED_VALUE"""),"森伸C松井F鈴木A")</f>
        <v>森伸C松井F鈴木A</v>
      </c>
      <c r="E248" s="52" t="str">
        <f ca="1">IFERROR(__xludf.DUMMYFUNCTION("""COMPUTED_VALUE"""),"2022/10/30 (日)
休日午後")</f>
        <v>2022/10/30 (日)
休日午後</v>
      </c>
      <c r="F248" s="52" t="str">
        <f ca="1">IFERROR(__xludf.DUMMYFUNCTION("""COMPUTED_VALUE"""),"太良")</f>
        <v>太良</v>
      </c>
      <c r="G248" s="52"/>
      <c r="H248" s="52" t="str">
        <f ca="1">IFERROR(__xludf.DUMMYFUNCTION("""COMPUTED_VALUE"""),"片山C竹藤E太良B")</f>
        <v>片山C竹藤E太良B</v>
      </c>
    </row>
    <row r="249" spans="1:8" ht="12.75" hidden="1" x14ac:dyDescent="0.35">
      <c r="A249" s="52" t="str">
        <f ca="1">IFERROR(__xludf.DUMMYFUNCTION("""COMPUTED_VALUE"""),"2022/10/16 (日)
休日午後")</f>
        <v>2022/10/16 (日)
休日午後</v>
      </c>
      <c r="B249" s="52" t="str">
        <f ca="1">IFERROR(__xludf.DUMMYFUNCTION("""COMPUTED_VALUE"""),"鈴木")</f>
        <v>鈴木</v>
      </c>
      <c r="C249" s="52"/>
      <c r="D249" s="52" t="str">
        <f ca="1">IFERROR(__xludf.DUMMYFUNCTION("""COMPUTED_VALUE"""),"森伸C松井F鈴木A")</f>
        <v>森伸C松井F鈴木A</v>
      </c>
      <c r="E249" s="52" t="str">
        <f ca="1">IFERROR(__xludf.DUMMYFUNCTION("""COMPUTED_VALUE"""),"2022/10/31 (月)
平日夜間")</f>
        <v>2022/10/31 (月)
平日夜間</v>
      </c>
      <c r="F249" s="52" t="str">
        <f ca="1">IFERROR(__xludf.DUMMYFUNCTION("""COMPUTED_VALUE"""),"新美")</f>
        <v>新美</v>
      </c>
      <c r="G249" s="52"/>
      <c r="H249" s="52" t="str">
        <f ca="1">IFERROR(__xludf.DUMMYFUNCTION("""COMPUTED_VALUE"""),"新美教育尾田コマ")</f>
        <v>新美教育尾田コマ</v>
      </c>
    </row>
    <row r="250" spans="1:8" ht="12.75" hidden="1" x14ac:dyDescent="0.35">
      <c r="A250" s="52" t="str">
        <f ca="1">IFERROR(__xludf.DUMMYFUNCTION("""COMPUTED_VALUE"""),"2022/10/17 (月)
平日夜間")</f>
        <v>2022/10/17 (月)
平日夜間</v>
      </c>
      <c r="B250" s="52" t="str">
        <f ca="1">IFERROR(__xludf.DUMMYFUNCTION("""COMPUTED_VALUE"""),"山口")</f>
        <v>山口</v>
      </c>
      <c r="C250" s="52"/>
      <c r="D250" s="52" t="str">
        <f ca="1">IFERROR(__xludf.DUMMYFUNCTION("""COMPUTED_VALUE"""),"太良コマ")</f>
        <v>太良コマ</v>
      </c>
      <c r="E250" s="52" t="str">
        <f ca="1">IFERROR(__xludf.DUMMYFUNCTION("""COMPUTED_VALUE"""),"2022/11/01 (火)
平日夜間")</f>
        <v>2022/11/01 (火)
平日夜間</v>
      </c>
      <c r="F250" s="52" t="str">
        <f ca="1">IFERROR(__xludf.DUMMYFUNCTION("""COMPUTED_VALUE"""),"勝俣")</f>
        <v>勝俣</v>
      </c>
      <c r="G250" s="52"/>
      <c r="H250" s="52" t="str">
        <f ca="1">IFERROR(__xludf.DUMMYFUNCTION("""COMPUTED_VALUE"""),"太良コマ")</f>
        <v>太良コマ</v>
      </c>
    </row>
    <row r="251" spans="1:8" ht="12.75" hidden="1" x14ac:dyDescent="0.35">
      <c r="A251" s="52" t="str">
        <f ca="1">IFERROR(__xludf.DUMMYFUNCTION("""COMPUTED_VALUE"""),"2022/10/18 (火)
平日夜間")</f>
        <v>2022/10/18 (火)
平日夜間</v>
      </c>
      <c r="B251" s="52" t="str">
        <f ca="1">IFERROR(__xludf.DUMMYFUNCTION("""COMPUTED_VALUE"""),"橋元")</f>
        <v>橋元</v>
      </c>
      <c r="C251" s="52"/>
      <c r="D251" s="52" t="str">
        <f ca="1">IFERROR(__xludf.DUMMYFUNCTION("""COMPUTED_VALUE"""),"新美コマ")</f>
        <v>新美コマ</v>
      </c>
      <c r="E251" s="52" t="str">
        <f ca="1">IFERROR(__xludf.DUMMYFUNCTION("""COMPUTED_VALUE"""),"2022/11/02 (水)
平日夜間")</f>
        <v>2022/11/02 (水)
平日夜間</v>
      </c>
      <c r="F251" s="52" t="str">
        <f ca="1">IFERROR(__xludf.DUMMYFUNCTION("""COMPUTED_VALUE"""),"宮坂")</f>
        <v>宮坂</v>
      </c>
      <c r="G251" s="52"/>
      <c r="H251" s="52" t="str">
        <f ca="1">IFERROR(__xludf.DUMMYFUNCTION("""COMPUTED_VALUE"""),"宮坂病棟")</f>
        <v>宮坂病棟</v>
      </c>
    </row>
    <row r="252" spans="1:8" ht="12.75" hidden="1" x14ac:dyDescent="0.35">
      <c r="A252" s="52" t="str">
        <f ca="1">IFERROR(__xludf.DUMMYFUNCTION("""COMPUTED_VALUE"""),"2022/10/19 (水)
平日夜間")</f>
        <v>2022/10/19 (水)
平日夜間</v>
      </c>
      <c r="B252" s="52" t="str">
        <f ca="1">IFERROR(__xludf.DUMMYFUNCTION("""COMPUTED_VALUE"""),"西谷")</f>
        <v>西谷</v>
      </c>
      <c r="C252" s="52"/>
      <c r="D252" s="52"/>
      <c r="E252" s="52" t="str">
        <f ca="1">IFERROR(__xludf.DUMMYFUNCTION("""COMPUTED_VALUE"""),"2022/11/03 (木)
休日午前")</f>
        <v>2022/11/03 (木)
休日午前</v>
      </c>
      <c r="F252" s="52" t="str">
        <f ca="1">IFERROR(__xludf.DUMMYFUNCTION("""COMPUTED_VALUE"""),"石田")</f>
        <v>石田</v>
      </c>
      <c r="G252" s="52"/>
      <c r="H252" s="52" t="str">
        <f ca="1">IFERROR(__xludf.DUMMYFUNCTION("""COMPUTED_VALUE"""),"山口E橋元F林哲B吉田コマ")</f>
        <v>山口E橋元F林哲B吉田コマ</v>
      </c>
    </row>
    <row r="253" spans="1:8" ht="12.75" hidden="1" x14ac:dyDescent="0.35">
      <c r="A253" s="52" t="str">
        <f ca="1">IFERROR(__xludf.DUMMYFUNCTION("""COMPUTED_VALUE"""),"2022/10/20 (木)
平日夜間")</f>
        <v>2022/10/20 (木)
平日夜間</v>
      </c>
      <c r="B253" s="52" t="str">
        <f ca="1">IFERROR(__xludf.DUMMYFUNCTION("""COMPUTED_VALUE"""),"橋元")</f>
        <v>橋元</v>
      </c>
      <c r="C253" s="52"/>
      <c r="D253" s="52"/>
      <c r="E253" s="52" t="str">
        <f ca="1">IFERROR(__xludf.DUMMYFUNCTION("""COMPUTED_VALUE"""),"2022/11/03 (木)
休日午後")</f>
        <v>2022/11/03 (木)
休日午後</v>
      </c>
      <c r="F253" s="52" t="str">
        <f ca="1">IFERROR(__xludf.DUMMYFUNCTION("""COMPUTED_VALUE"""),"林哲")</f>
        <v>林哲</v>
      </c>
      <c r="G253" s="52"/>
      <c r="H253" s="52" t="str">
        <f ca="1">IFERROR(__xludf.DUMMYFUNCTION("""COMPUTED_VALUE"""),"山口E橋元F林哲B勝俣コマ")</f>
        <v>山口E橋元F林哲B勝俣コマ</v>
      </c>
    </row>
    <row r="254" spans="1:8" ht="12.75" hidden="1" x14ac:dyDescent="0.35">
      <c r="A254" s="52" t="str">
        <f ca="1">IFERROR(__xludf.DUMMYFUNCTION("""COMPUTED_VALUE"""),"2022/10/21 (金)
平日夜間")</f>
        <v>2022/10/21 (金)
平日夜間</v>
      </c>
      <c r="B254" s="52" t="str">
        <f ca="1">IFERROR(__xludf.DUMMYFUNCTION("""COMPUTED_VALUE"""),"井上")</f>
        <v>井上</v>
      </c>
      <c r="C254" s="52"/>
      <c r="D254" s="52" t="str">
        <f ca="1">IFERROR(__xludf.DUMMYFUNCTION("""COMPUTED_VALUE"""),"竹藤教育井上病棟")</f>
        <v>竹藤教育井上病棟</v>
      </c>
      <c r="E254" s="52" t="str">
        <f ca="1">IFERROR(__xludf.DUMMYFUNCTION("""COMPUTED_VALUE"""),"2022/11/03 (木)
平日夜間")</f>
        <v>2022/11/03 (木)
平日夜間</v>
      </c>
      <c r="F254" s="52" t="str">
        <f ca="1">IFERROR(__xludf.DUMMYFUNCTION("""COMPUTED_VALUE"""),"NAN")</f>
        <v>NAN</v>
      </c>
      <c r="G254" s="52"/>
      <c r="H254" s="52"/>
    </row>
    <row r="255" spans="1:8" ht="12.75" hidden="1" x14ac:dyDescent="0.35">
      <c r="A255" s="52" t="str">
        <f ca="1">IFERROR(__xludf.DUMMYFUNCTION("""COMPUTED_VALUE"""),"2022/10/22 (土)
休日午前")</f>
        <v>2022/10/22 (土)
休日午前</v>
      </c>
      <c r="B255" s="52" t="str">
        <f ca="1">IFERROR(__xludf.DUMMYFUNCTION("""COMPUTED_VALUE"""),"松井")</f>
        <v>松井</v>
      </c>
      <c r="C255" s="52"/>
      <c r="D255" s="52" t="str">
        <f ca="1">IFERROR(__xludf.DUMMYFUNCTION("""COMPUTED_VALUE"""),"西谷E稲葉F山田B")</f>
        <v>西谷E稲葉F山田B</v>
      </c>
      <c r="E255" s="52" t="str">
        <f ca="1">IFERROR(__xludf.DUMMYFUNCTION("""COMPUTED_VALUE"""),"2022/11/04 (金)
平日夜間")</f>
        <v>2022/11/04 (金)
平日夜間</v>
      </c>
      <c r="F255" s="52" t="str">
        <f ca="1">IFERROR(__xludf.DUMMYFUNCTION("""COMPUTED_VALUE"""),"森岳")</f>
        <v>森岳</v>
      </c>
      <c r="G255" s="52"/>
      <c r="H255" s="52" t="str">
        <f ca="1">IFERROR(__xludf.DUMMYFUNCTION("""COMPUTED_VALUE"""),"森病棟竹藤コマ")</f>
        <v>森病棟竹藤コマ</v>
      </c>
    </row>
    <row r="256" spans="1:8" ht="12.75" hidden="1" x14ac:dyDescent="0.35">
      <c r="A256" s="52" t="str">
        <f ca="1">IFERROR(__xludf.DUMMYFUNCTION("""COMPUTED_VALUE"""),"2022/10/22 (土)
休日午後")</f>
        <v>2022/10/22 (土)
休日午後</v>
      </c>
      <c r="B256" s="52" t="str">
        <f ca="1">IFERROR(__xludf.DUMMYFUNCTION("""COMPUTED_VALUE"""),"山口")</f>
        <v>山口</v>
      </c>
      <c r="C256" s="52"/>
      <c r="D256" s="52" t="str">
        <f ca="1">IFERROR(__xludf.DUMMYFUNCTION("""COMPUTED_VALUE"""),"西谷E稲葉F山田B")</f>
        <v>西谷E稲葉F山田B</v>
      </c>
      <c r="E256" s="52" t="str">
        <f ca="1">IFERROR(__xludf.DUMMYFUNCTION("""COMPUTED_VALUE"""),"2022/11/05 (土)
休日午前")</f>
        <v>2022/11/05 (土)
休日午前</v>
      </c>
      <c r="F256" s="52" t="str">
        <f ca="1">IFERROR(__xludf.DUMMYFUNCTION("""COMPUTED_VALUE"""),"宮坂")</f>
        <v>宮坂</v>
      </c>
      <c r="G256" s="52"/>
      <c r="H256" s="52" t="str">
        <f ca="1">IFERROR(__xludf.DUMMYFUNCTION("""COMPUTED_VALUE"""),"西谷F")</f>
        <v>西谷F</v>
      </c>
    </row>
    <row r="257" spans="1:8" ht="12.75" hidden="1" x14ac:dyDescent="0.35">
      <c r="A257" s="52" t="str">
        <f ca="1">IFERROR(__xludf.DUMMYFUNCTION("""COMPUTED_VALUE"""),"2022/10/23 (日)
休日午前")</f>
        <v>2022/10/23 (日)
休日午前</v>
      </c>
      <c r="B257" s="52" t="str">
        <f ca="1">IFERROR(__xludf.DUMMYFUNCTION("""COMPUTED_VALUE"""),"太良")</f>
        <v>太良</v>
      </c>
      <c r="C257" s="52"/>
      <c r="D257" s="52" t="str">
        <f ca="1">IFERROR(__xludf.DUMMYFUNCTION("""COMPUTED_VALUE"""),"笠原E中野F")</f>
        <v>笠原E中野F</v>
      </c>
      <c r="E257" s="52" t="str">
        <f ca="1">IFERROR(__xludf.DUMMYFUNCTION("""COMPUTED_VALUE"""),"2022/11/05 (土)
休日午後")</f>
        <v>2022/11/05 (土)
休日午後</v>
      </c>
      <c r="F257" s="52" t="str">
        <f ca="1">IFERROR(__xludf.DUMMYFUNCTION("""COMPUTED_VALUE"""),"福井")</f>
        <v>福井</v>
      </c>
      <c r="G257" s="52"/>
      <c r="H257" s="52" t="str">
        <f ca="1">IFERROR(__xludf.DUMMYFUNCTION("""COMPUTED_VALUE"""),"西谷F")</f>
        <v>西谷F</v>
      </c>
    </row>
    <row r="258" spans="1:8" ht="12.75" hidden="1" x14ac:dyDescent="0.35">
      <c r="A258" s="52" t="str">
        <f ca="1">IFERROR(__xludf.DUMMYFUNCTION("""COMPUTED_VALUE"""),"2022/10/23 (日)
休日午後")</f>
        <v>2022/10/23 (日)
休日午後</v>
      </c>
      <c r="B258" s="52" t="str">
        <f ca="1">IFERROR(__xludf.DUMMYFUNCTION("""COMPUTED_VALUE"""),"竹藤")</f>
        <v>竹藤</v>
      </c>
      <c r="C258" s="52"/>
      <c r="D258" s="52" t="str">
        <f ca="1">IFERROR(__xludf.DUMMYFUNCTION("""COMPUTED_VALUE"""),"笠原E中野F")</f>
        <v>笠原E中野F</v>
      </c>
      <c r="E258" s="52" t="str">
        <f ca="1">IFERROR(__xludf.DUMMYFUNCTION("""COMPUTED_VALUE"""),"2022/11/06 (日)
休日午前")</f>
        <v>2022/11/06 (日)
休日午前</v>
      </c>
      <c r="F258" s="52" t="str">
        <f ca="1">IFERROR(__xludf.DUMMYFUNCTION("""COMPUTED_VALUE"""),"竹藤")</f>
        <v>竹藤</v>
      </c>
      <c r="G258" s="52"/>
      <c r="H258" s="52" t="str">
        <f ca="1">IFERROR(__xludf.DUMMYFUNCTION("""COMPUTED_VALUE"""),"菊野F")</f>
        <v>菊野F</v>
      </c>
    </row>
    <row r="259" spans="1:8" ht="12.75" hidden="1" x14ac:dyDescent="0.35">
      <c r="A259" s="52" t="str">
        <f ca="1">IFERROR(__xludf.DUMMYFUNCTION("""COMPUTED_VALUE"""),"2022/10/24 (月)
平日夜間")</f>
        <v>2022/10/24 (月)
平日夜間</v>
      </c>
      <c r="B259" s="52" t="str">
        <f ca="1">IFERROR(__xludf.DUMMYFUNCTION("""COMPUTED_VALUE"""),"石田")</f>
        <v>石田</v>
      </c>
      <c r="C259" s="52"/>
      <c r="D259" s="52" t="str">
        <f ca="1">IFERROR(__xludf.DUMMYFUNCTION("""COMPUTED_VALUE"""),"石田病棟井上コマ")</f>
        <v>石田病棟井上コマ</v>
      </c>
      <c r="E259" s="52" t="str">
        <f ca="1">IFERROR(__xludf.DUMMYFUNCTION("""COMPUTED_VALUE"""),"2022/11/06 (日)
休日午後")</f>
        <v>2022/11/06 (日)
休日午後</v>
      </c>
      <c r="F259" s="52" t="str">
        <f ca="1">IFERROR(__xludf.DUMMYFUNCTION("""COMPUTED_VALUE"""),"稲葉")</f>
        <v>稲葉</v>
      </c>
      <c r="G259" s="52"/>
      <c r="H259" s="52" t="str">
        <f ca="1">IFERROR(__xludf.DUMMYFUNCTION("""COMPUTED_VALUE"""),"菊野F")</f>
        <v>菊野F</v>
      </c>
    </row>
    <row r="260" spans="1:8" ht="12.75" hidden="1" x14ac:dyDescent="0.35">
      <c r="A260" s="52" t="str">
        <f ca="1">IFERROR(__xludf.DUMMYFUNCTION("""COMPUTED_VALUE"""),"2022/10/25 (火)
平日夜間")</f>
        <v>2022/10/25 (火)
平日夜間</v>
      </c>
      <c r="B260" s="52" t="str">
        <f ca="1">IFERROR(__xludf.DUMMYFUNCTION("""COMPUTED_VALUE"""),"太良")</f>
        <v>太良</v>
      </c>
      <c r="C260" s="52"/>
      <c r="D260" s="52" t="str">
        <f ca="1">IFERROR(__xludf.DUMMYFUNCTION("""COMPUTED_VALUE"""),"吉田コマ")</f>
        <v>吉田コマ</v>
      </c>
      <c r="E260" s="52" t="str">
        <f ca="1">IFERROR(__xludf.DUMMYFUNCTION("""COMPUTED_VALUE"""),"2022/11/07 (月)
平日夜間")</f>
        <v>2022/11/07 (月)
平日夜間</v>
      </c>
      <c r="F260" s="52" t="str">
        <f ca="1">IFERROR(__xludf.DUMMYFUNCTION("""COMPUTED_VALUE"""),"竹藤")</f>
        <v>竹藤</v>
      </c>
      <c r="G260" s="52"/>
      <c r="H260" s="52" t="str">
        <f ca="1">IFERROR(__xludf.DUMMYFUNCTION("""COMPUTED_VALUE"""),"竹藤教育尾田コマ")</f>
        <v>竹藤教育尾田コマ</v>
      </c>
    </row>
    <row r="261" spans="1:8" ht="12.75" hidden="1" x14ac:dyDescent="0.35">
      <c r="A261" s="52" t="str">
        <f ca="1">IFERROR(__xludf.DUMMYFUNCTION("""COMPUTED_VALUE"""),"2022/10/26 (水)
平日夜間")</f>
        <v>2022/10/26 (水)
平日夜間</v>
      </c>
      <c r="B261" s="52" t="str">
        <f ca="1">IFERROR(__xludf.DUMMYFUNCTION("""COMPUTED_VALUE"""),"菊野")</f>
        <v>菊野</v>
      </c>
      <c r="C261" s="52"/>
      <c r="D261" s="52"/>
      <c r="E261" s="52" t="str">
        <f ca="1">IFERROR(__xludf.DUMMYFUNCTION("""COMPUTED_VALUE"""),"2022/11/08 (火)
平日夜間")</f>
        <v>2022/11/08 (火)
平日夜間</v>
      </c>
      <c r="F261" s="52" t="str">
        <f ca="1">IFERROR(__xludf.DUMMYFUNCTION("""COMPUTED_VALUE"""),"西谷")</f>
        <v>西谷</v>
      </c>
      <c r="G261" s="52"/>
      <c r="H261" s="52" t="str">
        <f ca="1">IFERROR(__xludf.DUMMYFUNCTION("""COMPUTED_VALUE"""),"吉田コマ")</f>
        <v>吉田コマ</v>
      </c>
    </row>
    <row r="262" spans="1:8" ht="12.75" hidden="1" x14ac:dyDescent="0.35">
      <c r="A262" s="52" t="str">
        <f ca="1">IFERROR(__xludf.DUMMYFUNCTION("""COMPUTED_VALUE"""),"2022/10/27 (木)
平日夜間")</f>
        <v>2022/10/27 (木)
平日夜間</v>
      </c>
      <c r="B262" s="52" t="str">
        <f ca="1">IFERROR(__xludf.DUMMYFUNCTION("""COMPUTED_VALUE"""),"鈴木")</f>
        <v>鈴木</v>
      </c>
      <c r="C262" s="52"/>
      <c r="D262" s="52"/>
      <c r="E262" s="52" t="str">
        <f ca="1">IFERROR(__xludf.DUMMYFUNCTION("""COMPUTED_VALUE"""),"2022/11/09 (水)
平日夜間")</f>
        <v>2022/11/09 (水)
平日夜間</v>
      </c>
      <c r="F262" s="52" t="str">
        <f ca="1">IFERROR(__xludf.DUMMYFUNCTION("""COMPUTED_VALUE"""),"尾田")</f>
        <v>尾田</v>
      </c>
      <c r="G262" s="52"/>
      <c r="H262" s="52" t="str">
        <f ca="1">IFERROR(__xludf.DUMMYFUNCTION("""COMPUTED_VALUE"""),"尾田病棟")</f>
        <v>尾田病棟</v>
      </c>
    </row>
    <row r="263" spans="1:8" ht="12.75" hidden="1" x14ac:dyDescent="0.35">
      <c r="A263" s="52" t="str">
        <f ca="1">IFERROR(__xludf.DUMMYFUNCTION("""COMPUTED_VALUE"""),"2022/10/28 (金)
平日夜間")</f>
        <v>2022/10/28 (金)
平日夜間</v>
      </c>
      <c r="B263" s="52" t="str">
        <f ca="1">IFERROR(__xludf.DUMMYFUNCTION("""COMPUTED_VALUE"""),"松井")</f>
        <v>松井</v>
      </c>
      <c r="C263" s="52"/>
      <c r="D263" s="52" t="str">
        <f ca="1">IFERROR(__xludf.DUMMYFUNCTION("""COMPUTED_VALUE"""),"松井病棟")</f>
        <v>松井病棟</v>
      </c>
      <c r="E263" s="52" t="str">
        <f ca="1">IFERROR(__xludf.DUMMYFUNCTION("""COMPUTED_VALUE"""),"2022/11/10 (木)
平日夜間")</f>
        <v>2022/11/10 (木)
平日夜間</v>
      </c>
      <c r="F263" s="52" t="str">
        <f ca="1">IFERROR(__xludf.DUMMYFUNCTION("""COMPUTED_VALUE"""),"山口")</f>
        <v>山口</v>
      </c>
      <c r="G263" s="52"/>
      <c r="H263" s="52" t="str">
        <f ca="1">IFERROR(__xludf.DUMMYFUNCTION("""COMPUTED_VALUE"""),"山口病棟")</f>
        <v>山口病棟</v>
      </c>
    </row>
    <row r="264" spans="1:8" ht="12.75" hidden="1" x14ac:dyDescent="0.35">
      <c r="A264" s="52" t="str">
        <f ca="1">IFERROR(__xludf.DUMMYFUNCTION("""COMPUTED_VALUE"""),"2022/10/29 (土)
休日午前")</f>
        <v>2022/10/29 (土)
休日午前</v>
      </c>
      <c r="B264" s="52" t="str">
        <f ca="1">IFERROR(__xludf.DUMMYFUNCTION("""COMPUTED_VALUE"""),"稲葉")</f>
        <v>稲葉</v>
      </c>
      <c r="C264" s="52"/>
      <c r="D264" s="52" t="str">
        <f ca="1">IFERROR(__xludf.DUMMYFUNCTION("""COMPUTED_VALUE"""),"菊野E宮坂F橋元A")</f>
        <v>菊野E宮坂F橋元A</v>
      </c>
      <c r="E264" s="52" t="str">
        <f ca="1">IFERROR(__xludf.DUMMYFUNCTION("""COMPUTED_VALUE"""),"2022/11/11 (金)
平日夜間")</f>
        <v>2022/11/11 (金)
平日夜間</v>
      </c>
      <c r="F264" s="52" t="str">
        <f ca="1">IFERROR(__xludf.DUMMYFUNCTION("""COMPUTED_VALUE"""),"福井")</f>
        <v>福井</v>
      </c>
      <c r="G264" s="52"/>
      <c r="H264" s="52" t="str">
        <f ca="1">IFERROR(__xludf.DUMMYFUNCTION("""COMPUTED_VALUE"""),"福井病棟")</f>
        <v>福井病棟</v>
      </c>
    </row>
    <row r="265" spans="1:8" ht="12.75" hidden="1" x14ac:dyDescent="0.35">
      <c r="A265" s="52" t="str">
        <f ca="1">IFERROR(__xludf.DUMMYFUNCTION("""COMPUTED_VALUE"""),"2022/10/29 (土)
休日午後")</f>
        <v>2022/10/29 (土)
休日午後</v>
      </c>
      <c r="B265" s="52" t="str">
        <f ca="1">IFERROR(__xludf.DUMMYFUNCTION("""COMPUTED_VALUE"""),"橋元")</f>
        <v>橋元</v>
      </c>
      <c r="C265" s="52"/>
      <c r="D265" s="52" t="str">
        <f ca="1">IFERROR(__xludf.DUMMYFUNCTION("""COMPUTED_VALUE"""),"菊野E宮坂F橋元A")</f>
        <v>菊野E宮坂F橋元A</v>
      </c>
      <c r="E265" s="52" t="str">
        <f ca="1">IFERROR(__xludf.DUMMYFUNCTION("""COMPUTED_VALUE"""),"2022/11/12 (土)
休日午前")</f>
        <v>2022/11/12 (土)
休日午前</v>
      </c>
      <c r="F265" s="52" t="str">
        <f ca="1">IFERROR(__xludf.DUMMYFUNCTION("""COMPUTED_VALUE"""),"井上")</f>
        <v>井上</v>
      </c>
      <c r="G265" s="52"/>
      <c r="H265" s="52" t="str">
        <f ca="1">IFERROR(__xludf.DUMMYFUNCTION("""COMPUTED_VALUE"""),"勝俣F宗A")</f>
        <v>勝俣F宗A</v>
      </c>
    </row>
    <row r="266" spans="1:8" ht="12.75" hidden="1" x14ac:dyDescent="0.35">
      <c r="A266" s="52" t="str">
        <f ca="1">IFERROR(__xludf.DUMMYFUNCTION("""COMPUTED_VALUE"""),"2022/10/30 (日)
休日午前")</f>
        <v>2022/10/30 (日)
休日午前</v>
      </c>
      <c r="B266" s="52" t="str">
        <f ca="1">IFERROR(__xludf.DUMMYFUNCTION("""COMPUTED_VALUE"""),"新美")</f>
        <v>新美</v>
      </c>
      <c r="C266" s="52"/>
      <c r="D266" s="52" t="str">
        <f ca="1">IFERROR(__xludf.DUMMYFUNCTION("""COMPUTED_VALUE"""),"片山C竹藤E太良B")</f>
        <v>片山C竹藤E太良B</v>
      </c>
      <c r="E266" s="52" t="str">
        <f ca="1">IFERROR(__xludf.DUMMYFUNCTION("""COMPUTED_VALUE"""),"2022/11/12 (土)
休日午後")</f>
        <v>2022/11/12 (土)
休日午後</v>
      </c>
      <c r="F266" s="52" t="str">
        <f ca="1">IFERROR(__xludf.DUMMYFUNCTION("""COMPUTED_VALUE"""),"宗")</f>
        <v>宗</v>
      </c>
      <c r="G266" s="52"/>
      <c r="H266" s="52" t="str">
        <f ca="1">IFERROR(__xludf.DUMMYFUNCTION("""COMPUTED_VALUE"""),"勝俣F宗A")</f>
        <v>勝俣F宗A</v>
      </c>
    </row>
    <row r="267" spans="1:8" ht="12.75" hidden="1" x14ac:dyDescent="0.35">
      <c r="A267" s="52" t="str">
        <f ca="1">IFERROR(__xludf.DUMMYFUNCTION("""COMPUTED_VALUE"""),"2022/10/30 (日)
休日午後")</f>
        <v>2022/10/30 (日)
休日午後</v>
      </c>
      <c r="B267" s="52" t="str">
        <f ca="1">IFERROR(__xludf.DUMMYFUNCTION("""COMPUTED_VALUE"""),"太良")</f>
        <v>太良</v>
      </c>
      <c r="C267" s="52"/>
      <c r="D267" s="52" t="str">
        <f ca="1">IFERROR(__xludf.DUMMYFUNCTION("""COMPUTED_VALUE"""),"片山C竹藤E太良B")</f>
        <v>片山C竹藤E太良B</v>
      </c>
      <c r="E267" s="52" t="str">
        <f ca="1">IFERROR(__xludf.DUMMYFUNCTION("""COMPUTED_VALUE"""),"2022/11/13 (日)
休日午前")</f>
        <v>2022/11/13 (日)
休日午前</v>
      </c>
      <c r="F267" s="52" t="str">
        <f ca="1">IFERROR(__xludf.DUMMYFUNCTION("""COMPUTED_VALUE"""),"福井")</f>
        <v>福井</v>
      </c>
      <c r="G267" s="52"/>
      <c r="H267" s="52" t="str">
        <f ca="1">IFERROR(__xludf.DUMMYFUNCTION("""COMPUTED_VALUE"""),"井上F")</f>
        <v>井上F</v>
      </c>
    </row>
    <row r="268" spans="1:8" ht="12.75" hidden="1" x14ac:dyDescent="0.35">
      <c r="A268" s="52" t="str">
        <f ca="1">IFERROR(__xludf.DUMMYFUNCTION("""COMPUTED_VALUE"""),"2022/10/31 (月)
平日夜間")</f>
        <v>2022/10/31 (月)
平日夜間</v>
      </c>
      <c r="B268" s="52" t="str">
        <f ca="1">IFERROR(__xludf.DUMMYFUNCTION("""COMPUTED_VALUE"""),"新美")</f>
        <v>新美</v>
      </c>
      <c r="C268" s="52"/>
      <c r="D268" s="52" t="str">
        <f ca="1">IFERROR(__xludf.DUMMYFUNCTION("""COMPUTED_VALUE"""),"新美教育尾田コマ")</f>
        <v>新美教育尾田コマ</v>
      </c>
      <c r="E268" s="52" t="str">
        <f ca="1">IFERROR(__xludf.DUMMYFUNCTION("""COMPUTED_VALUE"""),"2022/11/13 (日)
休日午後")</f>
        <v>2022/11/13 (日)
休日午後</v>
      </c>
      <c r="F268" s="52" t="str">
        <f ca="1">IFERROR(__xludf.DUMMYFUNCTION("""COMPUTED_VALUE"""),"西谷")</f>
        <v>西谷</v>
      </c>
      <c r="G268" s="52"/>
      <c r="H268" s="52" t="str">
        <f ca="1">IFERROR(__xludf.DUMMYFUNCTION("""COMPUTED_VALUE"""),"井上F")</f>
        <v>井上F</v>
      </c>
    </row>
    <row r="269" spans="1:8" ht="12.75" hidden="1" x14ac:dyDescent="0.35">
      <c r="A269" s="52" t="str">
        <f ca="1">IFERROR(__xludf.DUMMYFUNCTION("""COMPUTED_VALUE"""),"2022/11/01 (火)
平日夜間")</f>
        <v>2022/11/01 (火)
平日夜間</v>
      </c>
      <c r="B269" s="52" t="str">
        <f ca="1">IFERROR(__xludf.DUMMYFUNCTION("""COMPUTED_VALUE"""),"勝俣")</f>
        <v>勝俣</v>
      </c>
      <c r="C269" s="52"/>
      <c r="D269" s="52" t="str">
        <f ca="1">IFERROR(__xludf.DUMMYFUNCTION("""COMPUTED_VALUE"""),"太良コマ")</f>
        <v>太良コマ</v>
      </c>
      <c r="E269" s="52" t="str">
        <f ca="1">IFERROR(__xludf.DUMMYFUNCTION("""COMPUTED_VALUE"""),"2022/11/14 (月)
平日夜間")</f>
        <v>2022/11/14 (月)
平日夜間</v>
      </c>
      <c r="F269" s="52" t="str">
        <f ca="1">IFERROR(__xludf.DUMMYFUNCTION("""COMPUTED_VALUE"""),"宗")</f>
        <v>宗</v>
      </c>
      <c r="G269" s="52"/>
      <c r="H269" s="52" t="str">
        <f ca="1">IFERROR(__xludf.DUMMYFUNCTION("""COMPUTED_VALUE"""),"太良コマ")</f>
        <v>太良コマ</v>
      </c>
    </row>
    <row r="270" spans="1:8" ht="12.75" hidden="1" x14ac:dyDescent="0.35">
      <c r="A270" s="52" t="str">
        <f ca="1">IFERROR(__xludf.DUMMYFUNCTION("""COMPUTED_VALUE"""),"2022/11/02 (水)
平日夜間")</f>
        <v>2022/11/02 (水)
平日夜間</v>
      </c>
      <c r="B270" s="52" t="str">
        <f ca="1">IFERROR(__xludf.DUMMYFUNCTION("""COMPUTED_VALUE"""),"宮坂")</f>
        <v>宮坂</v>
      </c>
      <c r="C270" s="52"/>
      <c r="D270" s="52" t="str">
        <f ca="1">IFERROR(__xludf.DUMMYFUNCTION("""COMPUTED_VALUE"""),"宮坂病棟")</f>
        <v>宮坂病棟</v>
      </c>
      <c r="E270" s="52" t="str">
        <f ca="1">IFERROR(__xludf.DUMMYFUNCTION("""COMPUTED_VALUE"""),"2022/11/15 (火)
平日夜間")</f>
        <v>2022/11/15 (火)
平日夜間</v>
      </c>
      <c r="F270" s="52" t="str">
        <f ca="1">IFERROR(__xludf.DUMMYFUNCTION("""COMPUTED_VALUE"""),"西谷")</f>
        <v>西谷</v>
      </c>
      <c r="G270" s="52"/>
      <c r="H270" s="52" t="str">
        <f ca="1">IFERROR(__xludf.DUMMYFUNCTION("""COMPUTED_VALUE"""),"新美コマ")</f>
        <v>新美コマ</v>
      </c>
    </row>
    <row r="271" spans="1:8" ht="12.75" hidden="1" x14ac:dyDescent="0.35">
      <c r="A271" s="52" t="str">
        <f ca="1">IFERROR(__xludf.DUMMYFUNCTION("""COMPUTED_VALUE"""),"2022/11/03 (木)
休日午前")</f>
        <v>2022/11/03 (木)
休日午前</v>
      </c>
      <c r="B271" s="52" t="str">
        <f ca="1">IFERROR(__xludf.DUMMYFUNCTION("""COMPUTED_VALUE"""),"石田")</f>
        <v>石田</v>
      </c>
      <c r="C271" s="52"/>
      <c r="D271" s="52" t="str">
        <f ca="1">IFERROR(__xludf.DUMMYFUNCTION("""COMPUTED_VALUE"""),"山口E橋元F林哲B吉田コマ")</f>
        <v>山口E橋元F林哲B吉田コマ</v>
      </c>
      <c r="E271" s="52" t="str">
        <f ca="1">IFERROR(__xludf.DUMMYFUNCTION("""COMPUTED_VALUE"""),"2022/11/16 (水)
平日夜間")</f>
        <v>2022/11/16 (水)
平日夜間</v>
      </c>
      <c r="F271" s="52" t="str">
        <f ca="1">IFERROR(__xludf.DUMMYFUNCTION("""COMPUTED_VALUE"""),"菊野")</f>
        <v>菊野</v>
      </c>
      <c r="G271" s="52"/>
      <c r="H271" s="52" t="str">
        <f ca="1">IFERROR(__xludf.DUMMYFUNCTION("""COMPUTED_VALUE"""),"竹藤教育菊野病棟")</f>
        <v>竹藤教育菊野病棟</v>
      </c>
    </row>
    <row r="272" spans="1:8" ht="12.75" hidden="1" x14ac:dyDescent="0.35">
      <c r="A272" s="52" t="str">
        <f ca="1">IFERROR(__xludf.DUMMYFUNCTION("""COMPUTED_VALUE"""),"2022/11/03 (木)
休日午後")</f>
        <v>2022/11/03 (木)
休日午後</v>
      </c>
      <c r="B272" s="52" t="str">
        <f ca="1">IFERROR(__xludf.DUMMYFUNCTION("""COMPUTED_VALUE"""),"林哲")</f>
        <v>林哲</v>
      </c>
      <c r="C272" s="52"/>
      <c r="D272" s="52" t="str">
        <f ca="1">IFERROR(__xludf.DUMMYFUNCTION("""COMPUTED_VALUE"""),"山口E橋元F林哲B勝俣コマ")</f>
        <v>山口E橋元F林哲B勝俣コマ</v>
      </c>
      <c r="E272" s="52" t="str">
        <f ca="1">IFERROR(__xludf.DUMMYFUNCTION("""COMPUTED_VALUE"""),"2022/11/17 (木)
平日夜間")</f>
        <v>2022/11/17 (木)
平日夜間</v>
      </c>
      <c r="F272" s="52" t="str">
        <f ca="1">IFERROR(__xludf.DUMMYFUNCTION("""COMPUTED_VALUE"""),"橋元")</f>
        <v>橋元</v>
      </c>
      <c r="G272" s="52"/>
      <c r="H272" s="52" t="str">
        <f ca="1">IFERROR(__xludf.DUMMYFUNCTION("""COMPUTED_VALUE"""),"橋元病棟")</f>
        <v>橋元病棟</v>
      </c>
    </row>
    <row r="273" spans="1:8" ht="12.75" hidden="1" x14ac:dyDescent="0.35">
      <c r="A273" s="52" t="str">
        <f ca="1">IFERROR(__xludf.DUMMYFUNCTION("""COMPUTED_VALUE"""),"2022/11/03 (木)
平日夜間")</f>
        <v>2022/11/03 (木)
平日夜間</v>
      </c>
      <c r="B273" s="52" t="str">
        <f ca="1">IFERROR(__xludf.DUMMYFUNCTION("""COMPUTED_VALUE"""),"NAN")</f>
        <v>NAN</v>
      </c>
      <c r="C273" s="52"/>
      <c r="D273" s="52"/>
      <c r="E273" s="52" t="str">
        <f ca="1">IFERROR(__xludf.DUMMYFUNCTION("""COMPUTED_VALUE"""),"2022/11/18 (金)
平日夜間")</f>
        <v>2022/11/18 (金)
平日夜間</v>
      </c>
      <c r="F273" s="52" t="str">
        <f ca="1">IFERROR(__xludf.DUMMYFUNCTION("""COMPUTED_VALUE"""),"中野")</f>
        <v>中野</v>
      </c>
      <c r="G273" s="52"/>
      <c r="H273" s="52"/>
    </row>
    <row r="274" spans="1:8" ht="12.75" hidden="1" x14ac:dyDescent="0.35">
      <c r="A274" s="52" t="str">
        <f ca="1">IFERROR(__xludf.DUMMYFUNCTION("""COMPUTED_VALUE"""),"2022/11/04 (金)
平日夜間")</f>
        <v>2022/11/04 (金)
平日夜間</v>
      </c>
      <c r="B274" s="52" t="str">
        <f ca="1">IFERROR(__xludf.DUMMYFUNCTION("""COMPUTED_VALUE"""),"森岳")</f>
        <v>森岳</v>
      </c>
      <c r="C274" s="52"/>
      <c r="D274" s="52" t="str">
        <f ca="1">IFERROR(__xludf.DUMMYFUNCTION("""COMPUTED_VALUE"""),"森病棟竹藤コマ")</f>
        <v>森病棟竹藤コマ</v>
      </c>
      <c r="E274" s="52" t="str">
        <f ca="1">IFERROR(__xludf.DUMMYFUNCTION("""COMPUTED_VALUE"""),"2022/11/19 (土)
休日午前")</f>
        <v>2022/11/19 (土)
休日午前</v>
      </c>
      <c r="F274" s="52" t="str">
        <f ca="1">IFERROR(__xludf.DUMMYFUNCTION("""COMPUTED_VALUE"""),"橋元")</f>
        <v>橋元</v>
      </c>
      <c r="G274" s="52"/>
      <c r="H274" s="52" t="str">
        <f ca="1">IFERROR(__xludf.DUMMYFUNCTION("""COMPUTED_VALUE"""),"西谷E")</f>
        <v>西谷E</v>
      </c>
    </row>
    <row r="275" spans="1:8" ht="12.75" hidden="1" x14ac:dyDescent="0.35">
      <c r="A275" s="52" t="str">
        <f ca="1">IFERROR(__xludf.DUMMYFUNCTION("""COMPUTED_VALUE"""),"2022/11/05 (土)
休日午前")</f>
        <v>2022/11/05 (土)
休日午前</v>
      </c>
      <c r="B275" s="52" t="str">
        <f ca="1">IFERROR(__xludf.DUMMYFUNCTION("""COMPUTED_VALUE"""),"宮坂")</f>
        <v>宮坂</v>
      </c>
      <c r="C275" s="52"/>
      <c r="D275" s="52" t="str">
        <f ca="1">IFERROR(__xludf.DUMMYFUNCTION("""COMPUTED_VALUE"""),"西谷F")</f>
        <v>西谷F</v>
      </c>
      <c r="E275" s="52" t="str">
        <f ca="1">IFERROR(__xludf.DUMMYFUNCTION("""COMPUTED_VALUE"""),"2022/11/19 (土)
休日午後")</f>
        <v>2022/11/19 (土)
休日午後</v>
      </c>
      <c r="F275" s="52" t="str">
        <f ca="1">IFERROR(__xludf.DUMMYFUNCTION("""COMPUTED_VALUE"""),"笠原")</f>
        <v>笠原</v>
      </c>
      <c r="G275" s="52"/>
      <c r="H275" s="52" t="str">
        <f ca="1">IFERROR(__xludf.DUMMYFUNCTION("""COMPUTED_VALUE"""),"西谷E")</f>
        <v>西谷E</v>
      </c>
    </row>
    <row r="276" spans="1:8" ht="12.75" hidden="1" x14ac:dyDescent="0.35">
      <c r="A276" s="52" t="str">
        <f ca="1">IFERROR(__xludf.DUMMYFUNCTION("""COMPUTED_VALUE"""),"2022/11/05 (土)
休日午後")</f>
        <v>2022/11/05 (土)
休日午後</v>
      </c>
      <c r="B276" s="52" t="str">
        <f ca="1">IFERROR(__xludf.DUMMYFUNCTION("""COMPUTED_VALUE"""),"福井")</f>
        <v>福井</v>
      </c>
      <c r="C276" s="52"/>
      <c r="D276" s="52" t="str">
        <f ca="1">IFERROR(__xludf.DUMMYFUNCTION("""COMPUTED_VALUE"""),"西谷F")</f>
        <v>西谷F</v>
      </c>
      <c r="E276" s="52" t="str">
        <f ca="1">IFERROR(__xludf.DUMMYFUNCTION("""COMPUTED_VALUE"""),"2022/11/20 (日)
休日午前")</f>
        <v>2022/11/20 (日)
休日午前</v>
      </c>
      <c r="F276" s="52" t="str">
        <f ca="1">IFERROR(__xludf.DUMMYFUNCTION("""COMPUTED_VALUE"""),"松井")</f>
        <v>松井</v>
      </c>
      <c r="G276" s="52"/>
      <c r="H276" s="52" t="str">
        <f ca="1">IFERROR(__xludf.DUMMYFUNCTION("""COMPUTED_VALUE"""),"片山C石田E松井A新美B")</f>
        <v>片山C石田E松井A新美B</v>
      </c>
    </row>
    <row r="277" spans="1:8" ht="12.75" hidden="1" x14ac:dyDescent="0.35">
      <c r="A277" s="52" t="str">
        <f ca="1">IFERROR(__xludf.DUMMYFUNCTION("""COMPUTED_VALUE"""),"2022/11/06 (日)
休日午前")</f>
        <v>2022/11/06 (日)
休日午前</v>
      </c>
      <c r="B277" s="52" t="str">
        <f ca="1">IFERROR(__xludf.DUMMYFUNCTION("""COMPUTED_VALUE"""),"竹藤")</f>
        <v>竹藤</v>
      </c>
      <c r="C277" s="52"/>
      <c r="D277" s="52" t="str">
        <f ca="1">IFERROR(__xludf.DUMMYFUNCTION("""COMPUTED_VALUE"""),"菊野F")</f>
        <v>菊野F</v>
      </c>
      <c r="E277" s="52" t="str">
        <f ca="1">IFERROR(__xludf.DUMMYFUNCTION("""COMPUTED_VALUE"""),"2022/11/20 (日)
休日午後")</f>
        <v>2022/11/20 (日)
休日午後</v>
      </c>
      <c r="F277" s="52" t="str">
        <f ca="1">IFERROR(__xludf.DUMMYFUNCTION("""COMPUTED_VALUE"""),"新美")</f>
        <v>新美</v>
      </c>
      <c r="G277" s="52"/>
      <c r="H277" s="52" t="str">
        <f ca="1">IFERROR(__xludf.DUMMYFUNCTION("""COMPUTED_VALUE"""),"片山C石田E松井A新美B")</f>
        <v>片山C石田E松井A新美B</v>
      </c>
    </row>
    <row r="278" spans="1:8" ht="12.75" hidden="1" x14ac:dyDescent="0.35">
      <c r="A278" s="52" t="str">
        <f ca="1">IFERROR(__xludf.DUMMYFUNCTION("""COMPUTED_VALUE"""),"2022/11/06 (日)
休日午後")</f>
        <v>2022/11/06 (日)
休日午後</v>
      </c>
      <c r="B278" s="52" t="str">
        <f ca="1">IFERROR(__xludf.DUMMYFUNCTION("""COMPUTED_VALUE"""),"稲葉")</f>
        <v>稲葉</v>
      </c>
      <c r="C278" s="52"/>
      <c r="D278" s="52" t="str">
        <f ca="1">IFERROR(__xludf.DUMMYFUNCTION("""COMPUTED_VALUE"""),"菊野F")</f>
        <v>菊野F</v>
      </c>
      <c r="E278" s="52" t="str">
        <f ca="1">IFERROR(__xludf.DUMMYFUNCTION("""COMPUTED_VALUE"""),"2022/11/21 (月)
平日夜間")</f>
        <v>2022/11/21 (月)
平日夜間</v>
      </c>
      <c r="F278" s="52" t="str">
        <f ca="1">IFERROR(__xludf.DUMMYFUNCTION("""COMPUTED_VALUE"""),"菊野")</f>
        <v>菊野</v>
      </c>
      <c r="G278" s="52"/>
      <c r="H278" s="52" t="str">
        <f ca="1">IFERROR(__xludf.DUMMYFUNCTION("""COMPUTED_VALUE"""),"太良コマ")</f>
        <v>太良コマ</v>
      </c>
    </row>
    <row r="279" spans="1:8" ht="12.75" hidden="1" x14ac:dyDescent="0.35">
      <c r="A279" s="52" t="str">
        <f ca="1">IFERROR(__xludf.DUMMYFUNCTION("""COMPUTED_VALUE"""),"2022/11/07 (月)
平日夜間")</f>
        <v>2022/11/07 (月)
平日夜間</v>
      </c>
      <c r="B279" s="52" t="str">
        <f ca="1">IFERROR(__xludf.DUMMYFUNCTION("""COMPUTED_VALUE"""),"竹藤")</f>
        <v>竹藤</v>
      </c>
      <c r="C279" s="52"/>
      <c r="D279" s="52" t="str">
        <f ca="1">IFERROR(__xludf.DUMMYFUNCTION("""COMPUTED_VALUE"""),"竹藤教育尾田コマ")</f>
        <v>竹藤教育尾田コマ</v>
      </c>
      <c r="E279" s="52" t="str">
        <f ca="1">IFERROR(__xludf.DUMMYFUNCTION("""COMPUTED_VALUE"""),"2022/11/22 (火)
平日夜間")</f>
        <v>2022/11/22 (火)
平日夜間</v>
      </c>
      <c r="F279" s="52" t="str">
        <f ca="1">IFERROR(__xludf.DUMMYFUNCTION("""COMPUTED_VALUE"""),"宮坂")</f>
        <v>宮坂</v>
      </c>
      <c r="G279" s="52"/>
      <c r="H279" s="52" t="str">
        <f ca="1">IFERROR(__xludf.DUMMYFUNCTION("""COMPUTED_VALUE"""),"宮坂病棟井上コマ")</f>
        <v>宮坂病棟井上コマ</v>
      </c>
    </row>
    <row r="280" spans="1:8" ht="12.75" hidden="1" x14ac:dyDescent="0.35">
      <c r="A280" s="52" t="str">
        <f ca="1">IFERROR(__xludf.DUMMYFUNCTION("""COMPUTED_VALUE"""),"2022/11/08 (火)
平日夜間")</f>
        <v>2022/11/08 (火)
平日夜間</v>
      </c>
      <c r="B280" s="52" t="str">
        <f ca="1">IFERROR(__xludf.DUMMYFUNCTION("""COMPUTED_VALUE"""),"西谷")</f>
        <v>西谷</v>
      </c>
      <c r="C280" s="52"/>
      <c r="D280" s="52" t="str">
        <f ca="1">IFERROR(__xludf.DUMMYFUNCTION("""COMPUTED_VALUE"""),"吉田コマ")</f>
        <v>吉田コマ</v>
      </c>
      <c r="E280" s="52" t="str">
        <f ca="1">IFERROR(__xludf.DUMMYFUNCTION("""COMPUTED_VALUE"""),"2022/11/23 (水)
休日午前")</f>
        <v>2022/11/23 (水)
休日午前</v>
      </c>
      <c r="F280" s="52" t="str">
        <f ca="1">IFERROR(__xludf.DUMMYFUNCTION("""COMPUTED_VALUE"""),"林智")</f>
        <v>林智</v>
      </c>
      <c r="G280" s="52"/>
      <c r="H280" s="52" t="str">
        <f ca="1">IFERROR(__xludf.DUMMYFUNCTION("""COMPUTED_VALUE"""),"森F中野A林智B")</f>
        <v>森F中野A林智B</v>
      </c>
    </row>
    <row r="281" spans="1:8" ht="12.75" hidden="1" x14ac:dyDescent="0.35">
      <c r="A281" s="52" t="str">
        <f ca="1">IFERROR(__xludf.DUMMYFUNCTION("""COMPUTED_VALUE"""),"2022/11/09 (水)
平日夜間")</f>
        <v>2022/11/09 (水)
平日夜間</v>
      </c>
      <c r="B281" s="52" t="str">
        <f ca="1">IFERROR(__xludf.DUMMYFUNCTION("""COMPUTED_VALUE"""),"尾田")</f>
        <v>尾田</v>
      </c>
      <c r="C281" s="52"/>
      <c r="D281" s="52" t="str">
        <f ca="1">IFERROR(__xludf.DUMMYFUNCTION("""COMPUTED_VALUE"""),"尾田病棟")</f>
        <v>尾田病棟</v>
      </c>
      <c r="E281" s="52" t="str">
        <f ca="1">IFERROR(__xludf.DUMMYFUNCTION("""COMPUTED_VALUE"""),"2022/11/23 (水)
休日午後")</f>
        <v>2022/11/23 (水)
休日午後</v>
      </c>
      <c r="F281" s="52" t="str">
        <f ca="1">IFERROR(__xludf.DUMMYFUNCTION("""COMPUTED_VALUE"""),"中野")</f>
        <v>中野</v>
      </c>
      <c r="G281" s="52"/>
      <c r="H281" s="52" t="str">
        <f ca="1">IFERROR(__xludf.DUMMYFUNCTION("""COMPUTED_VALUE"""),"森F中野A林智B")</f>
        <v>森F中野A林智B</v>
      </c>
    </row>
    <row r="282" spans="1:8" ht="12.75" hidden="1" x14ac:dyDescent="0.35">
      <c r="A282" s="52" t="str">
        <f ca="1">IFERROR(__xludf.DUMMYFUNCTION("""COMPUTED_VALUE"""),"2022/11/10 (木)
平日夜間")</f>
        <v>2022/11/10 (木)
平日夜間</v>
      </c>
      <c r="B282" s="52" t="str">
        <f ca="1">IFERROR(__xludf.DUMMYFUNCTION("""COMPUTED_VALUE"""),"山口")</f>
        <v>山口</v>
      </c>
      <c r="C282" s="52"/>
      <c r="D282" s="52" t="str">
        <f ca="1">IFERROR(__xludf.DUMMYFUNCTION("""COMPUTED_VALUE"""),"山口病棟")</f>
        <v>山口病棟</v>
      </c>
      <c r="E282" s="52" t="str">
        <f ca="1">IFERROR(__xludf.DUMMYFUNCTION("""COMPUTED_VALUE"""),"2022/11/23 (水)
平日夜間")</f>
        <v>2022/11/23 (水)
平日夜間</v>
      </c>
      <c r="F282" s="52" t="str">
        <f ca="1">IFERROR(__xludf.DUMMYFUNCTION("""COMPUTED_VALUE"""),"NAN")</f>
        <v>NAN</v>
      </c>
      <c r="G282" s="52"/>
      <c r="H282" s="52"/>
    </row>
    <row r="283" spans="1:8" ht="12.75" hidden="1" x14ac:dyDescent="0.35">
      <c r="A283" s="52" t="str">
        <f ca="1">IFERROR(__xludf.DUMMYFUNCTION("""COMPUTED_VALUE"""),"2022/11/11 (金)
平日夜間")</f>
        <v>2022/11/11 (金)
平日夜間</v>
      </c>
      <c r="B283" s="52" t="str">
        <f ca="1">IFERROR(__xludf.DUMMYFUNCTION("""COMPUTED_VALUE"""),"福井")</f>
        <v>福井</v>
      </c>
      <c r="C283" s="52"/>
      <c r="D283" s="52" t="str">
        <f ca="1">IFERROR(__xludf.DUMMYFUNCTION("""COMPUTED_VALUE"""),"福井病棟")</f>
        <v>福井病棟</v>
      </c>
      <c r="E283" s="52" t="str">
        <f ca="1">IFERROR(__xludf.DUMMYFUNCTION("""COMPUTED_VALUE"""),"2022/11/24 (木)
平日夜間")</f>
        <v>2022/11/24 (木)
平日夜間</v>
      </c>
      <c r="F283" s="52" t="str">
        <f ca="1">IFERROR(__xludf.DUMMYFUNCTION("""COMPUTED_VALUE"""),"石田")</f>
        <v>石田</v>
      </c>
      <c r="G283" s="52"/>
      <c r="H283" s="52"/>
    </row>
    <row r="284" spans="1:8" ht="12.75" hidden="1" x14ac:dyDescent="0.35">
      <c r="A284" s="52" t="str">
        <f ca="1">IFERROR(__xludf.DUMMYFUNCTION("""COMPUTED_VALUE"""),"2022/11/12 (土)
休日午前")</f>
        <v>2022/11/12 (土)
休日午前</v>
      </c>
      <c r="B284" s="52" t="str">
        <f ca="1">IFERROR(__xludf.DUMMYFUNCTION("""COMPUTED_VALUE"""),"井上")</f>
        <v>井上</v>
      </c>
      <c r="C284" s="52"/>
      <c r="D284" s="52" t="str">
        <f ca="1">IFERROR(__xludf.DUMMYFUNCTION("""COMPUTED_VALUE"""),"勝俣F宗A")</f>
        <v>勝俣F宗A</v>
      </c>
      <c r="E284" s="52" t="str">
        <f ca="1">IFERROR(__xludf.DUMMYFUNCTION("""COMPUTED_VALUE"""),"2022/11/25 (金)
平日夜間")</f>
        <v>2022/11/25 (金)
平日夜間</v>
      </c>
      <c r="F284" s="52" t="str">
        <f ca="1">IFERROR(__xludf.DUMMYFUNCTION("""COMPUTED_VALUE"""),"勝俣")</f>
        <v>勝俣</v>
      </c>
      <c r="G284" s="52"/>
      <c r="H284" s="52" t="str">
        <f ca="1">IFERROR(__xludf.DUMMYFUNCTION("""COMPUTED_VALUE"""),"勝俣病棟")</f>
        <v>勝俣病棟</v>
      </c>
    </row>
    <row r="285" spans="1:8" ht="12.75" hidden="1" x14ac:dyDescent="0.35">
      <c r="A285" s="52" t="str">
        <f ca="1">IFERROR(__xludf.DUMMYFUNCTION("""COMPUTED_VALUE"""),"2022/11/12 (土)
休日午後")</f>
        <v>2022/11/12 (土)
休日午後</v>
      </c>
      <c r="B285" s="52" t="str">
        <f ca="1">IFERROR(__xludf.DUMMYFUNCTION("""COMPUTED_VALUE"""),"宗")</f>
        <v>宗</v>
      </c>
      <c r="C285" s="52"/>
      <c r="D285" s="52" t="str">
        <f ca="1">IFERROR(__xludf.DUMMYFUNCTION("""COMPUTED_VALUE"""),"勝俣F宗A")</f>
        <v>勝俣F宗A</v>
      </c>
      <c r="E285" s="52" t="str">
        <f ca="1">IFERROR(__xludf.DUMMYFUNCTION("""COMPUTED_VALUE"""),"2022/11/26 (土)
休日午前")</f>
        <v>2022/11/26 (土)
休日午前</v>
      </c>
      <c r="F285" s="52" t="str">
        <f ca="1">IFERROR(__xludf.DUMMYFUNCTION("""COMPUTED_VALUE"""),"稲葉")</f>
        <v>稲葉</v>
      </c>
      <c r="G285" s="52"/>
      <c r="H285" s="52" t="str">
        <f ca="1">IFERROR(__xludf.DUMMYFUNCTION("""COMPUTED_VALUE"""),"山田C稲葉A吉田B")</f>
        <v>山田C稲葉A吉田B</v>
      </c>
    </row>
    <row r="286" spans="1:8" ht="12.75" hidden="1" x14ac:dyDescent="0.35">
      <c r="A286" s="52" t="str">
        <f ca="1">IFERROR(__xludf.DUMMYFUNCTION("""COMPUTED_VALUE"""),"2022/11/13 (日)
休日午前")</f>
        <v>2022/11/13 (日)
休日午前</v>
      </c>
      <c r="B286" s="52" t="str">
        <f ca="1">IFERROR(__xludf.DUMMYFUNCTION("""COMPUTED_VALUE"""),"福井")</f>
        <v>福井</v>
      </c>
      <c r="C286" s="52"/>
      <c r="D286" s="52" t="str">
        <f ca="1">IFERROR(__xludf.DUMMYFUNCTION("""COMPUTED_VALUE"""),"井上F")</f>
        <v>井上F</v>
      </c>
      <c r="E286" s="52" t="str">
        <f ca="1">IFERROR(__xludf.DUMMYFUNCTION("""COMPUTED_VALUE"""),"2022/11/26 (土)
休日午後")</f>
        <v>2022/11/26 (土)
休日午後</v>
      </c>
      <c r="F286" s="52" t="str">
        <f ca="1">IFERROR(__xludf.DUMMYFUNCTION("""COMPUTED_VALUE"""),"吉田")</f>
        <v>吉田</v>
      </c>
      <c r="G286" s="52"/>
      <c r="H286" s="52" t="str">
        <f ca="1">IFERROR(__xludf.DUMMYFUNCTION("""COMPUTED_VALUE"""),"山田C稲葉A吉田B")</f>
        <v>山田C稲葉A吉田B</v>
      </c>
    </row>
    <row r="287" spans="1:8" ht="12.75" hidden="1" x14ac:dyDescent="0.35">
      <c r="A287" s="52" t="str">
        <f ca="1">IFERROR(__xludf.DUMMYFUNCTION("""COMPUTED_VALUE"""),"2022/11/13 (日)
休日午後")</f>
        <v>2022/11/13 (日)
休日午後</v>
      </c>
      <c r="B287" s="52" t="str">
        <f ca="1">IFERROR(__xludf.DUMMYFUNCTION("""COMPUTED_VALUE"""),"西谷")</f>
        <v>西谷</v>
      </c>
      <c r="C287" s="52"/>
      <c r="D287" s="52" t="str">
        <f ca="1">IFERROR(__xludf.DUMMYFUNCTION("""COMPUTED_VALUE"""),"井上F")</f>
        <v>井上F</v>
      </c>
      <c r="E287" s="52" t="str">
        <f ca="1">IFERROR(__xludf.DUMMYFUNCTION("""COMPUTED_VALUE"""),"2022/11/27 (日)
休日午前")</f>
        <v>2022/11/27 (日)
休日午前</v>
      </c>
      <c r="F287" s="52" t="str">
        <f ca="1">IFERROR(__xludf.DUMMYFUNCTION("""COMPUTED_VALUE"""),"笠原")</f>
        <v>笠原</v>
      </c>
      <c r="G287" s="52"/>
      <c r="H287" s="52" t="str">
        <f ca="1">IFERROR(__xludf.DUMMYFUNCTION("""COMPUTED_VALUE"""),"福井E笠原A太良B")</f>
        <v>福井E笠原A太良B</v>
      </c>
    </row>
    <row r="288" spans="1:8" ht="12.75" hidden="1" x14ac:dyDescent="0.35">
      <c r="A288" s="52" t="str">
        <f ca="1">IFERROR(__xludf.DUMMYFUNCTION("""COMPUTED_VALUE"""),"2022/11/14 (月)
平日夜間")</f>
        <v>2022/11/14 (月)
平日夜間</v>
      </c>
      <c r="B288" s="52" t="str">
        <f ca="1">IFERROR(__xludf.DUMMYFUNCTION("""COMPUTED_VALUE"""),"宗")</f>
        <v>宗</v>
      </c>
      <c r="C288" s="52"/>
      <c r="D288" s="52" t="str">
        <f ca="1">IFERROR(__xludf.DUMMYFUNCTION("""COMPUTED_VALUE"""),"太良コマ")</f>
        <v>太良コマ</v>
      </c>
      <c r="E288" s="52" t="str">
        <f ca="1">IFERROR(__xludf.DUMMYFUNCTION("""COMPUTED_VALUE"""),"2022/11/27 (日)
休日午後")</f>
        <v>2022/11/27 (日)
休日午後</v>
      </c>
      <c r="F288" s="52" t="str">
        <f ca="1">IFERROR(__xludf.DUMMYFUNCTION("""COMPUTED_VALUE"""),"太良")</f>
        <v>太良</v>
      </c>
      <c r="G288" s="52"/>
      <c r="H288" s="52" t="str">
        <f ca="1">IFERROR(__xludf.DUMMYFUNCTION("""COMPUTED_VALUE"""),"福井E笠原A太良B")</f>
        <v>福井E笠原A太良B</v>
      </c>
    </row>
    <row r="289" spans="1:8" ht="12.75" hidden="1" x14ac:dyDescent="0.35">
      <c r="A289" s="52" t="str">
        <f ca="1">IFERROR(__xludf.DUMMYFUNCTION("""COMPUTED_VALUE"""),"2022/11/15 (火)
平日夜間")</f>
        <v>2022/11/15 (火)
平日夜間</v>
      </c>
      <c r="B289" s="52" t="str">
        <f ca="1">IFERROR(__xludf.DUMMYFUNCTION("""COMPUTED_VALUE"""),"西谷")</f>
        <v>西谷</v>
      </c>
      <c r="C289" s="52"/>
      <c r="D289" s="52" t="str">
        <f ca="1">IFERROR(__xludf.DUMMYFUNCTION("""COMPUTED_VALUE"""),"新美コマ")</f>
        <v>新美コマ</v>
      </c>
      <c r="E289" s="52" t="str">
        <f ca="1">IFERROR(__xludf.DUMMYFUNCTION("""COMPUTED_VALUE"""),"2022/11/28 (月)
平日夜間")</f>
        <v>2022/11/28 (月)
平日夜間</v>
      </c>
      <c r="F289" s="52" t="str">
        <f ca="1">IFERROR(__xludf.DUMMYFUNCTION("""COMPUTED_VALUE"""),"尾田")</f>
        <v>尾田</v>
      </c>
      <c r="G289" s="52"/>
      <c r="H289" s="52" t="str">
        <f ca="1">IFERROR(__xludf.DUMMYFUNCTION("""COMPUTED_VALUE"""),"尾田教育山口コマ")</f>
        <v>尾田教育山口コマ</v>
      </c>
    </row>
    <row r="290" spans="1:8" ht="12.75" hidden="1" x14ac:dyDescent="0.35">
      <c r="A290" s="52" t="str">
        <f ca="1">IFERROR(__xludf.DUMMYFUNCTION("""COMPUTED_VALUE"""),"2022/11/16 (水)
平日夜間")</f>
        <v>2022/11/16 (水)
平日夜間</v>
      </c>
      <c r="B290" s="52" t="str">
        <f ca="1">IFERROR(__xludf.DUMMYFUNCTION("""COMPUTED_VALUE"""),"菊野")</f>
        <v>菊野</v>
      </c>
      <c r="C290" s="52"/>
      <c r="D290" s="52" t="str">
        <f ca="1">IFERROR(__xludf.DUMMYFUNCTION("""COMPUTED_VALUE"""),"竹藤教育菊野病棟")</f>
        <v>竹藤教育菊野病棟</v>
      </c>
      <c r="E290" s="52" t="str">
        <f ca="1">IFERROR(__xludf.DUMMYFUNCTION("""COMPUTED_VALUE"""),"2022/11/29 (火)
平日夜間")</f>
        <v>2022/11/29 (火)
平日夜間</v>
      </c>
      <c r="F290" s="52" t="str">
        <f ca="1">IFERROR(__xludf.DUMMYFUNCTION("""COMPUTED_VALUE"""),"井上")</f>
        <v>井上</v>
      </c>
      <c r="G290" s="52"/>
      <c r="H290" s="52" t="str">
        <f ca="1">IFERROR(__xludf.DUMMYFUNCTION("""COMPUTED_VALUE"""),"井上病棟勝俣コマ")</f>
        <v>井上病棟勝俣コマ</v>
      </c>
    </row>
    <row r="291" spans="1:8" ht="12.75" hidden="1" x14ac:dyDescent="0.35">
      <c r="A291" s="52" t="str">
        <f ca="1">IFERROR(__xludf.DUMMYFUNCTION("""COMPUTED_VALUE"""),"2022/11/17 (木)
平日夜間")</f>
        <v>2022/11/17 (木)
平日夜間</v>
      </c>
      <c r="B291" s="52" t="str">
        <f ca="1">IFERROR(__xludf.DUMMYFUNCTION("""COMPUTED_VALUE"""),"橋元")</f>
        <v>橋元</v>
      </c>
      <c r="C291" s="52"/>
      <c r="D291" s="52" t="str">
        <f ca="1">IFERROR(__xludf.DUMMYFUNCTION("""COMPUTED_VALUE"""),"橋元病棟")</f>
        <v>橋元病棟</v>
      </c>
      <c r="E291" s="52" t="str">
        <f ca="1">IFERROR(__xludf.DUMMYFUNCTION("""COMPUTED_VALUE"""),"2022/11/30 (水)
平日夜間")</f>
        <v>2022/11/30 (水)
平日夜間</v>
      </c>
      <c r="F291" s="52" t="str">
        <f ca="1">IFERROR(__xludf.DUMMYFUNCTION("""COMPUTED_VALUE"""),"石田")</f>
        <v>石田</v>
      </c>
      <c r="G291" s="52"/>
      <c r="H291" s="52" t="str">
        <f ca="1">IFERROR(__xludf.DUMMYFUNCTION("""COMPUTED_VALUE"""),"石田病棟")</f>
        <v>石田病棟</v>
      </c>
    </row>
    <row r="292" spans="1:8" ht="12.75" hidden="1" x14ac:dyDescent="0.35">
      <c r="A292" s="52" t="str">
        <f ca="1">IFERROR(__xludf.DUMMYFUNCTION("""COMPUTED_VALUE"""),"2022/11/18 (金)
平日夜間")</f>
        <v>2022/11/18 (金)
平日夜間</v>
      </c>
      <c r="B292" s="52" t="str">
        <f ca="1">IFERROR(__xludf.DUMMYFUNCTION("""COMPUTED_VALUE"""),"中野")</f>
        <v>中野</v>
      </c>
      <c r="C292" s="52"/>
      <c r="D292" s="52"/>
      <c r="E292" s="52" t="str">
        <f ca="1">IFERROR(__xludf.DUMMYFUNCTION("""COMPUTED_VALUE"""),"2022/12/01 (木)
平日夜間")</f>
        <v>2022/12/01 (木)
平日夜間</v>
      </c>
      <c r="F292" s="52" t="str">
        <f ca="1">IFERROR(__xludf.DUMMYFUNCTION("""COMPUTED_VALUE"""),"西谷")</f>
        <v>西谷</v>
      </c>
      <c r="G292" s="52"/>
      <c r="H292" s="52"/>
    </row>
    <row r="293" spans="1:8" ht="12.75" hidden="1" x14ac:dyDescent="0.35">
      <c r="A293" s="52" t="str">
        <f ca="1">IFERROR(__xludf.DUMMYFUNCTION("""COMPUTED_VALUE"""),"2022/11/19 (土)
休日午前")</f>
        <v>2022/11/19 (土)
休日午前</v>
      </c>
      <c r="B293" s="52" t="str">
        <f ca="1">IFERROR(__xludf.DUMMYFUNCTION("""COMPUTED_VALUE"""),"橋元")</f>
        <v>橋元</v>
      </c>
      <c r="C293" s="52"/>
      <c r="D293" s="52" t="str">
        <f ca="1">IFERROR(__xludf.DUMMYFUNCTION("""COMPUTED_VALUE"""),"西谷E")</f>
        <v>西谷E</v>
      </c>
      <c r="E293" s="52" t="str">
        <f ca="1">IFERROR(__xludf.DUMMYFUNCTION("""COMPUTED_VALUE"""),"2022/12/02 (金)
平日夜間")</f>
        <v>2022/12/02 (金)
平日夜間</v>
      </c>
      <c r="F293" s="52" t="str">
        <f ca="1">IFERROR(__xludf.DUMMYFUNCTION("""COMPUTED_VALUE"""),"伊藤")</f>
        <v>伊藤</v>
      </c>
      <c r="G293" s="52"/>
      <c r="H293" s="52" t="str">
        <f ca="1">IFERROR(__xludf.DUMMYFUNCTION("""COMPUTED_VALUE"""),"伊藤病棟")</f>
        <v>伊藤病棟</v>
      </c>
    </row>
    <row r="294" spans="1:8" ht="12.75" hidden="1" x14ac:dyDescent="0.35">
      <c r="A294" s="52" t="str">
        <f ca="1">IFERROR(__xludf.DUMMYFUNCTION("""COMPUTED_VALUE"""),"2022/11/19 (土)
休日午後")</f>
        <v>2022/11/19 (土)
休日午後</v>
      </c>
      <c r="B294" s="52" t="str">
        <f ca="1">IFERROR(__xludf.DUMMYFUNCTION("""COMPUTED_VALUE"""),"笠原")</f>
        <v>笠原</v>
      </c>
      <c r="C294" s="52"/>
      <c r="D294" s="52" t="str">
        <f ca="1">IFERROR(__xludf.DUMMYFUNCTION("""COMPUTED_VALUE"""),"西谷E")</f>
        <v>西谷E</v>
      </c>
      <c r="E294" s="52" t="str">
        <f ca="1">IFERROR(__xludf.DUMMYFUNCTION("""COMPUTED_VALUE"""),"2022/12/03 (土)
休日午前")</f>
        <v>2022/12/03 (土)
休日午前</v>
      </c>
      <c r="F294" s="52" t="str">
        <f ca="1">IFERROR(__xludf.DUMMYFUNCTION("""COMPUTED_VALUE"""),"中野")</f>
        <v>中野</v>
      </c>
      <c r="G294" s="52"/>
      <c r="H294" s="52" t="str">
        <f ca="1">IFERROR(__xludf.DUMMYFUNCTION("""COMPUTED_VALUE"""),"中瀬F林哲B")</f>
        <v>中瀬F林哲B</v>
      </c>
    </row>
    <row r="295" spans="1:8" ht="12.75" hidden="1" x14ac:dyDescent="0.35">
      <c r="A295" s="52" t="str">
        <f ca="1">IFERROR(__xludf.DUMMYFUNCTION("""COMPUTED_VALUE"""),"2022/11/20 (日)
休日午前")</f>
        <v>2022/11/20 (日)
休日午前</v>
      </c>
      <c r="B295" s="52" t="str">
        <f ca="1">IFERROR(__xludf.DUMMYFUNCTION("""COMPUTED_VALUE"""),"松井")</f>
        <v>松井</v>
      </c>
      <c r="C295" s="52"/>
      <c r="D295" s="52" t="str">
        <f ca="1">IFERROR(__xludf.DUMMYFUNCTION("""COMPUTED_VALUE"""),"片山C石田E松井A新美B")</f>
        <v>片山C石田E松井A新美B</v>
      </c>
      <c r="E295" s="52" t="str">
        <f ca="1">IFERROR(__xludf.DUMMYFUNCTION("""COMPUTED_VALUE"""),"2022/12/03 (土)
休日午後")</f>
        <v>2022/12/03 (土)
休日午後</v>
      </c>
      <c r="F295" s="52" t="str">
        <f ca="1">IFERROR(__xludf.DUMMYFUNCTION("""COMPUTED_VALUE"""),"林哲")</f>
        <v>林哲</v>
      </c>
      <c r="G295" s="52"/>
      <c r="H295" s="52" t="str">
        <f ca="1">IFERROR(__xludf.DUMMYFUNCTION("""COMPUTED_VALUE"""),"中瀬F林哲B")</f>
        <v>中瀬F林哲B</v>
      </c>
    </row>
    <row r="296" spans="1:8" ht="12.75" hidden="1" x14ac:dyDescent="0.35">
      <c r="A296" s="52" t="str">
        <f ca="1">IFERROR(__xludf.DUMMYFUNCTION("""COMPUTED_VALUE"""),"2022/11/20 (日)
休日午後")</f>
        <v>2022/11/20 (日)
休日午後</v>
      </c>
      <c r="B296" s="52" t="str">
        <f ca="1">IFERROR(__xludf.DUMMYFUNCTION("""COMPUTED_VALUE"""),"新美")</f>
        <v>新美</v>
      </c>
      <c r="C296" s="52"/>
      <c r="D296" s="52" t="str">
        <f ca="1">IFERROR(__xludf.DUMMYFUNCTION("""COMPUTED_VALUE"""),"片山C石田E松井A新美B")</f>
        <v>片山C石田E松井A新美B</v>
      </c>
      <c r="E296" s="52" t="str">
        <f ca="1">IFERROR(__xludf.DUMMYFUNCTION("""COMPUTED_VALUE"""),"2022/12/04 (日)
休日午前")</f>
        <v>2022/12/04 (日)
休日午前</v>
      </c>
      <c r="F296" s="52" t="str">
        <f ca="1">IFERROR(__xludf.DUMMYFUNCTION("""COMPUTED_VALUE"""),"勝俣")</f>
        <v>勝俣</v>
      </c>
      <c r="G296" s="52"/>
      <c r="H296" s="52" t="str">
        <f ca="1">IFERROR(__xludf.DUMMYFUNCTION("""COMPUTED_VALUE"""),"稲葉E太良A")</f>
        <v>稲葉E太良A</v>
      </c>
    </row>
    <row r="297" spans="1:8" ht="12.75" hidden="1" x14ac:dyDescent="0.35">
      <c r="A297" s="52" t="str">
        <f ca="1">IFERROR(__xludf.DUMMYFUNCTION("""COMPUTED_VALUE"""),"2022/11/21 (月)
平日夜間")</f>
        <v>2022/11/21 (月)
平日夜間</v>
      </c>
      <c r="B297" s="52" t="str">
        <f ca="1">IFERROR(__xludf.DUMMYFUNCTION("""COMPUTED_VALUE"""),"菊野")</f>
        <v>菊野</v>
      </c>
      <c r="C297" s="52"/>
      <c r="D297" s="52" t="str">
        <f ca="1">IFERROR(__xludf.DUMMYFUNCTION("""COMPUTED_VALUE"""),"太良コマ")</f>
        <v>太良コマ</v>
      </c>
      <c r="E297" s="52" t="str">
        <f ca="1">IFERROR(__xludf.DUMMYFUNCTION("""COMPUTED_VALUE"""),"2022/12/04 (日)
休日午後")</f>
        <v>2022/12/04 (日)
休日午後</v>
      </c>
      <c r="F297" s="52" t="str">
        <f ca="1">IFERROR(__xludf.DUMMYFUNCTION("""COMPUTED_VALUE"""),"太良")</f>
        <v>太良</v>
      </c>
      <c r="G297" s="52"/>
      <c r="H297" s="52" t="str">
        <f ca="1">IFERROR(__xludf.DUMMYFUNCTION("""COMPUTED_VALUE"""),"稲葉E太良A")</f>
        <v>稲葉E太良A</v>
      </c>
    </row>
    <row r="298" spans="1:8" ht="12.75" hidden="1" x14ac:dyDescent="0.35">
      <c r="A298" s="52" t="str">
        <f ca="1">IFERROR(__xludf.DUMMYFUNCTION("""COMPUTED_VALUE"""),"2022/11/22 (火)
平日夜間")</f>
        <v>2022/11/22 (火)
平日夜間</v>
      </c>
      <c r="B298" s="52" t="str">
        <f ca="1">IFERROR(__xludf.DUMMYFUNCTION("""COMPUTED_VALUE"""),"宮坂")</f>
        <v>宮坂</v>
      </c>
      <c r="C298" s="52"/>
      <c r="D298" s="52" t="str">
        <f ca="1">IFERROR(__xludf.DUMMYFUNCTION("""COMPUTED_VALUE"""),"宮坂病棟井上コマ")</f>
        <v>宮坂病棟井上コマ</v>
      </c>
      <c r="E298" s="52" t="str">
        <f ca="1">IFERROR(__xludf.DUMMYFUNCTION("""COMPUTED_VALUE"""),"2022/12/05 (月)
平日夜間")</f>
        <v>2022/12/05 (月)
平日夜間</v>
      </c>
      <c r="F298" s="52" t="str">
        <f ca="1">IFERROR(__xludf.DUMMYFUNCTION("""COMPUTED_VALUE"""),"西谷")</f>
        <v>西谷</v>
      </c>
      <c r="G298" s="52"/>
      <c r="H298" s="52" t="str">
        <f ca="1">IFERROR(__xludf.DUMMYFUNCTION("""COMPUTED_VALUE"""),"西谷病棟")</f>
        <v>西谷病棟</v>
      </c>
    </row>
    <row r="299" spans="1:8" ht="12.75" hidden="1" x14ac:dyDescent="0.35">
      <c r="A299" s="52" t="str">
        <f ca="1">IFERROR(__xludf.DUMMYFUNCTION("""COMPUTED_VALUE"""),"2022/11/23 (水)
休日午前")</f>
        <v>2022/11/23 (水)
休日午前</v>
      </c>
      <c r="B299" s="52" t="str">
        <f ca="1">IFERROR(__xludf.DUMMYFUNCTION("""COMPUTED_VALUE"""),"林智")</f>
        <v>林智</v>
      </c>
      <c r="C299" s="52"/>
      <c r="D299" s="52" t="str">
        <f ca="1">IFERROR(__xludf.DUMMYFUNCTION("""COMPUTED_VALUE"""),"森F中野A林智B")</f>
        <v>森F中野A林智B</v>
      </c>
      <c r="E299" s="52" t="str">
        <f ca="1">IFERROR(__xludf.DUMMYFUNCTION("""COMPUTED_VALUE"""),"2022/12/06 (火)
平日夜間")</f>
        <v>2022/12/06 (火)
平日夜間</v>
      </c>
      <c r="F299" s="52" t="str">
        <f ca="1">IFERROR(__xludf.DUMMYFUNCTION("""COMPUTED_VALUE"""),"稲葉")</f>
        <v>稲葉</v>
      </c>
      <c r="G299" s="52"/>
      <c r="H299" s="52"/>
    </row>
    <row r="300" spans="1:8" ht="12.75" hidden="1" x14ac:dyDescent="0.35">
      <c r="A300" s="52" t="str">
        <f ca="1">IFERROR(__xludf.DUMMYFUNCTION("""COMPUTED_VALUE"""),"2022/11/23 (水)
休日午後")</f>
        <v>2022/11/23 (水)
休日午後</v>
      </c>
      <c r="B300" s="52" t="str">
        <f ca="1">IFERROR(__xludf.DUMMYFUNCTION("""COMPUTED_VALUE"""),"中野")</f>
        <v>中野</v>
      </c>
      <c r="C300" s="52"/>
      <c r="D300" s="52" t="str">
        <f ca="1">IFERROR(__xludf.DUMMYFUNCTION("""COMPUTED_VALUE"""),"森F中野A林智B")</f>
        <v>森F中野A林智B</v>
      </c>
      <c r="E300" s="52" t="str">
        <f ca="1">IFERROR(__xludf.DUMMYFUNCTION("""COMPUTED_VALUE"""),"2022/12/07 (水)
平日夜間")</f>
        <v>2022/12/07 (水)
平日夜間</v>
      </c>
      <c r="F300" s="52" t="str">
        <f ca="1">IFERROR(__xludf.DUMMYFUNCTION("""COMPUTED_VALUE"""),"山口")</f>
        <v>山口</v>
      </c>
      <c r="G300" s="52"/>
      <c r="H300" s="52" t="str">
        <f ca="1">IFERROR(__xludf.DUMMYFUNCTION("""COMPUTED_VALUE"""),"山口教育菊野病棟")</f>
        <v>山口教育菊野病棟</v>
      </c>
    </row>
    <row r="301" spans="1:8" ht="12.75" hidden="1" x14ac:dyDescent="0.35">
      <c r="A301" s="52" t="str">
        <f ca="1">IFERROR(__xludf.DUMMYFUNCTION("""COMPUTED_VALUE"""),"2022/11/23 (水)
平日夜間")</f>
        <v>2022/11/23 (水)
平日夜間</v>
      </c>
      <c r="B301" s="52" t="str">
        <f ca="1">IFERROR(__xludf.DUMMYFUNCTION("""COMPUTED_VALUE"""),"NAN")</f>
        <v>NAN</v>
      </c>
      <c r="C301" s="52"/>
      <c r="D301" s="52"/>
      <c r="E301" s="52" t="str">
        <f ca="1">IFERROR(__xludf.DUMMYFUNCTION("""COMPUTED_VALUE"""),"2022/12/08 (木)
平日夜間")</f>
        <v>2022/12/08 (木)
平日夜間</v>
      </c>
      <c r="F301" s="52" t="str">
        <f ca="1">IFERROR(__xludf.DUMMYFUNCTION("""COMPUTED_VALUE"""),"福井")</f>
        <v>福井</v>
      </c>
      <c r="G301" s="52"/>
      <c r="H301" s="52"/>
    </row>
    <row r="302" spans="1:8" ht="12.75" hidden="1" x14ac:dyDescent="0.35">
      <c r="A302" s="52" t="str">
        <f ca="1">IFERROR(__xludf.DUMMYFUNCTION("""COMPUTED_VALUE"""),"2022/11/24 (木)
平日夜間")</f>
        <v>2022/11/24 (木)
平日夜間</v>
      </c>
      <c r="B302" s="52" t="str">
        <f ca="1">IFERROR(__xludf.DUMMYFUNCTION("""COMPUTED_VALUE"""),"石田")</f>
        <v>石田</v>
      </c>
      <c r="C302" s="52"/>
      <c r="D302" s="52"/>
      <c r="E302" s="52" t="str">
        <f ca="1">IFERROR(__xludf.DUMMYFUNCTION("""COMPUTED_VALUE"""),"2022/12/09 (金)
平日夜間")</f>
        <v>2022/12/09 (金)
平日夜間</v>
      </c>
      <c r="F302" s="52" t="str">
        <f ca="1">IFERROR(__xludf.DUMMYFUNCTION("""COMPUTED_VALUE"""),"菊野")</f>
        <v>菊野</v>
      </c>
      <c r="G302" s="52"/>
      <c r="H302" s="52"/>
    </row>
    <row r="303" spans="1:8" ht="12.75" hidden="1" x14ac:dyDescent="0.35">
      <c r="A303" s="52" t="str">
        <f ca="1">IFERROR(__xludf.DUMMYFUNCTION("""COMPUTED_VALUE"""),"2022/11/25 (金)
平日夜間")</f>
        <v>2022/11/25 (金)
平日夜間</v>
      </c>
      <c r="B303" s="52" t="str">
        <f ca="1">IFERROR(__xludf.DUMMYFUNCTION("""COMPUTED_VALUE"""),"勝俣")</f>
        <v>勝俣</v>
      </c>
      <c r="C303" s="52"/>
      <c r="D303" s="52" t="str">
        <f ca="1">IFERROR(__xludf.DUMMYFUNCTION("""COMPUTED_VALUE"""),"勝俣病棟")</f>
        <v>勝俣病棟</v>
      </c>
      <c r="E303" s="52" t="str">
        <f ca="1">IFERROR(__xludf.DUMMYFUNCTION("""COMPUTED_VALUE"""),"2022/12/10 (土)
休日午前")</f>
        <v>2022/12/10 (土)
休日午前</v>
      </c>
      <c r="F303" s="52" t="str">
        <f ca="1">IFERROR(__xludf.DUMMYFUNCTION("""COMPUTED_VALUE"""),"井上")</f>
        <v>井上</v>
      </c>
      <c r="G303" s="52"/>
      <c r="H303" s="52" t="str">
        <f ca="1">IFERROR(__xludf.DUMMYFUNCTION("""COMPUTED_VALUE"""),"森岳B")</f>
        <v>森岳B</v>
      </c>
    </row>
    <row r="304" spans="1:8" ht="12.75" hidden="1" x14ac:dyDescent="0.35">
      <c r="A304" s="52" t="str">
        <f ca="1">IFERROR(__xludf.DUMMYFUNCTION("""COMPUTED_VALUE"""),"2022/11/26 (土)
休日午前")</f>
        <v>2022/11/26 (土)
休日午前</v>
      </c>
      <c r="B304" s="52" t="str">
        <f ca="1">IFERROR(__xludf.DUMMYFUNCTION("""COMPUTED_VALUE"""),"稲葉")</f>
        <v>稲葉</v>
      </c>
      <c r="C304" s="52"/>
      <c r="D304" s="52" t="str">
        <f ca="1">IFERROR(__xludf.DUMMYFUNCTION("""COMPUTED_VALUE"""),"山田C稲葉A吉田B")</f>
        <v>山田C稲葉A吉田B</v>
      </c>
      <c r="E304" s="52" t="str">
        <f ca="1">IFERROR(__xludf.DUMMYFUNCTION("""COMPUTED_VALUE"""),"2022/12/10 (土)
休日午後")</f>
        <v>2022/12/10 (土)
休日午後</v>
      </c>
      <c r="F304" s="52" t="str">
        <f ca="1">IFERROR(__xludf.DUMMYFUNCTION("""COMPUTED_VALUE"""),"森岳")</f>
        <v>森岳</v>
      </c>
      <c r="G304" s="52"/>
      <c r="H304" s="52" t="str">
        <f ca="1">IFERROR(__xludf.DUMMYFUNCTION("""COMPUTED_VALUE"""),"森岳B")</f>
        <v>森岳B</v>
      </c>
    </row>
    <row r="305" spans="1:8" ht="12.75" hidden="1" x14ac:dyDescent="0.35">
      <c r="A305" s="52" t="str">
        <f ca="1">IFERROR(__xludf.DUMMYFUNCTION("""COMPUTED_VALUE"""),"2022/11/26 (土)
休日午後")</f>
        <v>2022/11/26 (土)
休日午後</v>
      </c>
      <c r="B305" s="52" t="str">
        <f ca="1">IFERROR(__xludf.DUMMYFUNCTION("""COMPUTED_VALUE"""),"吉田")</f>
        <v>吉田</v>
      </c>
      <c r="C305" s="52"/>
      <c r="D305" s="52" t="str">
        <f ca="1">IFERROR(__xludf.DUMMYFUNCTION("""COMPUTED_VALUE"""),"山田C稲葉A吉田B")</f>
        <v>山田C稲葉A吉田B</v>
      </c>
      <c r="E305" s="52" t="str">
        <f ca="1">IFERROR(__xludf.DUMMYFUNCTION("""COMPUTED_VALUE"""),"2022/12/11 (日)
休日午前")</f>
        <v>2022/12/11 (日)
休日午前</v>
      </c>
      <c r="F305" s="52" t="str">
        <f ca="1">IFERROR(__xludf.DUMMYFUNCTION("""COMPUTED_VALUE"""),"山口")</f>
        <v>山口</v>
      </c>
      <c r="G305" s="52"/>
      <c r="H305" s="52" t="str">
        <f ca="1">IFERROR(__xludf.DUMMYFUNCTION("""COMPUTED_VALUE"""),"伊藤F松井A")</f>
        <v>伊藤F松井A</v>
      </c>
    </row>
    <row r="306" spans="1:8" ht="12.75" hidden="1" x14ac:dyDescent="0.35">
      <c r="A306" s="52" t="str">
        <f ca="1">IFERROR(__xludf.DUMMYFUNCTION("""COMPUTED_VALUE"""),"2022/11/27 (日)
休日午前")</f>
        <v>2022/11/27 (日)
休日午前</v>
      </c>
      <c r="B306" s="52" t="str">
        <f ca="1">IFERROR(__xludf.DUMMYFUNCTION("""COMPUTED_VALUE"""),"笠原")</f>
        <v>笠原</v>
      </c>
      <c r="C306" s="52"/>
      <c r="D306" s="52" t="str">
        <f ca="1">IFERROR(__xludf.DUMMYFUNCTION("""COMPUTED_VALUE"""),"福井E笠原A太良B")</f>
        <v>福井E笠原A太良B</v>
      </c>
      <c r="E306" s="52" t="str">
        <f ca="1">IFERROR(__xludf.DUMMYFUNCTION("""COMPUTED_VALUE"""),"2022/12/11 (日)
休日午後")</f>
        <v>2022/12/11 (日)
休日午後</v>
      </c>
      <c r="F306" s="52" t="str">
        <f ca="1">IFERROR(__xludf.DUMMYFUNCTION("""COMPUTED_VALUE"""),"松井")</f>
        <v>松井</v>
      </c>
      <c r="G306" s="52"/>
      <c r="H306" s="52" t="str">
        <f ca="1">IFERROR(__xludf.DUMMYFUNCTION("""COMPUTED_VALUE"""),"伊藤F松井A")</f>
        <v>伊藤F松井A</v>
      </c>
    </row>
    <row r="307" spans="1:8" ht="12.75" hidden="1" x14ac:dyDescent="0.35">
      <c r="A307" s="52" t="str">
        <f ca="1">IFERROR(__xludf.DUMMYFUNCTION("""COMPUTED_VALUE"""),"2022/11/27 (日)
休日午後")</f>
        <v>2022/11/27 (日)
休日午後</v>
      </c>
      <c r="B307" s="52" t="str">
        <f ca="1">IFERROR(__xludf.DUMMYFUNCTION("""COMPUTED_VALUE"""),"太良")</f>
        <v>太良</v>
      </c>
      <c r="C307" s="52"/>
      <c r="D307" s="52" t="str">
        <f ca="1">IFERROR(__xludf.DUMMYFUNCTION("""COMPUTED_VALUE"""),"福井E笠原A太良B")</f>
        <v>福井E笠原A太良B</v>
      </c>
      <c r="E307" s="52" t="str">
        <f ca="1">IFERROR(__xludf.DUMMYFUNCTION("""COMPUTED_VALUE"""),"2022/12/12 (月)
平日夜間")</f>
        <v>2022/12/12 (月)
平日夜間</v>
      </c>
      <c r="F307" s="52" t="str">
        <f ca="1">IFERROR(__xludf.DUMMYFUNCTION("""COMPUTED_VALUE"""),"中野")</f>
        <v>中野</v>
      </c>
      <c r="G307" s="52"/>
      <c r="H307" s="52" t="str">
        <f ca="1">IFERROR(__xludf.DUMMYFUNCTION("""COMPUTED_VALUE"""),"尾田教育中野病棟")</f>
        <v>尾田教育中野病棟</v>
      </c>
    </row>
    <row r="308" spans="1:8" ht="12.75" hidden="1" x14ac:dyDescent="0.35">
      <c r="A308" s="52" t="str">
        <f ca="1">IFERROR(__xludf.DUMMYFUNCTION("""COMPUTED_VALUE"""),"2022/11/28 (月)
平日夜間")</f>
        <v>2022/11/28 (月)
平日夜間</v>
      </c>
      <c r="B308" s="52" t="str">
        <f ca="1">IFERROR(__xludf.DUMMYFUNCTION("""COMPUTED_VALUE"""),"尾田")</f>
        <v>尾田</v>
      </c>
      <c r="C308" s="52"/>
      <c r="D308" s="52" t="str">
        <f ca="1">IFERROR(__xludf.DUMMYFUNCTION("""COMPUTED_VALUE"""),"尾田教育山口コマ")</f>
        <v>尾田教育山口コマ</v>
      </c>
      <c r="E308" s="52" t="str">
        <f ca="1">IFERROR(__xludf.DUMMYFUNCTION("""COMPUTED_VALUE"""),"2022/12/13 (火)
平日夜間")</f>
        <v>2022/12/13 (火)
平日夜間</v>
      </c>
      <c r="F308" s="52" t="str">
        <f ca="1">IFERROR(__xludf.DUMMYFUNCTION("""COMPUTED_VALUE"""),"松井")</f>
        <v>松井</v>
      </c>
      <c r="G308" s="52"/>
      <c r="H308" s="52"/>
    </row>
    <row r="309" spans="1:8" ht="12.75" hidden="1" x14ac:dyDescent="0.35">
      <c r="A309" s="52" t="str">
        <f ca="1">IFERROR(__xludf.DUMMYFUNCTION("""COMPUTED_VALUE"""),"2022/11/29 (火)
平日夜間")</f>
        <v>2022/11/29 (火)
平日夜間</v>
      </c>
      <c r="B309" s="52" t="str">
        <f ca="1">IFERROR(__xludf.DUMMYFUNCTION("""COMPUTED_VALUE"""),"井上")</f>
        <v>井上</v>
      </c>
      <c r="C309" s="52"/>
      <c r="D309" s="52" t="str">
        <f ca="1">IFERROR(__xludf.DUMMYFUNCTION("""COMPUTED_VALUE"""),"井上病棟勝俣コマ")</f>
        <v>井上病棟勝俣コマ</v>
      </c>
      <c r="E309" s="52" t="str">
        <f ca="1">IFERROR(__xludf.DUMMYFUNCTION("""COMPUTED_VALUE"""),"2022/12/14 (水)
平日夜間")</f>
        <v>2022/12/14 (水)
平日夜間</v>
      </c>
      <c r="F309" s="52" t="str">
        <f ca="1">IFERROR(__xludf.DUMMYFUNCTION("""COMPUTED_VALUE"""),"林智")</f>
        <v>林智</v>
      </c>
      <c r="G309" s="52"/>
      <c r="H309" s="52" t="str">
        <f ca="1">IFERROR(__xludf.DUMMYFUNCTION("""COMPUTED_VALUE"""),"林智")</f>
        <v>林智</v>
      </c>
    </row>
    <row r="310" spans="1:8" ht="12.75" hidden="1" x14ac:dyDescent="0.35">
      <c r="A310" s="52" t="str">
        <f ca="1">IFERROR(__xludf.DUMMYFUNCTION("""COMPUTED_VALUE"""),"2022/11/30 (水)
平日夜間")</f>
        <v>2022/11/30 (水)
平日夜間</v>
      </c>
      <c r="B310" s="52" t="str">
        <f ca="1">IFERROR(__xludf.DUMMYFUNCTION("""COMPUTED_VALUE"""),"石田")</f>
        <v>石田</v>
      </c>
      <c r="C310" s="52"/>
      <c r="D310" s="52" t="str">
        <f ca="1">IFERROR(__xludf.DUMMYFUNCTION("""COMPUTED_VALUE"""),"石田病棟")</f>
        <v>石田病棟</v>
      </c>
      <c r="E310" s="52" t="str">
        <f ca="1">IFERROR(__xludf.DUMMYFUNCTION("""COMPUTED_VALUE"""),"2022/12/15 (木)
平日夜間")</f>
        <v>2022/12/15 (木)
平日夜間</v>
      </c>
      <c r="F310" s="52" t="str">
        <f ca="1">IFERROR(__xludf.DUMMYFUNCTION("""COMPUTED_VALUE"""),"竹藤")</f>
        <v>竹藤</v>
      </c>
      <c r="G310" s="52" t="str">
        <f ca="1">IFERROR(__xludf.DUMMYFUNCTION("""COMPUTED_VALUE"""),"西堂")</f>
        <v>西堂</v>
      </c>
      <c r="H310" s="52"/>
    </row>
    <row r="311" spans="1:8" ht="12.75" hidden="1" x14ac:dyDescent="0.35">
      <c r="A311" s="52" t="str">
        <f ca="1">IFERROR(__xludf.DUMMYFUNCTION("""COMPUTED_VALUE"""),"2022/12/01 (木)
平日夜間")</f>
        <v>2022/12/01 (木)
平日夜間</v>
      </c>
      <c r="B311" s="52" t="str">
        <f ca="1">IFERROR(__xludf.DUMMYFUNCTION("""COMPUTED_VALUE"""),"西谷")</f>
        <v>西谷</v>
      </c>
      <c r="C311" s="52"/>
      <c r="D311" s="52"/>
      <c r="E311" s="52" t="str">
        <f ca="1">IFERROR(__xludf.DUMMYFUNCTION("""COMPUTED_VALUE"""),"2022/12/16 (金)
平日夜間")</f>
        <v>2022/12/16 (金)
平日夜間</v>
      </c>
      <c r="F311" s="52" t="str">
        <f ca="1">IFERROR(__xludf.DUMMYFUNCTION("""COMPUTED_VALUE"""),"中瀬")</f>
        <v>中瀬</v>
      </c>
      <c r="G311" s="52"/>
      <c r="H311" s="52" t="str">
        <f ca="1">IFERROR(__xludf.DUMMYFUNCTION("""COMPUTED_VALUE"""),"中瀬病棟")</f>
        <v>中瀬病棟</v>
      </c>
    </row>
    <row r="312" spans="1:8" ht="12.75" hidden="1" x14ac:dyDescent="0.35">
      <c r="A312" s="52" t="str">
        <f ca="1">IFERROR(__xludf.DUMMYFUNCTION("""COMPUTED_VALUE"""),"2022/12/02 (金)
平日夜間")</f>
        <v>2022/12/02 (金)
平日夜間</v>
      </c>
      <c r="B312" s="52" t="str">
        <f ca="1">IFERROR(__xludf.DUMMYFUNCTION("""COMPUTED_VALUE"""),"伊藤")</f>
        <v>伊藤</v>
      </c>
      <c r="C312" s="52"/>
      <c r="D312" s="52" t="str">
        <f ca="1">IFERROR(__xludf.DUMMYFUNCTION("""COMPUTED_VALUE"""),"伊藤病棟")</f>
        <v>伊藤病棟</v>
      </c>
      <c r="E312" s="52" t="str">
        <f ca="1">IFERROR(__xludf.DUMMYFUNCTION("""COMPUTED_VALUE"""),"2022/12/17 (土)
休日午前")</f>
        <v>2022/12/17 (土)
休日午前</v>
      </c>
      <c r="F312" s="52" t="str">
        <f ca="1">IFERROR(__xludf.DUMMYFUNCTION("""COMPUTED_VALUE"""),"中瀬")</f>
        <v>中瀬</v>
      </c>
      <c r="G312" s="52"/>
      <c r="H312" s="52" t="str">
        <f ca="1">IFERROR(__xludf.DUMMYFUNCTION("""COMPUTED_VALUE"""),"佐藤E")</f>
        <v>佐藤E</v>
      </c>
    </row>
    <row r="313" spans="1:8" ht="12.75" hidden="1" x14ac:dyDescent="0.35">
      <c r="A313" s="52" t="str">
        <f ca="1">IFERROR(__xludf.DUMMYFUNCTION("""COMPUTED_VALUE"""),"2022/12/03 (土)
休日午前")</f>
        <v>2022/12/03 (土)
休日午前</v>
      </c>
      <c r="B313" s="52" t="str">
        <f ca="1">IFERROR(__xludf.DUMMYFUNCTION("""COMPUTED_VALUE"""),"中野")</f>
        <v>中野</v>
      </c>
      <c r="C313" s="52"/>
      <c r="D313" s="52" t="str">
        <f ca="1">IFERROR(__xludf.DUMMYFUNCTION("""COMPUTED_VALUE"""),"中瀬F林哲B")</f>
        <v>中瀬F林哲B</v>
      </c>
      <c r="E313" s="52" t="str">
        <f ca="1">IFERROR(__xludf.DUMMYFUNCTION("""COMPUTED_VALUE"""),"2022/12/17 (土)
休日午後")</f>
        <v>2022/12/17 (土)
休日午後</v>
      </c>
      <c r="F313" s="52" t="str">
        <f ca="1">IFERROR(__xludf.DUMMYFUNCTION("""COMPUTED_VALUE"""),"竹藤")</f>
        <v>竹藤</v>
      </c>
      <c r="G313" s="52"/>
      <c r="H313" s="52" t="str">
        <f ca="1">IFERROR(__xludf.DUMMYFUNCTION("""COMPUTED_VALUE"""),"佐藤E")</f>
        <v>佐藤E</v>
      </c>
    </row>
    <row r="314" spans="1:8" ht="12.75" hidden="1" x14ac:dyDescent="0.35">
      <c r="A314" s="52" t="str">
        <f ca="1">IFERROR(__xludf.DUMMYFUNCTION("""COMPUTED_VALUE"""),"2022/12/03 (土)
休日午後")</f>
        <v>2022/12/03 (土)
休日午後</v>
      </c>
      <c r="B314" s="52" t="str">
        <f ca="1">IFERROR(__xludf.DUMMYFUNCTION("""COMPUTED_VALUE"""),"林哲")</f>
        <v>林哲</v>
      </c>
      <c r="C314" s="52"/>
      <c r="D314" s="52" t="str">
        <f ca="1">IFERROR(__xludf.DUMMYFUNCTION("""COMPUTED_VALUE"""),"中瀬F林哲B")</f>
        <v>中瀬F林哲B</v>
      </c>
      <c r="E314" s="52" t="str">
        <f ca="1">IFERROR(__xludf.DUMMYFUNCTION("""COMPUTED_VALUE"""),"2022/12/18 (日)
休日午前")</f>
        <v>2022/12/18 (日)
休日午前</v>
      </c>
      <c r="F314" s="52" t="str">
        <f ca="1">IFERROR(__xludf.DUMMYFUNCTION("""COMPUTED_VALUE"""),"新美")</f>
        <v>新美</v>
      </c>
      <c r="G314" s="52"/>
      <c r="H314" s="52" t="str">
        <f ca="1">IFERROR(__xludf.DUMMYFUNCTION("""COMPUTED_VALUE"""),"松井F")</f>
        <v>松井F</v>
      </c>
    </row>
    <row r="315" spans="1:8" ht="12.75" hidden="1" x14ac:dyDescent="0.35">
      <c r="A315" s="52" t="str">
        <f ca="1">IFERROR(__xludf.DUMMYFUNCTION("""COMPUTED_VALUE"""),"2022/12/04 (日)
休日午前")</f>
        <v>2022/12/04 (日)
休日午前</v>
      </c>
      <c r="B315" s="52" t="str">
        <f ca="1">IFERROR(__xludf.DUMMYFUNCTION("""COMPUTED_VALUE"""),"勝俣")</f>
        <v>勝俣</v>
      </c>
      <c r="C315" s="52"/>
      <c r="D315" s="52" t="str">
        <f ca="1">IFERROR(__xludf.DUMMYFUNCTION("""COMPUTED_VALUE"""),"稲葉E太良A")</f>
        <v>稲葉E太良A</v>
      </c>
      <c r="E315" s="52" t="str">
        <f ca="1">IFERROR(__xludf.DUMMYFUNCTION("""COMPUTED_VALUE"""),"2022/12/18 (日)
休日午後")</f>
        <v>2022/12/18 (日)
休日午後</v>
      </c>
      <c r="F315" s="52" t="str">
        <f ca="1">IFERROR(__xludf.DUMMYFUNCTION("""COMPUTED_VALUE"""),"稲葉")</f>
        <v>稲葉</v>
      </c>
      <c r="G315" s="52"/>
      <c r="H315" s="52" t="str">
        <f ca="1">IFERROR(__xludf.DUMMYFUNCTION("""COMPUTED_VALUE"""),"松井F")</f>
        <v>松井F</v>
      </c>
    </row>
    <row r="316" spans="1:8" ht="12.75" hidden="1" x14ac:dyDescent="0.35">
      <c r="A316" s="52" t="str">
        <f ca="1">IFERROR(__xludf.DUMMYFUNCTION("""COMPUTED_VALUE"""),"2022/12/04 (日)
休日午後")</f>
        <v>2022/12/04 (日)
休日午後</v>
      </c>
      <c r="B316" s="52" t="str">
        <f ca="1">IFERROR(__xludf.DUMMYFUNCTION("""COMPUTED_VALUE"""),"太良")</f>
        <v>太良</v>
      </c>
      <c r="C316" s="52"/>
      <c r="D316" s="52" t="str">
        <f ca="1">IFERROR(__xludf.DUMMYFUNCTION("""COMPUTED_VALUE"""),"稲葉E太良A")</f>
        <v>稲葉E太良A</v>
      </c>
      <c r="E316" s="52" t="str">
        <f ca="1">IFERROR(__xludf.DUMMYFUNCTION("""COMPUTED_VALUE"""),"2022/12/19 (月)
平日夜間")</f>
        <v>2022/12/19 (月)
平日夜間</v>
      </c>
      <c r="F316" s="52" t="str">
        <f ca="1">IFERROR(__xludf.DUMMYFUNCTION("""COMPUTED_VALUE"""),"吉田")</f>
        <v>吉田</v>
      </c>
      <c r="G316" s="52"/>
      <c r="H316" s="52" t="str">
        <f ca="1">IFERROR(__xludf.DUMMYFUNCTION("""COMPUTED_VALUE"""),"吉田教育")</f>
        <v>吉田教育</v>
      </c>
    </row>
    <row r="317" spans="1:8" ht="12.75" hidden="1" x14ac:dyDescent="0.35">
      <c r="A317" s="52" t="str">
        <f ca="1">IFERROR(__xludf.DUMMYFUNCTION("""COMPUTED_VALUE"""),"2022/12/05 (月)
平日夜間")</f>
        <v>2022/12/05 (月)
平日夜間</v>
      </c>
      <c r="B317" s="52" t="str">
        <f ca="1">IFERROR(__xludf.DUMMYFUNCTION("""COMPUTED_VALUE"""),"西谷")</f>
        <v>西谷</v>
      </c>
      <c r="C317" s="52"/>
      <c r="D317" s="52" t="str">
        <f ca="1">IFERROR(__xludf.DUMMYFUNCTION("""COMPUTED_VALUE"""),"西谷病棟")</f>
        <v>西谷病棟</v>
      </c>
      <c r="E317" s="52" t="str">
        <f ca="1">IFERROR(__xludf.DUMMYFUNCTION("""COMPUTED_VALUE"""),"2022/12/20 (火)
平日夜間")</f>
        <v>2022/12/20 (火)
平日夜間</v>
      </c>
      <c r="F317" s="52" t="str">
        <f ca="1">IFERROR(__xludf.DUMMYFUNCTION("""COMPUTED_VALUE"""),"尾田")</f>
        <v>尾田</v>
      </c>
      <c r="G317" s="52"/>
      <c r="H317" s="52" t="str">
        <f ca="1">IFERROR(__xludf.DUMMYFUNCTION("""COMPUTED_VALUE"""),"尾田教育")</f>
        <v>尾田教育</v>
      </c>
    </row>
    <row r="318" spans="1:8" ht="12.75" hidden="1" x14ac:dyDescent="0.35">
      <c r="A318" s="52" t="str">
        <f ca="1">IFERROR(__xludf.DUMMYFUNCTION("""COMPUTED_VALUE"""),"2022/12/06 (火)
平日夜間")</f>
        <v>2022/12/06 (火)
平日夜間</v>
      </c>
      <c r="B318" s="52" t="str">
        <f ca="1">IFERROR(__xludf.DUMMYFUNCTION("""COMPUTED_VALUE"""),"稲葉")</f>
        <v>稲葉</v>
      </c>
      <c r="C318" s="52"/>
      <c r="D318" s="52"/>
      <c r="E318" s="52" t="str">
        <f ca="1">IFERROR(__xludf.DUMMYFUNCTION("""COMPUTED_VALUE"""),"2022/12/21 (水)
平日夜間")</f>
        <v>2022/12/21 (水)
平日夜間</v>
      </c>
      <c r="F318" s="52" t="str">
        <f ca="1">IFERROR(__xludf.DUMMYFUNCTION("""COMPUTED_VALUE"""),"林智")</f>
        <v>林智</v>
      </c>
      <c r="G318" s="52"/>
      <c r="H318" s="52" t="str">
        <f ca="1">IFERROR(__xludf.DUMMYFUNCTION("""COMPUTED_VALUE"""),"林智教育菊野病棟")</f>
        <v>林智教育菊野病棟</v>
      </c>
    </row>
    <row r="319" spans="1:8" ht="12.75" hidden="1" x14ac:dyDescent="0.35">
      <c r="A319" s="52" t="str">
        <f ca="1">IFERROR(__xludf.DUMMYFUNCTION("""COMPUTED_VALUE"""),"2022/12/07 (水)
平日夜間")</f>
        <v>2022/12/07 (水)
平日夜間</v>
      </c>
      <c r="B319" s="52" t="str">
        <f ca="1">IFERROR(__xludf.DUMMYFUNCTION("""COMPUTED_VALUE"""),"山口")</f>
        <v>山口</v>
      </c>
      <c r="C319" s="52"/>
      <c r="D319" s="52" t="str">
        <f ca="1">IFERROR(__xludf.DUMMYFUNCTION("""COMPUTED_VALUE"""),"山口教育菊野病棟")</f>
        <v>山口教育菊野病棟</v>
      </c>
      <c r="E319" s="52" t="str">
        <f ca="1">IFERROR(__xludf.DUMMYFUNCTION("""COMPUTED_VALUE"""),"2022/12/22 (木)
平日夜間")</f>
        <v>2022/12/22 (木)
平日夜間</v>
      </c>
      <c r="F319" s="52" t="str">
        <f ca="1">IFERROR(__xludf.DUMMYFUNCTION("""COMPUTED_VALUE"""),"井上")</f>
        <v>井上</v>
      </c>
      <c r="G319" s="52"/>
      <c r="H319" s="52" t="str">
        <f ca="1">IFERROR(__xludf.DUMMYFUNCTION("""COMPUTED_VALUE"""),"井上病棟")</f>
        <v>井上病棟</v>
      </c>
    </row>
    <row r="320" spans="1:8" ht="12.75" hidden="1" x14ac:dyDescent="0.35">
      <c r="A320" s="52" t="str">
        <f ca="1">IFERROR(__xludf.DUMMYFUNCTION("""COMPUTED_VALUE"""),"2022/12/08 (木)
平日夜間")</f>
        <v>2022/12/08 (木)
平日夜間</v>
      </c>
      <c r="B320" s="52" t="str">
        <f ca="1">IFERROR(__xludf.DUMMYFUNCTION("""COMPUTED_VALUE"""),"福井")</f>
        <v>福井</v>
      </c>
      <c r="C320" s="52"/>
      <c r="D320" s="52"/>
      <c r="E320" s="52" t="str">
        <f ca="1">IFERROR(__xludf.DUMMYFUNCTION("""COMPUTED_VALUE"""),"2022/12/23 (金)
平日夜間")</f>
        <v>2022/12/23 (金)
平日夜間</v>
      </c>
      <c r="F320" s="52" t="str">
        <f ca="1">IFERROR(__xludf.DUMMYFUNCTION("""COMPUTED_VALUE"""),"山口")</f>
        <v>山口</v>
      </c>
      <c r="G320" s="52"/>
      <c r="H320" s="52" t="str">
        <f ca="1">IFERROR(__xludf.DUMMYFUNCTION("""COMPUTED_VALUE"""),"山口教育西堂病棟")</f>
        <v>山口教育西堂病棟</v>
      </c>
    </row>
    <row r="321" spans="1:8" ht="12.75" hidden="1" x14ac:dyDescent="0.35">
      <c r="A321" s="52" t="str">
        <f ca="1">IFERROR(__xludf.DUMMYFUNCTION("""COMPUTED_VALUE"""),"2022/12/09 (金)
平日夜間")</f>
        <v>2022/12/09 (金)
平日夜間</v>
      </c>
      <c r="B321" s="52" t="str">
        <f ca="1">IFERROR(__xludf.DUMMYFUNCTION("""COMPUTED_VALUE"""),"菊野")</f>
        <v>菊野</v>
      </c>
      <c r="C321" s="52"/>
      <c r="D321" s="52"/>
      <c r="E321" s="52" t="str">
        <f ca="1">IFERROR(__xludf.DUMMYFUNCTION("""COMPUTED_VALUE"""),"2022/12/24 (土)
休日午前")</f>
        <v>2022/12/24 (土)
休日午前</v>
      </c>
      <c r="F321" s="52" t="str">
        <f ca="1">IFERROR(__xludf.DUMMYFUNCTION("""COMPUTED_VALUE"""),"佐藤")</f>
        <v>佐藤</v>
      </c>
      <c r="G321" s="52"/>
      <c r="H321" s="52" t="str">
        <f ca="1">IFERROR(__xludf.DUMMYFUNCTION("""COMPUTED_VALUE"""),"佐藤F")</f>
        <v>佐藤F</v>
      </c>
    </row>
    <row r="322" spans="1:8" ht="12.75" hidden="1" x14ac:dyDescent="0.35">
      <c r="A322" s="52" t="str">
        <f ca="1">IFERROR(__xludf.DUMMYFUNCTION("""COMPUTED_VALUE"""),"2022/12/10 (土)
休日午前")</f>
        <v>2022/12/10 (土)
休日午前</v>
      </c>
      <c r="B322" s="52" t="str">
        <f ca="1">IFERROR(__xludf.DUMMYFUNCTION("""COMPUTED_VALUE"""),"井上")</f>
        <v>井上</v>
      </c>
      <c r="C322" s="52"/>
      <c r="D322" s="52" t="str">
        <f ca="1">IFERROR(__xludf.DUMMYFUNCTION("""COMPUTED_VALUE"""),"森岳B")</f>
        <v>森岳B</v>
      </c>
      <c r="E322" s="52" t="str">
        <f ca="1">IFERROR(__xludf.DUMMYFUNCTION("""COMPUTED_VALUE"""),"2022/12/24 (土)
休日午後")</f>
        <v>2022/12/24 (土)
休日午後</v>
      </c>
      <c r="F322" s="52" t="str">
        <f ca="1">IFERROR(__xludf.DUMMYFUNCTION("""COMPUTED_VALUE"""),"菊野")</f>
        <v>菊野</v>
      </c>
      <c r="G322" s="52"/>
      <c r="H322" s="52" t="str">
        <f ca="1">IFERROR(__xludf.DUMMYFUNCTION("""COMPUTED_VALUE"""),"佐藤F")</f>
        <v>佐藤F</v>
      </c>
    </row>
    <row r="323" spans="1:8" ht="12.75" hidden="1" x14ac:dyDescent="0.35">
      <c r="A323" s="52" t="str">
        <f ca="1">IFERROR(__xludf.DUMMYFUNCTION("""COMPUTED_VALUE"""),"2022/12/10 (土)
休日午後")</f>
        <v>2022/12/10 (土)
休日午後</v>
      </c>
      <c r="B323" s="52" t="str">
        <f ca="1">IFERROR(__xludf.DUMMYFUNCTION("""COMPUTED_VALUE"""),"森岳")</f>
        <v>森岳</v>
      </c>
      <c r="C323" s="52"/>
      <c r="D323" s="52" t="str">
        <f ca="1">IFERROR(__xludf.DUMMYFUNCTION("""COMPUTED_VALUE"""),"森岳B")</f>
        <v>森岳B</v>
      </c>
      <c r="E323" s="52" t="str">
        <f ca="1">IFERROR(__xludf.DUMMYFUNCTION("""COMPUTED_VALUE"""),"2022/12/25 (日)
休日午前")</f>
        <v>2022/12/25 (日)
休日午前</v>
      </c>
      <c r="F323" s="52" t="str">
        <f ca="1">IFERROR(__xludf.DUMMYFUNCTION("""COMPUTED_VALUE"""),"西谷")</f>
        <v>西谷</v>
      </c>
      <c r="G323" s="52"/>
      <c r="H323" s="52" t="str">
        <f ca="1">IFERROR(__xludf.DUMMYFUNCTION("""COMPUTED_VALUE"""),"西谷E")</f>
        <v>西谷E</v>
      </c>
    </row>
    <row r="324" spans="1:8" ht="12.75" hidden="1" x14ac:dyDescent="0.35">
      <c r="A324" s="52" t="str">
        <f ca="1">IFERROR(__xludf.DUMMYFUNCTION("""COMPUTED_VALUE"""),"2022/12/11 (日)
休日午前")</f>
        <v>2022/12/11 (日)
休日午前</v>
      </c>
      <c r="B324" s="52" t="str">
        <f ca="1">IFERROR(__xludf.DUMMYFUNCTION("""COMPUTED_VALUE"""),"山口")</f>
        <v>山口</v>
      </c>
      <c r="C324" s="52"/>
      <c r="D324" s="52" t="str">
        <f ca="1">IFERROR(__xludf.DUMMYFUNCTION("""COMPUTED_VALUE"""),"伊藤F松井A")</f>
        <v>伊藤F松井A</v>
      </c>
      <c r="E324" s="52" t="str">
        <f ca="1">IFERROR(__xludf.DUMMYFUNCTION("""COMPUTED_VALUE"""),"2022/12/25 (日)
休日午後")</f>
        <v>2022/12/25 (日)
休日午後</v>
      </c>
      <c r="F324" s="52" t="str">
        <f ca="1">IFERROR(__xludf.DUMMYFUNCTION("""COMPUTED_VALUE"""),"伊藤")</f>
        <v>伊藤</v>
      </c>
      <c r="G324" s="52"/>
      <c r="H324" s="52" t="str">
        <f ca="1">IFERROR(__xludf.DUMMYFUNCTION("""COMPUTED_VALUE"""),"西谷E")</f>
        <v>西谷E</v>
      </c>
    </row>
    <row r="325" spans="1:8" ht="12.75" hidden="1" x14ac:dyDescent="0.35">
      <c r="A325" s="52" t="str">
        <f ca="1">IFERROR(__xludf.DUMMYFUNCTION("""COMPUTED_VALUE"""),"2022/12/11 (日)
休日午後")</f>
        <v>2022/12/11 (日)
休日午後</v>
      </c>
      <c r="B325" s="52" t="str">
        <f ca="1">IFERROR(__xludf.DUMMYFUNCTION("""COMPUTED_VALUE"""),"松井")</f>
        <v>松井</v>
      </c>
      <c r="C325" s="52"/>
      <c r="D325" s="52" t="str">
        <f ca="1">IFERROR(__xludf.DUMMYFUNCTION("""COMPUTED_VALUE"""),"伊藤F松井A")</f>
        <v>伊藤F松井A</v>
      </c>
      <c r="E325" s="52" t="str">
        <f ca="1">IFERROR(__xludf.DUMMYFUNCTION("""COMPUTED_VALUE"""),"2022/12/26 (月)
平日夜間")</f>
        <v>2022/12/26 (月)
平日夜間</v>
      </c>
      <c r="F325" s="52" t="str">
        <f ca="1">IFERROR(__xludf.DUMMYFUNCTION("""COMPUTED_VALUE"""),"福井")</f>
        <v>福井</v>
      </c>
      <c r="G325" s="52"/>
      <c r="H325" s="52" t="str">
        <f ca="1">IFERROR(__xludf.DUMMYFUNCTION("""COMPUTED_VALUE"""),"福井病棟")</f>
        <v>福井病棟</v>
      </c>
    </row>
    <row r="326" spans="1:8" ht="12.75" hidden="1" x14ac:dyDescent="0.35">
      <c r="A326" s="52" t="str">
        <f ca="1">IFERROR(__xludf.DUMMYFUNCTION("""COMPUTED_VALUE"""),"2022/12/12 (月)
平日夜間")</f>
        <v>2022/12/12 (月)
平日夜間</v>
      </c>
      <c r="B326" s="52" t="str">
        <f ca="1">IFERROR(__xludf.DUMMYFUNCTION("""COMPUTED_VALUE"""),"中野")</f>
        <v>中野</v>
      </c>
      <c r="C326" s="52"/>
      <c r="D326" s="52" t="str">
        <f ca="1">IFERROR(__xludf.DUMMYFUNCTION("""COMPUTED_VALUE"""),"尾田教育中野病棟")</f>
        <v>尾田教育中野病棟</v>
      </c>
      <c r="E326" s="52" t="str">
        <f ca="1">IFERROR(__xludf.DUMMYFUNCTION("""COMPUTED_VALUE"""),"2022/12/27 (火)
平日夜間")</f>
        <v>2022/12/27 (火)
平日夜間</v>
      </c>
      <c r="F326" s="52" t="str">
        <f ca="1">IFERROR(__xludf.DUMMYFUNCTION("""COMPUTED_VALUE"""),"佐藤")</f>
        <v>佐藤</v>
      </c>
      <c r="G326" s="52"/>
      <c r="H326" s="52"/>
    </row>
    <row r="327" spans="1:8" ht="12.75" hidden="1" x14ac:dyDescent="0.35">
      <c r="A327" s="52" t="str">
        <f ca="1">IFERROR(__xludf.DUMMYFUNCTION("""COMPUTED_VALUE"""),"2022/12/13 (火)
平日夜間")</f>
        <v>2022/12/13 (火)
平日夜間</v>
      </c>
      <c r="B327" s="52" t="str">
        <f ca="1">IFERROR(__xludf.DUMMYFUNCTION("""COMPUTED_VALUE"""),"松井")</f>
        <v>松井</v>
      </c>
      <c r="C327" s="52"/>
      <c r="D327" s="52"/>
      <c r="E327" s="52" t="str">
        <f ca="1">IFERROR(__xludf.DUMMYFUNCTION("""COMPUTED_VALUE"""),"2022/12/28 (水)
平日夜間")</f>
        <v>2022/12/28 (水)
平日夜間</v>
      </c>
      <c r="F327" s="52" t="str">
        <f ca="1">IFERROR(__xludf.DUMMYFUNCTION("""COMPUTED_VALUE"""),"勝俣")</f>
        <v>勝俣</v>
      </c>
      <c r="G327" s="52"/>
      <c r="H327" s="52" t="str">
        <f ca="1">IFERROR(__xludf.DUMMYFUNCTION("""COMPUTED_VALUE"""),"勝俣病棟")</f>
        <v>勝俣病棟</v>
      </c>
    </row>
    <row r="328" spans="1:8" ht="12.75" hidden="1" x14ac:dyDescent="0.35">
      <c r="A328" s="52" t="str">
        <f ca="1">IFERROR(__xludf.DUMMYFUNCTION("""COMPUTED_VALUE"""),"2022/12/14 (水)
平日夜間")</f>
        <v>2022/12/14 (水)
平日夜間</v>
      </c>
      <c r="B328" s="52" t="str">
        <f ca="1">IFERROR(__xludf.DUMMYFUNCTION("""COMPUTED_VALUE"""),"林智")</f>
        <v>林智</v>
      </c>
      <c r="C328" s="52"/>
      <c r="D328" s="52" t="str">
        <f ca="1">IFERROR(__xludf.DUMMYFUNCTION("""COMPUTED_VALUE"""),"林智")</f>
        <v>林智</v>
      </c>
      <c r="E328" s="52" t="str">
        <f ca="1">IFERROR(__xludf.DUMMYFUNCTION("""COMPUTED_VALUE"""),"2023/01/04 (水)
平日夜間")</f>
        <v>2023/01/04 (水)
平日夜間</v>
      </c>
      <c r="F328" s="52" t="str">
        <f ca="1">IFERROR(__xludf.DUMMYFUNCTION("""COMPUTED_VALUE"""),"松井")</f>
        <v>松井</v>
      </c>
      <c r="G328" s="52"/>
      <c r="H328" s="52" t="str">
        <f ca="1">IFERROR(__xludf.DUMMYFUNCTION("""COMPUTED_VALUE"""),"松井病棟林智コマ")</f>
        <v>松井病棟林智コマ</v>
      </c>
    </row>
    <row r="329" spans="1:8" ht="12.75" hidden="1" x14ac:dyDescent="0.35">
      <c r="A329" s="52" t="str">
        <f ca="1">IFERROR(__xludf.DUMMYFUNCTION("""COMPUTED_VALUE"""),"2022/12/15 (木)
平日夜間")</f>
        <v>2022/12/15 (木)
平日夜間</v>
      </c>
      <c r="B329" s="52" t="str">
        <f ca="1">IFERROR(__xludf.DUMMYFUNCTION("""COMPUTED_VALUE"""),"竹藤")</f>
        <v>竹藤</v>
      </c>
      <c r="C329" s="52" t="str">
        <f ca="1">IFERROR(__xludf.DUMMYFUNCTION("""COMPUTED_VALUE"""),"西堂")</f>
        <v>西堂</v>
      </c>
      <c r="D329" s="52"/>
      <c r="E329" s="52" t="str">
        <f ca="1">IFERROR(__xludf.DUMMYFUNCTION("""COMPUTED_VALUE"""),"2023/01/05 (木)
平日夜間")</f>
        <v>2023/01/05 (木)
平日夜間</v>
      </c>
      <c r="F329" s="52" t="str">
        <f ca="1">IFERROR(__xludf.DUMMYFUNCTION("""COMPUTED_VALUE"""),"伊藤")</f>
        <v>伊藤</v>
      </c>
      <c r="G329" s="52"/>
      <c r="H329" s="52"/>
    </row>
    <row r="330" spans="1:8" ht="12.75" hidden="1" x14ac:dyDescent="0.35">
      <c r="A330" s="52" t="str">
        <f ca="1">IFERROR(__xludf.DUMMYFUNCTION("""COMPUTED_VALUE"""),"2022/12/16 (金)
平日夜間")</f>
        <v>2022/12/16 (金)
平日夜間</v>
      </c>
      <c r="B330" s="52" t="str">
        <f ca="1">IFERROR(__xludf.DUMMYFUNCTION("""COMPUTED_VALUE"""),"中瀬")</f>
        <v>中瀬</v>
      </c>
      <c r="C330" s="52"/>
      <c r="D330" s="52" t="str">
        <f ca="1">IFERROR(__xludf.DUMMYFUNCTION("""COMPUTED_VALUE"""),"中瀬病棟")</f>
        <v>中瀬病棟</v>
      </c>
      <c r="E330" s="52" t="str">
        <f ca="1">IFERROR(__xludf.DUMMYFUNCTION("""COMPUTED_VALUE"""),"2023/01/06 (金)
平日夜間")</f>
        <v>2023/01/06 (金)
平日夜間</v>
      </c>
      <c r="F330" s="52" t="str">
        <f ca="1">IFERROR(__xludf.DUMMYFUNCTION("""COMPUTED_VALUE"""),"菊野")</f>
        <v>菊野</v>
      </c>
      <c r="G330" s="52"/>
      <c r="H330" s="52" t="str">
        <f ca="1">IFERROR(__xludf.DUMMYFUNCTION("""COMPUTED_VALUE"""),"竹藤コマ")</f>
        <v>竹藤コマ</v>
      </c>
    </row>
    <row r="331" spans="1:8" ht="12.75" hidden="1" x14ac:dyDescent="0.35">
      <c r="A331" s="52" t="str">
        <f ca="1">IFERROR(__xludf.DUMMYFUNCTION("""COMPUTED_VALUE"""),"2022/12/17 (土)
休日午前")</f>
        <v>2022/12/17 (土)
休日午前</v>
      </c>
      <c r="B331" s="52" t="str">
        <f ca="1">IFERROR(__xludf.DUMMYFUNCTION("""COMPUTED_VALUE"""),"中瀬")</f>
        <v>中瀬</v>
      </c>
      <c r="C331" s="52"/>
      <c r="D331" s="52" t="str">
        <f ca="1">IFERROR(__xludf.DUMMYFUNCTION("""COMPUTED_VALUE"""),"佐藤E")</f>
        <v>佐藤E</v>
      </c>
      <c r="E331" s="52" t="str">
        <f ca="1">IFERROR(__xludf.DUMMYFUNCTION("""COMPUTED_VALUE"""),"2023/01/07 (土)
休日午前")</f>
        <v>2023/01/07 (土)
休日午前</v>
      </c>
      <c r="F331" s="52" t="str">
        <f ca="1">IFERROR(__xludf.DUMMYFUNCTION("""COMPUTED_VALUE"""),"井上")</f>
        <v>井上</v>
      </c>
      <c r="G331" s="52"/>
      <c r="H331" s="52" t="str">
        <f ca="1">IFERROR(__xludf.DUMMYFUNCTION("""COMPUTED_VALUE"""),"勝俣E")</f>
        <v>勝俣E</v>
      </c>
    </row>
    <row r="332" spans="1:8" ht="12.75" hidden="1" x14ac:dyDescent="0.35">
      <c r="A332" s="52" t="str">
        <f ca="1">IFERROR(__xludf.DUMMYFUNCTION("""COMPUTED_VALUE"""),"2022/12/17 (土)
休日午後")</f>
        <v>2022/12/17 (土)
休日午後</v>
      </c>
      <c r="B332" s="52" t="str">
        <f ca="1">IFERROR(__xludf.DUMMYFUNCTION("""COMPUTED_VALUE"""),"竹藤")</f>
        <v>竹藤</v>
      </c>
      <c r="C332" s="52"/>
      <c r="D332" s="52" t="str">
        <f ca="1">IFERROR(__xludf.DUMMYFUNCTION("""COMPUTED_VALUE"""),"佐藤E")</f>
        <v>佐藤E</v>
      </c>
      <c r="E332" s="52" t="str">
        <f ca="1">IFERROR(__xludf.DUMMYFUNCTION("""COMPUTED_VALUE"""),"2023/01/07 (土)
休日午後")</f>
        <v>2023/01/07 (土)
休日午後</v>
      </c>
      <c r="F332" s="52" t="str">
        <f ca="1">IFERROR(__xludf.DUMMYFUNCTION("""COMPUTED_VALUE"""),"勝俣")</f>
        <v>勝俣</v>
      </c>
      <c r="G332" s="52"/>
      <c r="H332" s="52" t="str">
        <f ca="1">IFERROR(__xludf.DUMMYFUNCTION("""COMPUTED_VALUE"""),"勝俣E")</f>
        <v>勝俣E</v>
      </c>
    </row>
    <row r="333" spans="1:8" ht="12.75" hidden="1" x14ac:dyDescent="0.35">
      <c r="A333" s="52" t="str">
        <f ca="1">IFERROR(__xludf.DUMMYFUNCTION("""COMPUTED_VALUE"""),"2022/12/18 (日)
休日午前")</f>
        <v>2022/12/18 (日)
休日午前</v>
      </c>
      <c r="B333" s="52" t="str">
        <f ca="1">IFERROR(__xludf.DUMMYFUNCTION("""COMPUTED_VALUE"""),"新美")</f>
        <v>新美</v>
      </c>
      <c r="C333" s="52"/>
      <c r="D333" s="52" t="str">
        <f ca="1">IFERROR(__xludf.DUMMYFUNCTION("""COMPUTED_VALUE"""),"松井F")</f>
        <v>松井F</v>
      </c>
      <c r="E333" s="52" t="str">
        <f ca="1">IFERROR(__xludf.DUMMYFUNCTION("""COMPUTED_VALUE"""),"2023/01/08 (日)
休日午前")</f>
        <v>2023/01/08 (日)
休日午前</v>
      </c>
      <c r="F333" s="52" t="str">
        <f ca="1">IFERROR(__xludf.DUMMYFUNCTION("""COMPUTED_VALUE"""),"福井")</f>
        <v>福井</v>
      </c>
      <c r="G333" s="52"/>
      <c r="H333" s="52" t="str">
        <f ca="1">IFERROR(__xludf.DUMMYFUNCTION("""COMPUTED_VALUE"""),"福井E")</f>
        <v>福井E</v>
      </c>
    </row>
    <row r="334" spans="1:8" ht="12.75" hidden="1" x14ac:dyDescent="0.35">
      <c r="A334" s="52" t="str">
        <f ca="1">IFERROR(__xludf.DUMMYFUNCTION("""COMPUTED_VALUE"""),"2022/12/18 (日)
休日午後")</f>
        <v>2022/12/18 (日)
休日午後</v>
      </c>
      <c r="B334" s="52" t="str">
        <f ca="1">IFERROR(__xludf.DUMMYFUNCTION("""COMPUTED_VALUE"""),"稲葉")</f>
        <v>稲葉</v>
      </c>
      <c r="C334" s="52"/>
      <c r="D334" s="52" t="str">
        <f ca="1">IFERROR(__xludf.DUMMYFUNCTION("""COMPUTED_VALUE"""),"松井F")</f>
        <v>松井F</v>
      </c>
      <c r="E334" s="52" t="str">
        <f ca="1">IFERROR(__xludf.DUMMYFUNCTION("""COMPUTED_VALUE"""),"2023/01/08 (日)
休日午後")</f>
        <v>2023/01/08 (日)
休日午後</v>
      </c>
      <c r="F334" s="52" t="str">
        <f ca="1">IFERROR(__xludf.DUMMYFUNCTION("""COMPUTED_VALUE"""),"山口")</f>
        <v>山口</v>
      </c>
      <c r="G334" s="52"/>
      <c r="H334" s="52" t="str">
        <f ca="1">IFERROR(__xludf.DUMMYFUNCTION("""COMPUTED_VALUE"""),"福井E")</f>
        <v>福井E</v>
      </c>
    </row>
    <row r="335" spans="1:8" ht="12.75" hidden="1" x14ac:dyDescent="0.35">
      <c r="A335" s="52" t="str">
        <f ca="1">IFERROR(__xludf.DUMMYFUNCTION("""COMPUTED_VALUE"""),"2022/12/19 (月)
平日夜間")</f>
        <v>2022/12/19 (月)
平日夜間</v>
      </c>
      <c r="B335" s="52" t="str">
        <f ca="1">IFERROR(__xludf.DUMMYFUNCTION("""COMPUTED_VALUE"""),"吉田")</f>
        <v>吉田</v>
      </c>
      <c r="C335" s="52"/>
      <c r="D335" s="52" t="str">
        <f ca="1">IFERROR(__xludf.DUMMYFUNCTION("""COMPUTED_VALUE"""),"吉田教育")</f>
        <v>吉田教育</v>
      </c>
      <c r="E335" s="52" t="str">
        <f ca="1">IFERROR(__xludf.DUMMYFUNCTION("""COMPUTED_VALUE"""),"2023/01/09 (月)
休日午前")</f>
        <v>2023/01/09 (月)
休日午前</v>
      </c>
      <c r="F335" s="52" t="str">
        <f ca="1">IFERROR(__xludf.DUMMYFUNCTION("""COMPUTED_VALUE"""),"伊藤")</f>
        <v>伊藤</v>
      </c>
      <c r="G335" s="52"/>
      <c r="H335" s="52" t="str">
        <f ca="1">IFERROR(__xludf.DUMMYFUNCTION("""COMPUTED_VALUE"""),"森E竹藤コマ日勤")</f>
        <v>森E竹藤コマ日勤</v>
      </c>
    </row>
    <row r="336" spans="1:8" ht="12.75" hidden="1" x14ac:dyDescent="0.35">
      <c r="A336" s="52" t="str">
        <f ca="1">IFERROR(__xludf.DUMMYFUNCTION("""COMPUTED_VALUE"""),"2022/12/20 (火)
平日夜間")</f>
        <v>2022/12/20 (火)
平日夜間</v>
      </c>
      <c r="B336" s="52" t="str">
        <f ca="1">IFERROR(__xludf.DUMMYFUNCTION("""COMPUTED_VALUE"""),"尾田")</f>
        <v>尾田</v>
      </c>
      <c r="C336" s="52"/>
      <c r="D336" s="52" t="str">
        <f ca="1">IFERROR(__xludf.DUMMYFUNCTION("""COMPUTED_VALUE"""),"尾田教育")</f>
        <v>尾田教育</v>
      </c>
      <c r="E336" s="52" t="str">
        <f ca="1">IFERROR(__xludf.DUMMYFUNCTION("""COMPUTED_VALUE"""),"2023/01/09 (月)
休日午後")</f>
        <v>2023/01/09 (月)
休日午後</v>
      </c>
      <c r="F336" s="52" t="str">
        <f ca="1">IFERROR(__xludf.DUMMYFUNCTION("""COMPUTED_VALUE"""),"西堂")</f>
        <v>西堂</v>
      </c>
      <c r="G336" s="52"/>
      <c r="H336" s="52" t="str">
        <f ca="1">IFERROR(__xludf.DUMMYFUNCTION("""COMPUTED_VALUE"""),"森E林智コマ夜勤")</f>
        <v>森E林智コマ夜勤</v>
      </c>
    </row>
    <row r="337" spans="1:8" ht="12.75" hidden="1" x14ac:dyDescent="0.35">
      <c r="A337" s="52" t="str">
        <f ca="1">IFERROR(__xludf.DUMMYFUNCTION("""COMPUTED_VALUE"""),"2022/12/21 (水)
平日夜間")</f>
        <v>2022/12/21 (水)
平日夜間</v>
      </c>
      <c r="B337" s="52" t="str">
        <f ca="1">IFERROR(__xludf.DUMMYFUNCTION("""COMPUTED_VALUE"""),"林智")</f>
        <v>林智</v>
      </c>
      <c r="C337" s="52"/>
      <c r="D337" s="52" t="str">
        <f ca="1">IFERROR(__xludf.DUMMYFUNCTION("""COMPUTED_VALUE"""),"林智教育菊野病棟")</f>
        <v>林智教育菊野病棟</v>
      </c>
      <c r="E337" s="52" t="str">
        <f ca="1">IFERROR(__xludf.DUMMYFUNCTION("""COMPUTED_VALUE"""),"2023/01/10 (火)
平日夜間")</f>
        <v>2023/01/10 (火)
平日夜間</v>
      </c>
      <c r="F337" s="52" t="str">
        <f ca="1">IFERROR(__xludf.DUMMYFUNCTION("""COMPUTED_VALUE"""),"山口")</f>
        <v>山口</v>
      </c>
      <c r="G337" s="52"/>
      <c r="H337" s="52" t="str">
        <f ca="1">IFERROR(__xludf.DUMMYFUNCTION("""COMPUTED_VALUE"""),"吉田コマ")</f>
        <v>吉田コマ</v>
      </c>
    </row>
    <row r="338" spans="1:8" ht="12.75" hidden="1" x14ac:dyDescent="0.35">
      <c r="A338" s="52" t="str">
        <f ca="1">IFERROR(__xludf.DUMMYFUNCTION("""COMPUTED_VALUE"""),"2022/12/22 (木)
平日夜間")</f>
        <v>2022/12/22 (木)
平日夜間</v>
      </c>
      <c r="B338" s="52" t="str">
        <f ca="1">IFERROR(__xludf.DUMMYFUNCTION("""COMPUTED_VALUE"""),"井上")</f>
        <v>井上</v>
      </c>
      <c r="C338" s="52"/>
      <c r="D338" s="52" t="str">
        <f ca="1">IFERROR(__xludf.DUMMYFUNCTION("""COMPUTED_VALUE"""),"井上病棟")</f>
        <v>井上病棟</v>
      </c>
      <c r="E338" s="52" t="str">
        <f ca="1">IFERROR(__xludf.DUMMYFUNCTION("""COMPUTED_VALUE"""),"2023/01/11 (水)
平日夜間")</f>
        <v>2023/01/11 (水)
平日夜間</v>
      </c>
      <c r="F338" s="52" t="str">
        <f ca="1">IFERROR(__xludf.DUMMYFUNCTION("""COMPUTED_VALUE"""),"竹藤")</f>
        <v>竹藤</v>
      </c>
      <c r="G338" s="52"/>
      <c r="H338" s="52" t="str">
        <f ca="1">IFERROR(__xludf.DUMMYFUNCTION("""COMPUTED_VALUE"""),"竹藤教育西堂病棟")</f>
        <v>竹藤教育西堂病棟</v>
      </c>
    </row>
    <row r="339" spans="1:8" ht="12.75" hidden="1" x14ac:dyDescent="0.35">
      <c r="A339" s="52" t="str">
        <f ca="1">IFERROR(__xludf.DUMMYFUNCTION("""COMPUTED_VALUE"""),"2022/12/23 (金)
平日夜間")</f>
        <v>2022/12/23 (金)
平日夜間</v>
      </c>
      <c r="B339" s="52" t="str">
        <f ca="1">IFERROR(__xludf.DUMMYFUNCTION("""COMPUTED_VALUE"""),"山口")</f>
        <v>山口</v>
      </c>
      <c r="C339" s="52"/>
      <c r="D339" s="52" t="str">
        <f ca="1">IFERROR(__xludf.DUMMYFUNCTION("""COMPUTED_VALUE"""),"山口教育西堂病棟")</f>
        <v>山口教育西堂病棟</v>
      </c>
      <c r="E339" s="52" t="str">
        <f ca="1">IFERROR(__xludf.DUMMYFUNCTION("""COMPUTED_VALUE"""),"2023/01/12 (木)
平日夜間")</f>
        <v>2023/01/12 (木)
平日夜間</v>
      </c>
      <c r="F339" s="52" t="str">
        <f ca="1">IFERROR(__xludf.DUMMYFUNCTION("""COMPUTED_VALUE"""),"西谷")</f>
        <v>西谷</v>
      </c>
      <c r="G339" s="52"/>
      <c r="H339" s="52"/>
    </row>
    <row r="340" spans="1:8" ht="12.75" hidden="1" x14ac:dyDescent="0.35">
      <c r="A340" s="52" t="str">
        <f ca="1">IFERROR(__xludf.DUMMYFUNCTION("""COMPUTED_VALUE"""),"2022/12/24 (土)
休日午前")</f>
        <v>2022/12/24 (土)
休日午前</v>
      </c>
      <c r="B340" s="52" t="str">
        <f ca="1">IFERROR(__xludf.DUMMYFUNCTION("""COMPUTED_VALUE"""),"佐藤")</f>
        <v>佐藤</v>
      </c>
      <c r="C340" s="52"/>
      <c r="D340" s="52" t="str">
        <f ca="1">IFERROR(__xludf.DUMMYFUNCTION("""COMPUTED_VALUE"""),"佐藤F")</f>
        <v>佐藤F</v>
      </c>
      <c r="E340" s="52" t="str">
        <f ca="1">IFERROR(__xludf.DUMMYFUNCTION("""COMPUTED_VALUE"""),"2023/01/13 (金)
平日夜間")</f>
        <v>2023/01/13 (金)
平日夜間</v>
      </c>
      <c r="F340" s="52" t="str">
        <f ca="1">IFERROR(__xludf.DUMMYFUNCTION("""COMPUTED_VALUE"""),"井上")</f>
        <v>井上</v>
      </c>
      <c r="G340" s="52"/>
      <c r="H340" s="52" t="str">
        <f ca="1">IFERROR(__xludf.DUMMYFUNCTION("""COMPUTED_VALUE"""),"井上病棟")</f>
        <v>井上病棟</v>
      </c>
    </row>
    <row r="341" spans="1:8" ht="12.75" hidden="1" x14ac:dyDescent="0.35">
      <c r="A341" s="52" t="str">
        <f ca="1">IFERROR(__xludf.DUMMYFUNCTION("""COMPUTED_VALUE"""),"2022/12/24 (土)
休日午後")</f>
        <v>2022/12/24 (土)
休日午後</v>
      </c>
      <c r="B341" s="52" t="str">
        <f ca="1">IFERROR(__xludf.DUMMYFUNCTION("""COMPUTED_VALUE"""),"菊野")</f>
        <v>菊野</v>
      </c>
      <c r="C341" s="52"/>
      <c r="D341" s="52" t="str">
        <f ca="1">IFERROR(__xludf.DUMMYFUNCTION("""COMPUTED_VALUE"""),"佐藤F")</f>
        <v>佐藤F</v>
      </c>
      <c r="E341" s="52" t="str">
        <f ca="1">IFERROR(__xludf.DUMMYFUNCTION("""COMPUTED_VALUE"""),"2023/01/14 (土)
休日午前")</f>
        <v>2023/01/14 (土)
休日午前</v>
      </c>
      <c r="F341" s="52" t="str">
        <f ca="1">IFERROR(__xludf.DUMMYFUNCTION("""COMPUTED_VALUE"""),"竹藤")</f>
        <v>竹藤</v>
      </c>
      <c r="G341" s="52"/>
      <c r="H341" s="52" t="str">
        <f ca="1">IFERROR(__xludf.DUMMYFUNCTION("""COMPUTED_VALUE"""),"西谷A")</f>
        <v>西谷A</v>
      </c>
    </row>
    <row r="342" spans="1:8" ht="12.75" hidden="1" x14ac:dyDescent="0.35">
      <c r="A342" s="52" t="str">
        <f ca="1">IFERROR(__xludf.DUMMYFUNCTION("""COMPUTED_VALUE"""),"2022/12/25 (日)
休日午前")</f>
        <v>2022/12/25 (日)
休日午前</v>
      </c>
      <c r="B342" s="52" t="str">
        <f ca="1">IFERROR(__xludf.DUMMYFUNCTION("""COMPUTED_VALUE"""),"西谷")</f>
        <v>西谷</v>
      </c>
      <c r="C342" s="52"/>
      <c r="D342" s="52" t="str">
        <f ca="1">IFERROR(__xludf.DUMMYFUNCTION("""COMPUTED_VALUE"""),"西谷E")</f>
        <v>西谷E</v>
      </c>
      <c r="E342" s="52" t="str">
        <f ca="1">IFERROR(__xludf.DUMMYFUNCTION("""COMPUTED_VALUE"""),"2023/01/14 (土)
休日午後")</f>
        <v>2023/01/14 (土)
休日午後</v>
      </c>
      <c r="F342" s="52" t="str">
        <f ca="1">IFERROR(__xludf.DUMMYFUNCTION("""COMPUTED_VALUE"""),"西谷")</f>
        <v>西谷</v>
      </c>
      <c r="G342" s="52"/>
      <c r="H342" s="52" t="str">
        <f ca="1">IFERROR(__xludf.DUMMYFUNCTION("""COMPUTED_VALUE"""),"西谷A")</f>
        <v>西谷A</v>
      </c>
    </row>
    <row r="343" spans="1:8" ht="12.75" hidden="1" x14ac:dyDescent="0.35">
      <c r="A343" s="52" t="str">
        <f ca="1">IFERROR(__xludf.DUMMYFUNCTION("""COMPUTED_VALUE"""),"2022/12/25 (日)
休日午後")</f>
        <v>2022/12/25 (日)
休日午後</v>
      </c>
      <c r="B343" s="52" t="str">
        <f ca="1">IFERROR(__xludf.DUMMYFUNCTION("""COMPUTED_VALUE"""),"伊藤")</f>
        <v>伊藤</v>
      </c>
      <c r="C343" s="52"/>
      <c r="D343" s="52" t="str">
        <f ca="1">IFERROR(__xludf.DUMMYFUNCTION("""COMPUTED_VALUE"""),"西谷E")</f>
        <v>西谷E</v>
      </c>
      <c r="E343" s="52" t="str">
        <f ca="1">IFERROR(__xludf.DUMMYFUNCTION("""COMPUTED_VALUE"""),"2023/01/15 (日)
休日午前")</f>
        <v>2023/01/15 (日)
休日午前</v>
      </c>
      <c r="F343" s="52" t="str">
        <f ca="1">IFERROR(__xludf.DUMMYFUNCTION("""COMPUTED_VALUE"""),"稲葉")</f>
        <v>稲葉</v>
      </c>
      <c r="G343" s="52"/>
      <c r="H343" s="52" t="str">
        <f ca="1">IFERROR(__xludf.DUMMYFUNCTION("""COMPUTED_VALUE"""),"片山C中野E伊藤F稲葉A林智B")</f>
        <v>片山C中野E伊藤F稲葉A林智B</v>
      </c>
    </row>
    <row r="344" spans="1:8" ht="12.75" hidden="1" x14ac:dyDescent="0.35">
      <c r="A344" s="52" t="str">
        <f ca="1">IFERROR(__xludf.DUMMYFUNCTION("""COMPUTED_VALUE"""),"2022/12/26 (月)
平日夜間")</f>
        <v>2022/12/26 (月)
平日夜間</v>
      </c>
      <c r="B344" s="52" t="str">
        <f ca="1">IFERROR(__xludf.DUMMYFUNCTION("""COMPUTED_VALUE"""),"福井")</f>
        <v>福井</v>
      </c>
      <c r="C344" s="52"/>
      <c r="D344" s="52" t="str">
        <f ca="1">IFERROR(__xludf.DUMMYFUNCTION("""COMPUTED_VALUE"""),"福井病棟")</f>
        <v>福井病棟</v>
      </c>
      <c r="E344" s="52" t="str">
        <f ca="1">IFERROR(__xludf.DUMMYFUNCTION("""COMPUTED_VALUE"""),"2023/01/15 (日)
休日午後")</f>
        <v>2023/01/15 (日)
休日午後</v>
      </c>
      <c r="F344" s="52" t="str">
        <f ca="1">IFERROR(__xludf.DUMMYFUNCTION("""COMPUTED_VALUE"""),"林智")</f>
        <v>林智</v>
      </c>
      <c r="G344" s="52"/>
      <c r="H344" s="52" t="str">
        <f ca="1">IFERROR(__xludf.DUMMYFUNCTION("""COMPUTED_VALUE"""),"片山C中野E伊藤F稲葉A林智B")</f>
        <v>片山C中野E伊藤F稲葉A林智B</v>
      </c>
    </row>
    <row r="345" spans="1:8" ht="12.75" hidden="1" x14ac:dyDescent="0.35">
      <c r="A345" s="52" t="str">
        <f ca="1">IFERROR(__xludf.DUMMYFUNCTION("""COMPUTED_VALUE"""),"2022/12/27 (火)
平日夜間")</f>
        <v>2022/12/27 (火)
平日夜間</v>
      </c>
      <c r="B345" s="52" t="str">
        <f ca="1">IFERROR(__xludf.DUMMYFUNCTION("""COMPUTED_VALUE"""),"佐藤")</f>
        <v>佐藤</v>
      </c>
      <c r="C345" s="52"/>
      <c r="D345" s="52"/>
      <c r="E345" s="52" t="str">
        <f ca="1">IFERROR(__xludf.DUMMYFUNCTION("""COMPUTED_VALUE"""),"2023/01/16 (月)
平日夜間")</f>
        <v>2023/01/16 (月)
平日夜間</v>
      </c>
      <c r="F345" s="52" t="str">
        <f ca="1">IFERROR(__xludf.DUMMYFUNCTION("""COMPUTED_VALUE"""),"勝俣")</f>
        <v>勝俣</v>
      </c>
      <c r="G345" s="52"/>
      <c r="H345" s="52" t="str">
        <f ca="1">IFERROR(__xludf.DUMMYFUNCTION("""COMPUTED_VALUE"""),"勝俣病棟太良コマ")</f>
        <v>勝俣病棟太良コマ</v>
      </c>
    </row>
    <row r="346" spans="1:8" ht="12.75" hidden="1" x14ac:dyDescent="0.35">
      <c r="A346" s="52" t="str">
        <f ca="1">IFERROR(__xludf.DUMMYFUNCTION("""COMPUTED_VALUE"""),"2022/12/28 (水)
平日夜間")</f>
        <v>2022/12/28 (水)
平日夜間</v>
      </c>
      <c r="B346" s="52" t="str">
        <f ca="1">IFERROR(__xludf.DUMMYFUNCTION("""COMPUTED_VALUE"""),"勝俣")</f>
        <v>勝俣</v>
      </c>
      <c r="C346" s="52"/>
      <c r="D346" s="52" t="str">
        <f ca="1">IFERROR(__xludf.DUMMYFUNCTION("""COMPUTED_VALUE"""),"勝俣病棟")</f>
        <v>勝俣病棟</v>
      </c>
      <c r="E346" s="52" t="str">
        <f ca="1">IFERROR(__xludf.DUMMYFUNCTION("""COMPUTED_VALUE"""),"2023/01/17 (火)
平日夜間")</f>
        <v>2023/01/17 (火)
平日夜間</v>
      </c>
      <c r="F346" s="52" t="str">
        <f ca="1">IFERROR(__xludf.DUMMYFUNCTION("""COMPUTED_VALUE"""),"中瀬")</f>
        <v>中瀬</v>
      </c>
      <c r="G346" s="52"/>
      <c r="H346" s="52" t="str">
        <f ca="1">IFERROR(__xludf.DUMMYFUNCTION("""COMPUTED_VALUE"""),"新美コマ")</f>
        <v>新美コマ</v>
      </c>
    </row>
    <row r="347" spans="1:8" ht="12.75" hidden="1" x14ac:dyDescent="0.35">
      <c r="A347" s="52" t="str">
        <f ca="1">IFERROR(__xludf.DUMMYFUNCTION("""COMPUTED_VALUE"""),"2023/01/04 (水)
平日夜間")</f>
        <v>2023/01/04 (水)
平日夜間</v>
      </c>
      <c r="B347" s="52" t="str">
        <f ca="1">IFERROR(__xludf.DUMMYFUNCTION("""COMPUTED_VALUE"""),"松井")</f>
        <v>松井</v>
      </c>
      <c r="C347" s="52"/>
      <c r="D347" s="52" t="str">
        <f ca="1">IFERROR(__xludf.DUMMYFUNCTION("""COMPUTED_VALUE"""),"松井病棟林智コマ")</f>
        <v>松井病棟林智コマ</v>
      </c>
      <c r="E347" s="52" t="str">
        <f ca="1">IFERROR(__xludf.DUMMYFUNCTION("""COMPUTED_VALUE"""),"2023/01/18 (水)
平日夜間")</f>
        <v>2023/01/18 (水)
平日夜間</v>
      </c>
      <c r="F347" s="52" t="str">
        <f ca="1">IFERROR(__xludf.DUMMYFUNCTION("""COMPUTED_VALUE"""),"松井")</f>
        <v>松井</v>
      </c>
      <c r="G347" s="52"/>
      <c r="H347" s="52" t="str">
        <f ca="1">IFERROR(__xludf.DUMMYFUNCTION("""COMPUTED_VALUE"""),"松井病棟")</f>
        <v>松井病棟</v>
      </c>
    </row>
    <row r="348" spans="1:8" ht="12.75" hidden="1" x14ac:dyDescent="0.35">
      <c r="A348" s="52" t="str">
        <f ca="1">IFERROR(__xludf.DUMMYFUNCTION("""COMPUTED_VALUE"""),"2023/01/05 (木)
平日夜間")</f>
        <v>2023/01/05 (木)
平日夜間</v>
      </c>
      <c r="B348" s="52" t="str">
        <f ca="1">IFERROR(__xludf.DUMMYFUNCTION("""COMPUTED_VALUE"""),"伊藤")</f>
        <v>伊藤</v>
      </c>
      <c r="C348" s="52"/>
      <c r="D348" s="52"/>
      <c r="E348" s="52" t="str">
        <f ca="1">IFERROR(__xludf.DUMMYFUNCTION("""COMPUTED_VALUE"""),"2023/01/19 (木)
平日夜間")</f>
        <v>2023/01/19 (木)
平日夜間</v>
      </c>
      <c r="F348" s="52" t="str">
        <f ca="1">IFERROR(__xludf.DUMMYFUNCTION("""COMPUTED_VALUE"""),"佐藤")</f>
        <v>佐藤</v>
      </c>
      <c r="G348" s="52"/>
      <c r="H348" s="52"/>
    </row>
    <row r="349" spans="1:8" ht="12.75" hidden="1" x14ac:dyDescent="0.35">
      <c r="A349" s="52" t="str">
        <f ca="1">IFERROR(__xludf.DUMMYFUNCTION("""COMPUTED_VALUE"""),"2023/01/06 (金)
平日夜間")</f>
        <v>2023/01/06 (金)
平日夜間</v>
      </c>
      <c r="B349" s="52" t="str">
        <f ca="1">IFERROR(__xludf.DUMMYFUNCTION("""COMPUTED_VALUE"""),"菊野")</f>
        <v>菊野</v>
      </c>
      <c r="C349" s="52"/>
      <c r="D349" s="52" t="str">
        <f ca="1">IFERROR(__xludf.DUMMYFUNCTION("""COMPUTED_VALUE"""),"竹藤コマ")</f>
        <v>竹藤コマ</v>
      </c>
      <c r="E349" s="52" t="str">
        <f ca="1">IFERROR(__xludf.DUMMYFUNCTION("""COMPUTED_VALUE"""),"2023/01/20 (金)
平日夜間")</f>
        <v>2023/01/20 (金)
平日夜間</v>
      </c>
      <c r="F349" s="52" t="str">
        <f ca="1">IFERROR(__xludf.DUMMYFUNCTION("""COMPUTED_VALUE"""),"西堂")</f>
        <v>西堂</v>
      </c>
      <c r="G349" s="52"/>
      <c r="H349" s="52" t="str">
        <f ca="1">IFERROR(__xludf.DUMMYFUNCTION("""COMPUTED_VALUE"""),"竹藤教育西堂病棟")</f>
        <v>竹藤教育西堂病棟</v>
      </c>
    </row>
    <row r="350" spans="1:8" ht="12.75" hidden="1" x14ac:dyDescent="0.35">
      <c r="A350" s="52" t="str">
        <f ca="1">IFERROR(__xludf.DUMMYFUNCTION("""COMPUTED_VALUE"""),"2023/01/07 (土)
休日午前")</f>
        <v>2023/01/07 (土)
休日午前</v>
      </c>
      <c r="B350" s="52" t="str">
        <f ca="1">IFERROR(__xludf.DUMMYFUNCTION("""COMPUTED_VALUE"""),"井上")</f>
        <v>井上</v>
      </c>
      <c r="C350" s="52"/>
      <c r="D350" s="52" t="str">
        <f ca="1">IFERROR(__xludf.DUMMYFUNCTION("""COMPUTED_VALUE"""),"勝俣E")</f>
        <v>勝俣E</v>
      </c>
      <c r="E350" s="52" t="str">
        <f ca="1">IFERROR(__xludf.DUMMYFUNCTION("""COMPUTED_VALUE"""),"2023/01/21 (土)
休日午前")</f>
        <v>2023/01/21 (土)
休日午前</v>
      </c>
      <c r="F350" s="52" t="str">
        <f ca="1">IFERROR(__xludf.DUMMYFUNCTION("""COMPUTED_VALUE"""),"菊野")</f>
        <v>菊野</v>
      </c>
      <c r="G350" s="52"/>
      <c r="H350" s="52" t="str">
        <f ca="1">IFERROR(__xludf.DUMMYFUNCTION("""COMPUTED_VALUE"""),"山田C中瀬E林哲B")</f>
        <v>山田C中瀬E林哲B</v>
      </c>
    </row>
    <row r="351" spans="1:8" ht="12.75" hidden="1" x14ac:dyDescent="0.35">
      <c r="A351" s="52" t="str">
        <f ca="1">IFERROR(__xludf.DUMMYFUNCTION("""COMPUTED_VALUE"""),"2023/01/07 (土)
休日午後")</f>
        <v>2023/01/07 (土)
休日午後</v>
      </c>
      <c r="B351" s="52" t="str">
        <f ca="1">IFERROR(__xludf.DUMMYFUNCTION("""COMPUTED_VALUE"""),"勝俣")</f>
        <v>勝俣</v>
      </c>
      <c r="C351" s="52"/>
      <c r="D351" s="52" t="str">
        <f ca="1">IFERROR(__xludf.DUMMYFUNCTION("""COMPUTED_VALUE"""),"勝俣E")</f>
        <v>勝俣E</v>
      </c>
      <c r="E351" s="52" t="str">
        <f ca="1">IFERROR(__xludf.DUMMYFUNCTION("""COMPUTED_VALUE"""),"2023/01/21 (土)
休日午後")</f>
        <v>2023/01/21 (土)
休日午後</v>
      </c>
      <c r="F351" s="52" t="str">
        <f ca="1">IFERROR(__xludf.DUMMYFUNCTION("""COMPUTED_VALUE"""),"林哲")</f>
        <v>林哲</v>
      </c>
      <c r="G351" s="52"/>
      <c r="H351" s="52" t="str">
        <f ca="1">IFERROR(__xludf.DUMMYFUNCTION("""COMPUTED_VALUE"""),"山田C中瀬E林哲B")</f>
        <v>山田C中瀬E林哲B</v>
      </c>
    </row>
    <row r="352" spans="1:8" ht="12.75" hidden="1" x14ac:dyDescent="0.35">
      <c r="A352" s="52" t="str">
        <f ca="1">IFERROR(__xludf.DUMMYFUNCTION("""COMPUTED_VALUE"""),"2023/01/08 (日)
休日午前")</f>
        <v>2023/01/08 (日)
休日午前</v>
      </c>
      <c r="B352" s="52" t="str">
        <f ca="1">IFERROR(__xludf.DUMMYFUNCTION("""COMPUTED_VALUE"""),"福井")</f>
        <v>福井</v>
      </c>
      <c r="C352" s="52"/>
      <c r="D352" s="52" t="str">
        <f ca="1">IFERROR(__xludf.DUMMYFUNCTION("""COMPUTED_VALUE"""),"福井E")</f>
        <v>福井E</v>
      </c>
      <c r="E352" s="52" t="str">
        <f ca="1">IFERROR(__xludf.DUMMYFUNCTION("""COMPUTED_VALUE"""),"2023/01/22 (日)
休日午前")</f>
        <v>2023/01/22 (日)
休日午前</v>
      </c>
      <c r="F352" s="52" t="str">
        <f ca="1">IFERROR(__xludf.DUMMYFUNCTION("""COMPUTED_VALUE"""),"佐藤")</f>
        <v>佐藤</v>
      </c>
      <c r="G352" s="52"/>
      <c r="H352" s="52" t="str">
        <f ca="1">IFERROR(__xludf.DUMMYFUNCTION("""COMPUTED_VALUE"""),"佐藤F新美B")</f>
        <v>佐藤F新美B</v>
      </c>
    </row>
    <row r="353" spans="1:8" ht="12.75" hidden="1" x14ac:dyDescent="0.35">
      <c r="A353" s="52" t="str">
        <f ca="1">IFERROR(__xludf.DUMMYFUNCTION("""COMPUTED_VALUE"""),"2023/01/08 (日)
休日午後")</f>
        <v>2023/01/08 (日)
休日午後</v>
      </c>
      <c r="B353" s="52" t="str">
        <f ca="1">IFERROR(__xludf.DUMMYFUNCTION("""COMPUTED_VALUE"""),"山口")</f>
        <v>山口</v>
      </c>
      <c r="C353" s="52"/>
      <c r="D353" s="52" t="str">
        <f ca="1">IFERROR(__xludf.DUMMYFUNCTION("""COMPUTED_VALUE"""),"福井E")</f>
        <v>福井E</v>
      </c>
      <c r="E353" s="52" t="str">
        <f ca="1">IFERROR(__xludf.DUMMYFUNCTION("""COMPUTED_VALUE"""),"2023/01/22 (日)
休日午後")</f>
        <v>2023/01/22 (日)
休日午後</v>
      </c>
      <c r="F353" s="52" t="str">
        <f ca="1">IFERROR(__xludf.DUMMYFUNCTION("""COMPUTED_VALUE"""),"新美")</f>
        <v>新美</v>
      </c>
      <c r="G353" s="52"/>
      <c r="H353" s="52" t="str">
        <f ca="1">IFERROR(__xludf.DUMMYFUNCTION("""COMPUTED_VALUE"""),"佐藤F新美B")</f>
        <v>佐藤F新美B</v>
      </c>
    </row>
    <row r="354" spans="1:8" ht="12.75" hidden="1" x14ac:dyDescent="0.35">
      <c r="A354" s="52" t="str">
        <f ca="1">IFERROR(__xludf.DUMMYFUNCTION("""COMPUTED_VALUE"""),"2023/01/09 (月)
休日午前")</f>
        <v>2023/01/09 (月)
休日午前</v>
      </c>
      <c r="B354" s="52" t="str">
        <f ca="1">IFERROR(__xludf.DUMMYFUNCTION("""COMPUTED_VALUE"""),"伊藤")</f>
        <v>伊藤</v>
      </c>
      <c r="C354" s="52"/>
      <c r="D354" s="52" t="str">
        <f ca="1">IFERROR(__xludf.DUMMYFUNCTION("""COMPUTED_VALUE"""),"森E竹藤コマ日勤")</f>
        <v>森E竹藤コマ日勤</v>
      </c>
      <c r="E354" s="52" t="str">
        <f ca="1">IFERROR(__xludf.DUMMYFUNCTION("""COMPUTED_VALUE"""),"2023/01/23 (月)
平日夜間")</f>
        <v>2023/01/23 (月)
平日夜間</v>
      </c>
      <c r="F354" s="52" t="str">
        <f ca="1">IFERROR(__xludf.DUMMYFUNCTION("""COMPUTED_VALUE"""),"中野")</f>
        <v>中野</v>
      </c>
      <c r="G354" s="52"/>
      <c r="H354" s="52" t="str">
        <f ca="1">IFERROR(__xludf.DUMMYFUNCTION("""COMPUTED_VALUE"""),"中野病棟尾田コマ")</f>
        <v>中野病棟尾田コマ</v>
      </c>
    </row>
    <row r="355" spans="1:8" ht="12.75" hidden="1" x14ac:dyDescent="0.35">
      <c r="A355" s="52" t="str">
        <f ca="1">IFERROR(__xludf.DUMMYFUNCTION("""COMPUTED_VALUE"""),"2023/01/09 (月)
休日午後")</f>
        <v>2023/01/09 (月)
休日午後</v>
      </c>
      <c r="B355" s="52" t="str">
        <f ca="1">IFERROR(__xludf.DUMMYFUNCTION("""COMPUTED_VALUE"""),"西堂")</f>
        <v>西堂</v>
      </c>
      <c r="C355" s="52"/>
      <c r="D355" s="52" t="str">
        <f ca="1">IFERROR(__xludf.DUMMYFUNCTION("""COMPUTED_VALUE"""),"森E林智コマ夜勤")</f>
        <v>森E林智コマ夜勤</v>
      </c>
      <c r="E355" s="52" t="str">
        <f ca="1">IFERROR(__xludf.DUMMYFUNCTION("""COMPUTED_VALUE"""),"2023/01/24 (火)
平日夜間")</f>
        <v>2023/01/24 (火)
平日夜間</v>
      </c>
      <c r="F355" s="52" t="str">
        <f ca="1">IFERROR(__xludf.DUMMYFUNCTION("""COMPUTED_VALUE"""),"尾田")</f>
        <v>尾田</v>
      </c>
      <c r="G355" s="52"/>
      <c r="H355" s="52" t="str">
        <f ca="1">IFERROR(__xludf.DUMMYFUNCTION("""COMPUTED_VALUE"""),"井上コマ")</f>
        <v>井上コマ</v>
      </c>
    </row>
    <row r="356" spans="1:8" ht="12.75" hidden="1" x14ac:dyDescent="0.35">
      <c r="A356" s="52" t="str">
        <f ca="1">IFERROR(__xludf.DUMMYFUNCTION("""COMPUTED_VALUE"""),"2023/01/10 (火)
平日夜間")</f>
        <v>2023/01/10 (火)
平日夜間</v>
      </c>
      <c r="B356" s="52" t="str">
        <f ca="1">IFERROR(__xludf.DUMMYFUNCTION("""COMPUTED_VALUE"""),"山口")</f>
        <v>山口</v>
      </c>
      <c r="C356" s="52"/>
      <c r="D356" s="52" t="str">
        <f ca="1">IFERROR(__xludf.DUMMYFUNCTION("""COMPUTED_VALUE"""),"吉田コマ")</f>
        <v>吉田コマ</v>
      </c>
      <c r="E356" s="52" t="str">
        <f ca="1">IFERROR(__xludf.DUMMYFUNCTION("""COMPUTED_VALUE"""),"2023/01/25 (水)
平日夜間")</f>
        <v>2023/01/25 (水)
平日夜間</v>
      </c>
      <c r="F356" s="52" t="str">
        <f ca="1">IFERROR(__xludf.DUMMYFUNCTION("""COMPUTED_VALUE"""),"福井")</f>
        <v>福井</v>
      </c>
      <c r="G356" s="52"/>
      <c r="H356" s="52" t="str">
        <f ca="1">IFERROR(__xludf.DUMMYFUNCTION("""COMPUTED_VALUE"""),"福井病棟")</f>
        <v>福井病棟</v>
      </c>
    </row>
    <row r="357" spans="1:8" ht="12.75" hidden="1" x14ac:dyDescent="0.35">
      <c r="A357" s="52" t="str">
        <f ca="1">IFERROR(__xludf.DUMMYFUNCTION("""COMPUTED_VALUE"""),"2023/01/11 (水)
平日夜間")</f>
        <v>2023/01/11 (水)
平日夜間</v>
      </c>
      <c r="B357" s="52" t="str">
        <f ca="1">IFERROR(__xludf.DUMMYFUNCTION("""COMPUTED_VALUE"""),"竹藤")</f>
        <v>竹藤</v>
      </c>
      <c r="C357" s="52"/>
      <c r="D357" s="52" t="str">
        <f ca="1">IFERROR(__xludf.DUMMYFUNCTION("""COMPUTED_VALUE"""),"竹藤教育西堂病棟")</f>
        <v>竹藤教育西堂病棟</v>
      </c>
      <c r="E357" s="52" t="str">
        <f ca="1">IFERROR(__xludf.DUMMYFUNCTION("""COMPUTED_VALUE"""),"2023/01/26 (木)
平日夜間")</f>
        <v>2023/01/26 (木)
平日夜間</v>
      </c>
      <c r="F357" s="52" t="str">
        <f ca="1">IFERROR(__xludf.DUMMYFUNCTION("""COMPUTED_VALUE"""),"稲葉")</f>
        <v>稲葉</v>
      </c>
      <c r="G357" s="52"/>
      <c r="H357" s="52" t="str">
        <f ca="1">IFERROR(__xludf.DUMMYFUNCTION("""COMPUTED_VALUE"""),"稲葉病棟")</f>
        <v>稲葉病棟</v>
      </c>
    </row>
    <row r="358" spans="1:8" ht="12.75" hidden="1" x14ac:dyDescent="0.35">
      <c r="A358" s="52" t="str">
        <f ca="1">IFERROR(__xludf.DUMMYFUNCTION("""COMPUTED_VALUE"""),"2023/01/12 (木)
平日夜間")</f>
        <v>2023/01/12 (木)
平日夜間</v>
      </c>
      <c r="B358" s="52" t="str">
        <f ca="1">IFERROR(__xludf.DUMMYFUNCTION("""COMPUTED_VALUE"""),"西谷")</f>
        <v>西谷</v>
      </c>
      <c r="C358" s="52"/>
      <c r="D358" s="52"/>
      <c r="E358" s="52" t="str">
        <f ca="1">IFERROR(__xludf.DUMMYFUNCTION("""COMPUTED_VALUE"""),"2023/01/27 (金)
平日夜間")</f>
        <v>2023/01/27 (金)
平日夜間</v>
      </c>
      <c r="F358" s="52" t="str">
        <f ca="1">IFERROR(__xludf.DUMMYFUNCTION("""COMPUTED_VALUE"""),"井上")</f>
        <v>井上</v>
      </c>
      <c r="G358" s="52"/>
      <c r="H358" s="52"/>
    </row>
    <row r="359" spans="1:8" ht="12.75" hidden="1" x14ac:dyDescent="0.35">
      <c r="A359" s="52" t="str">
        <f ca="1">IFERROR(__xludf.DUMMYFUNCTION("""COMPUTED_VALUE"""),"2023/01/13 (金)
平日夜間")</f>
        <v>2023/01/13 (金)
平日夜間</v>
      </c>
      <c r="B359" s="52" t="str">
        <f ca="1">IFERROR(__xludf.DUMMYFUNCTION("""COMPUTED_VALUE"""),"井上")</f>
        <v>井上</v>
      </c>
      <c r="C359" s="52"/>
      <c r="D359" s="52" t="str">
        <f ca="1">IFERROR(__xludf.DUMMYFUNCTION("""COMPUTED_VALUE"""),"井上病棟")</f>
        <v>井上病棟</v>
      </c>
      <c r="E359" s="52" t="str">
        <f ca="1">IFERROR(__xludf.DUMMYFUNCTION("""COMPUTED_VALUE"""),"2023/01/28 (土)
休日午前")</f>
        <v>2023/01/28 (土)
休日午前</v>
      </c>
      <c r="F359" s="52" t="str">
        <f ca="1">IFERROR(__xludf.DUMMYFUNCTION("""COMPUTED_VALUE"""),"中瀬")</f>
        <v>中瀬</v>
      </c>
      <c r="G359" s="52"/>
      <c r="H359" s="52" t="str">
        <f ca="1">IFERROR(__xludf.DUMMYFUNCTION("""COMPUTED_VALUE"""),"西谷F中瀬A吉田B")</f>
        <v>西谷F中瀬A吉田B</v>
      </c>
    </row>
    <row r="360" spans="1:8" ht="12.75" hidden="1" x14ac:dyDescent="0.35">
      <c r="A360" s="52" t="str">
        <f ca="1">IFERROR(__xludf.DUMMYFUNCTION("""COMPUTED_VALUE"""),"2023/01/14 (土)
休日午前")</f>
        <v>2023/01/14 (土)
休日午前</v>
      </c>
      <c r="B360" s="52" t="str">
        <f ca="1">IFERROR(__xludf.DUMMYFUNCTION("""COMPUTED_VALUE"""),"竹藤")</f>
        <v>竹藤</v>
      </c>
      <c r="C360" s="52"/>
      <c r="D360" s="52" t="str">
        <f ca="1">IFERROR(__xludf.DUMMYFUNCTION("""COMPUTED_VALUE"""),"西谷A")</f>
        <v>西谷A</v>
      </c>
      <c r="E360" s="52" t="str">
        <f ca="1">IFERROR(__xludf.DUMMYFUNCTION("""COMPUTED_VALUE"""),"2023/01/28 (土)
休日午後")</f>
        <v>2023/01/28 (土)
休日午後</v>
      </c>
      <c r="F360" s="52" t="str">
        <f ca="1">IFERROR(__xludf.DUMMYFUNCTION("""COMPUTED_VALUE"""),"吉田")</f>
        <v>吉田</v>
      </c>
      <c r="G360" s="52"/>
      <c r="H360" s="52" t="str">
        <f ca="1">IFERROR(__xludf.DUMMYFUNCTION("""COMPUTED_VALUE"""),"西谷F中瀬A吉田B")</f>
        <v>西谷F中瀬A吉田B</v>
      </c>
    </row>
    <row r="361" spans="1:8" ht="12.75" hidden="1" x14ac:dyDescent="0.35">
      <c r="A361" s="52" t="str">
        <f ca="1">IFERROR(__xludf.DUMMYFUNCTION("""COMPUTED_VALUE"""),"2023/01/14 (土)
休日午後")</f>
        <v>2023/01/14 (土)
休日午後</v>
      </c>
      <c r="B361" s="52" t="str">
        <f ca="1">IFERROR(__xludf.DUMMYFUNCTION("""COMPUTED_VALUE"""),"西谷")</f>
        <v>西谷</v>
      </c>
      <c r="C361" s="52"/>
      <c r="D361" s="52" t="str">
        <f ca="1">IFERROR(__xludf.DUMMYFUNCTION("""COMPUTED_VALUE"""),"西谷A")</f>
        <v>西谷A</v>
      </c>
      <c r="E361" s="52" t="str">
        <f ca="1">IFERROR(__xludf.DUMMYFUNCTION("""COMPUTED_VALUE"""),"2023/01/29 (日)
休日午前")</f>
        <v>2023/01/29 (日)
休日午前</v>
      </c>
      <c r="F361" s="52" t="str">
        <f ca="1">IFERROR(__xludf.DUMMYFUNCTION("""COMPUTED_VALUE"""),"佐藤")</f>
        <v>佐藤</v>
      </c>
      <c r="G361" s="52"/>
      <c r="H361" s="52" t="str">
        <f ca="1">IFERROR(__xludf.DUMMYFUNCTION("""COMPUTED_VALUE"""),"佐藤A太良B")</f>
        <v>佐藤A太良B</v>
      </c>
    </row>
    <row r="362" spans="1:8" ht="12.75" hidden="1" x14ac:dyDescent="0.35">
      <c r="A362" s="52" t="str">
        <f ca="1">IFERROR(__xludf.DUMMYFUNCTION("""COMPUTED_VALUE"""),"2023/01/15 (日)
休日午前")</f>
        <v>2023/01/15 (日)
休日午前</v>
      </c>
      <c r="B362" s="52" t="str">
        <f ca="1">IFERROR(__xludf.DUMMYFUNCTION("""COMPUTED_VALUE"""),"稲葉")</f>
        <v>稲葉</v>
      </c>
      <c r="C362" s="52"/>
      <c r="D362" s="52" t="str">
        <f ca="1">IFERROR(__xludf.DUMMYFUNCTION("""COMPUTED_VALUE"""),"片山C中野E伊藤F稲葉A林智B")</f>
        <v>片山C中野E伊藤F稲葉A林智B</v>
      </c>
      <c r="E362" s="52" t="str">
        <f ca="1">IFERROR(__xludf.DUMMYFUNCTION("""COMPUTED_VALUE"""),"2023/01/29 (日)
休日午後")</f>
        <v>2023/01/29 (日)
休日午後</v>
      </c>
      <c r="F362" s="52" t="str">
        <f ca="1">IFERROR(__xludf.DUMMYFUNCTION("""COMPUTED_VALUE"""),"太良")</f>
        <v>太良</v>
      </c>
      <c r="G362" s="52"/>
      <c r="H362" s="52" t="str">
        <f ca="1">IFERROR(__xludf.DUMMYFUNCTION("""COMPUTED_VALUE"""),"佐藤A太良B")</f>
        <v>佐藤A太良B</v>
      </c>
    </row>
    <row r="363" spans="1:8" ht="12.75" hidden="1" x14ac:dyDescent="0.35">
      <c r="A363" s="52" t="str">
        <f ca="1">IFERROR(__xludf.DUMMYFUNCTION("""COMPUTED_VALUE"""),"2023/01/15 (日)
休日午後")</f>
        <v>2023/01/15 (日)
休日午後</v>
      </c>
      <c r="B363" s="52" t="str">
        <f ca="1">IFERROR(__xludf.DUMMYFUNCTION("""COMPUTED_VALUE"""),"林智")</f>
        <v>林智</v>
      </c>
      <c r="C363" s="52"/>
      <c r="D363" s="52" t="str">
        <f ca="1">IFERROR(__xludf.DUMMYFUNCTION("""COMPUTED_VALUE"""),"片山C中野E伊藤F稲葉A林智B")</f>
        <v>片山C中野E伊藤F稲葉A林智B</v>
      </c>
      <c r="E363" s="52" t="str">
        <f ca="1">IFERROR(__xludf.DUMMYFUNCTION("""COMPUTED_VALUE"""),"2023/01/30 (月)
平日夜間")</f>
        <v>2023/01/30 (月)
平日夜間</v>
      </c>
      <c r="F363" s="52" t="str">
        <f ca="1">IFERROR(__xludf.DUMMYFUNCTION("""COMPUTED_VALUE"""),"福井")</f>
        <v>福井</v>
      </c>
      <c r="G363" s="52"/>
      <c r="H363" s="52" t="str">
        <f ca="1">IFERROR(__xludf.DUMMYFUNCTION("""COMPUTED_VALUE"""),"勝俣コマ")</f>
        <v>勝俣コマ</v>
      </c>
    </row>
    <row r="364" spans="1:8" ht="12.75" hidden="1" x14ac:dyDescent="0.35">
      <c r="A364" s="52" t="str">
        <f ca="1">IFERROR(__xludf.DUMMYFUNCTION("""COMPUTED_VALUE"""),"2023/01/16 (月)
平日夜間")</f>
        <v>2023/01/16 (月)
平日夜間</v>
      </c>
      <c r="B364" s="52" t="str">
        <f ca="1">IFERROR(__xludf.DUMMYFUNCTION("""COMPUTED_VALUE"""),"勝俣")</f>
        <v>勝俣</v>
      </c>
      <c r="C364" s="52"/>
      <c r="D364" s="52" t="str">
        <f ca="1">IFERROR(__xludf.DUMMYFUNCTION("""COMPUTED_VALUE"""),"勝俣病棟太良コマ")</f>
        <v>勝俣病棟太良コマ</v>
      </c>
      <c r="E364" s="52" t="str">
        <f ca="1">IFERROR(__xludf.DUMMYFUNCTION("""COMPUTED_VALUE"""),"2023/01/31 (火)
平日夜間")</f>
        <v>2023/01/31 (火)
平日夜間</v>
      </c>
      <c r="F364" s="52" t="str">
        <f ca="1">IFERROR(__xludf.DUMMYFUNCTION("""COMPUTED_VALUE"""),"森")</f>
        <v>森</v>
      </c>
      <c r="G364" s="52"/>
      <c r="H364" s="52" t="str">
        <f ca="1">IFERROR(__xludf.DUMMYFUNCTION("""COMPUTED_VALUE"""),"森教育山口コマ")</f>
        <v>森教育山口コマ</v>
      </c>
    </row>
    <row r="365" spans="1:8" ht="12.75" hidden="1" x14ac:dyDescent="0.35">
      <c r="A365" s="52" t="str">
        <f ca="1">IFERROR(__xludf.DUMMYFUNCTION("""COMPUTED_VALUE"""),"2023/01/17 (火)
平日夜間")</f>
        <v>2023/01/17 (火)
平日夜間</v>
      </c>
      <c r="B365" s="52" t="str">
        <f ca="1">IFERROR(__xludf.DUMMYFUNCTION("""COMPUTED_VALUE"""),"中瀬")</f>
        <v>中瀬</v>
      </c>
      <c r="C365" s="52"/>
      <c r="D365" s="52" t="str">
        <f ca="1">IFERROR(__xludf.DUMMYFUNCTION("""COMPUTED_VALUE"""),"新美コマ")</f>
        <v>新美コマ</v>
      </c>
      <c r="E365" s="52" t="str">
        <f ca="1">IFERROR(__xludf.DUMMYFUNCTION("""COMPUTED_VALUE"""),"2023/02/01 (水)
平日夜間")</f>
        <v>2023/02/01 (水)
平日夜間</v>
      </c>
      <c r="F365" s="52" t="str">
        <f ca="1">IFERROR(__xludf.DUMMYFUNCTION("""COMPUTED_VALUE"""),"尾田")</f>
        <v>尾田</v>
      </c>
      <c r="G365" s="52"/>
      <c r="H365" s="52" t="str">
        <f ca="1">IFERROR(__xludf.DUMMYFUNCTION("""COMPUTED_VALUE"""),"尾田教育")</f>
        <v>尾田教育</v>
      </c>
    </row>
    <row r="366" spans="1:8" ht="12.75" hidden="1" x14ac:dyDescent="0.35">
      <c r="A366" s="52" t="str">
        <f ca="1">IFERROR(__xludf.DUMMYFUNCTION("""COMPUTED_VALUE"""),"2023/01/18 (水)
平日夜間")</f>
        <v>2023/01/18 (水)
平日夜間</v>
      </c>
      <c r="B366" s="52" t="str">
        <f ca="1">IFERROR(__xludf.DUMMYFUNCTION("""COMPUTED_VALUE"""),"松井")</f>
        <v>松井</v>
      </c>
      <c r="C366" s="52"/>
      <c r="D366" s="52" t="str">
        <f ca="1">IFERROR(__xludf.DUMMYFUNCTION("""COMPUTED_VALUE"""),"松井病棟")</f>
        <v>松井病棟</v>
      </c>
      <c r="E366" s="52" t="str">
        <f ca="1">IFERROR(__xludf.DUMMYFUNCTION("""COMPUTED_VALUE"""),"2023/02/02 (木)
平日夜間")</f>
        <v>2023/02/02 (木)
平日夜間</v>
      </c>
      <c r="F366" s="52" t="str">
        <f ca="1">IFERROR(__xludf.DUMMYFUNCTION("""COMPUTED_VALUE"""),"福井")</f>
        <v>福井</v>
      </c>
      <c r="G366" s="52"/>
      <c r="H366" s="52"/>
    </row>
    <row r="367" spans="1:8" ht="12.75" hidden="1" x14ac:dyDescent="0.35">
      <c r="A367" s="52" t="str">
        <f ca="1">IFERROR(__xludf.DUMMYFUNCTION("""COMPUTED_VALUE"""),"2023/01/19 (木)
平日夜間")</f>
        <v>2023/01/19 (木)
平日夜間</v>
      </c>
      <c r="B367" s="52" t="str">
        <f ca="1">IFERROR(__xludf.DUMMYFUNCTION("""COMPUTED_VALUE"""),"佐藤")</f>
        <v>佐藤</v>
      </c>
      <c r="C367" s="52"/>
      <c r="D367" s="52"/>
      <c r="E367" s="52" t="str">
        <f ca="1">IFERROR(__xludf.DUMMYFUNCTION("""COMPUTED_VALUE"""),"2023/02/03 (金)
平日夜間")</f>
        <v>2023/02/03 (金)
平日夜間</v>
      </c>
      <c r="F367" s="52" t="str">
        <f ca="1">IFERROR(__xludf.DUMMYFUNCTION("""COMPUTED_VALUE"""),"宮坂")</f>
        <v>宮坂</v>
      </c>
      <c r="G367" s="52"/>
      <c r="H367" s="52" t="str">
        <f ca="1">IFERROR(__xludf.DUMMYFUNCTION("""COMPUTED_VALUE"""),"宮坂病棟竹藤コマ")</f>
        <v>宮坂病棟竹藤コマ</v>
      </c>
    </row>
    <row r="368" spans="1:8" ht="12.75" hidden="1" x14ac:dyDescent="0.35">
      <c r="A368" s="52" t="str">
        <f ca="1">IFERROR(__xludf.DUMMYFUNCTION("""COMPUTED_VALUE"""),"2023/01/20 (金)
平日夜間")</f>
        <v>2023/01/20 (金)
平日夜間</v>
      </c>
      <c r="B368" s="52" t="str">
        <f ca="1">IFERROR(__xludf.DUMMYFUNCTION("""COMPUTED_VALUE"""),"西堂")</f>
        <v>西堂</v>
      </c>
      <c r="C368" s="52"/>
      <c r="D368" s="52" t="str">
        <f ca="1">IFERROR(__xludf.DUMMYFUNCTION("""COMPUTED_VALUE"""),"竹藤教育西堂病棟")</f>
        <v>竹藤教育西堂病棟</v>
      </c>
      <c r="E368" s="52" t="str">
        <f ca="1">IFERROR(__xludf.DUMMYFUNCTION("""COMPUTED_VALUE"""),"2023/02/04 (土)
休日午前")</f>
        <v>2023/02/04 (土)
休日午前</v>
      </c>
      <c r="F368" s="52" t="str">
        <f ca="1">IFERROR(__xludf.DUMMYFUNCTION("""COMPUTED_VALUE"""),"井上")</f>
        <v>井上</v>
      </c>
      <c r="G368" s="52"/>
      <c r="H368" s="52" t="str">
        <f ca="1">IFERROR(__xludf.DUMMYFUNCTION("""COMPUTED_VALUE"""),"山田C山口E井上F宗A")</f>
        <v>山田C山口E井上F宗A</v>
      </c>
    </row>
    <row r="369" spans="1:8" ht="12.75" hidden="1" x14ac:dyDescent="0.35">
      <c r="A369" s="52" t="str">
        <f ca="1">IFERROR(__xludf.DUMMYFUNCTION("""COMPUTED_VALUE"""),"2023/01/21 (土)
休日午前")</f>
        <v>2023/01/21 (土)
休日午前</v>
      </c>
      <c r="B369" s="52" t="str">
        <f ca="1">IFERROR(__xludf.DUMMYFUNCTION("""COMPUTED_VALUE"""),"菊野")</f>
        <v>菊野</v>
      </c>
      <c r="C369" s="52"/>
      <c r="D369" s="52" t="str">
        <f ca="1">IFERROR(__xludf.DUMMYFUNCTION("""COMPUTED_VALUE"""),"山田C中瀬E林哲B")</f>
        <v>山田C中瀬E林哲B</v>
      </c>
      <c r="E369" s="52" t="str">
        <f ca="1">IFERROR(__xludf.DUMMYFUNCTION("""COMPUTED_VALUE"""),"2023/02/04 (土)
休日午後")</f>
        <v>2023/02/04 (土)
休日午後</v>
      </c>
      <c r="F369" s="52" t="str">
        <f ca="1">IFERROR(__xludf.DUMMYFUNCTION("""COMPUTED_VALUE"""),"宗")</f>
        <v>宗</v>
      </c>
      <c r="G369" s="52"/>
      <c r="H369" s="52" t="str">
        <f ca="1">IFERROR(__xludf.DUMMYFUNCTION("""COMPUTED_VALUE"""),"山田C山口E井上F宗A")</f>
        <v>山田C山口E井上F宗A</v>
      </c>
    </row>
    <row r="370" spans="1:8" ht="12.75" hidden="1" x14ac:dyDescent="0.35">
      <c r="A370" s="52" t="str">
        <f ca="1">IFERROR(__xludf.DUMMYFUNCTION("""COMPUTED_VALUE"""),"2023/01/21 (土)
休日午後")</f>
        <v>2023/01/21 (土)
休日午後</v>
      </c>
      <c r="B370" s="52" t="str">
        <f ca="1">IFERROR(__xludf.DUMMYFUNCTION("""COMPUTED_VALUE"""),"林哲")</f>
        <v>林哲</v>
      </c>
      <c r="C370" s="52"/>
      <c r="D370" s="52" t="str">
        <f ca="1">IFERROR(__xludf.DUMMYFUNCTION("""COMPUTED_VALUE"""),"山田C中瀬E林哲B")</f>
        <v>山田C中瀬E林哲B</v>
      </c>
      <c r="E370" s="52" t="str">
        <f ca="1">IFERROR(__xludf.DUMMYFUNCTION("""COMPUTED_VALUE"""),"2023/02/05 (日)
休日午前")</f>
        <v>2023/02/05 (日)
休日午前</v>
      </c>
      <c r="F370" s="52" t="str">
        <f ca="1">IFERROR(__xludf.DUMMYFUNCTION("""COMPUTED_VALUE"""),"西谷")</f>
        <v>西谷</v>
      </c>
      <c r="G370" s="52"/>
      <c r="H370" s="52" t="str">
        <f ca="1">IFERROR(__xludf.DUMMYFUNCTION("""COMPUTED_VALUE"""),"中瀬E高口F竹藤B")</f>
        <v>中瀬E高口F竹藤B</v>
      </c>
    </row>
    <row r="371" spans="1:8" ht="12.75" hidden="1" x14ac:dyDescent="0.35">
      <c r="A371" s="52" t="str">
        <f ca="1">IFERROR(__xludf.DUMMYFUNCTION("""COMPUTED_VALUE"""),"2023/01/22 (日)
休日午前")</f>
        <v>2023/01/22 (日)
休日午前</v>
      </c>
      <c r="B371" s="52" t="str">
        <f ca="1">IFERROR(__xludf.DUMMYFUNCTION("""COMPUTED_VALUE"""),"佐藤")</f>
        <v>佐藤</v>
      </c>
      <c r="C371" s="52"/>
      <c r="D371" s="52" t="str">
        <f ca="1">IFERROR(__xludf.DUMMYFUNCTION("""COMPUTED_VALUE"""),"佐藤F新美B")</f>
        <v>佐藤F新美B</v>
      </c>
      <c r="E371" s="52" t="str">
        <f ca="1">IFERROR(__xludf.DUMMYFUNCTION("""COMPUTED_VALUE"""),"2023/02/05 (日)
休日午後")</f>
        <v>2023/02/05 (日)
休日午後</v>
      </c>
      <c r="F371" s="52" t="str">
        <f ca="1">IFERROR(__xludf.DUMMYFUNCTION("""COMPUTED_VALUE"""),"竹藤")</f>
        <v>竹藤</v>
      </c>
      <c r="G371" s="52"/>
      <c r="H371" s="52" t="str">
        <f ca="1">IFERROR(__xludf.DUMMYFUNCTION("""COMPUTED_VALUE"""),"中瀬E高口F竹藤B")</f>
        <v>中瀬E高口F竹藤B</v>
      </c>
    </row>
    <row r="372" spans="1:8" ht="12.75" hidden="1" x14ac:dyDescent="0.35">
      <c r="A372" s="52" t="str">
        <f ca="1">IFERROR(__xludf.DUMMYFUNCTION("""COMPUTED_VALUE"""),"2023/01/22 (日)
休日午後")</f>
        <v>2023/01/22 (日)
休日午後</v>
      </c>
      <c r="B372" s="52" t="str">
        <f ca="1">IFERROR(__xludf.DUMMYFUNCTION("""COMPUTED_VALUE"""),"新美")</f>
        <v>新美</v>
      </c>
      <c r="C372" s="52"/>
      <c r="D372" s="52" t="str">
        <f ca="1">IFERROR(__xludf.DUMMYFUNCTION("""COMPUTED_VALUE"""),"佐藤F新美B")</f>
        <v>佐藤F新美B</v>
      </c>
      <c r="E372" s="52" t="str">
        <f ca="1">IFERROR(__xludf.DUMMYFUNCTION("""COMPUTED_VALUE"""),"2023/02/06 (月)
平日夜間")</f>
        <v>2023/02/06 (月)
平日夜間</v>
      </c>
      <c r="F372" s="52" t="str">
        <f ca="1">IFERROR(__xludf.DUMMYFUNCTION("""COMPUTED_VALUE"""),"新美")</f>
        <v>新美</v>
      </c>
      <c r="G372" s="52"/>
      <c r="H372" s="52" t="str">
        <f ca="1">IFERROR(__xludf.DUMMYFUNCTION("""COMPUTED_VALUE"""),"林智教育新美病棟尾田コマ")</f>
        <v>林智教育新美病棟尾田コマ</v>
      </c>
    </row>
    <row r="373" spans="1:8" ht="12.75" hidden="1" x14ac:dyDescent="0.35">
      <c r="A373" s="52" t="str">
        <f ca="1">IFERROR(__xludf.DUMMYFUNCTION("""COMPUTED_VALUE"""),"2023/01/23 (月)
平日夜間")</f>
        <v>2023/01/23 (月)
平日夜間</v>
      </c>
      <c r="B373" s="52" t="str">
        <f ca="1">IFERROR(__xludf.DUMMYFUNCTION("""COMPUTED_VALUE"""),"中野")</f>
        <v>中野</v>
      </c>
      <c r="C373" s="52"/>
      <c r="D373" s="52" t="str">
        <f ca="1">IFERROR(__xludf.DUMMYFUNCTION("""COMPUTED_VALUE"""),"中野病棟尾田コマ")</f>
        <v>中野病棟尾田コマ</v>
      </c>
      <c r="E373" s="52" t="str">
        <f ca="1">IFERROR(__xludf.DUMMYFUNCTION("""COMPUTED_VALUE"""),"2023/02/07 (火)
平日夜間")</f>
        <v>2023/02/07 (火)
平日夜間</v>
      </c>
      <c r="F373" s="52" t="str">
        <f ca="1">IFERROR(__xludf.DUMMYFUNCTION("""COMPUTED_VALUE"""),"佐藤")</f>
        <v>佐藤</v>
      </c>
      <c r="G373" s="52"/>
      <c r="H373" s="52" t="str">
        <f ca="1">IFERROR(__xludf.DUMMYFUNCTION("""COMPUTED_VALUE"""),"菊野教育佐藤病棟太良コマ")</f>
        <v>菊野教育佐藤病棟太良コマ</v>
      </c>
    </row>
    <row r="374" spans="1:8" ht="12.75" hidden="1" x14ac:dyDescent="0.35">
      <c r="A374" s="52" t="str">
        <f ca="1">IFERROR(__xludf.DUMMYFUNCTION("""COMPUTED_VALUE"""),"2023/01/24 (火)
平日夜間")</f>
        <v>2023/01/24 (火)
平日夜間</v>
      </c>
      <c r="B374" s="52" t="str">
        <f ca="1">IFERROR(__xludf.DUMMYFUNCTION("""COMPUTED_VALUE"""),"尾田")</f>
        <v>尾田</v>
      </c>
      <c r="C374" s="52"/>
      <c r="D374" s="52" t="str">
        <f ca="1">IFERROR(__xludf.DUMMYFUNCTION("""COMPUTED_VALUE"""),"井上コマ")</f>
        <v>井上コマ</v>
      </c>
      <c r="E374" s="52" t="str">
        <f ca="1">IFERROR(__xludf.DUMMYFUNCTION("""COMPUTED_VALUE"""),"2023/02/08 (水)
平日夜間")</f>
        <v>2023/02/08 (水)
平日夜間</v>
      </c>
      <c r="F374" s="52" t="str">
        <f ca="1">IFERROR(__xludf.DUMMYFUNCTION("""COMPUTED_VALUE"""),"西谷")</f>
        <v>西谷</v>
      </c>
      <c r="G374" s="52"/>
      <c r="H374" s="52"/>
    </row>
    <row r="375" spans="1:8" ht="12.75" hidden="1" x14ac:dyDescent="0.35">
      <c r="A375" s="52" t="str">
        <f ca="1">IFERROR(__xludf.DUMMYFUNCTION("""COMPUTED_VALUE"""),"2023/01/25 (水)
平日夜間")</f>
        <v>2023/01/25 (水)
平日夜間</v>
      </c>
      <c r="B375" s="52" t="str">
        <f ca="1">IFERROR(__xludf.DUMMYFUNCTION("""COMPUTED_VALUE"""),"福井")</f>
        <v>福井</v>
      </c>
      <c r="C375" s="52"/>
      <c r="D375" s="52" t="str">
        <f ca="1">IFERROR(__xludf.DUMMYFUNCTION("""COMPUTED_VALUE"""),"福井病棟")</f>
        <v>福井病棟</v>
      </c>
      <c r="E375" s="52" t="str">
        <f ca="1">IFERROR(__xludf.DUMMYFUNCTION("""COMPUTED_VALUE"""),"2023/02/09 (木)
平日夜間")</f>
        <v>2023/02/09 (木)
平日夜間</v>
      </c>
      <c r="F375" s="52" t="str">
        <f ca="1">IFERROR(__xludf.DUMMYFUNCTION("""COMPUTED_VALUE"""),"菊野")</f>
        <v>菊野</v>
      </c>
      <c r="G375" s="52"/>
      <c r="H375" s="52"/>
    </row>
    <row r="376" spans="1:8" ht="12.75" hidden="1" x14ac:dyDescent="0.35">
      <c r="A376" s="52" t="str">
        <f ca="1">IFERROR(__xludf.DUMMYFUNCTION("""COMPUTED_VALUE"""),"2023/01/26 (木)
平日夜間")</f>
        <v>2023/01/26 (木)
平日夜間</v>
      </c>
      <c r="B376" s="52" t="str">
        <f ca="1">IFERROR(__xludf.DUMMYFUNCTION("""COMPUTED_VALUE"""),"稲葉")</f>
        <v>稲葉</v>
      </c>
      <c r="C376" s="52"/>
      <c r="D376" s="52" t="str">
        <f ca="1">IFERROR(__xludf.DUMMYFUNCTION("""COMPUTED_VALUE"""),"稲葉病棟")</f>
        <v>稲葉病棟</v>
      </c>
      <c r="E376" s="52" t="str">
        <f ca="1">IFERROR(__xludf.DUMMYFUNCTION("""COMPUTED_VALUE"""),"2023/02/10 (金)
平日夜間")</f>
        <v>2023/02/10 (金)
平日夜間</v>
      </c>
      <c r="F376" s="52" t="str">
        <f ca="1">IFERROR(__xludf.DUMMYFUNCTION("""COMPUTED_VALUE"""),"山口")</f>
        <v>山口</v>
      </c>
      <c r="G376" s="52"/>
      <c r="H376" s="52"/>
    </row>
    <row r="377" spans="1:8" ht="12.75" hidden="1" x14ac:dyDescent="0.35">
      <c r="A377" s="52" t="str">
        <f ca="1">IFERROR(__xludf.DUMMYFUNCTION("""COMPUTED_VALUE"""),"2023/01/27 (金)
平日夜間")</f>
        <v>2023/01/27 (金)
平日夜間</v>
      </c>
      <c r="B377" s="52" t="str">
        <f ca="1">IFERROR(__xludf.DUMMYFUNCTION("""COMPUTED_VALUE"""),"井上")</f>
        <v>井上</v>
      </c>
      <c r="C377" s="52"/>
      <c r="D377" s="52"/>
      <c r="E377" s="52" t="str">
        <f ca="1">IFERROR(__xludf.DUMMYFUNCTION("""COMPUTED_VALUE"""),"2023/02/11 (土)
休日午前")</f>
        <v>2023/02/11 (土)
休日午前</v>
      </c>
      <c r="F377" s="52" t="str">
        <f ca="1">IFERROR(__xludf.DUMMYFUNCTION("""COMPUTED_VALUE"""),"中瀬")</f>
        <v>中瀬</v>
      </c>
      <c r="G377" s="52"/>
      <c r="H377" s="52" t="str">
        <f ca="1">IFERROR(__xludf.DUMMYFUNCTION("""COMPUTED_VALUE"""),"林哲B")</f>
        <v>林哲B</v>
      </c>
    </row>
    <row r="378" spans="1:8" ht="12.75" hidden="1" x14ac:dyDescent="0.35">
      <c r="A378" s="52" t="str">
        <f ca="1">IFERROR(__xludf.DUMMYFUNCTION("""COMPUTED_VALUE"""),"2023/01/28 (土)
休日午前")</f>
        <v>2023/01/28 (土)
休日午前</v>
      </c>
      <c r="B378" s="52" t="str">
        <f ca="1">IFERROR(__xludf.DUMMYFUNCTION("""COMPUTED_VALUE"""),"中瀬")</f>
        <v>中瀬</v>
      </c>
      <c r="C378" s="52"/>
      <c r="D378" s="52" t="str">
        <f ca="1">IFERROR(__xludf.DUMMYFUNCTION("""COMPUTED_VALUE"""),"西谷F中瀬A吉田B")</f>
        <v>西谷F中瀬A吉田B</v>
      </c>
      <c r="E378" s="52" t="str">
        <f ca="1">IFERROR(__xludf.DUMMYFUNCTION("""COMPUTED_VALUE"""),"2023/02/11 (土)
休日午後")</f>
        <v>2023/02/11 (土)
休日午後</v>
      </c>
      <c r="F378" s="52" t="str">
        <f ca="1">IFERROR(__xludf.DUMMYFUNCTION("""COMPUTED_VALUE"""),"林哲")</f>
        <v>林哲</v>
      </c>
      <c r="G378" s="52"/>
      <c r="H378" s="52" t="str">
        <f ca="1">IFERROR(__xludf.DUMMYFUNCTION("""COMPUTED_VALUE"""),"林哲B")</f>
        <v>林哲B</v>
      </c>
    </row>
    <row r="379" spans="1:8" ht="12.75" hidden="1" x14ac:dyDescent="0.35">
      <c r="A379" s="52" t="str">
        <f ca="1">IFERROR(__xludf.DUMMYFUNCTION("""COMPUTED_VALUE"""),"2023/01/28 (土)
休日午後")</f>
        <v>2023/01/28 (土)
休日午後</v>
      </c>
      <c r="B379" s="52" t="str">
        <f ca="1">IFERROR(__xludf.DUMMYFUNCTION("""COMPUTED_VALUE"""),"吉田")</f>
        <v>吉田</v>
      </c>
      <c r="C379" s="52"/>
      <c r="D379" s="52" t="str">
        <f ca="1">IFERROR(__xludf.DUMMYFUNCTION("""COMPUTED_VALUE"""),"西谷F中瀬A吉田B")</f>
        <v>西谷F中瀬A吉田B</v>
      </c>
      <c r="E379" s="52" t="str">
        <f ca="1">IFERROR(__xludf.DUMMYFUNCTION("""COMPUTED_VALUE"""),"2023/02/12 (日)
休日午前")</f>
        <v>2023/02/12 (日)
休日午前</v>
      </c>
      <c r="F379" s="52" t="str">
        <f ca="1">IFERROR(__xludf.DUMMYFUNCTION("""COMPUTED_VALUE"""),"吉田")</f>
        <v>吉田</v>
      </c>
      <c r="G379" s="52"/>
      <c r="H379" s="52" t="str">
        <f ca="1">IFERROR(__xludf.DUMMYFUNCTION("""COMPUTED_VALUE"""),"勝俣F伊藤A")</f>
        <v>勝俣F伊藤A</v>
      </c>
    </row>
    <row r="380" spans="1:8" ht="12.75" hidden="1" x14ac:dyDescent="0.35">
      <c r="A380" s="52" t="str">
        <f ca="1">IFERROR(__xludf.DUMMYFUNCTION("""COMPUTED_VALUE"""),"2023/01/29 (日)
休日午前")</f>
        <v>2023/01/29 (日)
休日午前</v>
      </c>
      <c r="B380" s="52" t="str">
        <f ca="1">IFERROR(__xludf.DUMMYFUNCTION("""COMPUTED_VALUE"""),"佐藤")</f>
        <v>佐藤</v>
      </c>
      <c r="C380" s="52"/>
      <c r="D380" s="52" t="str">
        <f ca="1">IFERROR(__xludf.DUMMYFUNCTION("""COMPUTED_VALUE"""),"佐藤A太良B")</f>
        <v>佐藤A太良B</v>
      </c>
      <c r="E380" s="52" t="str">
        <f ca="1">IFERROR(__xludf.DUMMYFUNCTION("""COMPUTED_VALUE"""),"2023/02/12 (日)
休日午後")</f>
        <v>2023/02/12 (日)
休日午後</v>
      </c>
      <c r="F380" s="52" t="str">
        <f ca="1">IFERROR(__xludf.DUMMYFUNCTION("""COMPUTED_VALUE"""),"伊藤")</f>
        <v>伊藤</v>
      </c>
      <c r="G380" s="52"/>
      <c r="H380" s="52" t="str">
        <f ca="1">IFERROR(__xludf.DUMMYFUNCTION("""COMPUTED_VALUE"""),"勝俣F伊藤A")</f>
        <v>勝俣F伊藤A</v>
      </c>
    </row>
    <row r="381" spans="1:8" ht="12.75" hidden="1" x14ac:dyDescent="0.35">
      <c r="A381" s="52" t="str">
        <f ca="1">IFERROR(__xludf.DUMMYFUNCTION("""COMPUTED_VALUE"""),"2023/01/29 (日)
休日午後")</f>
        <v>2023/01/29 (日)
休日午後</v>
      </c>
      <c r="B381" s="52" t="str">
        <f ca="1">IFERROR(__xludf.DUMMYFUNCTION("""COMPUTED_VALUE"""),"太良")</f>
        <v>太良</v>
      </c>
      <c r="C381" s="52"/>
      <c r="D381" s="52" t="str">
        <f ca="1">IFERROR(__xludf.DUMMYFUNCTION("""COMPUTED_VALUE"""),"佐藤A太良B")</f>
        <v>佐藤A太良B</v>
      </c>
      <c r="E381" s="52" t="str">
        <f ca="1">IFERROR(__xludf.DUMMYFUNCTION("""COMPUTED_VALUE"""),"2023/02/13 (月)
平日夜間")</f>
        <v>2023/02/13 (月)
平日夜間</v>
      </c>
      <c r="F381" s="52" t="str">
        <f ca="1">IFERROR(__xludf.DUMMYFUNCTION("""COMPUTED_VALUE"""),"新美")</f>
        <v>新美</v>
      </c>
      <c r="G381" s="52"/>
      <c r="H381" s="52" t="str">
        <f ca="1">IFERROR(__xludf.DUMMYFUNCTION("""COMPUTED_VALUE"""),"新美教育林智コマ")</f>
        <v>新美教育林智コマ</v>
      </c>
    </row>
    <row r="382" spans="1:8" ht="12.75" hidden="1" x14ac:dyDescent="0.35">
      <c r="A382" s="52" t="str">
        <f ca="1">IFERROR(__xludf.DUMMYFUNCTION("""COMPUTED_VALUE"""),"2023/01/30 (月)
平日夜間")</f>
        <v>2023/01/30 (月)
平日夜間</v>
      </c>
      <c r="B382" s="52" t="str">
        <f ca="1">IFERROR(__xludf.DUMMYFUNCTION("""COMPUTED_VALUE"""),"福井")</f>
        <v>福井</v>
      </c>
      <c r="C382" s="52"/>
      <c r="D382" s="52" t="str">
        <f ca="1">IFERROR(__xludf.DUMMYFUNCTION("""COMPUTED_VALUE"""),"勝俣コマ")</f>
        <v>勝俣コマ</v>
      </c>
      <c r="E382" s="52" t="str">
        <f ca="1">IFERROR(__xludf.DUMMYFUNCTION("""COMPUTED_VALUE"""),"2023/02/14 (火)
平日夜間")</f>
        <v>2023/02/14 (火)
平日夜間</v>
      </c>
      <c r="F382" s="52" t="str">
        <f ca="1">IFERROR(__xludf.DUMMYFUNCTION("""COMPUTED_VALUE"""),"井上")</f>
        <v>井上</v>
      </c>
      <c r="G382" s="52"/>
      <c r="H382" s="52" t="str">
        <f ca="1">IFERROR(__xludf.DUMMYFUNCTION("""COMPUTED_VALUE"""),"井上病棟太良コマ")</f>
        <v>井上病棟太良コマ</v>
      </c>
    </row>
    <row r="383" spans="1:8" ht="12.75" hidden="1" x14ac:dyDescent="0.35">
      <c r="A383" s="52" t="str">
        <f ca="1">IFERROR(__xludf.DUMMYFUNCTION("""COMPUTED_VALUE"""),"2023/01/31 (火)
平日夜間")</f>
        <v>2023/01/31 (火)
平日夜間</v>
      </c>
      <c r="B383" s="52" t="str">
        <f ca="1">IFERROR(__xludf.DUMMYFUNCTION("""COMPUTED_VALUE"""),"森")</f>
        <v>森</v>
      </c>
      <c r="C383" s="52"/>
      <c r="D383" s="52" t="str">
        <f ca="1">IFERROR(__xludf.DUMMYFUNCTION("""COMPUTED_VALUE"""),"森教育山口コマ")</f>
        <v>森教育山口コマ</v>
      </c>
      <c r="E383" s="52" t="str">
        <f ca="1">IFERROR(__xludf.DUMMYFUNCTION("""COMPUTED_VALUE"""),"2023/02/15 (水)
平日夜間")</f>
        <v>2023/02/15 (水)
平日夜間</v>
      </c>
      <c r="F383" s="52" t="str">
        <f ca="1">IFERROR(__xludf.DUMMYFUNCTION("""COMPUTED_VALUE"""),"西谷")</f>
        <v>西谷</v>
      </c>
      <c r="G383" s="52"/>
      <c r="H383" s="52"/>
    </row>
    <row r="384" spans="1:8" ht="12.75" x14ac:dyDescent="0.35">
      <c r="A384" s="52" t="str">
        <f ca="1">IFERROR(__xludf.DUMMYFUNCTION("""COMPUTED_VALUE"""),"2023/02/01 (水)
平日夜間")</f>
        <v>2023/02/01 (水)
平日夜間</v>
      </c>
      <c r="B384" s="52" t="str">
        <f ca="1">IFERROR(__xludf.DUMMYFUNCTION("""COMPUTED_VALUE"""),"尾田")</f>
        <v>尾田</v>
      </c>
      <c r="C384" s="52"/>
      <c r="D384" s="52" t="str">
        <f ca="1">IFERROR(__xludf.DUMMYFUNCTION("""COMPUTED_VALUE"""),"尾田教育")</f>
        <v>尾田教育</v>
      </c>
      <c r="E384" s="52" t="str">
        <f ca="1">IFERROR(__xludf.DUMMYFUNCTION("""COMPUTED_VALUE"""),"2023/02/16 (木)
平日夜間")</f>
        <v>2023/02/16 (木)
平日夜間</v>
      </c>
      <c r="F384" s="52" t="str">
        <f ca="1">IFERROR(__xludf.DUMMYFUNCTION("""COMPUTED_VALUE"""),"井上")</f>
        <v>井上</v>
      </c>
      <c r="G384" s="52" t="str">
        <f ca="1">IFERROR(__xludf.DUMMYFUNCTION("""COMPUTED_VALUE"""),"高口")</f>
        <v>高口</v>
      </c>
      <c r="H384" s="52"/>
    </row>
    <row r="385" spans="1:8" ht="12.75" x14ac:dyDescent="0.35">
      <c r="A385" s="52" t="str">
        <f ca="1">IFERROR(__xludf.DUMMYFUNCTION("""COMPUTED_VALUE"""),"2023/02/02 (木)
平日夜間")</f>
        <v>2023/02/02 (木)
平日夜間</v>
      </c>
      <c r="B385" s="52" t="str">
        <f ca="1">IFERROR(__xludf.DUMMYFUNCTION("""COMPUTED_VALUE"""),"福井")</f>
        <v>福井</v>
      </c>
      <c r="C385" s="52"/>
      <c r="D385" s="52"/>
      <c r="E385" s="52" t="str">
        <f ca="1">IFERROR(__xludf.DUMMYFUNCTION("""COMPUTED_VALUE"""),"2023/02/17 (金)
平日夜間")</f>
        <v>2023/02/17 (金)
平日夜間</v>
      </c>
      <c r="F385" s="52" t="str">
        <f ca="1">IFERROR(__xludf.DUMMYFUNCTION("""COMPUTED_VALUE"""),"宮坂")</f>
        <v>宮坂</v>
      </c>
      <c r="G385" s="52"/>
      <c r="H385" s="52" t="str">
        <f ca="1">IFERROR(__xludf.DUMMYFUNCTION("""COMPUTED_VALUE"""),"宮坂病棟")</f>
        <v>宮坂病棟</v>
      </c>
    </row>
    <row r="386" spans="1:8" ht="12.75" x14ac:dyDescent="0.35">
      <c r="A386" s="52" t="str">
        <f ca="1">IFERROR(__xludf.DUMMYFUNCTION("""COMPUTED_VALUE"""),"2023/02/03 (金)
平日夜間")</f>
        <v>2023/02/03 (金)
平日夜間</v>
      </c>
      <c r="B386" s="52" t="str">
        <f ca="1">IFERROR(__xludf.DUMMYFUNCTION("""COMPUTED_VALUE"""),"宮坂")</f>
        <v>宮坂</v>
      </c>
      <c r="C386" s="52"/>
      <c r="D386" s="52" t="str">
        <f ca="1">IFERROR(__xludf.DUMMYFUNCTION("""COMPUTED_VALUE"""),"宮坂病棟竹藤コマ")</f>
        <v>宮坂病棟竹藤コマ</v>
      </c>
      <c r="E386" s="52" t="str">
        <f ca="1">IFERROR(__xludf.DUMMYFUNCTION("""COMPUTED_VALUE"""),"2023/02/18 (土)
休日午前")</f>
        <v>2023/02/18 (土)
休日午前</v>
      </c>
      <c r="F386" s="52" t="str">
        <f ca="1">IFERROR(__xludf.DUMMYFUNCTION("""COMPUTED_VALUE"""),"佐藤")</f>
        <v>佐藤</v>
      </c>
      <c r="G386" s="52"/>
      <c r="H386" s="52" t="str">
        <f ca="1">IFERROR(__xludf.DUMMYFUNCTION("""COMPUTED_VALUE"""),"西谷E佐藤F吉田B")</f>
        <v>西谷E佐藤F吉田B</v>
      </c>
    </row>
    <row r="387" spans="1:8" ht="12.75" x14ac:dyDescent="0.35">
      <c r="A387" s="52" t="str">
        <f ca="1">IFERROR(__xludf.DUMMYFUNCTION("""COMPUTED_VALUE"""),"2023/02/04 (土)
休日午前")</f>
        <v>2023/02/04 (土)
休日午前</v>
      </c>
      <c r="B387" s="52" t="str">
        <f ca="1">IFERROR(__xludf.DUMMYFUNCTION("""COMPUTED_VALUE"""),"井上")</f>
        <v>井上</v>
      </c>
      <c r="C387" s="52"/>
      <c r="D387" s="52" t="str">
        <f ca="1">IFERROR(__xludf.DUMMYFUNCTION("""COMPUTED_VALUE"""),"山田C山口E井上F宗A")</f>
        <v>山田C山口E井上F宗A</v>
      </c>
      <c r="E387" s="52" t="str">
        <f ca="1">IFERROR(__xludf.DUMMYFUNCTION("""COMPUTED_VALUE"""),"2023/02/18 (土)
休日午後")</f>
        <v>2023/02/18 (土)
休日午後</v>
      </c>
      <c r="F387" s="52" t="str">
        <f ca="1">IFERROR(__xludf.DUMMYFUNCTION("""COMPUTED_VALUE"""),"吉田")</f>
        <v>吉田</v>
      </c>
      <c r="G387" s="52"/>
      <c r="H387" s="52" t="str">
        <f ca="1">IFERROR(__xludf.DUMMYFUNCTION("""COMPUTED_VALUE"""),"西谷E佐藤F吉田B")</f>
        <v>西谷E佐藤F吉田B</v>
      </c>
    </row>
    <row r="388" spans="1:8" ht="12.75" x14ac:dyDescent="0.35">
      <c r="A388" s="52" t="str">
        <f ca="1">IFERROR(__xludf.DUMMYFUNCTION("""COMPUTED_VALUE"""),"2023/02/04 (土)
休日午後")</f>
        <v>2023/02/04 (土)
休日午後</v>
      </c>
      <c r="B388" s="52" t="str">
        <f ca="1">IFERROR(__xludf.DUMMYFUNCTION("""COMPUTED_VALUE"""),"宗")</f>
        <v>宗</v>
      </c>
      <c r="C388" s="52"/>
      <c r="D388" s="52" t="str">
        <f ca="1">IFERROR(__xludf.DUMMYFUNCTION("""COMPUTED_VALUE"""),"山田C山口E井上F宗A")</f>
        <v>山田C山口E井上F宗A</v>
      </c>
      <c r="E388" s="52" t="str">
        <f ca="1">IFERROR(__xludf.DUMMYFUNCTION("""COMPUTED_VALUE"""),"2023/02/19 (日)
休日午前")</f>
        <v>2023/02/19 (日)
休日午前</v>
      </c>
      <c r="F388" s="52" t="str">
        <f ca="1">IFERROR(__xludf.DUMMYFUNCTION("""COMPUTED_VALUE"""),"宮坂")</f>
        <v>宮坂</v>
      </c>
      <c r="G388" s="52"/>
      <c r="H388" s="52" t="str">
        <f ca="1">IFERROR(__xludf.DUMMYFUNCTION("""COMPUTED_VALUE"""),"片山C高口E")</f>
        <v>片山C高口E</v>
      </c>
    </row>
    <row r="389" spans="1:8" ht="12.75" x14ac:dyDescent="0.35">
      <c r="A389" s="52" t="str">
        <f ca="1">IFERROR(__xludf.DUMMYFUNCTION("""COMPUTED_VALUE"""),"2023/02/05 (日)
休日午前")</f>
        <v>2023/02/05 (日)
休日午前</v>
      </c>
      <c r="B389" s="52" t="str">
        <f ca="1">IFERROR(__xludf.DUMMYFUNCTION("""COMPUTED_VALUE"""),"西谷")</f>
        <v>西谷</v>
      </c>
      <c r="C389" s="52"/>
      <c r="D389" s="52" t="str">
        <f ca="1">IFERROR(__xludf.DUMMYFUNCTION("""COMPUTED_VALUE"""),"中瀬E高口F竹藤B")</f>
        <v>中瀬E高口F竹藤B</v>
      </c>
      <c r="E389" s="52" t="str">
        <f ca="1">IFERROR(__xludf.DUMMYFUNCTION("""COMPUTED_VALUE"""),"2023/02/19 (日)
休日午後")</f>
        <v>2023/02/19 (日)
休日午後</v>
      </c>
      <c r="F389" s="52" t="str">
        <f ca="1">IFERROR(__xludf.DUMMYFUNCTION("""COMPUTED_VALUE"""),"竹藤")</f>
        <v>竹藤</v>
      </c>
      <c r="G389" s="52"/>
      <c r="H389" s="52" t="str">
        <f ca="1">IFERROR(__xludf.DUMMYFUNCTION("""COMPUTED_VALUE"""),"片山C高口E")</f>
        <v>片山C高口E</v>
      </c>
    </row>
    <row r="390" spans="1:8" ht="12.75" x14ac:dyDescent="0.35">
      <c r="A390" s="52" t="str">
        <f ca="1">IFERROR(__xludf.DUMMYFUNCTION("""COMPUTED_VALUE"""),"2023/02/05 (日)
休日午後")</f>
        <v>2023/02/05 (日)
休日午後</v>
      </c>
      <c r="B390" s="52" t="str">
        <f ca="1">IFERROR(__xludf.DUMMYFUNCTION("""COMPUTED_VALUE"""),"竹藤")</f>
        <v>竹藤</v>
      </c>
      <c r="C390" s="52"/>
      <c r="D390" s="52" t="str">
        <f ca="1">IFERROR(__xludf.DUMMYFUNCTION("""COMPUTED_VALUE"""),"中瀬E高口F竹藤B")</f>
        <v>中瀬E高口F竹藤B</v>
      </c>
      <c r="E390" s="52" t="str">
        <f ca="1">IFERROR(__xludf.DUMMYFUNCTION("""COMPUTED_VALUE"""),"2023/02/20 (月)
平日夜間")</f>
        <v>2023/02/20 (月)
平日夜間</v>
      </c>
      <c r="F390" s="52" t="str">
        <f ca="1">IFERROR(__xludf.DUMMYFUNCTION("""COMPUTED_VALUE"""),"伊藤")</f>
        <v>伊藤</v>
      </c>
      <c r="G390" s="52"/>
      <c r="H390" s="52" t="str">
        <f ca="1">IFERROR(__xludf.DUMMYFUNCTION("""COMPUTED_VALUE"""),"勝俣コマ")</f>
        <v>勝俣コマ</v>
      </c>
    </row>
    <row r="391" spans="1:8" ht="12.75" x14ac:dyDescent="0.35">
      <c r="A391" s="52" t="str">
        <f ca="1">IFERROR(__xludf.DUMMYFUNCTION("""COMPUTED_VALUE"""),"2023/02/06 (月)
平日夜間")</f>
        <v>2023/02/06 (月)
平日夜間</v>
      </c>
      <c r="B391" s="52" t="str">
        <f ca="1">IFERROR(__xludf.DUMMYFUNCTION("""COMPUTED_VALUE"""),"新美")</f>
        <v>新美</v>
      </c>
      <c r="C391" s="52"/>
      <c r="D391" s="52" t="str">
        <f ca="1">IFERROR(__xludf.DUMMYFUNCTION("""COMPUTED_VALUE"""),"林智教育新美病棟尾田コマ")</f>
        <v>林智教育新美病棟尾田コマ</v>
      </c>
      <c r="E391" s="52" t="str">
        <f ca="1">IFERROR(__xludf.DUMMYFUNCTION("""COMPUTED_VALUE"""),"2023/02/21 (火)
平日夜間")</f>
        <v>2023/02/21 (火)
平日夜間</v>
      </c>
      <c r="F391" s="52" t="str">
        <f ca="1">IFERROR(__xludf.DUMMYFUNCTION("""COMPUTED_VALUE"""),"宗")</f>
        <v>宗</v>
      </c>
      <c r="G391" s="52"/>
      <c r="H391" s="52" t="str">
        <f ca="1">IFERROR(__xludf.DUMMYFUNCTION("""COMPUTED_VALUE"""),"尾田教育中瀬病棟吉田コマ")</f>
        <v>尾田教育中瀬病棟吉田コマ</v>
      </c>
    </row>
    <row r="392" spans="1:8" ht="12.75" x14ac:dyDescent="0.35">
      <c r="A392" s="52" t="str">
        <f ca="1">IFERROR(__xludf.DUMMYFUNCTION("""COMPUTED_VALUE"""),"2023/02/07 (火)
平日夜間")</f>
        <v>2023/02/07 (火)
平日夜間</v>
      </c>
      <c r="B392" s="52" t="str">
        <f ca="1">IFERROR(__xludf.DUMMYFUNCTION("""COMPUTED_VALUE"""),"佐藤")</f>
        <v>佐藤</v>
      </c>
      <c r="C392" s="52"/>
      <c r="D392" s="52" t="str">
        <f ca="1">IFERROR(__xludf.DUMMYFUNCTION("""COMPUTED_VALUE"""),"菊野教育佐藤病棟太良コマ")</f>
        <v>菊野教育佐藤病棟太良コマ</v>
      </c>
      <c r="E392" s="52" t="str">
        <f ca="1">IFERROR(__xludf.DUMMYFUNCTION("""COMPUTED_VALUE"""),"2023/02/22 (水)
平日夜間")</f>
        <v>2023/02/22 (水)
平日夜間</v>
      </c>
      <c r="F392" s="52" t="str">
        <f ca="1">IFERROR(__xludf.DUMMYFUNCTION("""COMPUTED_VALUE"""),"山口")</f>
        <v>山口</v>
      </c>
      <c r="G392" s="52"/>
      <c r="H392" s="52" t="str">
        <f ca="1">IFERROR(__xludf.DUMMYFUNCTION("""COMPUTED_VALUE"""),"山口病棟")</f>
        <v>山口病棟</v>
      </c>
    </row>
    <row r="393" spans="1:8" ht="12.75" x14ac:dyDescent="0.35">
      <c r="A393" s="52" t="str">
        <f ca="1">IFERROR(__xludf.DUMMYFUNCTION("""COMPUTED_VALUE"""),"2023/02/08 (水)
平日夜間")</f>
        <v>2023/02/08 (水)
平日夜間</v>
      </c>
      <c r="B393" s="52" t="str">
        <f ca="1">IFERROR(__xludf.DUMMYFUNCTION("""COMPUTED_VALUE"""),"西谷")</f>
        <v>西谷</v>
      </c>
      <c r="C393" s="52"/>
      <c r="D393" s="52"/>
      <c r="E393" s="52" t="str">
        <f ca="1">IFERROR(__xludf.DUMMYFUNCTION("""COMPUTED_VALUE"""),"2023/02/23 (木)
休日午前")</f>
        <v>2023/02/23 (木)
休日午前</v>
      </c>
      <c r="F393" s="52" t="str">
        <f ca="1">IFERROR(__xludf.DUMMYFUNCTION("""COMPUTED_VALUE"""),"中瀬")</f>
        <v>中瀬</v>
      </c>
      <c r="G393" s="52"/>
      <c r="H393" s="52" t="str">
        <f ca="1">IFERROR(__xludf.DUMMYFUNCTION("""COMPUTED_VALUE"""),"菊野F新美コマ")</f>
        <v>菊野F新美コマ</v>
      </c>
    </row>
    <row r="394" spans="1:8" ht="12.75" x14ac:dyDescent="0.35">
      <c r="A394" s="52" t="str">
        <f ca="1">IFERROR(__xludf.DUMMYFUNCTION("""COMPUTED_VALUE"""),"2023/02/09 (木)
平日夜間")</f>
        <v>2023/02/09 (木)
平日夜間</v>
      </c>
      <c r="B394" s="52" t="str">
        <f ca="1">IFERROR(__xludf.DUMMYFUNCTION("""COMPUTED_VALUE"""),"菊野")</f>
        <v>菊野</v>
      </c>
      <c r="C394" s="52"/>
      <c r="D394" s="52"/>
      <c r="E394" s="52" t="str">
        <f ca="1">IFERROR(__xludf.DUMMYFUNCTION("""COMPUTED_VALUE"""),"2023/02/23 (木)
休日午後")</f>
        <v>2023/02/23 (木)
休日午後</v>
      </c>
      <c r="F394" s="52" t="str">
        <f ca="1">IFERROR(__xludf.DUMMYFUNCTION("""COMPUTED_VALUE"""),"福井")</f>
        <v>福井</v>
      </c>
      <c r="G394" s="52"/>
      <c r="H394" s="52" t="str">
        <f ca="1">IFERROR(__xludf.DUMMYFUNCTION("""COMPUTED_VALUE"""),"菊野F山口コマ")</f>
        <v>菊野F山口コマ</v>
      </c>
    </row>
    <row r="395" spans="1:8" ht="12.75" x14ac:dyDescent="0.35">
      <c r="A395" s="52" t="str">
        <f ca="1">IFERROR(__xludf.DUMMYFUNCTION("""COMPUTED_VALUE"""),"2023/02/10 (金)
平日夜間")</f>
        <v>2023/02/10 (金)
平日夜間</v>
      </c>
      <c r="B395" s="52" t="str">
        <f ca="1">IFERROR(__xludf.DUMMYFUNCTION("""COMPUTED_VALUE"""),"山口")</f>
        <v>山口</v>
      </c>
      <c r="C395" s="52"/>
      <c r="D395" s="52"/>
      <c r="E395" s="52" t="str">
        <f ca="1">IFERROR(__xludf.DUMMYFUNCTION("""COMPUTED_VALUE"""),"2023/02/24 (金)
平日夜間")</f>
        <v>2023/02/24 (金)
平日夜間</v>
      </c>
      <c r="F395" s="52" t="str">
        <f ca="1">IFERROR(__xludf.DUMMYFUNCTION("""COMPUTED_VALUE"""),"林智")</f>
        <v>林智</v>
      </c>
      <c r="G395" s="52"/>
      <c r="H395" s="52" t="str">
        <f ca="1">IFERROR(__xludf.DUMMYFUNCTION("""COMPUTED_VALUE"""),"林智教育勝俣病棟")</f>
        <v>林智教育勝俣病棟</v>
      </c>
    </row>
    <row r="396" spans="1:8" ht="12.75" x14ac:dyDescent="0.35">
      <c r="A396" s="52" t="str">
        <f ca="1">IFERROR(__xludf.DUMMYFUNCTION("""COMPUTED_VALUE"""),"2023/02/11 (土)
休日午前")</f>
        <v>2023/02/11 (土)
休日午前</v>
      </c>
      <c r="B396" s="52" t="str">
        <f ca="1">IFERROR(__xludf.DUMMYFUNCTION("""COMPUTED_VALUE"""),"中瀬")</f>
        <v>中瀬</v>
      </c>
      <c r="C396" s="52"/>
      <c r="D396" s="52" t="str">
        <f ca="1">IFERROR(__xludf.DUMMYFUNCTION("""COMPUTED_VALUE"""),"林哲B")</f>
        <v>林哲B</v>
      </c>
      <c r="E396" s="52" t="str">
        <f ca="1">IFERROR(__xludf.DUMMYFUNCTION("""COMPUTED_VALUE"""),"2023/02/25 (土)
休日午前")</f>
        <v>2023/02/25 (土)
休日午前</v>
      </c>
      <c r="F396" s="52" t="str">
        <f ca="1">IFERROR(__xludf.DUMMYFUNCTION("""COMPUTED_VALUE"""),"勝俣")</f>
        <v>勝俣</v>
      </c>
      <c r="G396" s="52"/>
      <c r="H396" s="52"/>
    </row>
    <row r="397" spans="1:8" ht="12.75" x14ac:dyDescent="0.35">
      <c r="A397" s="52" t="str">
        <f ca="1">IFERROR(__xludf.DUMMYFUNCTION("""COMPUTED_VALUE"""),"2023/02/11 (土)
休日午後")</f>
        <v>2023/02/11 (土)
休日午後</v>
      </c>
      <c r="B397" s="52" t="str">
        <f ca="1">IFERROR(__xludf.DUMMYFUNCTION("""COMPUTED_VALUE"""),"林哲")</f>
        <v>林哲</v>
      </c>
      <c r="C397" s="52"/>
      <c r="D397" s="52" t="str">
        <f ca="1">IFERROR(__xludf.DUMMYFUNCTION("""COMPUTED_VALUE"""),"林哲B")</f>
        <v>林哲B</v>
      </c>
      <c r="E397" s="52" t="str">
        <f ca="1">IFERROR(__xludf.DUMMYFUNCTION("""COMPUTED_VALUE"""),"2023/02/25 (土)
休日午後")</f>
        <v>2023/02/25 (土)
休日午後</v>
      </c>
      <c r="F397" s="52" t="str">
        <f ca="1">IFERROR(__xludf.DUMMYFUNCTION("""COMPUTED_VALUE"""),"菊野")</f>
        <v>菊野</v>
      </c>
      <c r="G397" s="52" t="str">
        <f ca="1">IFERROR(__xludf.DUMMYFUNCTION("""COMPUTED_VALUE"""),"高口")</f>
        <v>高口</v>
      </c>
      <c r="H397" s="52"/>
    </row>
    <row r="398" spans="1:8" ht="12.75" x14ac:dyDescent="0.35">
      <c r="A398" s="52" t="str">
        <f ca="1">IFERROR(__xludf.DUMMYFUNCTION("""COMPUTED_VALUE"""),"2023/02/12 (日)
休日午前")</f>
        <v>2023/02/12 (日)
休日午前</v>
      </c>
      <c r="B398" s="52" t="str">
        <f ca="1">IFERROR(__xludf.DUMMYFUNCTION("""COMPUTED_VALUE"""),"吉田")</f>
        <v>吉田</v>
      </c>
      <c r="C398" s="52"/>
      <c r="D398" s="52" t="str">
        <f ca="1">IFERROR(__xludf.DUMMYFUNCTION("""COMPUTED_VALUE"""),"勝俣F伊藤A")</f>
        <v>勝俣F伊藤A</v>
      </c>
      <c r="E398" s="52" t="str">
        <f ca="1">IFERROR(__xludf.DUMMYFUNCTION("""COMPUTED_VALUE"""),"2023/02/26 (日)
休日午前")</f>
        <v>2023/02/26 (日)
休日午前</v>
      </c>
      <c r="F398" s="52" t="str">
        <f ca="1">IFERROR(__xludf.DUMMYFUNCTION("""COMPUTED_VALUE"""),"太良")</f>
        <v>太良</v>
      </c>
      <c r="G398" s="52"/>
      <c r="H398" s="52" t="str">
        <f ca="1">IFERROR(__xludf.DUMMYFUNCTION("""COMPUTED_VALUE"""),"西谷F福井A太良B")</f>
        <v>西谷F福井A太良B</v>
      </c>
    </row>
    <row r="399" spans="1:8" ht="12.75" x14ac:dyDescent="0.35">
      <c r="A399" s="52" t="str">
        <f ca="1">IFERROR(__xludf.DUMMYFUNCTION("""COMPUTED_VALUE"""),"2023/02/12 (日)
休日午後")</f>
        <v>2023/02/12 (日)
休日午後</v>
      </c>
      <c r="B399" s="52" t="str">
        <f ca="1">IFERROR(__xludf.DUMMYFUNCTION("""COMPUTED_VALUE"""),"伊藤")</f>
        <v>伊藤</v>
      </c>
      <c r="C399" s="52"/>
      <c r="D399" s="52" t="str">
        <f ca="1">IFERROR(__xludf.DUMMYFUNCTION("""COMPUTED_VALUE"""),"勝俣F伊藤A")</f>
        <v>勝俣F伊藤A</v>
      </c>
      <c r="E399" s="52" t="str">
        <f ca="1">IFERROR(__xludf.DUMMYFUNCTION("""COMPUTED_VALUE"""),"2023/02/26 (日)
休日午後")</f>
        <v>2023/02/26 (日)
休日午後</v>
      </c>
      <c r="F399" s="52" t="str">
        <f ca="1">IFERROR(__xludf.DUMMYFUNCTION("""COMPUTED_VALUE"""),"福井")</f>
        <v>福井</v>
      </c>
      <c r="G399" s="52"/>
      <c r="H399" s="52" t="str">
        <f ca="1">IFERROR(__xludf.DUMMYFUNCTION("""COMPUTED_VALUE"""),"西谷F福井A太良B")</f>
        <v>西谷F福井A太良B</v>
      </c>
    </row>
    <row r="400" spans="1:8" ht="12.75" x14ac:dyDescent="0.35">
      <c r="A400" s="52" t="str">
        <f ca="1">IFERROR(__xludf.DUMMYFUNCTION("""COMPUTED_VALUE"""),"2023/02/13 (月)
平日夜間")</f>
        <v>2023/02/13 (月)
平日夜間</v>
      </c>
      <c r="B400" s="52" t="str">
        <f ca="1">IFERROR(__xludf.DUMMYFUNCTION("""COMPUTED_VALUE"""),"新美")</f>
        <v>新美</v>
      </c>
      <c r="C400" s="52"/>
      <c r="D400" s="52" t="str">
        <f ca="1">IFERROR(__xludf.DUMMYFUNCTION("""COMPUTED_VALUE"""),"新美教育林智コマ")</f>
        <v>新美教育林智コマ</v>
      </c>
      <c r="E400" s="52" t="str">
        <f ca="1">IFERROR(__xludf.DUMMYFUNCTION("""COMPUTED_VALUE"""),"2023/02/27 (月)
平日夜間")</f>
        <v>2023/02/27 (月)
平日夜間</v>
      </c>
      <c r="F400" s="52" t="str">
        <f ca="1">IFERROR(__xludf.DUMMYFUNCTION("""COMPUTED_VALUE"""),"竹藤")</f>
        <v>竹藤</v>
      </c>
      <c r="G400" s="52"/>
      <c r="H400" s="52" t="str">
        <f ca="1">IFERROR(__xludf.DUMMYFUNCTION("""COMPUTED_VALUE"""),"井上コマ")</f>
        <v>井上コマ</v>
      </c>
    </row>
    <row r="401" spans="1:8" ht="12.75" x14ac:dyDescent="0.35">
      <c r="A401" s="52" t="str">
        <f ca="1">IFERROR(__xludf.DUMMYFUNCTION("""COMPUTED_VALUE"""),"2023/02/14 (火)
平日夜間")</f>
        <v>2023/02/14 (火)
平日夜間</v>
      </c>
      <c r="B401" s="52" t="str">
        <f ca="1">IFERROR(__xludf.DUMMYFUNCTION("""COMPUTED_VALUE"""),"井上")</f>
        <v>井上</v>
      </c>
      <c r="C401" s="52"/>
      <c r="D401" s="52" t="str">
        <f ca="1">IFERROR(__xludf.DUMMYFUNCTION("""COMPUTED_VALUE"""),"井上病棟太良コマ")</f>
        <v>井上病棟太良コマ</v>
      </c>
      <c r="E401" s="52" t="str">
        <f ca="1">IFERROR(__xludf.DUMMYFUNCTION("""COMPUTED_VALUE"""),"2023/02/28 (火)
平日夜間")</f>
        <v>2023/02/28 (火)
平日夜間</v>
      </c>
      <c r="F401" s="52" t="str">
        <f ca="1">IFERROR(__xludf.DUMMYFUNCTION("""COMPUTED_VALUE"""),"福井")</f>
        <v>福井</v>
      </c>
      <c r="G401" s="52"/>
      <c r="H401" s="52" t="str">
        <f ca="1">IFERROR(__xludf.DUMMYFUNCTION("""COMPUTED_VALUE"""),"吉田コマ")</f>
        <v>吉田コマ</v>
      </c>
    </row>
    <row r="402" spans="1:8" ht="12.75" x14ac:dyDescent="0.35">
      <c r="A402" s="52" t="str">
        <f ca="1">IFERROR(__xludf.DUMMYFUNCTION("""COMPUTED_VALUE"""),"2023/02/15 (水)
平日夜間")</f>
        <v>2023/02/15 (水)
平日夜間</v>
      </c>
      <c r="B402" s="52" t="str">
        <f ca="1">IFERROR(__xludf.DUMMYFUNCTION("""COMPUTED_VALUE"""),"西谷")</f>
        <v>西谷</v>
      </c>
      <c r="C402" s="52"/>
      <c r="D402" s="52"/>
      <c r="E402" s="52" t="str">
        <f ca="1">IFERROR(__xludf.DUMMYFUNCTION("""COMPUTED_VALUE"""),"2023/03/01 (水)
平日夜間")</f>
        <v>2023/03/01 (水)
平日夜間</v>
      </c>
      <c r="F402" s="52" t="str">
        <f ca="1">IFERROR(__xludf.DUMMYFUNCTION("""COMPUTED_VALUE"""),"山口")</f>
        <v>山口</v>
      </c>
      <c r="G402" s="52"/>
      <c r="H402" s="52" t="str">
        <f ca="1">IFERROR(__xludf.DUMMYFUNCTION("""COMPUTED_VALUE"""),"山口教育")</f>
        <v>山口教育</v>
      </c>
    </row>
    <row r="403" spans="1:8" ht="12.75" x14ac:dyDescent="0.35">
      <c r="A403" s="52" t="str">
        <f ca="1">IFERROR(__xludf.DUMMYFUNCTION("""COMPUTED_VALUE"""),"2023/02/16 (木)
平日夜間")</f>
        <v>2023/02/16 (木)
平日夜間</v>
      </c>
      <c r="B403" s="52" t="str">
        <f ca="1">IFERROR(__xludf.DUMMYFUNCTION("""COMPUTED_VALUE"""),"井上")</f>
        <v>井上</v>
      </c>
      <c r="C403" s="52" t="str">
        <f ca="1">IFERROR(__xludf.DUMMYFUNCTION("""COMPUTED_VALUE"""),"高口")</f>
        <v>高口</v>
      </c>
      <c r="D403" s="52"/>
      <c r="E403" s="52" t="str">
        <f ca="1">IFERROR(__xludf.DUMMYFUNCTION("""COMPUTED_VALUE"""),"2023/03/02 (木)
平日夜間")</f>
        <v>2023/03/02 (木)
平日夜間</v>
      </c>
      <c r="F403" s="52" t="str">
        <f ca="1">IFERROR(__xludf.DUMMYFUNCTION("""COMPUTED_VALUE"""),"佐藤")</f>
        <v>佐藤</v>
      </c>
      <c r="G403" s="52"/>
      <c r="H403" s="52" t="str">
        <f ca="1">IFERROR(__xludf.DUMMYFUNCTION("""COMPUTED_VALUE"""),"佐藤病棟")</f>
        <v>佐藤病棟</v>
      </c>
    </row>
    <row r="404" spans="1:8" ht="12.75" x14ac:dyDescent="0.35">
      <c r="A404" s="52" t="str">
        <f ca="1">IFERROR(__xludf.DUMMYFUNCTION("""COMPUTED_VALUE"""),"2023/02/17 (金)
平日夜間")</f>
        <v>2023/02/17 (金)
平日夜間</v>
      </c>
      <c r="B404" s="52" t="str">
        <f ca="1">IFERROR(__xludf.DUMMYFUNCTION("""COMPUTED_VALUE"""),"宮坂")</f>
        <v>宮坂</v>
      </c>
      <c r="C404" s="52"/>
      <c r="D404" s="52" t="str">
        <f ca="1">IFERROR(__xludf.DUMMYFUNCTION("""COMPUTED_VALUE"""),"宮坂病棟")</f>
        <v>宮坂病棟</v>
      </c>
      <c r="E404" s="52" t="str">
        <f ca="1">IFERROR(__xludf.DUMMYFUNCTION("""COMPUTED_VALUE"""),"2023/03/03 (金)
平日夜間")</f>
        <v>2023/03/03 (金)
平日夜間</v>
      </c>
      <c r="F404" s="52" t="str">
        <f ca="1">IFERROR(__xludf.DUMMYFUNCTION("""COMPUTED_VALUE"""),"井上")</f>
        <v>井上</v>
      </c>
      <c r="G404" s="52"/>
      <c r="H404" s="52"/>
    </row>
    <row r="405" spans="1:8" ht="12.75" x14ac:dyDescent="0.35">
      <c r="A405" s="52" t="str">
        <f ca="1">IFERROR(__xludf.DUMMYFUNCTION("""COMPUTED_VALUE"""),"2023/02/18 (土)
休日午前")</f>
        <v>2023/02/18 (土)
休日午前</v>
      </c>
      <c r="B405" s="52" t="str">
        <f ca="1">IFERROR(__xludf.DUMMYFUNCTION("""COMPUTED_VALUE"""),"佐藤")</f>
        <v>佐藤</v>
      </c>
      <c r="C405" s="52"/>
      <c r="D405" s="52" t="str">
        <f ca="1">IFERROR(__xludf.DUMMYFUNCTION("""COMPUTED_VALUE"""),"西谷E佐藤F吉田B")</f>
        <v>西谷E佐藤F吉田B</v>
      </c>
      <c r="E405" s="52" t="str">
        <f ca="1">IFERROR(__xludf.DUMMYFUNCTION("""COMPUTED_VALUE"""),"2023/03/04 (土)
休日午前")</f>
        <v>2023/03/04 (土)
休日午前</v>
      </c>
      <c r="F405" s="52" t="str">
        <f ca="1">IFERROR(__xludf.DUMMYFUNCTION("""COMPUTED_VALUE"""),"福井")</f>
        <v>福井</v>
      </c>
      <c r="G405" s="52"/>
      <c r="H405" s="52" t="str">
        <f ca="1">IFERROR(__xludf.DUMMYFUNCTION("""COMPUTED_VALUE"""),"山田C森E宮坂B")</f>
        <v>山田C森E宮坂B</v>
      </c>
    </row>
    <row r="406" spans="1:8" ht="12.75" x14ac:dyDescent="0.35">
      <c r="A406" s="52" t="str">
        <f ca="1">IFERROR(__xludf.DUMMYFUNCTION("""COMPUTED_VALUE"""),"2023/02/18 (土)
休日午後")</f>
        <v>2023/02/18 (土)
休日午後</v>
      </c>
      <c r="B406" s="52" t="str">
        <f ca="1">IFERROR(__xludf.DUMMYFUNCTION("""COMPUTED_VALUE"""),"吉田")</f>
        <v>吉田</v>
      </c>
      <c r="C406" s="52"/>
      <c r="D406" s="52" t="str">
        <f ca="1">IFERROR(__xludf.DUMMYFUNCTION("""COMPUTED_VALUE"""),"西谷E佐藤F吉田B")</f>
        <v>西谷E佐藤F吉田B</v>
      </c>
      <c r="E406" s="52" t="str">
        <f ca="1">IFERROR(__xludf.DUMMYFUNCTION("""COMPUTED_VALUE"""),"2023/03/04 (土)
休日午後")</f>
        <v>2023/03/04 (土)
休日午後</v>
      </c>
      <c r="F406" s="52" t="str">
        <f ca="1">IFERROR(__xludf.DUMMYFUNCTION("""COMPUTED_VALUE"""),"宮坂")</f>
        <v>宮坂</v>
      </c>
      <c r="G406" s="52"/>
      <c r="H406" s="52" t="str">
        <f ca="1">IFERROR(__xludf.DUMMYFUNCTION("""COMPUTED_VALUE"""),"山田C森E宮坂B")</f>
        <v>山田C森E宮坂B</v>
      </c>
    </row>
    <row r="407" spans="1:8" ht="12.75" x14ac:dyDescent="0.35">
      <c r="A407" s="52" t="str">
        <f ca="1">IFERROR(__xludf.DUMMYFUNCTION("""COMPUTED_VALUE"""),"2023/02/19 (日)
休日午前")</f>
        <v>2023/02/19 (日)
休日午前</v>
      </c>
      <c r="B407" s="52" t="str">
        <f ca="1">IFERROR(__xludf.DUMMYFUNCTION("""COMPUTED_VALUE"""),"宮坂")</f>
        <v>宮坂</v>
      </c>
      <c r="C407" s="52"/>
      <c r="D407" s="52" t="str">
        <f ca="1">IFERROR(__xludf.DUMMYFUNCTION("""COMPUTED_VALUE"""),"片山C高口E")</f>
        <v>片山C高口E</v>
      </c>
      <c r="E407" s="52" t="str">
        <f ca="1">IFERROR(__xludf.DUMMYFUNCTION("""COMPUTED_VALUE"""),"2023/03/05 (日)
休日午前")</f>
        <v>2023/03/05 (日)
休日午前</v>
      </c>
      <c r="F407" s="52" t="str">
        <f ca="1">IFERROR(__xludf.DUMMYFUNCTION("""COMPUTED_VALUE"""),"伊藤")</f>
        <v>伊藤</v>
      </c>
      <c r="G407" s="52"/>
      <c r="H407" s="52" t="str">
        <f ca="1">IFERROR(__xludf.DUMMYFUNCTION("""COMPUTED_VALUE"""),"菊野F")</f>
        <v>菊野F</v>
      </c>
    </row>
    <row r="408" spans="1:8" ht="12.75" x14ac:dyDescent="0.35">
      <c r="A408" s="52" t="str">
        <f ca="1">IFERROR(__xludf.DUMMYFUNCTION("""COMPUTED_VALUE"""),"2023/02/19 (日)
休日午後")</f>
        <v>2023/02/19 (日)
休日午後</v>
      </c>
      <c r="B408" s="52" t="str">
        <f ca="1">IFERROR(__xludf.DUMMYFUNCTION("""COMPUTED_VALUE"""),"竹藤")</f>
        <v>竹藤</v>
      </c>
      <c r="C408" s="52"/>
      <c r="D408" s="52" t="str">
        <f ca="1">IFERROR(__xludf.DUMMYFUNCTION("""COMPUTED_VALUE"""),"片山C高口E")</f>
        <v>片山C高口E</v>
      </c>
      <c r="E408" s="52" t="str">
        <f ca="1">IFERROR(__xludf.DUMMYFUNCTION("""COMPUTED_VALUE"""),"2023/03/05 (日)
休日午後")</f>
        <v>2023/03/05 (日)
休日午後</v>
      </c>
      <c r="F408" s="52" t="str">
        <f ca="1">IFERROR(__xludf.DUMMYFUNCTION("""COMPUTED_VALUE"""),"井上")</f>
        <v>井上</v>
      </c>
      <c r="G408" s="52" t="str">
        <f ca="1">IFERROR(__xludf.DUMMYFUNCTION("""COMPUTED_VALUE"""),"太良✗")</f>
        <v>太良✗</v>
      </c>
      <c r="H408" s="52" t="str">
        <f ca="1">IFERROR(__xludf.DUMMYFUNCTION("""COMPUTED_VALUE"""),"菊野F")</f>
        <v>菊野F</v>
      </c>
    </row>
    <row r="409" spans="1:8" ht="12.75" x14ac:dyDescent="0.35">
      <c r="A409" s="52" t="str">
        <f ca="1">IFERROR(__xludf.DUMMYFUNCTION("""COMPUTED_VALUE"""),"2023/02/20 (月)
平日夜間")</f>
        <v>2023/02/20 (月)
平日夜間</v>
      </c>
      <c r="B409" s="52" t="str">
        <f ca="1">IFERROR(__xludf.DUMMYFUNCTION("""COMPUTED_VALUE"""),"伊藤")</f>
        <v>伊藤</v>
      </c>
      <c r="C409" s="52"/>
      <c r="D409" s="52" t="str">
        <f ca="1">IFERROR(__xludf.DUMMYFUNCTION("""COMPUTED_VALUE"""),"勝俣コマ")</f>
        <v>勝俣コマ</v>
      </c>
      <c r="E409" s="52" t="str">
        <f ca="1">IFERROR(__xludf.DUMMYFUNCTION("""COMPUTED_VALUE"""),"2023/03/06 (月)
平日夜間")</f>
        <v>2023/03/06 (月)
平日夜間</v>
      </c>
      <c r="F409" s="52" t="str">
        <f ca="1">IFERROR(__xludf.DUMMYFUNCTION("""COMPUTED_VALUE"""),"吉田")</f>
        <v>吉田</v>
      </c>
      <c r="G409" s="52"/>
      <c r="H409" s="52" t="str">
        <f ca="1">IFERROR(__xludf.DUMMYFUNCTION("""COMPUTED_VALUE"""),"吉田教育")</f>
        <v>吉田教育</v>
      </c>
    </row>
    <row r="410" spans="1:8" ht="12.75" x14ac:dyDescent="0.35">
      <c r="A410" s="52" t="str">
        <f ca="1">IFERROR(__xludf.DUMMYFUNCTION("""COMPUTED_VALUE"""),"2023/02/21 (火)
平日夜間")</f>
        <v>2023/02/21 (火)
平日夜間</v>
      </c>
      <c r="B410" s="52" t="str">
        <f ca="1">IFERROR(__xludf.DUMMYFUNCTION("""COMPUTED_VALUE"""),"宗")</f>
        <v>宗</v>
      </c>
      <c r="C410" s="52"/>
      <c r="D410" s="52" t="str">
        <f ca="1">IFERROR(__xludf.DUMMYFUNCTION("""COMPUTED_VALUE"""),"尾田教育中瀬病棟吉田コマ")</f>
        <v>尾田教育中瀬病棟吉田コマ</v>
      </c>
      <c r="E410" s="52" t="str">
        <f ca="1">IFERROR(__xludf.DUMMYFUNCTION("""COMPUTED_VALUE"""),"2023/03/07 (火)
平日夜間")</f>
        <v>2023/03/07 (火)
平日夜間</v>
      </c>
      <c r="F410" s="52" t="str">
        <f ca="1">IFERROR(__xludf.DUMMYFUNCTION("""COMPUTED_VALUE"""),"佐藤")</f>
        <v>佐藤</v>
      </c>
      <c r="G410" s="52"/>
      <c r="H410" s="52"/>
    </row>
    <row r="411" spans="1:8" ht="12.75" x14ac:dyDescent="0.35">
      <c r="A411" s="52" t="str">
        <f ca="1">IFERROR(__xludf.DUMMYFUNCTION("""COMPUTED_VALUE"""),"2023/02/22 (水)
平日夜間")</f>
        <v>2023/02/22 (水)
平日夜間</v>
      </c>
      <c r="B411" s="52" t="str">
        <f ca="1">IFERROR(__xludf.DUMMYFUNCTION("""COMPUTED_VALUE"""),"山口")</f>
        <v>山口</v>
      </c>
      <c r="C411" s="52"/>
      <c r="D411" s="52" t="str">
        <f ca="1">IFERROR(__xludf.DUMMYFUNCTION("""COMPUTED_VALUE"""),"山口病棟")</f>
        <v>山口病棟</v>
      </c>
      <c r="E411" s="52" t="str">
        <f ca="1">IFERROR(__xludf.DUMMYFUNCTION("""COMPUTED_VALUE"""),"2023/03/08 (水)
平日夜間")</f>
        <v>2023/03/08 (水)
平日夜間</v>
      </c>
      <c r="F411" s="52" t="str">
        <f ca="1">IFERROR(__xludf.DUMMYFUNCTION("""COMPUTED_VALUE"""),"菊野")</f>
        <v>菊野</v>
      </c>
      <c r="G411" s="52"/>
      <c r="H411" s="52"/>
    </row>
    <row r="412" spans="1:8" ht="12.75" x14ac:dyDescent="0.35">
      <c r="A412" s="52" t="str">
        <f ca="1">IFERROR(__xludf.DUMMYFUNCTION("""COMPUTED_VALUE"""),"2023/02/23 (木)
休日午前")</f>
        <v>2023/02/23 (木)
休日午前</v>
      </c>
      <c r="B412" s="52" t="str">
        <f ca="1">IFERROR(__xludf.DUMMYFUNCTION("""COMPUTED_VALUE"""),"中瀬")</f>
        <v>中瀬</v>
      </c>
      <c r="C412" s="52"/>
      <c r="D412" s="52" t="str">
        <f ca="1">IFERROR(__xludf.DUMMYFUNCTION("""COMPUTED_VALUE"""),"菊野F新美コマ")</f>
        <v>菊野F新美コマ</v>
      </c>
      <c r="E412" s="52" t="str">
        <f ca="1">IFERROR(__xludf.DUMMYFUNCTION("""COMPUTED_VALUE"""),"2023/03/09 (木)
平日夜間")</f>
        <v>2023/03/09 (木)
平日夜間</v>
      </c>
      <c r="F412" s="52" t="str">
        <f ca="1">IFERROR(__xludf.DUMMYFUNCTION("""COMPUTED_VALUE"""),"勝俣")</f>
        <v>勝俣</v>
      </c>
      <c r="G412" s="52"/>
      <c r="H412" s="52"/>
    </row>
    <row r="413" spans="1:8" ht="12.75" x14ac:dyDescent="0.35">
      <c r="A413" s="52" t="str">
        <f ca="1">IFERROR(__xludf.DUMMYFUNCTION("""COMPUTED_VALUE"""),"2023/02/23 (木)
休日午後")</f>
        <v>2023/02/23 (木)
休日午後</v>
      </c>
      <c r="B413" s="52" t="str">
        <f ca="1">IFERROR(__xludf.DUMMYFUNCTION("""COMPUTED_VALUE"""),"福井")</f>
        <v>福井</v>
      </c>
      <c r="C413" s="52"/>
      <c r="D413" s="52" t="str">
        <f ca="1">IFERROR(__xludf.DUMMYFUNCTION("""COMPUTED_VALUE"""),"菊野F山口コマ")</f>
        <v>菊野F山口コマ</v>
      </c>
      <c r="E413" s="52" t="str">
        <f ca="1">IFERROR(__xludf.DUMMYFUNCTION("""COMPUTED_VALUE"""),"2023/03/10 (金)
平日夜間")</f>
        <v>2023/03/10 (金)
平日夜間</v>
      </c>
      <c r="F413" s="52" t="str">
        <f ca="1">IFERROR(__xludf.DUMMYFUNCTION("""COMPUTED_VALUE"""),"林智")</f>
        <v>林智</v>
      </c>
      <c r="G413" s="52"/>
      <c r="H413" s="52" t="str">
        <f ca="1">IFERROR(__xludf.DUMMYFUNCTION("""COMPUTED_VALUE"""),"林智教育西谷病棟")</f>
        <v>林智教育西谷病棟</v>
      </c>
    </row>
    <row r="414" spans="1:8" ht="12.75" x14ac:dyDescent="0.35">
      <c r="A414" s="52" t="str">
        <f ca="1">IFERROR(__xludf.DUMMYFUNCTION("""COMPUTED_VALUE"""),"2023/02/24 (金)
平日夜間")</f>
        <v>2023/02/24 (金)
平日夜間</v>
      </c>
      <c r="B414" s="52" t="str">
        <f ca="1">IFERROR(__xludf.DUMMYFUNCTION("""COMPUTED_VALUE"""),"林智")</f>
        <v>林智</v>
      </c>
      <c r="C414" s="52"/>
      <c r="D414" s="52" t="str">
        <f ca="1">IFERROR(__xludf.DUMMYFUNCTION("""COMPUTED_VALUE"""),"林智教育勝俣病棟")</f>
        <v>林智教育勝俣病棟</v>
      </c>
      <c r="E414" s="52" t="str">
        <f ca="1">IFERROR(__xludf.DUMMYFUNCTION("""COMPUTED_VALUE"""),"2023/03/11 (土)
休日午前")</f>
        <v>2023/03/11 (土)
休日午前</v>
      </c>
      <c r="F414" s="52" t="str">
        <f ca="1">IFERROR(__xludf.DUMMYFUNCTION("""COMPUTED_VALUE"""),"西谷")</f>
        <v>西谷</v>
      </c>
      <c r="G414" s="52"/>
      <c r="H414" s="52" t="str">
        <f ca="1">IFERROR(__xludf.DUMMYFUNCTION("""COMPUTED_VALUE"""),"宗A")</f>
        <v>宗A</v>
      </c>
    </row>
    <row r="415" spans="1:8" ht="12.75" x14ac:dyDescent="0.35">
      <c r="A415" s="52" t="str">
        <f ca="1">IFERROR(__xludf.DUMMYFUNCTION("""COMPUTED_VALUE"""),"2023/02/25 (土)
休日午前")</f>
        <v>2023/02/25 (土)
休日午前</v>
      </c>
      <c r="B415" s="52" t="str">
        <f ca="1">IFERROR(__xludf.DUMMYFUNCTION("""COMPUTED_VALUE"""),"勝俣")</f>
        <v>勝俣</v>
      </c>
      <c r="C415" s="52"/>
      <c r="D415" s="52"/>
      <c r="E415" s="52" t="str">
        <f ca="1">IFERROR(__xludf.DUMMYFUNCTION("""COMPUTED_VALUE"""),"2023/03/11 (土)
休日午後")</f>
        <v>2023/03/11 (土)
休日午後</v>
      </c>
      <c r="F415" s="52" t="str">
        <f ca="1">IFERROR(__xludf.DUMMYFUNCTION("""COMPUTED_VALUE"""),"宗")</f>
        <v>宗</v>
      </c>
      <c r="G415" s="52"/>
      <c r="H415" s="52" t="str">
        <f ca="1">IFERROR(__xludf.DUMMYFUNCTION("""COMPUTED_VALUE"""),"宗A")</f>
        <v>宗A</v>
      </c>
    </row>
    <row r="416" spans="1:8" ht="12.75" x14ac:dyDescent="0.35">
      <c r="A416" s="52" t="str">
        <f ca="1">IFERROR(__xludf.DUMMYFUNCTION("""COMPUTED_VALUE"""),"2023/02/25 (土)
休日午後")</f>
        <v>2023/02/25 (土)
休日午後</v>
      </c>
      <c r="B416" s="52" t="str">
        <f ca="1">IFERROR(__xludf.DUMMYFUNCTION("""COMPUTED_VALUE"""),"菊野")</f>
        <v>菊野</v>
      </c>
      <c r="C416" s="52" t="str">
        <f ca="1">IFERROR(__xludf.DUMMYFUNCTION("""COMPUTED_VALUE"""),"高口")</f>
        <v>高口</v>
      </c>
      <c r="D416" s="52"/>
      <c r="E416" s="52" t="str">
        <f ca="1">IFERROR(__xludf.DUMMYFUNCTION("""COMPUTED_VALUE"""),"2023/03/12 (日)
休日午前")</f>
        <v>2023/03/12 (日)
休日午前</v>
      </c>
      <c r="F416" s="52" t="str">
        <f ca="1">IFERROR(__xludf.DUMMYFUNCTION("""COMPUTED_VALUE"""),"山口")</f>
        <v>山口</v>
      </c>
      <c r="G416" s="52"/>
      <c r="H416" s="52" t="str">
        <f ca="1">IFERROR(__xludf.DUMMYFUNCTION("""COMPUTED_VALUE"""),"福井E菊野A")</f>
        <v>福井E菊野A</v>
      </c>
    </row>
    <row r="417" spans="1:8" ht="12.75" x14ac:dyDescent="0.35">
      <c r="A417" s="52" t="str">
        <f ca="1">IFERROR(__xludf.DUMMYFUNCTION("""COMPUTED_VALUE"""),"2023/02/26 (日)
休日午前")</f>
        <v>2023/02/26 (日)
休日午前</v>
      </c>
      <c r="B417" s="52" t="str">
        <f ca="1">IFERROR(__xludf.DUMMYFUNCTION("""COMPUTED_VALUE"""),"太良")</f>
        <v>太良</v>
      </c>
      <c r="C417" s="52"/>
      <c r="D417" s="52" t="str">
        <f ca="1">IFERROR(__xludf.DUMMYFUNCTION("""COMPUTED_VALUE"""),"西谷F福井A太良B")</f>
        <v>西谷F福井A太良B</v>
      </c>
      <c r="E417" s="52" t="str">
        <f ca="1">IFERROR(__xludf.DUMMYFUNCTION("""COMPUTED_VALUE"""),"2023/03/12 (日)
休日午後")</f>
        <v>2023/03/12 (日)
休日午後</v>
      </c>
      <c r="F417" s="52" t="str">
        <f ca="1">IFERROR(__xludf.DUMMYFUNCTION("""COMPUTED_VALUE"""),"菊野")</f>
        <v>菊野</v>
      </c>
      <c r="G417" s="52"/>
      <c r="H417" s="52" t="str">
        <f ca="1">IFERROR(__xludf.DUMMYFUNCTION("""COMPUTED_VALUE"""),"福井E菊野A")</f>
        <v>福井E菊野A</v>
      </c>
    </row>
    <row r="418" spans="1:8" ht="12.75" x14ac:dyDescent="0.35">
      <c r="A418" s="52" t="str">
        <f ca="1">IFERROR(__xludf.DUMMYFUNCTION("""COMPUTED_VALUE"""),"2023/02/26 (日)
休日午後")</f>
        <v>2023/02/26 (日)
休日午後</v>
      </c>
      <c r="B418" s="52" t="str">
        <f ca="1">IFERROR(__xludf.DUMMYFUNCTION("""COMPUTED_VALUE"""),"福井")</f>
        <v>福井</v>
      </c>
      <c r="C418" s="52"/>
      <c r="D418" s="52" t="str">
        <f ca="1">IFERROR(__xludf.DUMMYFUNCTION("""COMPUTED_VALUE"""),"西谷F福井A太良B")</f>
        <v>西谷F福井A太良B</v>
      </c>
      <c r="E418" s="52" t="str">
        <f ca="1">IFERROR(__xludf.DUMMYFUNCTION("""COMPUTED_VALUE"""),"2023/03/13 (月)
平日夜間")</f>
        <v>2023/03/13 (月)
平日夜間</v>
      </c>
      <c r="F418" s="52" t="str">
        <f ca="1">IFERROR(__xludf.DUMMYFUNCTION("""COMPUTED_VALUE"""),"新美")</f>
        <v>新美</v>
      </c>
      <c r="G418" s="52"/>
      <c r="H418" s="52" t="str">
        <f ca="1">IFERROR(__xludf.DUMMYFUNCTION("""COMPUTED_VALUE"""),"新美教育")</f>
        <v>新美教育</v>
      </c>
    </row>
    <row r="419" spans="1:8" ht="12.75" x14ac:dyDescent="0.35">
      <c r="A419" s="52" t="str">
        <f ca="1">IFERROR(__xludf.DUMMYFUNCTION("""COMPUTED_VALUE"""),"2023/02/27 (月)
平日夜間")</f>
        <v>2023/02/27 (月)
平日夜間</v>
      </c>
      <c r="B419" s="52" t="str">
        <f ca="1">IFERROR(__xludf.DUMMYFUNCTION("""COMPUTED_VALUE"""),"竹藤")</f>
        <v>竹藤</v>
      </c>
      <c r="C419" s="52"/>
      <c r="D419" s="52" t="str">
        <f ca="1">IFERROR(__xludf.DUMMYFUNCTION("""COMPUTED_VALUE"""),"井上コマ")</f>
        <v>井上コマ</v>
      </c>
      <c r="E419" s="52" t="str">
        <f ca="1">IFERROR(__xludf.DUMMYFUNCTION("""COMPUTED_VALUE"""),"2023/03/14 (火)
平日夜間")</f>
        <v>2023/03/14 (火)
平日夜間</v>
      </c>
      <c r="F419" s="52" t="str">
        <f ca="1">IFERROR(__xludf.DUMMYFUNCTION("""COMPUTED_VALUE"""),"高口")</f>
        <v>高口</v>
      </c>
      <c r="G419" s="52"/>
      <c r="H419" s="52"/>
    </row>
    <row r="420" spans="1:8" ht="12.75" x14ac:dyDescent="0.35">
      <c r="A420" s="52" t="str">
        <f ca="1">IFERROR(__xludf.DUMMYFUNCTION("""COMPUTED_VALUE"""),"2023/02/28 (火)
平日夜間")</f>
        <v>2023/02/28 (火)
平日夜間</v>
      </c>
      <c r="B420" s="52" t="str">
        <f ca="1">IFERROR(__xludf.DUMMYFUNCTION("""COMPUTED_VALUE"""),"福井")</f>
        <v>福井</v>
      </c>
      <c r="C420" s="52"/>
      <c r="D420" s="52" t="str">
        <f ca="1">IFERROR(__xludf.DUMMYFUNCTION("""COMPUTED_VALUE"""),"吉田コマ")</f>
        <v>吉田コマ</v>
      </c>
      <c r="E420" s="52" t="str">
        <f ca="1">IFERROR(__xludf.DUMMYFUNCTION("""COMPUTED_VALUE"""),"2023/03/15 (水)
平日夜間")</f>
        <v>2023/03/15 (水)
平日夜間</v>
      </c>
      <c r="F420" s="52" t="str">
        <f ca="1">IFERROR(__xludf.DUMMYFUNCTION("""COMPUTED_VALUE"""),"井上")</f>
        <v>井上</v>
      </c>
      <c r="G420" s="52"/>
      <c r="H420" s="52" t="str">
        <f ca="1">IFERROR(__xludf.DUMMYFUNCTION("""COMPUTED_VALUE"""),"井上病棟")</f>
        <v>井上病棟</v>
      </c>
    </row>
    <row r="421" spans="1:8" ht="12.75" x14ac:dyDescent="0.35">
      <c r="A421" s="52" t="str">
        <f ca="1">IFERROR(__xludf.DUMMYFUNCTION("""COMPUTED_VALUE"""),"2023/03/01 (水)
平日夜間")</f>
        <v>2023/03/01 (水)
平日夜間</v>
      </c>
      <c r="B421" s="52" t="str">
        <f ca="1">IFERROR(__xludf.DUMMYFUNCTION("""COMPUTED_VALUE"""),"山口")</f>
        <v>山口</v>
      </c>
      <c r="C421" s="52"/>
      <c r="D421" s="52" t="str">
        <f ca="1">IFERROR(__xludf.DUMMYFUNCTION("""COMPUTED_VALUE"""),"山口教育")</f>
        <v>山口教育</v>
      </c>
      <c r="E421" s="52" t="str">
        <f ca="1">IFERROR(__xludf.DUMMYFUNCTION("""COMPUTED_VALUE"""),"2023/03/16 (木)
平日夜間")</f>
        <v>2023/03/16 (木)
平日夜間</v>
      </c>
      <c r="F421" s="52" t="str">
        <f ca="1">IFERROR(__xludf.DUMMYFUNCTION("""COMPUTED_VALUE"""),"山口")</f>
        <v>山口</v>
      </c>
      <c r="G421" s="52"/>
      <c r="H421" s="52"/>
    </row>
    <row r="422" spans="1:8" ht="12.75" x14ac:dyDescent="0.35">
      <c r="A422" s="52" t="str">
        <f ca="1">IFERROR(__xludf.DUMMYFUNCTION("""COMPUTED_VALUE"""),"2023/03/02 (木)
平日夜間")</f>
        <v>2023/03/02 (木)
平日夜間</v>
      </c>
      <c r="B422" s="52" t="str">
        <f ca="1">IFERROR(__xludf.DUMMYFUNCTION("""COMPUTED_VALUE"""),"佐藤")</f>
        <v>佐藤</v>
      </c>
      <c r="C422" s="52"/>
      <c r="D422" s="52" t="str">
        <f ca="1">IFERROR(__xludf.DUMMYFUNCTION("""COMPUTED_VALUE"""),"佐藤病棟")</f>
        <v>佐藤病棟</v>
      </c>
      <c r="E422" s="52" t="str">
        <f ca="1">IFERROR(__xludf.DUMMYFUNCTION("""COMPUTED_VALUE"""),"2023/03/17 (金)
平日夜間")</f>
        <v>2023/03/17 (金)
平日夜間</v>
      </c>
      <c r="F422" s="52" t="str">
        <f ca="1">IFERROR(__xludf.DUMMYFUNCTION("""COMPUTED_VALUE"""),"吉田")</f>
        <v>吉田</v>
      </c>
      <c r="G422" s="52"/>
      <c r="H422" s="52" t="str">
        <f ca="1">IFERROR(__xludf.DUMMYFUNCTION("""COMPUTED_VALUE"""),"吉田教育")</f>
        <v>吉田教育</v>
      </c>
    </row>
    <row r="423" spans="1:8" ht="12.75" x14ac:dyDescent="0.35">
      <c r="A423" s="52" t="str">
        <f ca="1">IFERROR(__xludf.DUMMYFUNCTION("""COMPUTED_VALUE"""),"2023/03/03 (金)
平日夜間")</f>
        <v>2023/03/03 (金)
平日夜間</v>
      </c>
      <c r="B423" s="52" t="str">
        <f ca="1">IFERROR(__xludf.DUMMYFUNCTION("""COMPUTED_VALUE"""),"井上")</f>
        <v>井上</v>
      </c>
      <c r="C423" s="52"/>
      <c r="D423" s="52"/>
      <c r="E423" s="52" t="str">
        <f ca="1">IFERROR(__xludf.DUMMYFUNCTION("""COMPUTED_VALUE"""),"2023/03/18 (土)
休日午前")</f>
        <v>2023/03/18 (土)
休日午前</v>
      </c>
      <c r="F423" s="52" t="str">
        <f ca="1">IFERROR(__xludf.DUMMYFUNCTION("""COMPUTED_VALUE"""),"竹藤")</f>
        <v>竹藤</v>
      </c>
      <c r="G423" s="52"/>
      <c r="H423" s="52" t="str">
        <f ca="1">IFERROR(__xludf.DUMMYFUNCTION("""COMPUTED_VALUE"""),"中瀬F太良A")</f>
        <v>中瀬F太良A</v>
      </c>
    </row>
    <row r="424" spans="1:8" ht="12.75" x14ac:dyDescent="0.35">
      <c r="A424" s="52" t="str">
        <f ca="1">IFERROR(__xludf.DUMMYFUNCTION("""COMPUTED_VALUE"""),"2023/03/04 (土)
休日午前")</f>
        <v>2023/03/04 (土)
休日午前</v>
      </c>
      <c r="B424" s="52" t="str">
        <f ca="1">IFERROR(__xludf.DUMMYFUNCTION("""COMPUTED_VALUE"""),"福井")</f>
        <v>福井</v>
      </c>
      <c r="C424" s="52"/>
      <c r="D424" s="52" t="str">
        <f ca="1">IFERROR(__xludf.DUMMYFUNCTION("""COMPUTED_VALUE"""),"山田C森E宮坂B")</f>
        <v>山田C森E宮坂B</v>
      </c>
      <c r="E424" s="52" t="str">
        <f ca="1">IFERROR(__xludf.DUMMYFUNCTION("""COMPUTED_VALUE"""),"2023/03/18 (土)
休日午後")</f>
        <v>2023/03/18 (土)
休日午後</v>
      </c>
      <c r="F424" s="52" t="str">
        <f ca="1">IFERROR(__xludf.DUMMYFUNCTION("""COMPUTED_VALUE"""),"太良")</f>
        <v>太良</v>
      </c>
      <c r="G424" s="52" t="str">
        <f ca="1">IFERROR(__xludf.DUMMYFUNCTION("""COMPUTED_VALUE"""),"←OK")</f>
        <v>←OK</v>
      </c>
      <c r="H424" s="52" t="str">
        <f ca="1">IFERROR(__xludf.DUMMYFUNCTION("""COMPUTED_VALUE"""),"中瀬F太良A")</f>
        <v>中瀬F太良A</v>
      </c>
    </row>
    <row r="425" spans="1:8" ht="12.75" x14ac:dyDescent="0.35">
      <c r="A425" s="52" t="str">
        <f ca="1">IFERROR(__xludf.DUMMYFUNCTION("""COMPUTED_VALUE"""),"2023/03/04 (土)
休日午後")</f>
        <v>2023/03/04 (土)
休日午後</v>
      </c>
      <c r="B425" s="52" t="str">
        <f ca="1">IFERROR(__xludf.DUMMYFUNCTION("""COMPUTED_VALUE"""),"宮坂")</f>
        <v>宮坂</v>
      </c>
      <c r="C425" s="52"/>
      <c r="D425" s="52" t="str">
        <f ca="1">IFERROR(__xludf.DUMMYFUNCTION("""COMPUTED_VALUE"""),"山田C森E宮坂B")</f>
        <v>山田C森E宮坂B</v>
      </c>
      <c r="E425" s="52" t="str">
        <f ca="1">IFERROR(__xludf.DUMMYFUNCTION("""COMPUTED_VALUE"""),"2023/03/19 (日)
休日午前")</f>
        <v>2023/03/19 (日)
休日午前</v>
      </c>
      <c r="F425" s="52" t="str">
        <f ca="1">IFERROR(__xludf.DUMMYFUNCTION("""COMPUTED_VALUE"""),"佐藤")</f>
        <v>佐藤</v>
      </c>
      <c r="G425" s="52"/>
      <c r="H425" s="52" t="str">
        <f ca="1">IFERROR(__xludf.DUMMYFUNCTION("""COMPUTED_VALUE"""),"伊藤E佐藤F高口A林哲B")</f>
        <v>伊藤E佐藤F高口A林哲B</v>
      </c>
    </row>
    <row r="426" spans="1:8" ht="12.75" x14ac:dyDescent="0.35">
      <c r="A426" s="52" t="str">
        <f ca="1">IFERROR(__xludf.DUMMYFUNCTION("""COMPUTED_VALUE"""),"2023/03/05 (日)
休日午前")</f>
        <v>2023/03/05 (日)
休日午前</v>
      </c>
      <c r="B426" s="52" t="str">
        <f ca="1">IFERROR(__xludf.DUMMYFUNCTION("""COMPUTED_VALUE"""),"伊藤")</f>
        <v>伊藤</v>
      </c>
      <c r="C426" s="52"/>
      <c r="D426" s="52" t="str">
        <f ca="1">IFERROR(__xludf.DUMMYFUNCTION("""COMPUTED_VALUE"""),"菊野F")</f>
        <v>菊野F</v>
      </c>
      <c r="E426" s="52" t="str">
        <f ca="1">IFERROR(__xludf.DUMMYFUNCTION("""COMPUTED_VALUE"""),"2023/03/19 (日)
休日午後")</f>
        <v>2023/03/19 (日)
休日午後</v>
      </c>
      <c r="F426" s="52" t="str">
        <f ca="1">IFERROR(__xludf.DUMMYFUNCTION("""COMPUTED_VALUE"""),"林哲")</f>
        <v>林哲</v>
      </c>
      <c r="G426" s="52"/>
      <c r="H426" s="52" t="str">
        <f ca="1">IFERROR(__xludf.DUMMYFUNCTION("""COMPUTED_VALUE"""),"伊藤E佐藤F高口A林哲B")</f>
        <v>伊藤E佐藤F高口A林哲B</v>
      </c>
    </row>
    <row r="427" spans="1:8" ht="12.75" x14ac:dyDescent="0.35">
      <c r="A427" s="52" t="str">
        <f ca="1">IFERROR(__xludf.DUMMYFUNCTION("""COMPUTED_VALUE"""),"2023/03/05 (日)
休日午後")</f>
        <v>2023/03/05 (日)
休日午後</v>
      </c>
      <c r="B427" s="52" t="str">
        <f ca="1">IFERROR(__xludf.DUMMYFUNCTION("""COMPUTED_VALUE"""),"井上")</f>
        <v>井上</v>
      </c>
      <c r="C427" s="52" t="str">
        <f ca="1">IFERROR(__xludf.DUMMYFUNCTION("""COMPUTED_VALUE"""),"太良✗")</f>
        <v>太良✗</v>
      </c>
      <c r="D427" s="52" t="str">
        <f ca="1">IFERROR(__xludf.DUMMYFUNCTION("""COMPUTED_VALUE"""),"菊野F")</f>
        <v>菊野F</v>
      </c>
      <c r="E427" s="52" t="str">
        <f ca="1">IFERROR(__xludf.DUMMYFUNCTION("""COMPUTED_VALUE"""),"2023/03/20 (月)
平日夜間")</f>
        <v>2023/03/20 (月)
平日夜間</v>
      </c>
      <c r="F427" s="52" t="str">
        <f ca="1">IFERROR(__xludf.DUMMYFUNCTION("""COMPUTED_VALUE"""),"井上")</f>
        <v>井上</v>
      </c>
      <c r="G427" s="52"/>
      <c r="H427" s="52" t="str">
        <f ca="1">IFERROR(__xludf.DUMMYFUNCTION("""COMPUTED_VALUE"""),"井上病棟")</f>
        <v>井上病棟</v>
      </c>
    </row>
    <row r="428" spans="1:8" ht="12.75" x14ac:dyDescent="0.35">
      <c r="A428" s="52" t="str">
        <f ca="1">IFERROR(__xludf.DUMMYFUNCTION("""COMPUTED_VALUE"""),"2023/03/06 (月)
平日夜間")</f>
        <v>2023/03/06 (月)
平日夜間</v>
      </c>
      <c r="B428" s="52" t="str">
        <f ca="1">IFERROR(__xludf.DUMMYFUNCTION("""COMPUTED_VALUE"""),"吉田")</f>
        <v>吉田</v>
      </c>
      <c r="C428" s="52"/>
      <c r="D428" s="52" t="str">
        <f ca="1">IFERROR(__xludf.DUMMYFUNCTION("""COMPUTED_VALUE"""),"吉田教育")</f>
        <v>吉田教育</v>
      </c>
      <c r="E428" s="52" t="str">
        <f ca="1">IFERROR(__xludf.DUMMYFUNCTION("""COMPUTED_VALUE"""),"2023/03/21 (火)
休日午前")</f>
        <v>2023/03/21 (火)
休日午前</v>
      </c>
      <c r="F428" s="52" t="str">
        <f ca="1">IFERROR(__xludf.DUMMYFUNCTION("""COMPUTED_VALUE"""),"中瀬")</f>
        <v>中瀬</v>
      </c>
      <c r="G428" s="52"/>
      <c r="H428" s="52" t="str">
        <f ca="1">IFERROR(__xludf.DUMMYFUNCTION("""COMPUTED_VALUE"""),"勝俣EF")</f>
        <v>勝俣EF</v>
      </c>
    </row>
    <row r="429" spans="1:8" ht="12.75" x14ac:dyDescent="0.35">
      <c r="A429" s="52" t="str">
        <f ca="1">IFERROR(__xludf.DUMMYFUNCTION("""COMPUTED_VALUE"""),"2023/03/07 (火)
平日夜間")</f>
        <v>2023/03/07 (火)
平日夜間</v>
      </c>
      <c r="B429" s="52" t="str">
        <f ca="1">IFERROR(__xludf.DUMMYFUNCTION("""COMPUTED_VALUE"""),"佐藤")</f>
        <v>佐藤</v>
      </c>
      <c r="C429" s="52"/>
      <c r="D429" s="52"/>
      <c r="E429" s="52" t="str">
        <f ca="1">IFERROR(__xludf.DUMMYFUNCTION("""COMPUTED_VALUE"""),"2023/03/21 (火)
休日午後")</f>
        <v>2023/03/21 (火)
休日午後</v>
      </c>
      <c r="F429" s="52" t="str">
        <f ca="1">IFERROR(__xludf.DUMMYFUNCTION("""COMPUTED_VALUE"""),"勝俣")</f>
        <v>勝俣</v>
      </c>
      <c r="G429" s="52"/>
      <c r="H429" s="52" t="str">
        <f ca="1">IFERROR(__xludf.DUMMYFUNCTION("""COMPUTED_VALUE"""),"勝俣EF")</f>
        <v>勝俣EF</v>
      </c>
    </row>
    <row r="430" spans="1:8" ht="12.75" x14ac:dyDescent="0.35">
      <c r="A430" s="52" t="str">
        <f ca="1">IFERROR(__xludf.DUMMYFUNCTION("""COMPUTED_VALUE"""),"2023/03/08 (水)
平日夜間")</f>
        <v>2023/03/08 (水)
平日夜間</v>
      </c>
      <c r="B430" s="52" t="str">
        <f ca="1">IFERROR(__xludf.DUMMYFUNCTION("""COMPUTED_VALUE"""),"菊野")</f>
        <v>菊野</v>
      </c>
      <c r="C430" s="52"/>
      <c r="D430" s="52"/>
      <c r="E430" s="52" t="str">
        <f ca="1">IFERROR(__xludf.DUMMYFUNCTION("""COMPUTED_VALUE"""),"2023/03/22 (水)
平日夜間")</f>
        <v>2023/03/22 (水)
平日夜間</v>
      </c>
      <c r="F430" s="52" t="str">
        <f ca="1">IFERROR(__xludf.DUMMYFUNCTION("""COMPUTED_VALUE"""),"尾田")</f>
        <v>尾田</v>
      </c>
      <c r="G430" s="52"/>
      <c r="H430" s="52"/>
    </row>
    <row r="431" spans="1:8" ht="12.75" x14ac:dyDescent="0.35">
      <c r="A431" s="52" t="str">
        <f ca="1">IFERROR(__xludf.DUMMYFUNCTION("""COMPUTED_VALUE"""),"2023/03/09 (木)
平日夜間")</f>
        <v>2023/03/09 (木)
平日夜間</v>
      </c>
      <c r="B431" s="52" t="str">
        <f ca="1">IFERROR(__xludf.DUMMYFUNCTION("""COMPUTED_VALUE"""),"勝俣")</f>
        <v>勝俣</v>
      </c>
      <c r="C431" s="52"/>
      <c r="D431" s="52"/>
      <c r="E431" s="52" t="str">
        <f ca="1">IFERROR(__xludf.DUMMYFUNCTION("""COMPUTED_VALUE"""),"2023/03/23 (木)
平日夜間")</f>
        <v>2023/03/23 (木)
平日夜間</v>
      </c>
      <c r="F431" s="52" t="str">
        <f ca="1">IFERROR(__xludf.DUMMYFUNCTION("""COMPUTED_VALUE"""),"福井")</f>
        <v>福井</v>
      </c>
      <c r="G431" s="52"/>
      <c r="H431" s="52" t="str">
        <f ca="1">IFERROR(__xludf.DUMMYFUNCTION("""COMPUTED_VALUE"""),"福井病棟")</f>
        <v>福井病棟</v>
      </c>
    </row>
    <row r="432" spans="1:8" ht="12.75" x14ac:dyDescent="0.35">
      <c r="A432" s="52" t="str">
        <f ca="1">IFERROR(__xludf.DUMMYFUNCTION("""COMPUTED_VALUE"""),"2023/03/10 (金)
平日夜間")</f>
        <v>2023/03/10 (金)
平日夜間</v>
      </c>
      <c r="B432" s="52" t="str">
        <f ca="1">IFERROR(__xludf.DUMMYFUNCTION("""COMPUTED_VALUE"""),"林智")</f>
        <v>林智</v>
      </c>
      <c r="C432" s="52"/>
      <c r="D432" s="52" t="str">
        <f ca="1">IFERROR(__xludf.DUMMYFUNCTION("""COMPUTED_VALUE"""),"林智教育西谷病棟")</f>
        <v>林智教育西谷病棟</v>
      </c>
      <c r="E432" s="52" t="str">
        <f ca="1">IFERROR(__xludf.DUMMYFUNCTION("""COMPUTED_VALUE"""),"2023/03/24 (金)
平日夜間")</f>
        <v>2023/03/24 (金)
平日夜間</v>
      </c>
      <c r="F432" s="52" t="str">
        <f ca="1">IFERROR(__xludf.DUMMYFUNCTION("""COMPUTED_VALUE"""),"井上")</f>
        <v>井上</v>
      </c>
      <c r="G432" s="52"/>
      <c r="H432" s="52"/>
    </row>
    <row r="433" spans="1:8" ht="12.75" x14ac:dyDescent="0.35">
      <c r="A433" s="52" t="str">
        <f ca="1">IFERROR(__xludf.DUMMYFUNCTION("""COMPUTED_VALUE"""),"2023/03/11 (土)
休日午前")</f>
        <v>2023/03/11 (土)
休日午前</v>
      </c>
      <c r="B433" s="52" t="str">
        <f ca="1">IFERROR(__xludf.DUMMYFUNCTION("""COMPUTED_VALUE"""),"西谷")</f>
        <v>西谷</v>
      </c>
      <c r="C433" s="52"/>
      <c r="D433" s="52" t="str">
        <f ca="1">IFERROR(__xludf.DUMMYFUNCTION("""COMPUTED_VALUE"""),"宗A")</f>
        <v>宗A</v>
      </c>
      <c r="E433" s="52" t="str">
        <f ca="1">IFERROR(__xludf.DUMMYFUNCTION("""COMPUTED_VALUE"""),"2023/03/25 (土)
休日午前")</f>
        <v>2023/03/25 (土)
休日午前</v>
      </c>
      <c r="F433" s="52" t="str">
        <f ca="1">IFERROR(__xludf.DUMMYFUNCTION("""COMPUTED_VALUE"""),"宗")</f>
        <v>宗</v>
      </c>
      <c r="G433" s="52"/>
      <c r="H433" s="52" t="str">
        <f ca="1">IFERROR(__xludf.DUMMYFUNCTION("""COMPUTED_VALUE"""),"宮坂F中瀬A")</f>
        <v>宮坂F中瀬A</v>
      </c>
    </row>
    <row r="434" spans="1:8" ht="12.75" x14ac:dyDescent="0.35">
      <c r="A434" s="52" t="str">
        <f ca="1">IFERROR(__xludf.DUMMYFUNCTION("""COMPUTED_VALUE"""),"2023/03/11 (土)
休日午後")</f>
        <v>2023/03/11 (土)
休日午後</v>
      </c>
      <c r="B434" s="52" t="str">
        <f ca="1">IFERROR(__xludf.DUMMYFUNCTION("""COMPUTED_VALUE"""),"宗")</f>
        <v>宗</v>
      </c>
      <c r="C434" s="52"/>
      <c r="D434" s="52" t="str">
        <f ca="1">IFERROR(__xludf.DUMMYFUNCTION("""COMPUTED_VALUE"""),"宗A")</f>
        <v>宗A</v>
      </c>
      <c r="E434" s="52" t="str">
        <f ca="1">IFERROR(__xludf.DUMMYFUNCTION("""COMPUTED_VALUE"""),"2023/03/25 (土)
休日午後")</f>
        <v>2023/03/25 (土)
休日午後</v>
      </c>
      <c r="F434" s="52" t="str">
        <f ca="1">IFERROR(__xludf.DUMMYFUNCTION("""COMPUTED_VALUE"""),"中瀬")</f>
        <v>中瀬</v>
      </c>
      <c r="G434" s="52"/>
      <c r="H434" s="52" t="str">
        <f ca="1">IFERROR(__xludf.DUMMYFUNCTION("""COMPUTED_VALUE"""),"宮坂F中瀬A")</f>
        <v>宮坂F中瀬A</v>
      </c>
    </row>
    <row r="435" spans="1:8" ht="12.75" x14ac:dyDescent="0.35">
      <c r="A435" s="52" t="str">
        <f ca="1">IFERROR(__xludf.DUMMYFUNCTION("""COMPUTED_VALUE"""),"2023/03/12 (日)
休日午前")</f>
        <v>2023/03/12 (日)
休日午前</v>
      </c>
      <c r="B435" s="52" t="str">
        <f ca="1">IFERROR(__xludf.DUMMYFUNCTION("""COMPUTED_VALUE"""),"山口")</f>
        <v>山口</v>
      </c>
      <c r="C435" s="52"/>
      <c r="D435" s="52" t="str">
        <f ca="1">IFERROR(__xludf.DUMMYFUNCTION("""COMPUTED_VALUE"""),"福井E菊野A")</f>
        <v>福井E菊野A</v>
      </c>
      <c r="E435" s="52" t="str">
        <f ca="1">IFERROR(__xludf.DUMMYFUNCTION("""COMPUTED_VALUE"""),"2023/03/26 (日)
休日午前")</f>
        <v>2023/03/26 (日)
休日午前</v>
      </c>
      <c r="F435" s="52" t="str">
        <f ca="1">IFERROR(__xludf.DUMMYFUNCTION("""COMPUTED_VALUE"""),"伊藤")</f>
        <v>伊藤</v>
      </c>
      <c r="G435" s="52"/>
      <c r="H435" s="52" t="str">
        <f ca="1">IFERROR(__xludf.DUMMYFUNCTION("""COMPUTED_VALUE"""),"高口E宗F")</f>
        <v>高口E宗F</v>
      </c>
    </row>
    <row r="436" spans="1:8" ht="12.75" x14ac:dyDescent="0.35">
      <c r="A436" s="52" t="str">
        <f ca="1">IFERROR(__xludf.DUMMYFUNCTION("""COMPUTED_VALUE"""),"2023/03/12 (日)
休日午後")</f>
        <v>2023/03/12 (日)
休日午後</v>
      </c>
      <c r="B436" s="52" t="str">
        <f ca="1">IFERROR(__xludf.DUMMYFUNCTION("""COMPUTED_VALUE"""),"菊野")</f>
        <v>菊野</v>
      </c>
      <c r="C436" s="52"/>
      <c r="D436" s="52" t="str">
        <f ca="1">IFERROR(__xludf.DUMMYFUNCTION("""COMPUTED_VALUE"""),"福井E菊野A")</f>
        <v>福井E菊野A</v>
      </c>
      <c r="E436" s="52" t="str">
        <f ca="1">IFERROR(__xludf.DUMMYFUNCTION("""COMPUTED_VALUE"""),"2023/03/26 (日)
休日午後")</f>
        <v>2023/03/26 (日)
休日午後</v>
      </c>
      <c r="F436" s="52" t="str">
        <f ca="1">IFERROR(__xludf.DUMMYFUNCTION("""COMPUTED_VALUE"""),"高口")</f>
        <v>高口</v>
      </c>
      <c r="G436" s="52"/>
      <c r="H436" s="52" t="str">
        <f ca="1">IFERROR(__xludf.DUMMYFUNCTION("""COMPUTED_VALUE"""),"高口E宗F")</f>
        <v>高口E宗F</v>
      </c>
    </row>
    <row r="437" spans="1:8" ht="12.75" x14ac:dyDescent="0.35">
      <c r="A437" s="52" t="str">
        <f ca="1">IFERROR(__xludf.DUMMYFUNCTION("""COMPUTED_VALUE"""),"2023/03/13 (月)
平日夜間")</f>
        <v>2023/03/13 (月)
平日夜間</v>
      </c>
      <c r="B437" s="52" t="str">
        <f ca="1">IFERROR(__xludf.DUMMYFUNCTION("""COMPUTED_VALUE"""),"新美")</f>
        <v>新美</v>
      </c>
      <c r="C437" s="52"/>
      <c r="D437" s="52" t="str">
        <f ca="1">IFERROR(__xludf.DUMMYFUNCTION("""COMPUTED_VALUE"""),"新美教育")</f>
        <v>新美教育</v>
      </c>
      <c r="E437" s="52" t="str">
        <f ca="1">IFERROR(__xludf.DUMMYFUNCTION("""COMPUTED_VALUE"""),"2023/03/27 (月)
平日夜間")</f>
        <v>2023/03/27 (月)
平日夜間</v>
      </c>
      <c r="F437" s="52" t="str">
        <f ca="1">IFERROR(__xludf.DUMMYFUNCTION("""COMPUTED_VALUE"""),"西谷")</f>
        <v>西谷</v>
      </c>
      <c r="G437" s="52"/>
      <c r="H437" s="52" t="str">
        <f ca="1">IFERROR(__xludf.DUMMYFUNCTION("""COMPUTED_VALUE"""),"西谷病棟新美教育")</f>
        <v>西谷病棟新美教育</v>
      </c>
    </row>
    <row r="438" spans="1:8" ht="12.75" x14ac:dyDescent="0.35">
      <c r="A438" s="52" t="str">
        <f ca="1">IFERROR(__xludf.DUMMYFUNCTION("""COMPUTED_VALUE"""),"2023/03/14 (火)
平日夜間")</f>
        <v>2023/03/14 (火)
平日夜間</v>
      </c>
      <c r="B438" s="52" t="str">
        <f ca="1">IFERROR(__xludf.DUMMYFUNCTION("""COMPUTED_VALUE"""),"高口")</f>
        <v>高口</v>
      </c>
      <c r="C438" s="52"/>
      <c r="D438" s="52"/>
      <c r="E438" s="52" t="str">
        <f ca="1">IFERROR(__xludf.DUMMYFUNCTION("""COMPUTED_VALUE"""),"2023/03/28 (火)
平日夜間")</f>
        <v>2023/03/28 (火)
平日夜間</v>
      </c>
      <c r="F438" s="52" t="str">
        <f ca="1">IFERROR(__xludf.DUMMYFUNCTION("""COMPUTED_VALUE"""),"林智")</f>
        <v>林智</v>
      </c>
      <c r="G438" s="52"/>
      <c r="H438" s="52" t="str">
        <f ca="1">IFERROR(__xludf.DUMMYFUNCTION("""COMPUTED_VALUE"""),"伊藤病棟林智教育")</f>
        <v>伊藤病棟林智教育</v>
      </c>
    </row>
    <row r="439" spans="1:8" ht="12.75" x14ac:dyDescent="0.35">
      <c r="A439" s="52" t="str">
        <f ca="1">IFERROR(__xludf.DUMMYFUNCTION("""COMPUTED_VALUE"""),"2023/03/15 (水)
平日夜間")</f>
        <v>2023/03/15 (水)
平日夜間</v>
      </c>
      <c r="B439" s="52" t="str">
        <f ca="1">IFERROR(__xludf.DUMMYFUNCTION("""COMPUTED_VALUE"""),"井上")</f>
        <v>井上</v>
      </c>
      <c r="C439" s="52"/>
      <c r="D439" s="52" t="str">
        <f ca="1">IFERROR(__xludf.DUMMYFUNCTION("""COMPUTED_VALUE"""),"井上病棟")</f>
        <v>井上病棟</v>
      </c>
      <c r="E439" s="52" t="str">
        <f ca="1">IFERROR(__xludf.DUMMYFUNCTION("""COMPUTED_VALUE"""),"2023/03/29 (水)
平日夜間")</f>
        <v>2023/03/29 (水)
平日夜間</v>
      </c>
      <c r="F439" s="52" t="str">
        <f ca="1">IFERROR(__xludf.DUMMYFUNCTION("""COMPUTED_VALUE"""),"宗")</f>
        <v>宗</v>
      </c>
      <c r="G439" s="52"/>
      <c r="H439" s="52" t="str">
        <f ca="1">IFERROR(__xludf.DUMMYFUNCTION("""COMPUTED_VALUE"""),"竹藤AE尾田BF")</f>
        <v>竹藤AE尾田BF</v>
      </c>
    </row>
    <row r="440" spans="1:8" ht="12.75" x14ac:dyDescent="0.35">
      <c r="A440" s="52" t="str">
        <f ca="1">IFERROR(__xludf.DUMMYFUNCTION("""COMPUTED_VALUE"""),"2023/03/16 (木)
平日夜間")</f>
        <v>2023/03/16 (木)
平日夜間</v>
      </c>
      <c r="B440" s="52" t="str">
        <f ca="1">IFERROR(__xludf.DUMMYFUNCTION("""COMPUTED_VALUE"""),"山口")</f>
        <v>山口</v>
      </c>
      <c r="C440" s="52"/>
      <c r="D440" s="52"/>
      <c r="E440" s="52" t="str">
        <f ca="1">IFERROR(__xludf.DUMMYFUNCTION("""COMPUTED_VALUE"""),"2023/03/30 (木)
平日夜間")</f>
        <v>2023/03/30 (木)
平日夜間</v>
      </c>
      <c r="F440" s="52" t="str">
        <f ca="1">IFERROR(__xludf.DUMMYFUNCTION("""COMPUTED_VALUE"""),"勝俣")</f>
        <v>勝俣</v>
      </c>
      <c r="G440" s="52"/>
      <c r="H440" s="52"/>
    </row>
    <row r="441" spans="1:8" ht="12.75" x14ac:dyDescent="0.35">
      <c r="A441" s="52" t="str">
        <f ca="1">IFERROR(__xludf.DUMMYFUNCTION("""COMPUTED_VALUE"""),"2023/03/17 (金)
平日夜間")</f>
        <v>2023/03/17 (金)
平日夜間</v>
      </c>
      <c r="B441" s="52" t="str">
        <f ca="1">IFERROR(__xludf.DUMMYFUNCTION("""COMPUTED_VALUE"""),"吉田")</f>
        <v>吉田</v>
      </c>
      <c r="C441" s="52"/>
      <c r="D441" s="52" t="str">
        <f ca="1">IFERROR(__xludf.DUMMYFUNCTION("""COMPUTED_VALUE"""),"吉田教育")</f>
        <v>吉田教育</v>
      </c>
      <c r="E441" s="52" t="str">
        <f ca="1">IFERROR(__xludf.DUMMYFUNCTION("""COMPUTED_VALUE"""),"2023/03/31 (金)
平日夜間")</f>
        <v>2023/03/31 (金)
平日夜間</v>
      </c>
      <c r="F441" s="52" t="str">
        <f ca="1">IFERROR(__xludf.DUMMYFUNCTION("""COMPUTED_VALUE"""),"宮坂")</f>
        <v>宮坂</v>
      </c>
      <c r="G441" s="52"/>
      <c r="H441" s="52"/>
    </row>
    <row r="442" spans="1:8" ht="12.75" x14ac:dyDescent="0.35">
      <c r="A442" s="52" t="str">
        <f ca="1">IFERROR(__xludf.DUMMYFUNCTION("""COMPUTED_VALUE"""),"2023/03/18 (土)
休日午前")</f>
        <v>2023/03/18 (土)
休日午前</v>
      </c>
      <c r="B442" s="52" t="str">
        <f ca="1">IFERROR(__xludf.DUMMYFUNCTION("""COMPUTED_VALUE"""),"竹藤")</f>
        <v>竹藤</v>
      </c>
      <c r="C442" s="52"/>
      <c r="D442" s="52" t="str">
        <f ca="1">IFERROR(__xludf.DUMMYFUNCTION("""COMPUTED_VALUE"""),"中瀬F太良A")</f>
        <v>中瀬F太良A</v>
      </c>
      <c r="E442" s="52"/>
      <c r="F442" s="52"/>
      <c r="G442" s="52"/>
      <c r="H442" s="52"/>
    </row>
    <row r="443" spans="1:8" ht="12.75" x14ac:dyDescent="0.35">
      <c r="A443" s="52" t="str">
        <f ca="1">IFERROR(__xludf.DUMMYFUNCTION("""COMPUTED_VALUE"""),"2023/03/18 (土)
休日午後")</f>
        <v>2023/03/18 (土)
休日午後</v>
      </c>
      <c r="B443" s="52" t="str">
        <f ca="1">IFERROR(__xludf.DUMMYFUNCTION("""COMPUTED_VALUE"""),"太良")</f>
        <v>太良</v>
      </c>
      <c r="C443" s="52" t="str">
        <f ca="1">IFERROR(__xludf.DUMMYFUNCTION("""COMPUTED_VALUE"""),"←OK")</f>
        <v>←OK</v>
      </c>
      <c r="D443" s="52" t="str">
        <f ca="1">IFERROR(__xludf.DUMMYFUNCTION("""COMPUTED_VALUE"""),"中瀬F太良A")</f>
        <v>中瀬F太良A</v>
      </c>
      <c r="E443" s="52"/>
      <c r="F443" s="52"/>
      <c r="G443" s="52"/>
      <c r="H443" s="52"/>
    </row>
    <row r="444" spans="1:8" ht="12.75" x14ac:dyDescent="0.35">
      <c r="A444" s="52" t="str">
        <f ca="1">IFERROR(__xludf.DUMMYFUNCTION("""COMPUTED_VALUE"""),"2023/03/19 (日)
休日午前")</f>
        <v>2023/03/19 (日)
休日午前</v>
      </c>
      <c r="B444" s="52" t="str">
        <f ca="1">IFERROR(__xludf.DUMMYFUNCTION("""COMPUTED_VALUE"""),"佐藤")</f>
        <v>佐藤</v>
      </c>
      <c r="C444" s="52"/>
      <c r="D444" s="52" t="str">
        <f ca="1">IFERROR(__xludf.DUMMYFUNCTION("""COMPUTED_VALUE"""),"伊藤E佐藤F高口A林哲B")</f>
        <v>伊藤E佐藤F高口A林哲B</v>
      </c>
      <c r="E444" s="52"/>
      <c r="F444" s="52"/>
      <c r="G444" s="52"/>
      <c r="H444" s="52"/>
    </row>
    <row r="445" spans="1:8" ht="12.75" x14ac:dyDescent="0.35">
      <c r="A445" s="52" t="str">
        <f ca="1">IFERROR(__xludf.DUMMYFUNCTION("""COMPUTED_VALUE"""),"2023/03/19 (日)
休日午後")</f>
        <v>2023/03/19 (日)
休日午後</v>
      </c>
      <c r="B445" s="52" t="str">
        <f ca="1">IFERROR(__xludf.DUMMYFUNCTION("""COMPUTED_VALUE"""),"林哲")</f>
        <v>林哲</v>
      </c>
      <c r="C445" s="52"/>
      <c r="D445" s="52" t="str">
        <f ca="1">IFERROR(__xludf.DUMMYFUNCTION("""COMPUTED_VALUE"""),"伊藤E佐藤F高口A林哲B")</f>
        <v>伊藤E佐藤F高口A林哲B</v>
      </c>
      <c r="E445" s="52"/>
      <c r="F445" s="52"/>
      <c r="G445" s="52"/>
      <c r="H445" s="52"/>
    </row>
    <row r="446" spans="1:8" ht="12.75" x14ac:dyDescent="0.35">
      <c r="A446" s="52" t="str">
        <f ca="1">IFERROR(__xludf.DUMMYFUNCTION("""COMPUTED_VALUE"""),"2023/03/20 (月)
平日夜間")</f>
        <v>2023/03/20 (月)
平日夜間</v>
      </c>
      <c r="B446" s="52" t="str">
        <f ca="1">IFERROR(__xludf.DUMMYFUNCTION("""COMPUTED_VALUE"""),"井上")</f>
        <v>井上</v>
      </c>
      <c r="C446" s="52"/>
      <c r="D446" s="52" t="str">
        <f ca="1">IFERROR(__xludf.DUMMYFUNCTION("""COMPUTED_VALUE"""),"井上病棟")</f>
        <v>井上病棟</v>
      </c>
      <c r="E446" s="52"/>
      <c r="F446" s="52"/>
      <c r="G446" s="52"/>
      <c r="H446" s="52"/>
    </row>
    <row r="447" spans="1:8" ht="12.75" x14ac:dyDescent="0.35">
      <c r="A447" s="52" t="str">
        <f ca="1">IFERROR(__xludf.DUMMYFUNCTION("""COMPUTED_VALUE"""),"2023/03/21 (火)
休日午前")</f>
        <v>2023/03/21 (火)
休日午前</v>
      </c>
      <c r="B447" s="52" t="str">
        <f ca="1">IFERROR(__xludf.DUMMYFUNCTION("""COMPUTED_VALUE"""),"中瀬")</f>
        <v>中瀬</v>
      </c>
      <c r="C447" s="52"/>
      <c r="D447" s="52" t="str">
        <f ca="1">IFERROR(__xludf.DUMMYFUNCTION("""COMPUTED_VALUE"""),"勝俣EF")</f>
        <v>勝俣EF</v>
      </c>
      <c r="E447" s="52"/>
      <c r="F447" s="52"/>
      <c r="G447" s="52"/>
      <c r="H447" s="52"/>
    </row>
    <row r="448" spans="1:8" ht="12.75" x14ac:dyDescent="0.35">
      <c r="A448" s="52" t="str">
        <f ca="1">IFERROR(__xludf.DUMMYFUNCTION("""COMPUTED_VALUE"""),"2023/03/21 (火)
休日午後")</f>
        <v>2023/03/21 (火)
休日午後</v>
      </c>
      <c r="B448" s="52" t="str">
        <f ca="1">IFERROR(__xludf.DUMMYFUNCTION("""COMPUTED_VALUE"""),"勝俣")</f>
        <v>勝俣</v>
      </c>
      <c r="C448" s="52"/>
      <c r="D448" s="52" t="str">
        <f ca="1">IFERROR(__xludf.DUMMYFUNCTION("""COMPUTED_VALUE"""),"勝俣EF")</f>
        <v>勝俣EF</v>
      </c>
      <c r="E448" s="52"/>
      <c r="F448" s="52"/>
      <c r="G448" s="52"/>
      <c r="H448" s="52"/>
    </row>
    <row r="449" spans="1:8" ht="12.75" x14ac:dyDescent="0.35">
      <c r="A449" s="52" t="str">
        <f ca="1">IFERROR(__xludf.DUMMYFUNCTION("""COMPUTED_VALUE"""),"2023/03/22 (水)
平日夜間")</f>
        <v>2023/03/22 (水)
平日夜間</v>
      </c>
      <c r="B449" s="52" t="str">
        <f ca="1">IFERROR(__xludf.DUMMYFUNCTION("""COMPUTED_VALUE"""),"尾田")</f>
        <v>尾田</v>
      </c>
      <c r="C449" s="52"/>
      <c r="D449" s="52"/>
      <c r="E449" s="52"/>
      <c r="F449" s="52"/>
      <c r="G449" s="52"/>
      <c r="H449" s="52"/>
    </row>
    <row r="450" spans="1:8" ht="12.75" x14ac:dyDescent="0.35">
      <c r="A450" s="52" t="str">
        <f ca="1">IFERROR(__xludf.DUMMYFUNCTION("""COMPUTED_VALUE"""),"2023/03/23 (木)
平日夜間")</f>
        <v>2023/03/23 (木)
平日夜間</v>
      </c>
      <c r="B450" s="52" t="str">
        <f ca="1">IFERROR(__xludf.DUMMYFUNCTION("""COMPUTED_VALUE"""),"福井")</f>
        <v>福井</v>
      </c>
      <c r="C450" s="52"/>
      <c r="D450" s="52" t="str">
        <f ca="1">IFERROR(__xludf.DUMMYFUNCTION("""COMPUTED_VALUE"""),"福井病棟")</f>
        <v>福井病棟</v>
      </c>
      <c r="E450" s="52"/>
      <c r="F450" s="52"/>
      <c r="G450" s="52"/>
      <c r="H450" s="52"/>
    </row>
    <row r="451" spans="1:8" ht="12.75" x14ac:dyDescent="0.35">
      <c r="A451" s="52" t="str">
        <f ca="1">IFERROR(__xludf.DUMMYFUNCTION("""COMPUTED_VALUE"""),"2023/03/24 (金)
平日夜間")</f>
        <v>2023/03/24 (金)
平日夜間</v>
      </c>
      <c r="B451" s="52" t="str">
        <f ca="1">IFERROR(__xludf.DUMMYFUNCTION("""COMPUTED_VALUE"""),"井上")</f>
        <v>井上</v>
      </c>
      <c r="C451" s="52"/>
      <c r="D451" s="52"/>
      <c r="E451" s="52"/>
      <c r="F451" s="52"/>
      <c r="G451" s="52"/>
      <c r="H451" s="52"/>
    </row>
    <row r="452" spans="1:8" ht="12.75" x14ac:dyDescent="0.35">
      <c r="A452" s="52" t="str">
        <f ca="1">IFERROR(__xludf.DUMMYFUNCTION("""COMPUTED_VALUE"""),"2023/03/25 (土)
休日午前")</f>
        <v>2023/03/25 (土)
休日午前</v>
      </c>
      <c r="B452" s="52" t="str">
        <f ca="1">IFERROR(__xludf.DUMMYFUNCTION("""COMPUTED_VALUE"""),"宗")</f>
        <v>宗</v>
      </c>
      <c r="C452" s="52"/>
      <c r="D452" s="52" t="str">
        <f ca="1">IFERROR(__xludf.DUMMYFUNCTION("""COMPUTED_VALUE"""),"宮坂F中瀬A")</f>
        <v>宮坂F中瀬A</v>
      </c>
      <c r="E452" s="52"/>
      <c r="F452" s="52"/>
      <c r="G452" s="52"/>
      <c r="H452" s="52"/>
    </row>
    <row r="453" spans="1:8" ht="12.75" x14ac:dyDescent="0.35">
      <c r="A453" s="52" t="str">
        <f ca="1">IFERROR(__xludf.DUMMYFUNCTION("""COMPUTED_VALUE"""),"2023/03/25 (土)
休日午後")</f>
        <v>2023/03/25 (土)
休日午後</v>
      </c>
      <c r="B453" s="52" t="str">
        <f ca="1">IFERROR(__xludf.DUMMYFUNCTION("""COMPUTED_VALUE"""),"中瀬")</f>
        <v>中瀬</v>
      </c>
      <c r="C453" s="52"/>
      <c r="D453" s="52" t="str">
        <f ca="1">IFERROR(__xludf.DUMMYFUNCTION("""COMPUTED_VALUE"""),"宮坂F中瀬A")</f>
        <v>宮坂F中瀬A</v>
      </c>
      <c r="E453" s="52"/>
      <c r="F453" s="52"/>
      <c r="G453" s="52"/>
      <c r="H453" s="52"/>
    </row>
    <row r="454" spans="1:8" ht="12.75" x14ac:dyDescent="0.35">
      <c r="A454" s="52" t="str">
        <f ca="1">IFERROR(__xludf.DUMMYFUNCTION("""COMPUTED_VALUE"""),"2023/03/26 (日)
休日午前")</f>
        <v>2023/03/26 (日)
休日午前</v>
      </c>
      <c r="B454" s="52" t="str">
        <f ca="1">IFERROR(__xludf.DUMMYFUNCTION("""COMPUTED_VALUE"""),"伊藤")</f>
        <v>伊藤</v>
      </c>
      <c r="C454" s="52"/>
      <c r="D454" s="52" t="str">
        <f ca="1">IFERROR(__xludf.DUMMYFUNCTION("""COMPUTED_VALUE"""),"高口E宗F")</f>
        <v>高口E宗F</v>
      </c>
      <c r="E454" s="52"/>
      <c r="F454" s="52"/>
      <c r="G454" s="52"/>
      <c r="H454" s="52"/>
    </row>
    <row r="455" spans="1:8" ht="12.75" x14ac:dyDescent="0.35">
      <c r="A455" s="52" t="str">
        <f ca="1">IFERROR(__xludf.DUMMYFUNCTION("""COMPUTED_VALUE"""),"2023/03/26 (日)
休日午後")</f>
        <v>2023/03/26 (日)
休日午後</v>
      </c>
      <c r="B455" s="52" t="str">
        <f ca="1">IFERROR(__xludf.DUMMYFUNCTION("""COMPUTED_VALUE"""),"高口")</f>
        <v>高口</v>
      </c>
      <c r="C455" s="52"/>
      <c r="D455" s="52" t="str">
        <f ca="1">IFERROR(__xludf.DUMMYFUNCTION("""COMPUTED_VALUE"""),"高口E宗F")</f>
        <v>高口E宗F</v>
      </c>
      <c r="E455" s="52"/>
      <c r="F455" s="52"/>
      <c r="G455" s="52"/>
      <c r="H455" s="52"/>
    </row>
    <row r="456" spans="1:8" ht="12.75" x14ac:dyDescent="0.35">
      <c r="A456" s="52" t="str">
        <f ca="1">IFERROR(__xludf.DUMMYFUNCTION("""COMPUTED_VALUE"""),"2023/03/27 (月)
平日夜間")</f>
        <v>2023/03/27 (月)
平日夜間</v>
      </c>
      <c r="B456" s="52" t="str">
        <f ca="1">IFERROR(__xludf.DUMMYFUNCTION("""COMPUTED_VALUE"""),"西谷")</f>
        <v>西谷</v>
      </c>
      <c r="C456" s="52"/>
      <c r="D456" s="52" t="str">
        <f ca="1">IFERROR(__xludf.DUMMYFUNCTION("""COMPUTED_VALUE"""),"西谷病棟新美教育")</f>
        <v>西谷病棟新美教育</v>
      </c>
      <c r="E456" s="52"/>
      <c r="F456" s="52"/>
      <c r="G456" s="52"/>
      <c r="H456" s="52"/>
    </row>
    <row r="457" spans="1:8" ht="12.75" x14ac:dyDescent="0.35">
      <c r="A457" s="52" t="str">
        <f ca="1">IFERROR(__xludf.DUMMYFUNCTION("""COMPUTED_VALUE"""),"2023/03/28 (火)
平日夜間")</f>
        <v>2023/03/28 (火)
平日夜間</v>
      </c>
      <c r="B457" s="52" t="str">
        <f ca="1">IFERROR(__xludf.DUMMYFUNCTION("""COMPUTED_VALUE"""),"林智")</f>
        <v>林智</v>
      </c>
      <c r="C457" s="52"/>
      <c r="D457" s="52" t="str">
        <f ca="1">IFERROR(__xludf.DUMMYFUNCTION("""COMPUTED_VALUE"""),"伊藤病棟林智教育")</f>
        <v>伊藤病棟林智教育</v>
      </c>
      <c r="E457" s="52"/>
      <c r="F457" s="52"/>
      <c r="G457" s="52"/>
      <c r="H457" s="52"/>
    </row>
    <row r="458" spans="1:8" ht="12.75" x14ac:dyDescent="0.35">
      <c r="A458" s="52" t="str">
        <f ca="1">IFERROR(__xludf.DUMMYFUNCTION("""COMPUTED_VALUE"""),"2023/03/29 (水)
平日夜間")</f>
        <v>2023/03/29 (水)
平日夜間</v>
      </c>
      <c r="B458" s="52" t="str">
        <f ca="1">IFERROR(__xludf.DUMMYFUNCTION("""COMPUTED_VALUE"""),"宗")</f>
        <v>宗</v>
      </c>
      <c r="C458" s="52"/>
      <c r="D458" s="52" t="str">
        <f ca="1">IFERROR(__xludf.DUMMYFUNCTION("""COMPUTED_VALUE"""),"竹藤AE尾田BF")</f>
        <v>竹藤AE尾田BF</v>
      </c>
      <c r="E458" s="52"/>
      <c r="F458" s="52"/>
      <c r="G458" s="52"/>
      <c r="H458" s="52"/>
    </row>
    <row r="459" spans="1:8" ht="12.75" x14ac:dyDescent="0.35">
      <c r="A459" s="52" t="str">
        <f ca="1">IFERROR(__xludf.DUMMYFUNCTION("""COMPUTED_VALUE"""),"2023/03/30 (木)
平日夜間")</f>
        <v>2023/03/30 (木)
平日夜間</v>
      </c>
      <c r="B459" s="52" t="str">
        <f ca="1">IFERROR(__xludf.DUMMYFUNCTION("""COMPUTED_VALUE"""),"勝俣")</f>
        <v>勝俣</v>
      </c>
      <c r="C459" s="52"/>
      <c r="D459" s="52"/>
      <c r="E459" s="52"/>
      <c r="F459" s="52"/>
      <c r="G459" s="52"/>
      <c r="H459" s="52"/>
    </row>
    <row r="460" spans="1:8" ht="12.75" x14ac:dyDescent="0.35">
      <c r="A460" s="52" t="str">
        <f ca="1">IFERROR(__xludf.DUMMYFUNCTION("""COMPUTED_VALUE"""),"2023/03/31 (金)
平日夜間")</f>
        <v>2023/03/31 (金)
平日夜間</v>
      </c>
      <c r="B460" s="52" t="str">
        <f ca="1">IFERROR(__xludf.DUMMYFUNCTION("""COMPUTED_VALUE"""),"宮坂")</f>
        <v>宮坂</v>
      </c>
      <c r="C460" s="52"/>
      <c r="D460" s="52"/>
      <c r="E460" s="52"/>
      <c r="F460" s="52"/>
      <c r="G460" s="52"/>
      <c r="H460" s="52"/>
    </row>
    <row r="461" spans="1:8" ht="12.75" x14ac:dyDescent="0.35">
      <c r="A461" s="52"/>
      <c r="B461" s="52"/>
      <c r="C461" s="52"/>
      <c r="D461" s="52"/>
      <c r="E461" s="52"/>
      <c r="F461" s="52"/>
      <c r="G461" s="52"/>
      <c r="H461" s="52"/>
    </row>
    <row r="462" spans="1:8" ht="12.75" x14ac:dyDescent="0.35">
      <c r="A462" s="52"/>
      <c r="B462" s="52"/>
      <c r="C462" s="52"/>
      <c r="D462" s="52"/>
      <c r="E462" s="52"/>
      <c r="F462" s="52"/>
      <c r="G462" s="52"/>
      <c r="H462" s="52"/>
    </row>
    <row r="463" spans="1:8" ht="12.75" x14ac:dyDescent="0.35">
      <c r="A463" s="52"/>
      <c r="B463" s="52"/>
      <c r="C463" s="52"/>
      <c r="D463" s="52"/>
      <c r="E463" s="52"/>
      <c r="F463" s="52"/>
      <c r="G463" s="52"/>
      <c r="H463" s="52"/>
    </row>
    <row r="464" spans="1:8" ht="12.75" x14ac:dyDescent="0.35">
      <c r="A464" s="52"/>
      <c r="B464" s="52"/>
      <c r="C464" s="52"/>
      <c r="D464" s="52"/>
      <c r="E464" s="52"/>
      <c r="F464" s="52"/>
      <c r="G464" s="52"/>
      <c r="H464" s="52"/>
    </row>
    <row r="465" spans="1:8" ht="12.75" x14ac:dyDescent="0.35">
      <c r="A465" s="52"/>
      <c r="B465" s="52"/>
      <c r="C465" s="52"/>
      <c r="D465" s="52"/>
      <c r="E465" s="52"/>
      <c r="F465" s="52"/>
      <c r="G465" s="52"/>
      <c r="H465" s="52"/>
    </row>
    <row r="466" spans="1:8" ht="12.75" x14ac:dyDescent="0.35">
      <c r="A466" s="52"/>
      <c r="B466" s="52"/>
      <c r="C466" s="52"/>
      <c r="D466" s="52"/>
      <c r="E466" s="52"/>
      <c r="F466" s="52"/>
      <c r="G466" s="52"/>
      <c r="H466" s="52"/>
    </row>
    <row r="467" spans="1:8" ht="12.75" x14ac:dyDescent="0.35">
      <c r="A467" s="52"/>
      <c r="B467" s="52"/>
      <c r="C467" s="52"/>
      <c r="D467" s="52"/>
      <c r="E467" s="52"/>
      <c r="F467" s="52"/>
      <c r="G467" s="52"/>
      <c r="H467" s="52"/>
    </row>
    <row r="468" spans="1:8" ht="12.75" x14ac:dyDescent="0.35">
      <c r="A468" s="52"/>
      <c r="B468" s="52"/>
      <c r="C468" s="52"/>
      <c r="D468" s="52"/>
      <c r="E468" s="52"/>
      <c r="F468" s="52"/>
      <c r="G468" s="52"/>
      <c r="H468" s="52"/>
    </row>
    <row r="469" spans="1:8" ht="12.75" x14ac:dyDescent="0.35">
      <c r="A469" s="52"/>
      <c r="B469" s="52"/>
      <c r="C469" s="52"/>
      <c r="D469" s="52"/>
      <c r="E469" s="52"/>
      <c r="F469" s="52"/>
      <c r="G469" s="52"/>
      <c r="H469" s="52"/>
    </row>
    <row r="470" spans="1:8" ht="12.75" x14ac:dyDescent="0.35">
      <c r="A470" s="52"/>
      <c r="B470" s="52"/>
      <c r="C470" s="52"/>
      <c r="D470" s="52"/>
      <c r="E470" s="52"/>
      <c r="F470" s="52"/>
      <c r="G470" s="52"/>
      <c r="H470" s="52"/>
    </row>
    <row r="471" spans="1:8" ht="12.75" x14ac:dyDescent="0.35">
      <c r="A471" s="52"/>
      <c r="B471" s="52"/>
      <c r="C471" s="52"/>
      <c r="D471" s="52"/>
      <c r="E471" s="52"/>
      <c r="F471" s="52"/>
      <c r="G471" s="52"/>
      <c r="H471" s="52"/>
    </row>
    <row r="472" spans="1:8" ht="12.75" x14ac:dyDescent="0.35">
      <c r="A472" s="52"/>
      <c r="B472" s="52"/>
      <c r="C472" s="52"/>
      <c r="D472" s="52"/>
      <c r="E472" s="52"/>
      <c r="F472" s="52"/>
      <c r="G472" s="52"/>
      <c r="H472" s="52"/>
    </row>
    <row r="473" spans="1:8" ht="12.75" x14ac:dyDescent="0.35">
      <c r="A473" s="52"/>
      <c r="B473" s="52"/>
      <c r="C473" s="52"/>
      <c r="D473" s="52"/>
      <c r="E473" s="52"/>
      <c r="F473" s="52"/>
      <c r="G473" s="52"/>
      <c r="H473" s="52"/>
    </row>
    <row r="474" spans="1:8" ht="12.75" x14ac:dyDescent="0.35">
      <c r="A474" s="52"/>
      <c r="B474" s="52"/>
      <c r="C474" s="52"/>
      <c r="D474" s="52"/>
      <c r="E474" s="52"/>
      <c r="F474" s="52"/>
      <c r="G474" s="52"/>
      <c r="H474" s="52"/>
    </row>
    <row r="475" spans="1:8" ht="12.75" x14ac:dyDescent="0.35">
      <c r="A475" s="52"/>
      <c r="B475" s="52"/>
      <c r="C475" s="52"/>
      <c r="D475" s="52"/>
      <c r="E475" s="52"/>
      <c r="F475" s="52"/>
      <c r="G475" s="52"/>
      <c r="H475" s="52"/>
    </row>
    <row r="476" spans="1:8" ht="12.75" x14ac:dyDescent="0.35">
      <c r="A476" s="52"/>
      <c r="B476" s="52"/>
      <c r="C476" s="52"/>
      <c r="D476" s="52"/>
      <c r="E476" s="52"/>
      <c r="F476" s="52"/>
      <c r="G476" s="52"/>
      <c r="H476" s="52"/>
    </row>
    <row r="477" spans="1:8" ht="12.75" x14ac:dyDescent="0.35">
      <c r="A477" s="52"/>
      <c r="B477" s="52"/>
      <c r="C477" s="52"/>
      <c r="D477" s="52"/>
      <c r="E477" s="52"/>
      <c r="F477" s="52"/>
      <c r="G477" s="52"/>
      <c r="H477" s="52"/>
    </row>
    <row r="478" spans="1:8" ht="12.75" x14ac:dyDescent="0.35">
      <c r="A478" s="52"/>
      <c r="B478" s="52"/>
      <c r="C478" s="52"/>
      <c r="D478" s="52"/>
      <c r="E478" s="52"/>
      <c r="F478" s="52"/>
      <c r="G478" s="52"/>
      <c r="H478" s="52"/>
    </row>
    <row r="479" spans="1:8" ht="12.75" x14ac:dyDescent="0.35">
      <c r="A479" s="52"/>
      <c r="B479" s="52"/>
      <c r="C479" s="52"/>
      <c r="D479" s="52"/>
      <c r="E479" s="52"/>
      <c r="F479" s="52"/>
      <c r="G479" s="52"/>
      <c r="H479" s="52"/>
    </row>
    <row r="480" spans="1:8" ht="12.75" x14ac:dyDescent="0.35">
      <c r="A480" s="52"/>
      <c r="B480" s="52"/>
      <c r="C480" s="52"/>
      <c r="D480" s="52"/>
      <c r="E480" s="52"/>
      <c r="F480" s="52"/>
      <c r="G480" s="52"/>
      <c r="H480" s="52"/>
    </row>
    <row r="481" spans="1:8" ht="12.75" x14ac:dyDescent="0.35">
      <c r="A481" s="52"/>
      <c r="B481" s="52"/>
      <c r="C481" s="52"/>
      <c r="D481" s="52"/>
      <c r="E481" s="52"/>
      <c r="F481" s="52"/>
      <c r="G481" s="52"/>
      <c r="H481" s="52"/>
    </row>
    <row r="482" spans="1:8" ht="12.75" x14ac:dyDescent="0.35">
      <c r="A482" s="52"/>
      <c r="B482" s="52"/>
      <c r="C482" s="52"/>
      <c r="D482" s="52"/>
      <c r="E482" s="52"/>
      <c r="F482" s="52"/>
      <c r="G482" s="52"/>
      <c r="H482" s="52"/>
    </row>
    <row r="483" spans="1:8" ht="12.75" x14ac:dyDescent="0.35">
      <c r="A483" s="52"/>
      <c r="B483" s="52"/>
      <c r="C483" s="52"/>
      <c r="D483" s="52"/>
      <c r="E483" s="52"/>
      <c r="F483" s="52"/>
      <c r="G483" s="52"/>
      <c r="H483" s="52"/>
    </row>
    <row r="484" spans="1:8" ht="12.75" x14ac:dyDescent="0.35">
      <c r="A484" s="52"/>
      <c r="B484" s="52"/>
      <c r="C484" s="52"/>
      <c r="D484" s="52"/>
      <c r="E484" s="52"/>
      <c r="F484" s="52"/>
      <c r="G484" s="52"/>
      <c r="H484" s="52"/>
    </row>
    <row r="485" spans="1:8" ht="12.75" x14ac:dyDescent="0.35">
      <c r="A485" s="52"/>
      <c r="B485" s="52"/>
      <c r="C485" s="52"/>
      <c r="D485" s="52"/>
      <c r="E485" s="52"/>
      <c r="F485" s="52"/>
      <c r="G485" s="52"/>
      <c r="H485" s="52"/>
    </row>
    <row r="486" spans="1:8" ht="12.75" x14ac:dyDescent="0.35">
      <c r="A486" s="52"/>
      <c r="B486" s="52"/>
      <c r="C486" s="52"/>
      <c r="D486" s="52"/>
      <c r="E486" s="52"/>
      <c r="F486" s="52"/>
      <c r="G486" s="52"/>
      <c r="H486" s="52"/>
    </row>
    <row r="487" spans="1:8" ht="12.75" x14ac:dyDescent="0.35">
      <c r="A487" s="52"/>
      <c r="B487" s="52"/>
      <c r="C487" s="52"/>
      <c r="D487" s="52"/>
      <c r="E487" s="52"/>
      <c r="F487" s="52"/>
      <c r="G487" s="52"/>
      <c r="H487" s="52"/>
    </row>
    <row r="488" spans="1:8" ht="12.75" x14ac:dyDescent="0.35">
      <c r="A488" s="52"/>
      <c r="B488" s="52"/>
      <c r="C488" s="52"/>
      <c r="D488" s="52"/>
      <c r="E488" s="52"/>
      <c r="F488" s="52"/>
      <c r="G488" s="52"/>
      <c r="H488" s="52"/>
    </row>
    <row r="489" spans="1:8" ht="12.75" x14ac:dyDescent="0.35">
      <c r="A489" s="52"/>
      <c r="B489" s="52"/>
      <c r="C489" s="52"/>
      <c r="D489" s="52"/>
      <c r="E489" s="52"/>
      <c r="F489" s="52"/>
      <c r="G489" s="52"/>
      <c r="H489" s="52"/>
    </row>
    <row r="490" spans="1:8" ht="12.75" x14ac:dyDescent="0.35">
      <c r="A490" s="52"/>
      <c r="B490" s="52"/>
      <c r="C490" s="52"/>
      <c r="D490" s="52"/>
      <c r="E490" s="52"/>
      <c r="F490" s="52"/>
      <c r="G490" s="52"/>
      <c r="H490" s="52"/>
    </row>
    <row r="491" spans="1:8" ht="12.75" x14ac:dyDescent="0.35">
      <c r="A491" s="52"/>
      <c r="B491" s="52"/>
      <c r="C491" s="52"/>
      <c r="D491" s="52"/>
      <c r="E491" s="52"/>
      <c r="F491" s="52"/>
      <c r="G491" s="52"/>
      <c r="H491" s="52"/>
    </row>
    <row r="492" spans="1:8" ht="12.75" x14ac:dyDescent="0.35">
      <c r="A492" s="52"/>
      <c r="B492" s="52"/>
      <c r="C492" s="52"/>
      <c r="D492" s="52"/>
      <c r="E492" s="52"/>
      <c r="F492" s="52"/>
      <c r="G492" s="52"/>
      <c r="H492" s="52"/>
    </row>
    <row r="493" spans="1:8" ht="12.75" x14ac:dyDescent="0.35">
      <c r="A493" s="52"/>
      <c r="B493" s="52"/>
      <c r="C493" s="52"/>
      <c r="D493" s="52"/>
      <c r="E493" s="52"/>
      <c r="F493" s="52"/>
      <c r="G493" s="52"/>
      <c r="H493" s="52"/>
    </row>
    <row r="494" spans="1:8" ht="12.75" x14ac:dyDescent="0.35">
      <c r="A494" s="52"/>
      <c r="B494" s="52"/>
      <c r="C494" s="52"/>
      <c r="D494" s="52"/>
      <c r="E494" s="52"/>
      <c r="F494" s="52"/>
      <c r="G494" s="52"/>
      <c r="H494" s="52"/>
    </row>
    <row r="495" spans="1:8" ht="12.75" x14ac:dyDescent="0.35">
      <c r="A495" s="52"/>
      <c r="B495" s="52"/>
      <c r="C495" s="52"/>
      <c r="D495" s="52"/>
      <c r="E495" s="52"/>
      <c r="F495" s="52"/>
      <c r="G495" s="52"/>
      <c r="H495" s="52"/>
    </row>
    <row r="496" spans="1:8" ht="12.75" x14ac:dyDescent="0.35">
      <c r="A496" s="52"/>
      <c r="B496" s="52"/>
      <c r="C496" s="52"/>
      <c r="D496" s="52"/>
      <c r="E496" s="52"/>
      <c r="F496" s="52"/>
      <c r="G496" s="52"/>
      <c r="H496" s="52"/>
    </row>
    <row r="497" spans="1:8" ht="12.75" x14ac:dyDescent="0.35">
      <c r="A497" s="52"/>
      <c r="B497" s="52"/>
      <c r="C497" s="52"/>
      <c r="D497" s="52"/>
      <c r="E497" s="52"/>
      <c r="F497" s="52"/>
      <c r="G497" s="52"/>
      <c r="H497" s="52"/>
    </row>
    <row r="498" spans="1:8" ht="12.75" x14ac:dyDescent="0.35">
      <c r="A498" s="52"/>
      <c r="B498" s="52"/>
      <c r="C498" s="52"/>
      <c r="D498" s="52"/>
      <c r="E498" s="52"/>
      <c r="F498" s="52"/>
      <c r="G498" s="52"/>
      <c r="H498" s="52"/>
    </row>
    <row r="499" spans="1:8" ht="12.75" x14ac:dyDescent="0.35">
      <c r="A499" s="52"/>
      <c r="B499" s="52"/>
      <c r="C499" s="52"/>
      <c r="D499" s="52"/>
      <c r="E499" s="52"/>
      <c r="F499" s="52"/>
      <c r="G499" s="52"/>
      <c r="H499" s="52"/>
    </row>
    <row r="500" spans="1:8" ht="12.75" x14ac:dyDescent="0.35">
      <c r="A500" s="52"/>
      <c r="B500" s="52"/>
      <c r="C500" s="52"/>
      <c r="D500" s="52"/>
      <c r="E500" s="52"/>
      <c r="F500" s="52"/>
      <c r="G500" s="52"/>
      <c r="H500" s="52"/>
    </row>
    <row r="501" spans="1:8" ht="12.75" x14ac:dyDescent="0.35">
      <c r="A501" s="52"/>
      <c r="B501" s="52"/>
      <c r="C501" s="52"/>
      <c r="D501" s="52"/>
      <c r="E501" s="52"/>
      <c r="F501" s="52"/>
      <c r="G501" s="52"/>
      <c r="H501" s="52"/>
    </row>
    <row r="502" spans="1:8" ht="12.75" x14ac:dyDescent="0.35">
      <c r="A502" s="52"/>
      <c r="B502" s="52"/>
      <c r="C502" s="52"/>
      <c r="D502" s="52"/>
      <c r="E502" s="52"/>
      <c r="F502" s="52"/>
      <c r="G502" s="52"/>
      <c r="H502" s="52"/>
    </row>
    <row r="503" spans="1:8" ht="12.75" x14ac:dyDescent="0.35">
      <c r="A503" s="52"/>
      <c r="B503" s="52"/>
      <c r="C503" s="52"/>
      <c r="D503" s="52"/>
      <c r="E503" s="52"/>
      <c r="F503" s="52"/>
      <c r="G503" s="52"/>
      <c r="H503" s="52"/>
    </row>
    <row r="504" spans="1:8" ht="12.75" x14ac:dyDescent="0.35">
      <c r="A504" s="52"/>
      <c r="B504" s="52"/>
      <c r="C504" s="52"/>
      <c r="D504" s="52"/>
      <c r="E504" s="52"/>
      <c r="F504" s="52"/>
      <c r="G504" s="52"/>
      <c r="H504" s="52"/>
    </row>
    <row r="505" spans="1:8" ht="12.75" x14ac:dyDescent="0.35">
      <c r="A505" s="52"/>
      <c r="B505" s="52"/>
      <c r="C505" s="52"/>
      <c r="D505" s="52"/>
      <c r="E505" s="52"/>
      <c r="F505" s="52"/>
      <c r="G505" s="52"/>
      <c r="H505" s="52"/>
    </row>
    <row r="506" spans="1:8" ht="12.75" x14ac:dyDescent="0.35">
      <c r="A506" s="52"/>
      <c r="B506" s="52"/>
      <c r="C506" s="52"/>
      <c r="D506" s="52"/>
      <c r="E506" s="52"/>
      <c r="F506" s="52"/>
      <c r="G506" s="52"/>
      <c r="H506" s="52"/>
    </row>
    <row r="507" spans="1:8" ht="12.75" x14ac:dyDescent="0.35">
      <c r="A507" s="52"/>
      <c r="B507" s="52"/>
      <c r="C507" s="52"/>
      <c r="D507" s="52"/>
      <c r="E507" s="52"/>
      <c r="F507" s="52"/>
      <c r="G507" s="52"/>
      <c r="H507" s="52"/>
    </row>
    <row r="508" spans="1:8" ht="12.75" x14ac:dyDescent="0.35">
      <c r="A508" s="52"/>
      <c r="B508" s="52"/>
      <c r="C508" s="52"/>
      <c r="D508" s="52"/>
      <c r="E508" s="52"/>
      <c r="F508" s="52"/>
      <c r="G508" s="52"/>
      <c r="H508" s="52"/>
    </row>
    <row r="509" spans="1:8" ht="12.75" x14ac:dyDescent="0.35">
      <c r="A509" s="52"/>
      <c r="B509" s="52"/>
      <c r="C509" s="52"/>
      <c r="D509" s="52"/>
      <c r="E509" s="52"/>
      <c r="F509" s="52"/>
      <c r="G509" s="52"/>
      <c r="H509" s="52"/>
    </row>
    <row r="510" spans="1:8" ht="12.75" x14ac:dyDescent="0.35">
      <c r="A510" s="52"/>
      <c r="B510" s="52"/>
      <c r="C510" s="52"/>
      <c r="D510" s="52"/>
      <c r="E510" s="52"/>
      <c r="F510" s="52"/>
      <c r="G510" s="52"/>
      <c r="H510" s="52"/>
    </row>
    <row r="511" spans="1:8" ht="12.75" x14ac:dyDescent="0.35">
      <c r="A511" s="52"/>
      <c r="B511" s="52"/>
      <c r="C511" s="52"/>
      <c r="D511" s="52"/>
      <c r="E511" s="52"/>
      <c r="F511" s="52"/>
      <c r="G511" s="52"/>
      <c r="H511" s="52"/>
    </row>
    <row r="512" spans="1:8" ht="12.75" x14ac:dyDescent="0.35">
      <c r="A512" s="52"/>
      <c r="B512" s="52"/>
      <c r="C512" s="52"/>
      <c r="D512" s="52"/>
      <c r="E512" s="52"/>
      <c r="F512" s="52"/>
      <c r="G512" s="52"/>
      <c r="H512" s="52"/>
    </row>
    <row r="513" spans="1:8" ht="12.75" x14ac:dyDescent="0.35">
      <c r="A513" s="52"/>
      <c r="B513" s="52"/>
      <c r="C513" s="52"/>
      <c r="D513" s="52"/>
      <c r="E513" s="52"/>
      <c r="F513" s="52"/>
      <c r="G513" s="52"/>
      <c r="H513" s="52"/>
    </row>
    <row r="514" spans="1:8" ht="12.75" x14ac:dyDescent="0.35">
      <c r="A514" s="52"/>
      <c r="B514" s="52"/>
      <c r="C514" s="52"/>
      <c r="D514" s="52"/>
      <c r="E514" s="52"/>
      <c r="F514" s="52"/>
      <c r="G514" s="52"/>
      <c r="H514" s="52"/>
    </row>
    <row r="515" spans="1:8" ht="12.75" x14ac:dyDescent="0.35">
      <c r="A515" s="52"/>
      <c r="B515" s="52"/>
      <c r="C515" s="52"/>
      <c r="D515" s="52"/>
      <c r="E515" s="52"/>
      <c r="F515" s="52"/>
      <c r="G515" s="52"/>
      <c r="H515" s="52"/>
    </row>
    <row r="516" spans="1:8" ht="12.75" x14ac:dyDescent="0.35">
      <c r="A516" s="52"/>
      <c r="B516" s="52"/>
      <c r="C516" s="52"/>
      <c r="D516" s="52"/>
      <c r="E516" s="52"/>
      <c r="F516" s="52"/>
      <c r="G516" s="52"/>
      <c r="H516" s="52"/>
    </row>
    <row r="517" spans="1:8" ht="12.75" x14ac:dyDescent="0.35">
      <c r="A517" s="52"/>
      <c r="B517" s="52"/>
      <c r="C517" s="52"/>
      <c r="D517" s="52"/>
      <c r="E517" s="52"/>
      <c r="F517" s="52"/>
      <c r="G517" s="52"/>
      <c r="H517" s="52"/>
    </row>
    <row r="518" spans="1:8" ht="12.75" x14ac:dyDescent="0.35">
      <c r="A518" s="52"/>
      <c r="B518" s="52"/>
      <c r="C518" s="52"/>
      <c r="D518" s="52"/>
      <c r="E518" s="52"/>
      <c r="F518" s="52"/>
      <c r="G518" s="52"/>
      <c r="H518" s="52"/>
    </row>
    <row r="519" spans="1:8" ht="12.75" x14ac:dyDescent="0.35">
      <c r="A519" s="52"/>
      <c r="B519" s="52"/>
      <c r="C519" s="52"/>
      <c r="D519" s="52"/>
      <c r="E519" s="52"/>
      <c r="F519" s="52"/>
      <c r="G519" s="52"/>
      <c r="H519" s="52"/>
    </row>
    <row r="520" spans="1:8" ht="12.75" x14ac:dyDescent="0.35">
      <c r="A520" s="52"/>
      <c r="B520" s="52"/>
      <c r="C520" s="52"/>
      <c r="D520" s="52"/>
      <c r="E520" s="52"/>
      <c r="F520" s="52"/>
      <c r="G520" s="52"/>
      <c r="H520" s="52"/>
    </row>
    <row r="521" spans="1:8" ht="12.75" x14ac:dyDescent="0.35">
      <c r="A521" s="52"/>
      <c r="B521" s="52"/>
      <c r="C521" s="52"/>
      <c r="D521" s="52"/>
      <c r="E521" s="52"/>
      <c r="F521" s="52"/>
      <c r="G521" s="52"/>
      <c r="H521" s="52"/>
    </row>
    <row r="522" spans="1:8" ht="12.75" x14ac:dyDescent="0.35">
      <c r="A522" s="52"/>
      <c r="B522" s="52"/>
      <c r="C522" s="52"/>
      <c r="D522" s="52"/>
      <c r="E522" s="52"/>
      <c r="F522" s="52"/>
      <c r="G522" s="52"/>
      <c r="H522" s="52"/>
    </row>
    <row r="523" spans="1:8" ht="12.75" x14ac:dyDescent="0.35">
      <c r="A523" s="52"/>
      <c r="B523" s="52"/>
      <c r="C523" s="52"/>
      <c r="D523" s="52"/>
      <c r="E523" s="52"/>
      <c r="F523" s="52"/>
      <c r="G523" s="52"/>
      <c r="H523" s="52"/>
    </row>
    <row r="524" spans="1:8" ht="12.75" x14ac:dyDescent="0.35">
      <c r="A524" s="52"/>
      <c r="B524" s="52"/>
      <c r="C524" s="52"/>
      <c r="D524" s="52"/>
      <c r="E524" s="52"/>
      <c r="F524" s="52"/>
      <c r="G524" s="52"/>
      <c r="H524" s="52"/>
    </row>
    <row r="525" spans="1:8" ht="12.75" x14ac:dyDescent="0.35">
      <c r="A525" s="52"/>
      <c r="B525" s="52"/>
      <c r="C525" s="52"/>
      <c r="D525" s="52"/>
      <c r="E525" s="52"/>
      <c r="F525" s="52"/>
      <c r="G525" s="52"/>
      <c r="H525" s="52"/>
    </row>
    <row r="526" spans="1:8" ht="12.75" x14ac:dyDescent="0.35">
      <c r="A526" s="52"/>
      <c r="B526" s="52"/>
      <c r="C526" s="52"/>
      <c r="D526" s="52"/>
      <c r="E526" s="52"/>
      <c r="F526" s="52"/>
      <c r="G526" s="52"/>
      <c r="H526" s="52"/>
    </row>
    <row r="527" spans="1:8" ht="12.75" x14ac:dyDescent="0.35">
      <c r="A527" s="52"/>
      <c r="B527" s="52"/>
      <c r="C527" s="52"/>
      <c r="D527" s="52"/>
      <c r="E527" s="52"/>
      <c r="F527" s="52"/>
      <c r="G527" s="52"/>
      <c r="H527" s="52"/>
    </row>
    <row r="528" spans="1:8" ht="12.75" x14ac:dyDescent="0.35">
      <c r="A528" s="52"/>
      <c r="B528" s="52"/>
      <c r="C528" s="52"/>
      <c r="D528" s="52"/>
      <c r="E528" s="52"/>
      <c r="F528" s="52"/>
      <c r="G528" s="52"/>
      <c r="H528" s="52"/>
    </row>
    <row r="529" spans="1:8" ht="12.75" x14ac:dyDescent="0.35">
      <c r="A529" s="52"/>
      <c r="B529" s="52"/>
      <c r="C529" s="52"/>
      <c r="D529" s="52"/>
      <c r="E529" s="52"/>
      <c r="F529" s="52"/>
      <c r="G529" s="52"/>
      <c r="H529" s="52"/>
    </row>
    <row r="530" spans="1:8" ht="12.75" x14ac:dyDescent="0.35">
      <c r="A530" s="52"/>
      <c r="B530" s="52"/>
      <c r="C530" s="52"/>
      <c r="D530" s="52"/>
      <c r="E530" s="52"/>
      <c r="F530" s="52"/>
      <c r="G530" s="52"/>
      <c r="H530" s="52"/>
    </row>
    <row r="531" spans="1:8" ht="12.75" x14ac:dyDescent="0.35">
      <c r="A531" s="52"/>
      <c r="B531" s="52"/>
      <c r="C531" s="52"/>
      <c r="D531" s="52"/>
      <c r="E531" s="52"/>
      <c r="F531" s="52"/>
      <c r="G531" s="52"/>
      <c r="H531" s="52"/>
    </row>
    <row r="532" spans="1:8" ht="12.75" x14ac:dyDescent="0.35">
      <c r="A532" s="52"/>
      <c r="B532" s="52"/>
      <c r="C532" s="52"/>
      <c r="D532" s="52"/>
      <c r="E532" s="52"/>
      <c r="F532" s="52"/>
      <c r="G532" s="52"/>
      <c r="H532" s="52"/>
    </row>
    <row r="533" spans="1:8" ht="12.75" x14ac:dyDescent="0.35">
      <c r="A533" s="52"/>
      <c r="B533" s="52"/>
      <c r="C533" s="52"/>
      <c r="D533" s="52"/>
      <c r="E533" s="52"/>
      <c r="F533" s="52"/>
      <c r="G533" s="52"/>
      <c r="H533" s="52"/>
    </row>
    <row r="534" spans="1:8" ht="12.75" x14ac:dyDescent="0.35">
      <c r="A534" s="52"/>
      <c r="B534" s="52"/>
      <c r="C534" s="52"/>
      <c r="D534" s="52"/>
      <c r="E534" s="52"/>
      <c r="F534" s="52"/>
      <c r="G534" s="52"/>
      <c r="H534" s="52"/>
    </row>
    <row r="535" spans="1:8" ht="12.75" x14ac:dyDescent="0.35">
      <c r="A535" s="52"/>
      <c r="B535" s="52"/>
      <c r="C535" s="52"/>
      <c r="D535" s="52"/>
      <c r="E535" s="52"/>
      <c r="F535" s="52"/>
      <c r="G535" s="52"/>
      <c r="H535" s="52"/>
    </row>
    <row r="536" spans="1:8" ht="12.75" x14ac:dyDescent="0.35">
      <c r="A536" s="52"/>
      <c r="B536" s="52"/>
      <c r="C536" s="52"/>
      <c r="D536" s="52"/>
      <c r="E536" s="52"/>
      <c r="F536" s="52"/>
      <c r="G536" s="52"/>
      <c r="H536" s="52"/>
    </row>
    <row r="537" spans="1:8" ht="12.75" x14ac:dyDescent="0.35">
      <c r="A537" s="52"/>
      <c r="B537" s="52"/>
      <c r="C537" s="52"/>
      <c r="D537" s="52"/>
      <c r="E537" s="52"/>
      <c r="F537" s="52"/>
      <c r="G537" s="52"/>
      <c r="H537" s="52"/>
    </row>
    <row r="538" spans="1:8" ht="12.75" x14ac:dyDescent="0.35">
      <c r="A538" s="52"/>
      <c r="B538" s="52"/>
      <c r="C538" s="52"/>
      <c r="D538" s="52"/>
      <c r="E538" s="52"/>
      <c r="F538" s="52"/>
      <c r="G538" s="52"/>
      <c r="H538" s="52"/>
    </row>
    <row r="539" spans="1:8" ht="12.75" x14ac:dyDescent="0.35">
      <c r="A539" s="52"/>
      <c r="B539" s="52"/>
      <c r="C539" s="52"/>
      <c r="D539" s="52"/>
      <c r="E539" s="52"/>
      <c r="F539" s="52"/>
      <c r="G539" s="52"/>
      <c r="H539" s="52"/>
    </row>
    <row r="540" spans="1:8" ht="12.75" x14ac:dyDescent="0.35">
      <c r="A540" s="52"/>
      <c r="B540" s="52"/>
      <c r="C540" s="52"/>
      <c r="D540" s="52"/>
      <c r="E540" s="52"/>
      <c r="F540" s="52"/>
      <c r="G540" s="52"/>
      <c r="H540" s="52"/>
    </row>
    <row r="541" spans="1:8" ht="12.75" x14ac:dyDescent="0.35">
      <c r="A541" s="52"/>
      <c r="B541" s="52"/>
      <c r="C541" s="52"/>
      <c r="D541" s="52"/>
      <c r="E541" s="52"/>
      <c r="F541" s="52"/>
      <c r="G541" s="52"/>
      <c r="H541" s="52"/>
    </row>
    <row r="542" spans="1:8" ht="12.75" x14ac:dyDescent="0.35">
      <c r="A542" s="52"/>
      <c r="B542" s="52"/>
      <c r="C542" s="52"/>
      <c r="D542" s="52"/>
      <c r="E542" s="52"/>
      <c r="F542" s="52"/>
      <c r="G542" s="52"/>
      <c r="H542" s="52"/>
    </row>
    <row r="543" spans="1:8" ht="12.75" x14ac:dyDescent="0.35">
      <c r="A543" s="52"/>
      <c r="B543" s="52"/>
      <c r="C543" s="52"/>
      <c r="D543" s="52"/>
      <c r="E543" s="52"/>
      <c r="F543" s="52"/>
      <c r="G543" s="52"/>
      <c r="H543" s="52"/>
    </row>
    <row r="544" spans="1:8" ht="12.75" x14ac:dyDescent="0.35">
      <c r="A544" s="52"/>
      <c r="B544" s="52"/>
      <c r="C544" s="52"/>
      <c r="D544" s="52"/>
      <c r="E544" s="52"/>
      <c r="F544" s="52"/>
      <c r="G544" s="52"/>
      <c r="H544" s="52"/>
    </row>
    <row r="545" spans="1:8" ht="12.75" x14ac:dyDescent="0.35">
      <c r="A545" s="52"/>
      <c r="B545" s="52"/>
      <c r="C545" s="52"/>
      <c r="D545" s="52"/>
      <c r="E545" s="52"/>
      <c r="F545" s="52"/>
      <c r="G545" s="52"/>
      <c r="H545" s="52"/>
    </row>
    <row r="546" spans="1:8" ht="12.75" x14ac:dyDescent="0.35">
      <c r="A546" s="52"/>
      <c r="B546" s="52"/>
      <c r="C546" s="52"/>
      <c r="D546" s="52"/>
      <c r="E546" s="52"/>
      <c r="F546" s="52"/>
      <c r="G546" s="52"/>
      <c r="H546" s="52"/>
    </row>
    <row r="547" spans="1:8" ht="12.75" x14ac:dyDescent="0.35">
      <c r="A547" s="52"/>
      <c r="B547" s="52"/>
      <c r="C547" s="52"/>
      <c r="D547" s="52"/>
      <c r="E547" s="52"/>
      <c r="F547" s="52"/>
      <c r="G547" s="52"/>
      <c r="H547" s="52"/>
    </row>
    <row r="548" spans="1:8" ht="12.75" x14ac:dyDescent="0.35">
      <c r="A548" s="52"/>
      <c r="B548" s="52"/>
      <c r="C548" s="52"/>
      <c r="D548" s="52"/>
      <c r="E548" s="52"/>
      <c r="F548" s="52"/>
      <c r="G548" s="52"/>
      <c r="H548" s="52"/>
    </row>
    <row r="549" spans="1:8" ht="12.75" x14ac:dyDescent="0.35">
      <c r="A549" s="52"/>
      <c r="B549" s="52"/>
      <c r="C549" s="52"/>
      <c r="D549" s="52"/>
      <c r="E549" s="52"/>
      <c r="F549" s="52"/>
      <c r="G549" s="52"/>
      <c r="H549" s="52"/>
    </row>
    <row r="550" spans="1:8" ht="12.75" x14ac:dyDescent="0.35">
      <c r="A550" s="52"/>
      <c r="B550" s="52"/>
      <c r="C550" s="52"/>
      <c r="D550" s="52"/>
      <c r="E550" s="52"/>
      <c r="F550" s="52"/>
      <c r="G550" s="52"/>
      <c r="H550" s="52"/>
    </row>
    <row r="551" spans="1:8" ht="12.75" x14ac:dyDescent="0.35">
      <c r="A551" s="52"/>
      <c r="B551" s="52"/>
      <c r="C551" s="52"/>
      <c r="D551" s="52"/>
      <c r="E551" s="52"/>
      <c r="F551" s="52"/>
      <c r="G551" s="52"/>
      <c r="H551" s="52"/>
    </row>
    <row r="552" spans="1:8" ht="12.75" x14ac:dyDescent="0.35">
      <c r="A552" s="52"/>
      <c r="B552" s="52"/>
      <c r="C552" s="52"/>
      <c r="D552" s="52"/>
      <c r="E552" s="52"/>
      <c r="F552" s="52"/>
      <c r="G552" s="52"/>
      <c r="H552" s="52"/>
    </row>
    <row r="553" spans="1:8" ht="12.75" x14ac:dyDescent="0.35">
      <c r="A553" s="52"/>
      <c r="B553" s="52"/>
      <c r="C553" s="52"/>
      <c r="D553" s="52"/>
      <c r="E553" s="52"/>
      <c r="F553" s="52"/>
      <c r="G553" s="52"/>
      <c r="H553" s="52"/>
    </row>
    <row r="554" spans="1:8" ht="12.75" x14ac:dyDescent="0.35">
      <c r="A554" s="52"/>
      <c r="B554" s="52"/>
      <c r="C554" s="52"/>
      <c r="D554" s="52"/>
      <c r="E554" s="52"/>
      <c r="F554" s="52"/>
      <c r="G554" s="52"/>
      <c r="H554" s="52"/>
    </row>
    <row r="555" spans="1:8" ht="12.75" x14ac:dyDescent="0.35">
      <c r="A555" s="52"/>
      <c r="B555" s="52"/>
      <c r="C555" s="52"/>
      <c r="D555" s="52"/>
      <c r="E555" s="52"/>
      <c r="F555" s="52"/>
      <c r="G555" s="52"/>
      <c r="H555" s="52"/>
    </row>
    <row r="556" spans="1:8" ht="12.75" x14ac:dyDescent="0.35">
      <c r="A556" s="52"/>
      <c r="B556" s="52"/>
      <c r="C556" s="52"/>
      <c r="D556" s="52"/>
      <c r="E556" s="52"/>
      <c r="F556" s="52"/>
      <c r="G556" s="52"/>
      <c r="H556" s="52"/>
    </row>
    <row r="557" spans="1:8" ht="12.75" x14ac:dyDescent="0.35">
      <c r="A557" s="52"/>
      <c r="B557" s="52"/>
      <c r="C557" s="52"/>
      <c r="D557" s="52"/>
      <c r="E557" s="52"/>
      <c r="F557" s="52"/>
      <c r="G557" s="52"/>
      <c r="H557" s="52"/>
    </row>
    <row r="558" spans="1:8" ht="12.75" x14ac:dyDescent="0.35">
      <c r="A558" s="52"/>
      <c r="B558" s="52"/>
      <c r="C558" s="52"/>
      <c r="D558" s="52"/>
      <c r="E558" s="52"/>
      <c r="F558" s="52"/>
      <c r="G558" s="52"/>
      <c r="H558" s="52"/>
    </row>
    <row r="559" spans="1:8" ht="12.75" x14ac:dyDescent="0.35">
      <c r="A559" s="52"/>
      <c r="B559" s="52"/>
      <c r="C559" s="52"/>
      <c r="D559" s="52"/>
      <c r="E559" s="52"/>
      <c r="F559" s="52"/>
      <c r="G559" s="52"/>
      <c r="H559" s="52"/>
    </row>
    <row r="560" spans="1:8" ht="12.75" x14ac:dyDescent="0.35">
      <c r="A560" s="52"/>
      <c r="B560" s="52"/>
      <c r="C560" s="52"/>
      <c r="D560" s="52"/>
      <c r="E560" s="52"/>
      <c r="F560" s="52"/>
      <c r="G560" s="52"/>
      <c r="H560" s="52"/>
    </row>
    <row r="561" spans="1:8" ht="12.75" x14ac:dyDescent="0.35">
      <c r="A561" s="52"/>
      <c r="B561" s="52"/>
      <c r="C561" s="52"/>
      <c r="D561" s="52"/>
      <c r="E561" s="52"/>
      <c r="F561" s="52"/>
      <c r="G561" s="52"/>
      <c r="H561" s="52"/>
    </row>
    <row r="562" spans="1:8" ht="12.75" x14ac:dyDescent="0.35">
      <c r="A562" s="52"/>
      <c r="B562" s="52"/>
      <c r="C562" s="52"/>
      <c r="D562" s="52"/>
      <c r="E562" s="52"/>
      <c r="F562" s="52"/>
      <c r="G562" s="52"/>
      <c r="H562" s="52"/>
    </row>
    <row r="563" spans="1:8" ht="12.75" x14ac:dyDescent="0.35">
      <c r="A563" s="52"/>
      <c r="B563" s="52"/>
      <c r="C563" s="52"/>
      <c r="D563" s="52"/>
      <c r="E563" s="52"/>
      <c r="F563" s="52"/>
      <c r="G563" s="52"/>
      <c r="H563" s="52"/>
    </row>
    <row r="564" spans="1:8" ht="12.75" x14ac:dyDescent="0.35">
      <c r="A564" s="52"/>
      <c r="B564" s="52"/>
      <c r="C564" s="52"/>
      <c r="D564" s="52"/>
      <c r="E564" s="52"/>
      <c r="F564" s="52"/>
      <c r="G564" s="52"/>
      <c r="H564" s="52"/>
    </row>
    <row r="565" spans="1:8" ht="12.75" x14ac:dyDescent="0.35">
      <c r="A565" s="52"/>
      <c r="B565" s="52"/>
      <c r="C565" s="52"/>
      <c r="D565" s="52"/>
      <c r="E565" s="52"/>
      <c r="F565" s="52"/>
      <c r="G565" s="52"/>
      <c r="H565" s="52"/>
    </row>
    <row r="566" spans="1:8" ht="12.75" x14ac:dyDescent="0.35">
      <c r="A566" s="52"/>
      <c r="B566" s="52"/>
      <c r="C566" s="52"/>
      <c r="D566" s="52"/>
      <c r="E566" s="52"/>
      <c r="F566" s="52"/>
      <c r="G566" s="52"/>
      <c r="H566" s="52"/>
    </row>
    <row r="567" spans="1:8" ht="12.75" x14ac:dyDescent="0.35">
      <c r="A567" s="52"/>
      <c r="B567" s="52"/>
      <c r="C567" s="52"/>
      <c r="D567" s="52"/>
      <c r="E567" s="52"/>
      <c r="F567" s="52"/>
      <c r="G567" s="52"/>
      <c r="H567" s="52"/>
    </row>
    <row r="568" spans="1:8" ht="12.75" x14ac:dyDescent="0.35">
      <c r="A568" s="52"/>
      <c r="B568" s="52"/>
      <c r="C568" s="52"/>
      <c r="D568" s="52"/>
      <c r="E568" s="52"/>
      <c r="F568" s="52"/>
      <c r="G568" s="52"/>
      <c r="H568" s="52"/>
    </row>
    <row r="569" spans="1:8" ht="12.75" x14ac:dyDescent="0.35">
      <c r="A569" s="52"/>
      <c r="B569" s="52"/>
      <c r="C569" s="52"/>
      <c r="D569" s="52"/>
      <c r="E569" s="52"/>
      <c r="F569" s="52"/>
      <c r="G569" s="52"/>
      <c r="H569" s="52"/>
    </row>
    <row r="570" spans="1:8" ht="12.75" x14ac:dyDescent="0.35">
      <c r="A570" s="52"/>
      <c r="B570" s="52"/>
      <c r="C570" s="52"/>
      <c r="D570" s="52"/>
      <c r="E570" s="52"/>
      <c r="F570" s="52"/>
      <c r="G570" s="52"/>
      <c r="H570" s="52"/>
    </row>
    <row r="571" spans="1:8" ht="12.75" x14ac:dyDescent="0.35">
      <c r="A571" s="52"/>
      <c r="B571" s="52"/>
      <c r="C571" s="52"/>
      <c r="D571" s="52"/>
      <c r="E571" s="52"/>
      <c r="F571" s="52"/>
      <c r="G571" s="52"/>
      <c r="H571" s="52"/>
    </row>
    <row r="572" spans="1:8" ht="12.75" x14ac:dyDescent="0.35">
      <c r="A572" s="52"/>
      <c r="B572" s="52"/>
      <c r="C572" s="52"/>
      <c r="D572" s="52"/>
      <c r="E572" s="52"/>
      <c r="F572" s="52"/>
      <c r="G572" s="52"/>
      <c r="H572" s="52"/>
    </row>
    <row r="573" spans="1:8" ht="12.75" x14ac:dyDescent="0.35">
      <c r="A573" s="52"/>
      <c r="B573" s="52"/>
      <c r="C573" s="52"/>
      <c r="D573" s="52"/>
      <c r="E573" s="52"/>
      <c r="F573" s="52"/>
      <c r="G573" s="52"/>
      <c r="H573" s="52"/>
    </row>
    <row r="574" spans="1:8" ht="12.75" x14ac:dyDescent="0.35">
      <c r="A574" s="52"/>
      <c r="B574" s="52"/>
      <c r="C574" s="52"/>
      <c r="D574" s="52"/>
      <c r="E574" s="52"/>
      <c r="F574" s="52"/>
      <c r="G574" s="52"/>
      <c r="H574" s="52"/>
    </row>
    <row r="575" spans="1:8" ht="12.75" x14ac:dyDescent="0.35">
      <c r="A575" s="52"/>
      <c r="B575" s="52"/>
      <c r="C575" s="52"/>
      <c r="D575" s="52"/>
      <c r="E575" s="52"/>
      <c r="F575" s="52"/>
      <c r="G575" s="52"/>
      <c r="H575" s="52"/>
    </row>
    <row r="576" spans="1:8" ht="12.75" x14ac:dyDescent="0.35">
      <c r="A576" s="52"/>
      <c r="B576" s="52"/>
      <c r="C576" s="52"/>
      <c r="D576" s="52"/>
      <c r="E576" s="52"/>
      <c r="F576" s="52"/>
      <c r="G576" s="52"/>
      <c r="H576" s="52"/>
    </row>
    <row r="577" spans="1:8" ht="12.75" x14ac:dyDescent="0.35">
      <c r="A577" s="52"/>
      <c r="B577" s="52"/>
      <c r="C577" s="52"/>
      <c r="D577" s="52"/>
      <c r="E577" s="52"/>
      <c r="F577" s="52"/>
      <c r="G577" s="52"/>
      <c r="H577" s="52"/>
    </row>
    <row r="578" spans="1:8" ht="12.75" x14ac:dyDescent="0.35">
      <c r="A578" s="52"/>
      <c r="B578" s="52"/>
      <c r="C578" s="52"/>
      <c r="D578" s="52"/>
      <c r="E578" s="52"/>
      <c r="F578" s="52"/>
      <c r="G578" s="52"/>
      <c r="H578" s="52"/>
    </row>
    <row r="579" spans="1:8" ht="12.75" x14ac:dyDescent="0.35">
      <c r="A579" s="52"/>
      <c r="B579" s="52"/>
      <c r="C579" s="52"/>
      <c r="D579" s="52"/>
      <c r="E579" s="52"/>
      <c r="F579" s="52"/>
      <c r="G579" s="52"/>
      <c r="H579" s="52"/>
    </row>
    <row r="580" spans="1:8" ht="12.75" x14ac:dyDescent="0.35">
      <c r="A580" s="52"/>
      <c r="B580" s="52"/>
      <c r="C580" s="52"/>
      <c r="D580" s="52"/>
      <c r="E580" s="52"/>
      <c r="F580" s="52"/>
      <c r="G580" s="52"/>
      <c r="H580" s="52"/>
    </row>
    <row r="581" spans="1:8" ht="12.75" x14ac:dyDescent="0.35">
      <c r="A581" s="52"/>
      <c r="B581" s="52"/>
      <c r="C581" s="52"/>
      <c r="D581" s="52"/>
      <c r="E581" s="52"/>
      <c r="F581" s="52"/>
      <c r="G581" s="52"/>
      <c r="H581" s="52"/>
    </row>
    <row r="582" spans="1:8" ht="12.75" x14ac:dyDescent="0.35">
      <c r="A582" s="52"/>
      <c r="B582" s="52"/>
      <c r="C582" s="52"/>
      <c r="D582" s="52"/>
      <c r="E582" s="52"/>
      <c r="F582" s="52"/>
      <c r="G582" s="52"/>
      <c r="H582" s="52"/>
    </row>
    <row r="583" spans="1:8" ht="12.75" x14ac:dyDescent="0.35">
      <c r="A583" s="52"/>
      <c r="B583" s="52"/>
      <c r="C583" s="52"/>
      <c r="D583" s="52"/>
      <c r="E583" s="52"/>
      <c r="F583" s="52"/>
      <c r="G583" s="52"/>
      <c r="H583" s="52"/>
    </row>
    <row r="584" spans="1:8" ht="12.75" x14ac:dyDescent="0.35">
      <c r="A584" s="52"/>
      <c r="B584" s="52"/>
      <c r="C584" s="52"/>
      <c r="D584" s="52"/>
      <c r="E584" s="52"/>
      <c r="F584" s="52"/>
      <c r="G584" s="52"/>
      <c r="H584" s="52"/>
    </row>
    <row r="585" spans="1:8" ht="12.75" x14ac:dyDescent="0.35">
      <c r="A585" s="52"/>
      <c r="B585" s="52"/>
      <c r="C585" s="52"/>
      <c r="D585" s="52"/>
      <c r="E585" s="52"/>
      <c r="F585" s="52"/>
      <c r="G585" s="52"/>
      <c r="H585" s="52"/>
    </row>
    <row r="586" spans="1:8" ht="12.75" x14ac:dyDescent="0.35">
      <c r="A586" s="52"/>
      <c r="B586" s="52"/>
      <c r="C586" s="52"/>
      <c r="D586" s="52"/>
      <c r="E586" s="52"/>
      <c r="F586" s="52"/>
      <c r="G586" s="52"/>
      <c r="H586" s="52"/>
    </row>
    <row r="587" spans="1:8" ht="12.75" x14ac:dyDescent="0.35">
      <c r="A587" s="52"/>
      <c r="B587" s="52"/>
      <c r="C587" s="52"/>
      <c r="D587" s="52"/>
      <c r="E587" s="52"/>
      <c r="F587" s="52"/>
      <c r="G587" s="52"/>
      <c r="H587" s="52"/>
    </row>
    <row r="588" spans="1:8" ht="12.75" x14ac:dyDescent="0.35">
      <c r="A588" s="52"/>
      <c r="B588" s="52"/>
      <c r="C588" s="52"/>
      <c r="D588" s="52"/>
      <c r="E588" s="52"/>
      <c r="F588" s="52"/>
      <c r="G588" s="52"/>
      <c r="H588" s="52"/>
    </row>
    <row r="589" spans="1:8" ht="12.75" x14ac:dyDescent="0.35">
      <c r="A589" s="52"/>
      <c r="B589" s="52"/>
      <c r="C589" s="52"/>
      <c r="D589" s="52"/>
      <c r="E589" s="52"/>
      <c r="F589" s="52"/>
      <c r="G589" s="52"/>
      <c r="H589" s="52"/>
    </row>
    <row r="590" spans="1:8" ht="12.75" x14ac:dyDescent="0.35">
      <c r="A590" s="52"/>
      <c r="B590" s="52"/>
      <c r="C590" s="52"/>
      <c r="D590" s="52"/>
      <c r="E590" s="52"/>
      <c r="F590" s="52"/>
      <c r="G590" s="52"/>
      <c r="H590" s="52"/>
    </row>
    <row r="591" spans="1:8" ht="12.75" x14ac:dyDescent="0.35">
      <c r="A591" s="52"/>
      <c r="B591" s="52"/>
      <c r="C591" s="52"/>
      <c r="D591" s="52"/>
      <c r="E591" s="52"/>
      <c r="F591" s="52"/>
      <c r="G591" s="52"/>
      <c r="H591" s="52"/>
    </row>
    <row r="592" spans="1:8" ht="12.75" x14ac:dyDescent="0.35">
      <c r="A592" s="52"/>
      <c r="B592" s="52"/>
      <c r="C592" s="52"/>
      <c r="D592" s="52"/>
      <c r="E592" s="52"/>
      <c r="F592" s="52"/>
      <c r="G592" s="52"/>
      <c r="H592" s="52"/>
    </row>
    <row r="593" spans="1:8" ht="12.75" x14ac:dyDescent="0.35">
      <c r="A593" s="52"/>
      <c r="B593" s="52"/>
      <c r="C593" s="52"/>
      <c r="D593" s="52"/>
      <c r="E593" s="52"/>
      <c r="F593" s="52"/>
      <c r="G593" s="52"/>
      <c r="H593" s="52"/>
    </row>
    <row r="594" spans="1:8" ht="12.75" x14ac:dyDescent="0.35">
      <c r="A594" s="52"/>
      <c r="B594" s="52"/>
      <c r="C594" s="52"/>
      <c r="D594" s="52"/>
      <c r="E594" s="52"/>
      <c r="F594" s="52"/>
      <c r="G594" s="52"/>
      <c r="H594" s="52"/>
    </row>
    <row r="595" spans="1:8" ht="12.75" x14ac:dyDescent="0.35">
      <c r="A595" s="52"/>
      <c r="B595" s="52"/>
      <c r="C595" s="52"/>
      <c r="D595" s="52"/>
      <c r="E595" s="52"/>
      <c r="F595" s="52"/>
      <c r="G595" s="52"/>
      <c r="H595" s="52"/>
    </row>
    <row r="596" spans="1:8" ht="12.75" x14ac:dyDescent="0.35">
      <c r="A596" s="52"/>
      <c r="B596" s="52"/>
      <c r="C596" s="52"/>
      <c r="D596" s="52"/>
      <c r="E596" s="52"/>
      <c r="F596" s="52"/>
      <c r="G596" s="52"/>
      <c r="H596" s="52"/>
    </row>
    <row r="597" spans="1:8" ht="12.75" x14ac:dyDescent="0.35">
      <c r="A597" s="52"/>
      <c r="B597" s="52"/>
      <c r="C597" s="52"/>
      <c r="D597" s="52"/>
      <c r="E597" s="52"/>
      <c r="F597" s="52"/>
      <c r="G597" s="52"/>
      <c r="H597" s="52"/>
    </row>
    <row r="598" spans="1:8" ht="12.75" x14ac:dyDescent="0.35">
      <c r="A598" s="52"/>
      <c r="B598" s="52"/>
      <c r="C598" s="52"/>
      <c r="D598" s="52"/>
      <c r="E598" s="52"/>
      <c r="F598" s="52"/>
      <c r="G598" s="52"/>
      <c r="H598" s="52"/>
    </row>
    <row r="599" spans="1:8" ht="12.75" x14ac:dyDescent="0.35">
      <c r="A599" s="52"/>
      <c r="B599" s="52"/>
      <c r="C599" s="52"/>
      <c r="D599" s="52"/>
      <c r="E599" s="52"/>
      <c r="F599" s="52"/>
      <c r="G599" s="52"/>
      <c r="H599" s="52"/>
    </row>
    <row r="600" spans="1:8" ht="12.75" x14ac:dyDescent="0.35">
      <c r="A600" s="52"/>
      <c r="B600" s="52"/>
      <c r="C600" s="52"/>
      <c r="D600" s="52"/>
      <c r="E600" s="52"/>
      <c r="F600" s="52"/>
      <c r="G600" s="52"/>
      <c r="H600" s="52"/>
    </row>
    <row r="601" spans="1:8" ht="12.75" x14ac:dyDescent="0.35">
      <c r="A601" s="52"/>
      <c r="B601" s="52"/>
      <c r="C601" s="52"/>
      <c r="D601" s="52"/>
      <c r="E601" s="52"/>
      <c r="F601" s="52"/>
      <c r="G601" s="52"/>
      <c r="H601" s="52"/>
    </row>
    <row r="602" spans="1:8" ht="12.75" x14ac:dyDescent="0.35">
      <c r="A602" s="52"/>
      <c r="B602" s="52"/>
      <c r="C602" s="52"/>
      <c r="D602" s="52"/>
      <c r="E602" s="52"/>
      <c r="F602" s="52"/>
      <c r="G602" s="52"/>
      <c r="H602" s="52"/>
    </row>
    <row r="603" spans="1:8" ht="12.75" x14ac:dyDescent="0.35">
      <c r="A603" s="52"/>
      <c r="B603" s="52"/>
      <c r="C603" s="52"/>
      <c r="D603" s="52"/>
      <c r="E603" s="52"/>
      <c r="F603" s="52"/>
      <c r="G603" s="52"/>
      <c r="H603" s="52"/>
    </row>
    <row r="604" spans="1:8" ht="12.75" x14ac:dyDescent="0.35">
      <c r="A604" s="52"/>
      <c r="B604" s="52"/>
      <c r="C604" s="52"/>
      <c r="D604" s="52"/>
      <c r="E604" s="52"/>
      <c r="F604" s="52"/>
      <c r="G604" s="52"/>
      <c r="H604" s="52"/>
    </row>
    <row r="605" spans="1:8" ht="12.75" x14ac:dyDescent="0.35">
      <c r="A605" s="52"/>
      <c r="B605" s="52"/>
      <c r="C605" s="52"/>
      <c r="D605" s="52"/>
      <c r="E605" s="52"/>
      <c r="F605" s="52"/>
      <c r="G605" s="52"/>
      <c r="H605" s="52"/>
    </row>
    <row r="606" spans="1:8" ht="12.75" x14ac:dyDescent="0.35">
      <c r="A606" s="52"/>
      <c r="B606" s="52"/>
      <c r="C606" s="52"/>
      <c r="D606" s="52"/>
      <c r="E606" s="52"/>
      <c r="F606" s="52"/>
      <c r="G606" s="52"/>
      <c r="H606" s="52"/>
    </row>
    <row r="607" spans="1:8" ht="12.75" x14ac:dyDescent="0.35">
      <c r="A607" s="52"/>
      <c r="B607" s="52"/>
      <c r="C607" s="52"/>
      <c r="D607" s="52"/>
      <c r="E607" s="52"/>
      <c r="F607" s="52"/>
      <c r="G607" s="52"/>
      <c r="H607" s="52"/>
    </row>
    <row r="608" spans="1:8" ht="12.75" x14ac:dyDescent="0.35">
      <c r="A608" s="52"/>
      <c r="B608" s="52"/>
      <c r="C608" s="52"/>
      <c r="D608" s="52"/>
      <c r="E608" s="52"/>
      <c r="F608" s="52"/>
      <c r="G608" s="52"/>
      <c r="H608" s="52"/>
    </row>
    <row r="609" spans="1:8" ht="12.75" x14ac:dyDescent="0.35">
      <c r="A609" s="52"/>
      <c r="B609" s="52"/>
      <c r="C609" s="52"/>
      <c r="D609" s="52"/>
      <c r="E609" s="52"/>
      <c r="F609" s="52"/>
      <c r="G609" s="52"/>
      <c r="H609" s="52"/>
    </row>
    <row r="610" spans="1:8" ht="12.75" x14ac:dyDescent="0.35">
      <c r="A610" s="52"/>
      <c r="B610" s="52"/>
      <c r="C610" s="52"/>
      <c r="D610" s="52"/>
      <c r="E610" s="52"/>
      <c r="F610" s="52"/>
      <c r="G610" s="52"/>
      <c r="H610" s="52"/>
    </row>
    <row r="611" spans="1:8" ht="12.75" x14ac:dyDescent="0.35">
      <c r="A611" s="52"/>
      <c r="B611" s="52"/>
      <c r="C611" s="52"/>
      <c r="D611" s="52"/>
      <c r="E611" s="52"/>
      <c r="F611" s="52"/>
      <c r="G611" s="52"/>
      <c r="H611" s="52"/>
    </row>
    <row r="612" spans="1:8" ht="12.75" x14ac:dyDescent="0.35">
      <c r="A612" s="52"/>
      <c r="B612" s="52"/>
      <c r="C612" s="52"/>
      <c r="D612" s="52"/>
      <c r="E612" s="52"/>
      <c r="F612" s="52"/>
      <c r="G612" s="52"/>
      <c r="H612" s="52"/>
    </row>
    <row r="613" spans="1:8" ht="12.75" x14ac:dyDescent="0.35">
      <c r="A613" s="52"/>
      <c r="B613" s="52"/>
      <c r="C613" s="52"/>
      <c r="D613" s="52"/>
      <c r="E613" s="52"/>
      <c r="F613" s="52"/>
      <c r="G613" s="52"/>
      <c r="H613" s="52"/>
    </row>
    <row r="614" spans="1:8" ht="12.75" x14ac:dyDescent="0.35">
      <c r="A614" s="52"/>
      <c r="B614" s="52"/>
      <c r="C614" s="52"/>
      <c r="D614" s="52"/>
      <c r="E614" s="52"/>
      <c r="F614" s="52"/>
      <c r="G614" s="52"/>
      <c r="H614" s="52"/>
    </row>
    <row r="615" spans="1:8" ht="12.75" x14ac:dyDescent="0.35">
      <c r="A615" s="52"/>
      <c r="B615" s="52"/>
      <c r="C615" s="52"/>
      <c r="D615" s="52"/>
      <c r="E615" s="52"/>
      <c r="F615" s="52"/>
      <c r="G615" s="52"/>
      <c r="H615" s="52"/>
    </row>
    <row r="616" spans="1:8" ht="12.75" x14ac:dyDescent="0.35">
      <c r="A616" s="52"/>
      <c r="B616" s="52"/>
      <c r="C616" s="52"/>
      <c r="D616" s="52"/>
      <c r="E616" s="52"/>
      <c r="F616" s="52"/>
      <c r="G616" s="52"/>
      <c r="H616" s="52"/>
    </row>
    <row r="617" spans="1:8" ht="12.75" x14ac:dyDescent="0.35">
      <c r="A617" s="52"/>
      <c r="B617" s="52"/>
      <c r="C617" s="52"/>
      <c r="D617" s="52"/>
      <c r="E617" s="52"/>
      <c r="F617" s="52"/>
      <c r="G617" s="52"/>
      <c r="H617" s="52"/>
    </row>
    <row r="618" spans="1:8" ht="12.75" x14ac:dyDescent="0.35">
      <c r="A618" s="52"/>
      <c r="B618" s="52"/>
      <c r="C618" s="52"/>
      <c r="D618" s="52"/>
      <c r="E618" s="52"/>
      <c r="F618" s="52"/>
      <c r="G618" s="52"/>
      <c r="H618" s="52"/>
    </row>
    <row r="619" spans="1:8" ht="12.75" x14ac:dyDescent="0.35">
      <c r="A619" s="52"/>
      <c r="B619" s="52"/>
      <c r="C619" s="52"/>
      <c r="D619" s="52"/>
      <c r="E619" s="52"/>
      <c r="F619" s="52"/>
      <c r="G619" s="52"/>
      <c r="H619" s="52"/>
    </row>
    <row r="620" spans="1:8" ht="12.75" x14ac:dyDescent="0.35">
      <c r="A620" s="52"/>
      <c r="B620" s="52"/>
      <c r="C620" s="52"/>
      <c r="D620" s="52"/>
      <c r="E620" s="52"/>
      <c r="F620" s="52"/>
      <c r="G620" s="52"/>
      <c r="H620" s="52"/>
    </row>
    <row r="621" spans="1:8" ht="12.75" x14ac:dyDescent="0.35">
      <c r="A621" s="52"/>
      <c r="B621" s="52"/>
      <c r="C621" s="52"/>
      <c r="D621" s="52"/>
      <c r="E621" s="52"/>
      <c r="F621" s="52"/>
      <c r="G621" s="52"/>
      <c r="H621" s="52"/>
    </row>
    <row r="622" spans="1:8" ht="12.75" x14ac:dyDescent="0.35">
      <c r="A622" s="52"/>
      <c r="B622" s="52"/>
      <c r="C622" s="52"/>
      <c r="D622" s="52"/>
      <c r="E622" s="52"/>
      <c r="F622" s="52"/>
      <c r="G622" s="52"/>
      <c r="H622" s="52"/>
    </row>
    <row r="623" spans="1:8" ht="12.75" x14ac:dyDescent="0.35">
      <c r="A623" s="52"/>
      <c r="B623" s="52"/>
      <c r="C623" s="52"/>
      <c r="D623" s="52"/>
      <c r="E623" s="52"/>
      <c r="F623" s="52"/>
      <c r="G623" s="52"/>
      <c r="H623" s="52"/>
    </row>
    <row r="624" spans="1:8" ht="12.75" x14ac:dyDescent="0.35">
      <c r="A624" s="52"/>
      <c r="B624" s="52"/>
      <c r="C624" s="52"/>
      <c r="D624" s="52"/>
      <c r="E624" s="52"/>
      <c r="F624" s="52"/>
      <c r="G624" s="52"/>
      <c r="H624" s="52"/>
    </row>
    <row r="625" spans="1:8" ht="12.75" x14ac:dyDescent="0.35">
      <c r="A625" s="52"/>
      <c r="B625" s="52"/>
      <c r="C625" s="52"/>
      <c r="D625" s="52"/>
      <c r="E625" s="52"/>
      <c r="F625" s="52"/>
      <c r="G625" s="52"/>
      <c r="H625" s="52"/>
    </row>
    <row r="626" spans="1:8" ht="12.75" x14ac:dyDescent="0.35">
      <c r="A626" s="52"/>
      <c r="B626" s="52"/>
      <c r="C626" s="52"/>
      <c r="D626" s="52"/>
      <c r="E626" s="52"/>
      <c r="F626" s="52"/>
      <c r="G626" s="52"/>
      <c r="H626" s="52"/>
    </row>
    <row r="627" spans="1:8" ht="12.75" x14ac:dyDescent="0.35">
      <c r="A627" s="52"/>
      <c r="B627" s="52"/>
      <c r="C627" s="52"/>
      <c r="D627" s="52"/>
      <c r="E627" s="52"/>
      <c r="F627" s="52"/>
      <c r="G627" s="52"/>
      <c r="H627" s="52"/>
    </row>
    <row r="628" spans="1:8" ht="12.75" x14ac:dyDescent="0.35">
      <c r="A628" s="52"/>
      <c r="B628" s="52"/>
      <c r="C628" s="52"/>
      <c r="D628" s="52"/>
      <c r="E628" s="52"/>
      <c r="F628" s="52"/>
      <c r="G628" s="52"/>
      <c r="H628" s="52"/>
    </row>
    <row r="629" spans="1:8" ht="12.75" x14ac:dyDescent="0.35">
      <c r="A629" s="52"/>
      <c r="B629" s="52"/>
      <c r="C629" s="52"/>
      <c r="D629" s="52"/>
      <c r="E629" s="52"/>
      <c r="F629" s="52"/>
      <c r="G629" s="52"/>
      <c r="H629" s="52"/>
    </row>
    <row r="630" spans="1:8" ht="12.75" x14ac:dyDescent="0.35">
      <c r="A630" s="52"/>
      <c r="B630" s="52"/>
      <c r="C630" s="52"/>
      <c r="D630" s="52"/>
      <c r="E630" s="52"/>
      <c r="F630" s="52"/>
      <c r="G630" s="52"/>
      <c r="H630" s="52"/>
    </row>
    <row r="631" spans="1:8" ht="12.75" x14ac:dyDescent="0.35">
      <c r="A631" s="52"/>
      <c r="B631" s="52"/>
      <c r="C631" s="52"/>
      <c r="D631" s="52"/>
      <c r="E631" s="52"/>
      <c r="F631" s="52"/>
      <c r="G631" s="52"/>
      <c r="H631" s="52"/>
    </row>
    <row r="632" spans="1:8" ht="12.75" x14ac:dyDescent="0.35">
      <c r="A632" s="52"/>
      <c r="B632" s="52"/>
      <c r="C632" s="52"/>
      <c r="D632" s="52"/>
      <c r="E632" s="52"/>
      <c r="F632" s="52"/>
      <c r="G632" s="52"/>
      <c r="H632" s="52"/>
    </row>
    <row r="633" spans="1:8" ht="12.75" x14ac:dyDescent="0.35">
      <c r="A633" s="52"/>
      <c r="B633" s="52"/>
      <c r="C633" s="52"/>
      <c r="D633" s="52"/>
      <c r="E633" s="52"/>
      <c r="F633" s="52"/>
      <c r="G633" s="52"/>
      <c r="H633" s="52"/>
    </row>
    <row r="634" spans="1:8" ht="12.75" x14ac:dyDescent="0.35">
      <c r="A634" s="52"/>
      <c r="B634" s="52"/>
      <c r="C634" s="52"/>
      <c r="D634" s="52"/>
      <c r="E634" s="52"/>
      <c r="F634" s="52"/>
      <c r="G634" s="52"/>
      <c r="H634" s="52"/>
    </row>
    <row r="635" spans="1:8" ht="12.75" x14ac:dyDescent="0.35">
      <c r="A635" s="52"/>
      <c r="B635" s="52"/>
      <c r="C635" s="52"/>
      <c r="D635" s="52"/>
      <c r="E635" s="52"/>
      <c r="F635" s="52"/>
      <c r="G635" s="52"/>
      <c r="H635" s="52"/>
    </row>
    <row r="636" spans="1:8" ht="12.75" x14ac:dyDescent="0.35">
      <c r="A636" s="52"/>
      <c r="B636" s="52"/>
      <c r="C636" s="52"/>
      <c r="D636" s="52"/>
      <c r="E636" s="52"/>
      <c r="F636" s="52"/>
      <c r="G636" s="52"/>
      <c r="H636" s="52"/>
    </row>
    <row r="637" spans="1:8" ht="12.75" x14ac:dyDescent="0.35">
      <c r="A637" s="52"/>
      <c r="B637" s="52"/>
      <c r="C637" s="52"/>
      <c r="D637" s="52"/>
      <c r="E637" s="52"/>
      <c r="F637" s="52"/>
      <c r="G637" s="52"/>
      <c r="H637" s="52"/>
    </row>
    <row r="638" spans="1:8" ht="12.75" x14ac:dyDescent="0.35">
      <c r="A638" s="52"/>
      <c r="B638" s="52"/>
      <c r="C638" s="52"/>
      <c r="D638" s="52"/>
      <c r="E638" s="52"/>
      <c r="F638" s="52"/>
      <c r="G638" s="52"/>
      <c r="H638" s="52"/>
    </row>
    <row r="639" spans="1:8" ht="12.75" x14ac:dyDescent="0.35">
      <c r="A639" s="52"/>
      <c r="B639" s="52"/>
      <c r="C639" s="52"/>
      <c r="D639" s="52"/>
      <c r="E639" s="52"/>
      <c r="F639" s="52"/>
      <c r="G639" s="52"/>
      <c r="H639" s="52"/>
    </row>
    <row r="640" spans="1:8" ht="12.75" x14ac:dyDescent="0.35">
      <c r="A640" s="52"/>
      <c r="B640" s="52"/>
      <c r="C640" s="52"/>
      <c r="D640" s="52"/>
      <c r="E640" s="52"/>
      <c r="F640" s="52"/>
      <c r="G640" s="52"/>
      <c r="H640" s="52"/>
    </row>
    <row r="641" spans="1:8" ht="12.75" x14ac:dyDescent="0.35">
      <c r="A641" s="52"/>
      <c r="B641" s="52"/>
      <c r="C641" s="52"/>
      <c r="D641" s="52"/>
      <c r="E641" s="52"/>
      <c r="F641" s="52"/>
      <c r="G641" s="52"/>
      <c r="H641" s="52"/>
    </row>
    <row r="642" spans="1:8" ht="12.75" x14ac:dyDescent="0.35">
      <c r="A642" s="52"/>
      <c r="B642" s="52"/>
      <c r="C642" s="52"/>
      <c r="D642" s="52"/>
      <c r="E642" s="52"/>
      <c r="F642" s="52"/>
      <c r="G642" s="52"/>
      <c r="H642" s="52"/>
    </row>
    <row r="643" spans="1:8" ht="12.75" x14ac:dyDescent="0.35">
      <c r="A643" s="52"/>
      <c r="B643" s="52"/>
      <c r="C643" s="52"/>
      <c r="D643" s="52"/>
      <c r="E643" s="52"/>
      <c r="F643" s="52"/>
      <c r="G643" s="52"/>
      <c r="H643" s="52"/>
    </row>
    <row r="644" spans="1:8" ht="12.75" x14ac:dyDescent="0.35">
      <c r="A644" s="52"/>
      <c r="B644" s="52"/>
      <c r="C644" s="52"/>
      <c r="D644" s="52"/>
      <c r="E644" s="52"/>
      <c r="F644" s="52"/>
      <c r="G644" s="52"/>
      <c r="H644" s="52"/>
    </row>
    <row r="645" spans="1:8" ht="12.75" x14ac:dyDescent="0.35">
      <c r="A645" s="52"/>
      <c r="B645" s="52"/>
      <c r="C645" s="52"/>
      <c r="D645" s="52"/>
      <c r="E645" s="52"/>
      <c r="F645" s="52"/>
      <c r="G645" s="52"/>
      <c r="H645" s="52"/>
    </row>
    <row r="646" spans="1:8" ht="12.75" x14ac:dyDescent="0.35">
      <c r="A646" s="52"/>
      <c r="B646" s="52"/>
      <c r="C646" s="52"/>
      <c r="D646" s="52"/>
      <c r="E646" s="52"/>
      <c r="F646" s="52"/>
      <c r="G646" s="52"/>
      <c r="H646" s="52"/>
    </row>
    <row r="647" spans="1:8" ht="12.75" x14ac:dyDescent="0.35">
      <c r="A647" s="52"/>
      <c r="B647" s="52"/>
      <c r="C647" s="52"/>
      <c r="D647" s="52"/>
      <c r="E647" s="52"/>
      <c r="F647" s="52"/>
      <c r="G647" s="52"/>
      <c r="H647" s="52"/>
    </row>
    <row r="648" spans="1:8" ht="12.75" x14ac:dyDescent="0.35">
      <c r="A648" s="52"/>
      <c r="B648" s="52"/>
      <c r="C648" s="52"/>
      <c r="D648" s="52"/>
      <c r="E648" s="52"/>
      <c r="F648" s="52"/>
      <c r="G648" s="52"/>
      <c r="H648" s="52"/>
    </row>
    <row r="649" spans="1:8" ht="12.75" x14ac:dyDescent="0.35">
      <c r="A649" s="52"/>
      <c r="B649" s="52"/>
      <c r="C649" s="52"/>
      <c r="D649" s="52"/>
      <c r="E649" s="52"/>
      <c r="F649" s="52"/>
      <c r="G649" s="52"/>
      <c r="H649" s="52"/>
    </row>
    <row r="650" spans="1:8" ht="12.75" x14ac:dyDescent="0.35">
      <c r="A650" s="52"/>
      <c r="B650" s="52"/>
      <c r="C650" s="52"/>
      <c r="D650" s="52"/>
      <c r="E650" s="52"/>
      <c r="F650" s="52"/>
      <c r="G650" s="52"/>
      <c r="H650" s="52"/>
    </row>
    <row r="651" spans="1:8" ht="12.75" x14ac:dyDescent="0.35">
      <c r="A651" s="52"/>
      <c r="B651" s="52"/>
      <c r="C651" s="52"/>
      <c r="D651" s="52"/>
      <c r="E651" s="52"/>
      <c r="F651" s="52"/>
      <c r="G651" s="52"/>
      <c r="H651" s="52"/>
    </row>
    <row r="652" spans="1:8" ht="12.75" x14ac:dyDescent="0.35">
      <c r="A652" s="52"/>
      <c r="B652" s="52"/>
      <c r="C652" s="52"/>
      <c r="D652" s="52"/>
      <c r="E652" s="52"/>
      <c r="F652" s="52"/>
      <c r="G652" s="52"/>
      <c r="H652" s="52"/>
    </row>
    <row r="653" spans="1:8" ht="12.75" x14ac:dyDescent="0.35">
      <c r="A653" s="52"/>
      <c r="B653" s="52"/>
      <c r="C653" s="52"/>
      <c r="D653" s="52"/>
      <c r="E653" s="52"/>
      <c r="F653" s="52"/>
      <c r="G653" s="52"/>
      <c r="H653" s="52"/>
    </row>
    <row r="654" spans="1:8" ht="12.75" x14ac:dyDescent="0.35">
      <c r="A654" s="52"/>
      <c r="B654" s="52"/>
      <c r="C654" s="52"/>
      <c r="D654" s="52"/>
      <c r="E654" s="52"/>
      <c r="F654" s="52"/>
      <c r="G654" s="52"/>
      <c r="H654" s="52"/>
    </row>
    <row r="655" spans="1:8" ht="12.75" x14ac:dyDescent="0.35">
      <c r="A655" s="52"/>
      <c r="B655" s="52"/>
      <c r="C655" s="52"/>
      <c r="D655" s="52"/>
      <c r="E655" s="52"/>
      <c r="F655" s="52"/>
      <c r="G655" s="52"/>
      <c r="H655" s="52"/>
    </row>
    <row r="656" spans="1:8" ht="12.75" x14ac:dyDescent="0.35">
      <c r="A656" s="52"/>
      <c r="B656" s="52"/>
      <c r="C656" s="52"/>
      <c r="D656" s="52"/>
      <c r="E656" s="52"/>
      <c r="F656" s="52"/>
      <c r="G656" s="52"/>
      <c r="H656" s="52"/>
    </row>
    <row r="657" spans="1:8" ht="12.75" x14ac:dyDescent="0.35">
      <c r="A657" s="52"/>
      <c r="B657" s="52"/>
      <c r="C657" s="52"/>
      <c r="D657" s="52"/>
      <c r="E657" s="52"/>
      <c r="F657" s="52"/>
      <c r="G657" s="52"/>
      <c r="H657" s="52"/>
    </row>
    <row r="658" spans="1:8" ht="12.75" x14ac:dyDescent="0.35">
      <c r="A658" s="52"/>
      <c r="B658" s="52"/>
      <c r="C658" s="52"/>
      <c r="D658" s="52"/>
      <c r="E658" s="52"/>
      <c r="F658" s="52"/>
      <c r="G658" s="52"/>
      <c r="H658" s="52"/>
    </row>
    <row r="659" spans="1:8" ht="12.75" x14ac:dyDescent="0.35">
      <c r="A659" s="52"/>
      <c r="B659" s="52"/>
      <c r="C659" s="52"/>
      <c r="D659" s="52"/>
      <c r="E659" s="52"/>
      <c r="F659" s="52"/>
      <c r="G659" s="52"/>
      <c r="H659" s="52"/>
    </row>
    <row r="660" spans="1:8" ht="12.75" x14ac:dyDescent="0.35">
      <c r="A660" s="52"/>
      <c r="B660" s="52"/>
      <c r="C660" s="52"/>
      <c r="D660" s="52"/>
      <c r="E660" s="52"/>
      <c r="F660" s="52"/>
      <c r="G660" s="52"/>
      <c r="H660" s="52"/>
    </row>
    <row r="661" spans="1:8" ht="12.75" x14ac:dyDescent="0.35">
      <c r="A661" s="52"/>
      <c r="B661" s="52"/>
      <c r="C661" s="52"/>
      <c r="D661" s="52"/>
      <c r="E661" s="52"/>
      <c r="F661" s="52"/>
      <c r="G661" s="52"/>
      <c r="H661" s="52"/>
    </row>
    <row r="662" spans="1:8" ht="12.75" x14ac:dyDescent="0.35">
      <c r="A662" s="52"/>
      <c r="B662" s="52"/>
      <c r="C662" s="52"/>
      <c r="D662" s="52"/>
      <c r="E662" s="52"/>
      <c r="F662" s="52"/>
      <c r="G662" s="52"/>
      <c r="H662" s="52"/>
    </row>
    <row r="663" spans="1:8" ht="12.75" x14ac:dyDescent="0.35">
      <c r="A663" s="52"/>
      <c r="B663" s="52"/>
      <c r="C663" s="52"/>
      <c r="D663" s="52"/>
      <c r="E663" s="52"/>
      <c r="F663" s="52"/>
      <c r="G663" s="52"/>
      <c r="H663" s="52"/>
    </row>
    <row r="664" spans="1:8" ht="12.75" x14ac:dyDescent="0.35">
      <c r="A664" s="52"/>
      <c r="B664" s="52"/>
      <c r="C664" s="52"/>
      <c r="D664" s="52"/>
      <c r="E664" s="52"/>
      <c r="F664" s="52"/>
      <c r="G664" s="52"/>
      <c r="H664" s="52"/>
    </row>
    <row r="665" spans="1:8" ht="12.75" x14ac:dyDescent="0.35">
      <c r="A665" s="52"/>
      <c r="B665" s="52"/>
      <c r="C665" s="52"/>
      <c r="D665" s="52"/>
      <c r="E665" s="52"/>
      <c r="F665" s="52"/>
      <c r="G665" s="52"/>
      <c r="H665" s="52"/>
    </row>
    <row r="666" spans="1:8" ht="12.75" x14ac:dyDescent="0.35">
      <c r="A666" s="52"/>
      <c r="B666" s="52"/>
      <c r="C666" s="52"/>
      <c r="D666" s="52"/>
      <c r="E666" s="52"/>
      <c r="F666" s="52"/>
      <c r="G666" s="52"/>
      <c r="H666" s="52"/>
    </row>
    <row r="667" spans="1:8" ht="12.75" x14ac:dyDescent="0.35">
      <c r="A667" s="52"/>
      <c r="B667" s="52"/>
      <c r="C667" s="52"/>
      <c r="D667" s="52"/>
      <c r="E667" s="52"/>
      <c r="F667" s="52"/>
      <c r="G667" s="52"/>
      <c r="H667" s="52"/>
    </row>
    <row r="668" spans="1:8" ht="12.75" x14ac:dyDescent="0.35">
      <c r="A668" s="52"/>
      <c r="B668" s="52"/>
      <c r="C668" s="52"/>
      <c r="D668" s="52"/>
      <c r="E668" s="52"/>
      <c r="F668" s="52"/>
      <c r="G668" s="52"/>
      <c r="H668" s="52"/>
    </row>
    <row r="669" spans="1:8" ht="12.75" x14ac:dyDescent="0.35">
      <c r="A669" s="52"/>
      <c r="B669" s="52"/>
      <c r="C669" s="52"/>
      <c r="D669" s="52"/>
      <c r="E669" s="52"/>
      <c r="F669" s="52"/>
      <c r="G669" s="52"/>
      <c r="H669" s="52"/>
    </row>
    <row r="670" spans="1:8" ht="12.75" x14ac:dyDescent="0.35">
      <c r="A670" s="52"/>
      <c r="B670" s="52"/>
      <c r="C670" s="52"/>
      <c r="D670" s="52"/>
      <c r="E670" s="52"/>
      <c r="F670" s="52"/>
      <c r="G670" s="52"/>
      <c r="H670" s="52"/>
    </row>
    <row r="671" spans="1:8" ht="12.75" x14ac:dyDescent="0.35">
      <c r="A671" s="52"/>
      <c r="B671" s="52"/>
      <c r="C671" s="52"/>
      <c r="D671" s="52"/>
      <c r="E671" s="52"/>
      <c r="F671" s="52"/>
      <c r="G671" s="52"/>
      <c r="H671" s="52"/>
    </row>
    <row r="672" spans="1:8" ht="12.75" x14ac:dyDescent="0.35">
      <c r="A672" s="52"/>
      <c r="B672" s="52"/>
      <c r="C672" s="52"/>
      <c r="D672" s="52"/>
      <c r="E672" s="52"/>
      <c r="F672" s="52"/>
      <c r="G672" s="52"/>
      <c r="H672" s="52"/>
    </row>
    <row r="673" spans="1:8" ht="12.75" x14ac:dyDescent="0.35">
      <c r="A673" s="52"/>
      <c r="B673" s="52"/>
      <c r="C673" s="52"/>
      <c r="D673" s="52"/>
      <c r="E673" s="52"/>
      <c r="F673" s="52"/>
      <c r="G673" s="52"/>
      <c r="H673" s="52"/>
    </row>
    <row r="674" spans="1:8" ht="12.75" x14ac:dyDescent="0.35">
      <c r="A674" s="52"/>
      <c r="B674" s="52"/>
      <c r="C674" s="52"/>
      <c r="D674" s="52"/>
      <c r="E674" s="52"/>
      <c r="F674" s="52"/>
      <c r="G674" s="52"/>
      <c r="H674" s="52"/>
    </row>
    <row r="675" spans="1:8" ht="12.75" x14ac:dyDescent="0.35">
      <c r="A675" s="52"/>
      <c r="B675" s="52"/>
      <c r="C675" s="52"/>
      <c r="D675" s="52"/>
      <c r="E675" s="52"/>
      <c r="F675" s="52"/>
      <c r="G675" s="52"/>
      <c r="H675" s="52"/>
    </row>
    <row r="676" spans="1:8" ht="12.75" x14ac:dyDescent="0.35">
      <c r="A676" s="52"/>
      <c r="B676" s="52"/>
      <c r="C676" s="52"/>
      <c r="D676" s="52"/>
      <c r="E676" s="52"/>
      <c r="F676" s="52"/>
      <c r="G676" s="52"/>
      <c r="H676" s="52"/>
    </row>
    <row r="677" spans="1:8" ht="12.75" x14ac:dyDescent="0.35">
      <c r="A677" s="52"/>
      <c r="B677" s="52"/>
      <c r="C677" s="52"/>
      <c r="D677" s="52"/>
      <c r="E677" s="52"/>
      <c r="F677" s="52"/>
      <c r="G677" s="52"/>
      <c r="H677" s="52"/>
    </row>
    <row r="678" spans="1:8" ht="12.75" x14ac:dyDescent="0.35">
      <c r="A678" s="52"/>
      <c r="B678" s="52"/>
      <c r="C678" s="52"/>
      <c r="D678" s="52"/>
      <c r="E678" s="52"/>
      <c r="F678" s="52"/>
      <c r="G678" s="52"/>
      <c r="H678" s="52"/>
    </row>
    <row r="679" spans="1:8" ht="12.75" x14ac:dyDescent="0.35">
      <c r="A679" s="52"/>
      <c r="B679" s="52"/>
      <c r="C679" s="52"/>
      <c r="D679" s="52"/>
      <c r="E679" s="52"/>
      <c r="F679" s="52"/>
      <c r="G679" s="52"/>
      <c r="H679" s="52"/>
    </row>
    <row r="680" spans="1:8" ht="12.75" x14ac:dyDescent="0.35">
      <c r="A680" s="52"/>
      <c r="B680" s="52"/>
      <c r="C680" s="52"/>
      <c r="D680" s="52"/>
      <c r="E680" s="52"/>
      <c r="F680" s="52"/>
      <c r="G680" s="52"/>
      <c r="H680" s="52"/>
    </row>
    <row r="681" spans="1:8" ht="12.75" x14ac:dyDescent="0.35">
      <c r="A681" s="52"/>
      <c r="B681" s="52"/>
      <c r="C681" s="52"/>
      <c r="D681" s="52"/>
      <c r="E681" s="52"/>
      <c r="F681" s="52"/>
      <c r="G681" s="52"/>
      <c r="H681" s="52"/>
    </row>
    <row r="682" spans="1:8" ht="12.75" x14ac:dyDescent="0.35">
      <c r="A682" s="52"/>
      <c r="B682" s="52"/>
      <c r="C682" s="52"/>
      <c r="D682" s="52"/>
      <c r="E682" s="52"/>
      <c r="F682" s="52"/>
      <c r="G682" s="52"/>
      <c r="H682" s="52"/>
    </row>
    <row r="683" spans="1:8" ht="12.75" x14ac:dyDescent="0.35">
      <c r="A683" s="52"/>
      <c r="B683" s="52"/>
      <c r="C683" s="52"/>
      <c r="D683" s="52"/>
      <c r="E683" s="52"/>
      <c r="F683" s="52"/>
      <c r="G683" s="52"/>
      <c r="H683" s="52"/>
    </row>
    <row r="684" spans="1:8" ht="12.75" x14ac:dyDescent="0.35">
      <c r="A684" s="52"/>
      <c r="B684" s="52"/>
      <c r="C684" s="52"/>
      <c r="D684" s="52"/>
      <c r="E684" s="52"/>
      <c r="F684" s="52"/>
      <c r="G684" s="52"/>
      <c r="H684" s="52"/>
    </row>
    <row r="685" spans="1:8" ht="12.75" x14ac:dyDescent="0.35">
      <c r="A685" s="52"/>
      <c r="B685" s="52"/>
      <c r="C685" s="52"/>
      <c r="D685" s="52"/>
      <c r="E685" s="52"/>
      <c r="F685" s="52"/>
      <c r="G685" s="52"/>
      <c r="H685" s="52"/>
    </row>
    <row r="686" spans="1:8" ht="12.75" x14ac:dyDescent="0.35">
      <c r="A686" s="52"/>
      <c r="B686" s="52"/>
      <c r="C686" s="52"/>
      <c r="D686" s="52"/>
      <c r="E686" s="52"/>
      <c r="F686" s="52"/>
      <c r="G686" s="52"/>
      <c r="H686" s="52"/>
    </row>
    <row r="687" spans="1:8" ht="12.75" x14ac:dyDescent="0.35">
      <c r="A687" s="52"/>
      <c r="B687" s="52"/>
      <c r="C687" s="52"/>
      <c r="D687" s="52"/>
      <c r="E687" s="52"/>
      <c r="F687" s="52"/>
      <c r="G687" s="52"/>
      <c r="H687" s="52"/>
    </row>
    <row r="688" spans="1:8" ht="12.75" x14ac:dyDescent="0.35">
      <c r="A688" s="52"/>
      <c r="B688" s="52"/>
      <c r="C688" s="52"/>
      <c r="D688" s="52"/>
      <c r="E688" s="52"/>
      <c r="F688" s="52"/>
      <c r="G688" s="52"/>
      <c r="H688" s="52"/>
    </row>
    <row r="689" spans="1:8" ht="12.75" x14ac:dyDescent="0.35">
      <c r="A689" s="52"/>
      <c r="B689" s="52"/>
      <c r="C689" s="52"/>
      <c r="D689" s="52"/>
      <c r="E689" s="52"/>
      <c r="F689" s="52"/>
      <c r="G689" s="52"/>
      <c r="H689" s="52"/>
    </row>
    <row r="690" spans="1:8" ht="12.75" x14ac:dyDescent="0.35">
      <c r="A690" s="52"/>
      <c r="B690" s="52"/>
      <c r="C690" s="52"/>
      <c r="D690" s="52"/>
      <c r="E690" s="52"/>
      <c r="F690" s="52"/>
      <c r="G690" s="52"/>
      <c r="H690" s="52"/>
    </row>
    <row r="691" spans="1:8" ht="12.75" x14ac:dyDescent="0.35">
      <c r="A691" s="52"/>
      <c r="B691" s="52"/>
      <c r="C691" s="52"/>
      <c r="D691" s="52"/>
      <c r="E691" s="52"/>
      <c r="F691" s="52"/>
      <c r="G691" s="52"/>
      <c r="H691" s="52"/>
    </row>
    <row r="692" spans="1:8" ht="12.75" x14ac:dyDescent="0.35">
      <c r="A692" s="52"/>
      <c r="B692" s="52"/>
      <c r="C692" s="52"/>
      <c r="D692" s="52"/>
      <c r="E692" s="52"/>
      <c r="F692" s="52"/>
      <c r="G692" s="52"/>
      <c r="H692" s="52"/>
    </row>
    <row r="693" spans="1:8" ht="12.75" x14ac:dyDescent="0.35">
      <c r="A693" s="52"/>
      <c r="B693" s="52"/>
      <c r="C693" s="52"/>
      <c r="D693" s="52"/>
      <c r="E693" s="52"/>
      <c r="F693" s="52"/>
      <c r="G693" s="52"/>
      <c r="H693" s="52"/>
    </row>
    <row r="694" spans="1:8" ht="12.75" x14ac:dyDescent="0.35">
      <c r="A694" s="52"/>
      <c r="B694" s="52"/>
      <c r="C694" s="52"/>
      <c r="D694" s="52"/>
      <c r="E694" s="52"/>
      <c r="F694" s="52"/>
      <c r="G694" s="52"/>
      <c r="H694" s="52"/>
    </row>
    <row r="695" spans="1:8" ht="12.75" x14ac:dyDescent="0.35">
      <c r="A695" s="52"/>
      <c r="B695" s="52"/>
      <c r="C695" s="52"/>
      <c r="D695" s="52"/>
      <c r="E695" s="52"/>
      <c r="F695" s="52"/>
      <c r="G695" s="52"/>
      <c r="H695" s="52"/>
    </row>
    <row r="696" spans="1:8" ht="12.75" x14ac:dyDescent="0.35">
      <c r="A696" s="52"/>
      <c r="B696" s="52"/>
      <c r="C696" s="52"/>
      <c r="D696" s="52"/>
      <c r="E696" s="52"/>
      <c r="F696" s="52"/>
      <c r="G696" s="52"/>
      <c r="H696" s="52"/>
    </row>
    <row r="697" spans="1:8" ht="12.75" x14ac:dyDescent="0.35">
      <c r="A697" s="52"/>
      <c r="B697" s="52"/>
      <c r="C697" s="52"/>
      <c r="D697" s="52"/>
      <c r="E697" s="52"/>
      <c r="F697" s="52"/>
      <c r="G697" s="52"/>
      <c r="H697" s="52"/>
    </row>
    <row r="698" spans="1:8" ht="12.75" x14ac:dyDescent="0.35">
      <c r="A698" s="52"/>
      <c r="B698" s="52"/>
      <c r="C698" s="52"/>
      <c r="D698" s="52"/>
      <c r="E698" s="52"/>
      <c r="F698" s="52"/>
      <c r="G698" s="52"/>
      <c r="H698" s="52"/>
    </row>
    <row r="699" spans="1:8" ht="12.75" x14ac:dyDescent="0.35">
      <c r="A699" s="52"/>
      <c r="B699" s="52"/>
      <c r="C699" s="52"/>
      <c r="D699" s="52"/>
      <c r="E699" s="52"/>
      <c r="F699" s="52"/>
      <c r="G699" s="52"/>
      <c r="H699" s="52"/>
    </row>
    <row r="700" spans="1:8" ht="12.75" x14ac:dyDescent="0.35">
      <c r="A700" s="52"/>
      <c r="B700" s="52"/>
      <c r="C700" s="52"/>
      <c r="D700" s="52"/>
      <c r="E700" s="52"/>
      <c r="F700" s="52"/>
      <c r="G700" s="52"/>
      <c r="H700" s="52"/>
    </row>
    <row r="701" spans="1:8" ht="12.75" x14ac:dyDescent="0.35">
      <c r="A701" s="52"/>
      <c r="B701" s="52"/>
      <c r="C701" s="52"/>
      <c r="D701" s="52"/>
      <c r="E701" s="52"/>
      <c r="F701" s="52"/>
      <c r="G701" s="52"/>
      <c r="H701" s="52"/>
    </row>
    <row r="702" spans="1:8" ht="12.75" x14ac:dyDescent="0.35">
      <c r="A702" s="52"/>
      <c r="B702" s="52"/>
      <c r="C702" s="52"/>
      <c r="D702" s="52"/>
      <c r="E702" s="52"/>
      <c r="F702" s="52"/>
      <c r="G702" s="52"/>
      <c r="H702" s="52"/>
    </row>
    <row r="703" spans="1:8" ht="12.75" x14ac:dyDescent="0.35">
      <c r="A703" s="52"/>
      <c r="B703" s="52"/>
      <c r="C703" s="52"/>
      <c r="D703" s="52"/>
      <c r="E703" s="52"/>
      <c r="F703" s="52"/>
      <c r="G703" s="52"/>
      <c r="H703" s="52"/>
    </row>
    <row r="704" spans="1:8" ht="12.75" x14ac:dyDescent="0.35">
      <c r="A704" s="52"/>
      <c r="B704" s="52"/>
      <c r="C704" s="52"/>
      <c r="D704" s="52"/>
      <c r="E704" s="52"/>
      <c r="F704" s="52"/>
      <c r="G704" s="52"/>
      <c r="H704" s="52"/>
    </row>
    <row r="705" spans="1:8" ht="12.75" x14ac:dyDescent="0.35">
      <c r="A705" s="52"/>
      <c r="B705" s="52"/>
      <c r="C705" s="52"/>
      <c r="D705" s="52"/>
      <c r="E705" s="52"/>
      <c r="F705" s="52"/>
      <c r="G705" s="52"/>
      <c r="H705" s="52"/>
    </row>
    <row r="706" spans="1:8" ht="12.75" x14ac:dyDescent="0.35">
      <c r="A706" s="52"/>
      <c r="B706" s="52"/>
      <c r="C706" s="52"/>
      <c r="D706" s="52"/>
      <c r="E706" s="52"/>
      <c r="F706" s="52"/>
      <c r="G706" s="52"/>
      <c r="H706" s="52"/>
    </row>
    <row r="707" spans="1:8" ht="12.75" x14ac:dyDescent="0.35">
      <c r="A707" s="52"/>
      <c r="B707" s="52"/>
      <c r="C707" s="52"/>
      <c r="D707" s="52"/>
      <c r="E707" s="52"/>
      <c r="F707" s="52"/>
      <c r="G707" s="52"/>
      <c r="H707" s="52"/>
    </row>
    <row r="708" spans="1:8" ht="12.75" x14ac:dyDescent="0.35">
      <c r="A708" s="52"/>
      <c r="B708" s="52"/>
      <c r="C708" s="52"/>
      <c r="D708" s="52"/>
      <c r="E708" s="52"/>
      <c r="F708" s="52"/>
      <c r="G708" s="52"/>
      <c r="H708" s="52"/>
    </row>
    <row r="709" spans="1:8" ht="12.75" x14ac:dyDescent="0.35">
      <c r="A709" s="52"/>
      <c r="B709" s="52"/>
      <c r="C709" s="52"/>
      <c r="D709" s="52"/>
      <c r="E709" s="52"/>
      <c r="F709" s="52"/>
      <c r="G709" s="52"/>
      <c r="H709" s="52"/>
    </row>
    <row r="710" spans="1:8" ht="12.75" x14ac:dyDescent="0.35">
      <c r="A710" s="52"/>
      <c r="B710" s="52"/>
      <c r="C710" s="52"/>
      <c r="D710" s="52"/>
      <c r="E710" s="52"/>
      <c r="F710" s="52"/>
      <c r="G710" s="52"/>
      <c r="H710" s="52"/>
    </row>
    <row r="711" spans="1:8" ht="12.75" x14ac:dyDescent="0.35">
      <c r="A711" s="52"/>
      <c r="B711" s="52"/>
      <c r="C711" s="52"/>
      <c r="D711" s="52"/>
      <c r="E711" s="52"/>
      <c r="F711" s="52"/>
      <c r="G711" s="52"/>
      <c r="H711" s="52"/>
    </row>
    <row r="712" spans="1:8" ht="12.75" x14ac:dyDescent="0.35">
      <c r="A712" s="52"/>
      <c r="B712" s="52"/>
      <c r="C712" s="52"/>
      <c r="D712" s="52"/>
      <c r="E712" s="52"/>
      <c r="F712" s="52"/>
      <c r="G712" s="52"/>
      <c r="H712" s="52"/>
    </row>
    <row r="713" spans="1:8" ht="12.75" x14ac:dyDescent="0.35">
      <c r="A713" s="52"/>
      <c r="B713" s="52"/>
      <c r="C713" s="52"/>
      <c r="D713" s="52"/>
      <c r="E713" s="52"/>
      <c r="F713" s="52"/>
      <c r="G713" s="52"/>
      <c r="H713" s="52"/>
    </row>
    <row r="714" spans="1:8" ht="12.75" x14ac:dyDescent="0.35">
      <c r="A714" s="52"/>
      <c r="B714" s="52"/>
      <c r="C714" s="52"/>
      <c r="D714" s="52"/>
      <c r="E714" s="52"/>
      <c r="F714" s="52"/>
      <c r="G714" s="52"/>
      <c r="H714" s="52"/>
    </row>
    <row r="715" spans="1:8" ht="12.75" x14ac:dyDescent="0.35">
      <c r="A715" s="52"/>
      <c r="B715" s="52"/>
      <c r="C715" s="52"/>
      <c r="D715" s="52"/>
      <c r="E715" s="52"/>
      <c r="F715" s="52"/>
      <c r="G715" s="52"/>
      <c r="H715" s="52"/>
    </row>
    <row r="716" spans="1:8" ht="12.75" x14ac:dyDescent="0.35">
      <c r="A716" s="52"/>
      <c r="B716" s="52"/>
      <c r="C716" s="52"/>
      <c r="D716" s="52"/>
      <c r="E716" s="52"/>
      <c r="F716" s="52"/>
      <c r="G716" s="52"/>
      <c r="H716" s="52"/>
    </row>
    <row r="717" spans="1:8" ht="12.75" x14ac:dyDescent="0.35">
      <c r="A717" s="52"/>
      <c r="B717" s="52"/>
      <c r="C717" s="52"/>
      <c r="D717" s="52"/>
      <c r="E717" s="52"/>
      <c r="F717" s="52"/>
      <c r="G717" s="52"/>
      <c r="H717" s="52"/>
    </row>
    <row r="718" spans="1:8" ht="12.75" x14ac:dyDescent="0.35">
      <c r="A718" s="52"/>
      <c r="B718" s="52"/>
      <c r="C718" s="52"/>
      <c r="D718" s="52"/>
      <c r="E718" s="52"/>
      <c r="F718" s="52"/>
      <c r="G718" s="52"/>
      <c r="H718" s="52"/>
    </row>
    <row r="719" spans="1:8" ht="12.75" x14ac:dyDescent="0.35">
      <c r="A719" s="52"/>
      <c r="B719" s="52"/>
      <c r="C719" s="52"/>
      <c r="D719" s="52"/>
      <c r="E719" s="52"/>
      <c r="F719" s="52"/>
      <c r="G719" s="52"/>
      <c r="H719" s="52"/>
    </row>
    <row r="720" spans="1:8" ht="12.75" x14ac:dyDescent="0.35">
      <c r="A720" s="52"/>
      <c r="B720" s="52"/>
      <c r="C720" s="52"/>
      <c r="D720" s="52"/>
      <c r="E720" s="52"/>
      <c r="F720" s="52"/>
      <c r="G720" s="52"/>
      <c r="H720" s="52"/>
    </row>
    <row r="721" spans="1:8" ht="12.75" x14ac:dyDescent="0.35">
      <c r="A721" s="52"/>
      <c r="B721" s="52"/>
      <c r="C721" s="52"/>
      <c r="D721" s="52"/>
      <c r="E721" s="52"/>
      <c r="F721" s="52"/>
      <c r="G721" s="52"/>
      <c r="H721" s="52"/>
    </row>
    <row r="722" spans="1:8" ht="12.75" x14ac:dyDescent="0.35">
      <c r="A722" s="52"/>
      <c r="B722" s="52"/>
      <c r="C722" s="52"/>
      <c r="D722" s="52"/>
      <c r="E722" s="52"/>
      <c r="F722" s="52"/>
      <c r="G722" s="52"/>
      <c r="H722" s="52"/>
    </row>
    <row r="723" spans="1:8" ht="12.75" x14ac:dyDescent="0.35">
      <c r="A723" s="52"/>
      <c r="B723" s="52"/>
      <c r="C723" s="52"/>
      <c r="D723" s="52"/>
      <c r="E723" s="52"/>
      <c r="F723" s="52"/>
      <c r="G723" s="52"/>
      <c r="H723" s="52"/>
    </row>
    <row r="724" spans="1:8" ht="12.75" x14ac:dyDescent="0.35">
      <c r="A724" s="52"/>
      <c r="B724" s="52"/>
      <c r="C724" s="52"/>
      <c r="D724" s="52"/>
      <c r="E724" s="52"/>
      <c r="F724" s="52"/>
      <c r="G724" s="52"/>
      <c r="H724" s="52"/>
    </row>
    <row r="725" spans="1:8" ht="12.75" x14ac:dyDescent="0.35">
      <c r="A725" s="52"/>
      <c r="B725" s="52"/>
      <c r="C725" s="52"/>
      <c r="D725" s="52"/>
      <c r="E725" s="52"/>
      <c r="F725" s="52"/>
      <c r="G725" s="52"/>
      <c r="H725" s="52"/>
    </row>
    <row r="726" spans="1:8" ht="12.75" x14ac:dyDescent="0.35">
      <c r="A726" s="52"/>
      <c r="B726" s="52"/>
      <c r="C726" s="52"/>
      <c r="D726" s="52"/>
      <c r="E726" s="52"/>
      <c r="F726" s="52"/>
      <c r="G726" s="52"/>
      <c r="H726" s="52"/>
    </row>
    <row r="727" spans="1:8" ht="12.75" x14ac:dyDescent="0.35">
      <c r="A727" s="52"/>
      <c r="B727" s="52"/>
      <c r="C727" s="52"/>
      <c r="D727" s="52"/>
      <c r="E727" s="52"/>
      <c r="F727" s="52"/>
      <c r="G727" s="52"/>
      <c r="H727" s="52"/>
    </row>
    <row r="728" spans="1:8" ht="12.75" x14ac:dyDescent="0.35">
      <c r="A728" s="52"/>
      <c r="B728" s="52"/>
      <c r="C728" s="52"/>
      <c r="D728" s="52"/>
      <c r="E728" s="52"/>
      <c r="F728" s="52"/>
      <c r="G728" s="52"/>
      <c r="H728" s="52"/>
    </row>
    <row r="729" spans="1:8" ht="12.75" x14ac:dyDescent="0.35">
      <c r="A729" s="52"/>
      <c r="B729" s="52"/>
      <c r="C729" s="52"/>
      <c r="D729" s="52"/>
      <c r="E729" s="52"/>
      <c r="F729" s="52"/>
      <c r="G729" s="52"/>
      <c r="H729" s="52"/>
    </row>
    <row r="730" spans="1:8" ht="12.75" x14ac:dyDescent="0.35">
      <c r="A730" s="52"/>
      <c r="B730" s="52"/>
      <c r="C730" s="52"/>
      <c r="D730" s="52"/>
      <c r="E730" s="52"/>
      <c r="F730" s="52"/>
      <c r="G730" s="52"/>
      <c r="H730" s="52"/>
    </row>
    <row r="731" spans="1:8" ht="12.75" x14ac:dyDescent="0.35">
      <c r="A731" s="52"/>
      <c r="B731" s="52"/>
      <c r="C731" s="52"/>
      <c r="D731" s="52"/>
      <c r="E731" s="52"/>
      <c r="F731" s="52"/>
      <c r="G731" s="52"/>
      <c r="H731" s="52"/>
    </row>
    <row r="732" spans="1:8" ht="12.75" x14ac:dyDescent="0.35">
      <c r="A732" s="52"/>
      <c r="B732" s="52"/>
      <c r="C732" s="52"/>
      <c r="D732" s="52"/>
      <c r="E732" s="52"/>
      <c r="F732" s="52"/>
      <c r="G732" s="52"/>
      <c r="H732" s="52"/>
    </row>
    <row r="733" spans="1:8" ht="12.75" x14ac:dyDescent="0.35">
      <c r="A733" s="52"/>
      <c r="B733" s="52"/>
      <c r="C733" s="52"/>
      <c r="D733" s="52"/>
      <c r="E733" s="52"/>
      <c r="F733" s="52"/>
      <c r="G733" s="52"/>
      <c r="H733" s="52"/>
    </row>
    <row r="734" spans="1:8" ht="12.75" x14ac:dyDescent="0.35">
      <c r="A734" s="52"/>
      <c r="B734" s="52"/>
      <c r="C734" s="52"/>
      <c r="D734" s="52"/>
      <c r="E734" s="52"/>
      <c r="F734" s="52"/>
      <c r="G734" s="52"/>
      <c r="H734" s="52"/>
    </row>
    <row r="735" spans="1:8" ht="12.75" x14ac:dyDescent="0.35">
      <c r="A735" s="52"/>
      <c r="B735" s="52"/>
      <c r="C735" s="52"/>
      <c r="D735" s="52"/>
      <c r="E735" s="52"/>
      <c r="F735" s="52"/>
      <c r="G735" s="52"/>
      <c r="H735" s="52"/>
    </row>
    <row r="736" spans="1:8" ht="12.75" x14ac:dyDescent="0.35">
      <c r="A736" s="52"/>
      <c r="B736" s="52"/>
      <c r="C736" s="52"/>
      <c r="D736" s="52"/>
      <c r="E736" s="52"/>
      <c r="F736" s="52"/>
      <c r="G736" s="52"/>
      <c r="H736" s="52"/>
    </row>
    <row r="737" spans="1:8" ht="12.75" x14ac:dyDescent="0.35">
      <c r="A737" s="52"/>
      <c r="B737" s="52"/>
      <c r="C737" s="52"/>
      <c r="D737" s="52"/>
      <c r="E737" s="52"/>
      <c r="F737" s="52"/>
      <c r="G737" s="52"/>
      <c r="H737" s="52"/>
    </row>
    <row r="738" spans="1:8" ht="12.75" x14ac:dyDescent="0.35">
      <c r="A738" s="52"/>
      <c r="B738" s="52"/>
      <c r="C738" s="52"/>
      <c r="D738" s="52"/>
      <c r="E738" s="52"/>
      <c r="F738" s="52"/>
      <c r="G738" s="52"/>
      <c r="H738" s="52"/>
    </row>
    <row r="739" spans="1:8" ht="12.75" x14ac:dyDescent="0.35">
      <c r="A739" s="52"/>
      <c r="B739" s="52"/>
      <c r="C739" s="52"/>
      <c r="D739" s="52"/>
      <c r="E739" s="52"/>
      <c r="F739" s="52"/>
      <c r="G739" s="52"/>
      <c r="H739" s="52"/>
    </row>
    <row r="740" spans="1:8" ht="12.75" x14ac:dyDescent="0.35">
      <c r="A740" s="52"/>
      <c r="B740" s="52"/>
      <c r="C740" s="52"/>
      <c r="D740" s="52"/>
      <c r="E740" s="52"/>
      <c r="F740" s="52"/>
      <c r="G740" s="52"/>
      <c r="H740" s="52"/>
    </row>
    <row r="741" spans="1:8" ht="12.75" x14ac:dyDescent="0.35">
      <c r="A741" s="52"/>
      <c r="B741" s="52"/>
      <c r="C741" s="52"/>
      <c r="D741" s="52"/>
      <c r="E741" s="52"/>
      <c r="F741" s="52"/>
      <c r="G741" s="52"/>
      <c r="H741" s="52"/>
    </row>
    <row r="742" spans="1:8" ht="12.75" x14ac:dyDescent="0.35">
      <c r="A742" s="52"/>
      <c r="B742" s="52"/>
      <c r="C742" s="52"/>
      <c r="D742" s="52"/>
      <c r="E742" s="52"/>
      <c r="F742" s="52"/>
      <c r="G742" s="52"/>
      <c r="H742" s="52"/>
    </row>
    <row r="743" spans="1:8" ht="12.75" x14ac:dyDescent="0.35">
      <c r="A743" s="52"/>
      <c r="B743" s="52"/>
      <c r="C743" s="52"/>
      <c r="D743" s="52"/>
      <c r="E743" s="52"/>
      <c r="F743" s="52"/>
      <c r="G743" s="52"/>
      <c r="H743" s="52"/>
    </row>
    <row r="744" spans="1:8" ht="12.75" x14ac:dyDescent="0.35">
      <c r="A744" s="52"/>
      <c r="B744" s="52"/>
      <c r="C744" s="52"/>
      <c r="D744" s="52"/>
      <c r="E744" s="52"/>
      <c r="F744" s="52"/>
      <c r="G744" s="52"/>
      <c r="H744" s="52"/>
    </row>
    <row r="745" spans="1:8" ht="12.75" x14ac:dyDescent="0.35">
      <c r="A745" s="52"/>
      <c r="B745" s="52"/>
      <c r="C745" s="52"/>
      <c r="D745" s="52"/>
      <c r="E745" s="52"/>
      <c r="F745" s="52"/>
      <c r="G745" s="52"/>
      <c r="H745" s="52"/>
    </row>
    <row r="746" spans="1:8" ht="12.75" x14ac:dyDescent="0.35">
      <c r="A746" s="52"/>
      <c r="B746" s="52"/>
      <c r="C746" s="52"/>
      <c r="D746" s="52"/>
      <c r="E746" s="52"/>
      <c r="F746" s="52"/>
      <c r="G746" s="52"/>
      <c r="H746" s="52"/>
    </row>
    <row r="747" spans="1:8" ht="12.75" x14ac:dyDescent="0.35">
      <c r="A747" s="52"/>
      <c r="B747" s="52"/>
      <c r="C747" s="52"/>
      <c r="D747" s="52"/>
      <c r="E747" s="52"/>
      <c r="F747" s="52"/>
      <c r="G747" s="52"/>
      <c r="H747" s="52"/>
    </row>
    <row r="748" spans="1:8" ht="12.75" x14ac:dyDescent="0.35">
      <c r="A748" s="52"/>
      <c r="B748" s="52"/>
      <c r="C748" s="52"/>
      <c r="D748" s="52"/>
      <c r="E748" s="52"/>
      <c r="F748" s="52"/>
      <c r="G748" s="52"/>
      <c r="H748" s="52"/>
    </row>
    <row r="749" spans="1:8" ht="12.75" x14ac:dyDescent="0.35">
      <c r="A749" s="52"/>
      <c r="B749" s="52"/>
      <c r="C749" s="52"/>
      <c r="D749" s="52"/>
      <c r="E749" s="52"/>
      <c r="F749" s="52"/>
      <c r="G749" s="52"/>
      <c r="H749" s="52"/>
    </row>
    <row r="750" spans="1:8" ht="12.75" x14ac:dyDescent="0.35">
      <c r="A750" s="52"/>
      <c r="B750" s="52"/>
      <c r="C750" s="52"/>
      <c r="D750" s="52"/>
      <c r="E750" s="52"/>
      <c r="F750" s="52"/>
      <c r="G750" s="52"/>
      <c r="H750" s="52"/>
    </row>
    <row r="751" spans="1:8" ht="12.75" x14ac:dyDescent="0.35">
      <c r="A751" s="52"/>
      <c r="B751" s="52"/>
      <c r="C751" s="52"/>
      <c r="D751" s="52"/>
      <c r="E751" s="52"/>
      <c r="F751" s="52"/>
      <c r="G751" s="52"/>
      <c r="H751" s="52"/>
    </row>
    <row r="752" spans="1:8" ht="12.75" x14ac:dyDescent="0.35">
      <c r="A752" s="52"/>
      <c r="B752" s="52"/>
      <c r="C752" s="52"/>
      <c r="D752" s="52"/>
      <c r="E752" s="52"/>
      <c r="F752" s="52"/>
      <c r="G752" s="52"/>
      <c r="H752" s="52"/>
    </row>
    <row r="753" spans="1:8" ht="12.75" x14ac:dyDescent="0.35">
      <c r="A753" s="52"/>
      <c r="B753" s="52"/>
      <c r="C753" s="52"/>
      <c r="D753" s="52"/>
      <c r="E753" s="52"/>
      <c r="F753" s="52"/>
      <c r="G753" s="52"/>
      <c r="H753" s="52"/>
    </row>
    <row r="754" spans="1:8" ht="12.75" x14ac:dyDescent="0.35">
      <c r="A754" s="52"/>
      <c r="B754" s="52"/>
      <c r="C754" s="52"/>
      <c r="D754" s="52"/>
      <c r="E754" s="52"/>
      <c r="F754" s="52"/>
      <c r="G754" s="52"/>
      <c r="H754" s="52"/>
    </row>
    <row r="755" spans="1:8" ht="12.75" x14ac:dyDescent="0.35">
      <c r="A755" s="52"/>
      <c r="B755" s="52"/>
      <c r="C755" s="52"/>
      <c r="D755" s="52"/>
      <c r="E755" s="52"/>
      <c r="F755" s="52"/>
      <c r="G755" s="52"/>
      <c r="H755" s="52"/>
    </row>
    <row r="756" spans="1:8" ht="12.75" x14ac:dyDescent="0.35">
      <c r="A756" s="52"/>
      <c r="B756" s="52"/>
      <c r="C756" s="52"/>
      <c r="D756" s="52"/>
      <c r="E756" s="52"/>
      <c r="F756" s="52"/>
      <c r="G756" s="52"/>
      <c r="H756" s="52"/>
    </row>
    <row r="757" spans="1:8" ht="12.75" x14ac:dyDescent="0.35">
      <c r="A757" s="52"/>
      <c r="B757" s="52"/>
      <c r="C757" s="52"/>
      <c r="D757" s="52"/>
      <c r="E757" s="52"/>
      <c r="F757" s="52"/>
      <c r="G757" s="52"/>
      <c r="H757" s="52"/>
    </row>
    <row r="758" spans="1:8" ht="12.75" x14ac:dyDescent="0.35">
      <c r="A758" s="52"/>
      <c r="B758" s="52"/>
      <c r="C758" s="52"/>
      <c r="D758" s="52"/>
      <c r="E758" s="52"/>
      <c r="F758" s="52"/>
      <c r="G758" s="52"/>
      <c r="H758" s="52"/>
    </row>
    <row r="759" spans="1:8" ht="12.75" x14ac:dyDescent="0.35">
      <c r="A759" s="52"/>
      <c r="B759" s="52"/>
      <c r="C759" s="52"/>
      <c r="D759" s="52"/>
      <c r="E759" s="52"/>
      <c r="F759" s="52"/>
      <c r="G759" s="52"/>
      <c r="H759" s="52"/>
    </row>
    <row r="760" spans="1:8" ht="12.75" x14ac:dyDescent="0.35">
      <c r="A760" s="52"/>
      <c r="B760" s="52"/>
      <c r="C760" s="52"/>
      <c r="D760" s="52"/>
      <c r="E760" s="52"/>
      <c r="F760" s="52"/>
      <c r="G760" s="52"/>
      <c r="H760" s="52"/>
    </row>
    <row r="761" spans="1:8" ht="12.75" x14ac:dyDescent="0.35">
      <c r="A761" s="52"/>
      <c r="B761" s="52"/>
      <c r="C761" s="52"/>
      <c r="D761" s="52"/>
      <c r="E761" s="52"/>
      <c r="F761" s="52"/>
      <c r="G761" s="52"/>
      <c r="H761" s="52"/>
    </row>
    <row r="762" spans="1:8" ht="12.75" x14ac:dyDescent="0.35">
      <c r="A762" s="52"/>
      <c r="B762" s="52"/>
      <c r="C762" s="52"/>
      <c r="D762" s="52"/>
      <c r="E762" s="52"/>
      <c r="F762" s="52"/>
      <c r="G762" s="52"/>
      <c r="H762" s="52"/>
    </row>
    <row r="763" spans="1:8" ht="12.75" x14ac:dyDescent="0.35">
      <c r="A763" s="52"/>
      <c r="B763" s="52"/>
      <c r="C763" s="52"/>
      <c r="D763" s="52"/>
      <c r="E763" s="52"/>
      <c r="F763" s="52"/>
      <c r="G763" s="52"/>
      <c r="H763" s="52"/>
    </row>
    <row r="764" spans="1:8" ht="12.75" x14ac:dyDescent="0.35">
      <c r="A764" s="52"/>
      <c r="B764" s="52"/>
      <c r="C764" s="52"/>
      <c r="D764" s="52"/>
      <c r="E764" s="52"/>
      <c r="F764" s="52"/>
      <c r="G764" s="52"/>
      <c r="H764" s="52"/>
    </row>
    <row r="765" spans="1:8" ht="12.75" x14ac:dyDescent="0.35">
      <c r="A765" s="52"/>
      <c r="B765" s="52"/>
      <c r="C765" s="52"/>
      <c r="D765" s="52"/>
      <c r="E765" s="52"/>
      <c r="F765" s="52"/>
      <c r="G765" s="52"/>
      <c r="H765" s="52"/>
    </row>
    <row r="766" spans="1:8" ht="12.75" x14ac:dyDescent="0.35">
      <c r="A766" s="52"/>
      <c r="B766" s="52"/>
      <c r="C766" s="52"/>
      <c r="D766" s="52"/>
      <c r="E766" s="52"/>
      <c r="F766" s="52"/>
      <c r="G766" s="52"/>
      <c r="H766" s="52"/>
    </row>
    <row r="767" spans="1:8" ht="12.75" x14ac:dyDescent="0.35">
      <c r="A767" s="52"/>
      <c r="B767" s="52"/>
      <c r="C767" s="52"/>
      <c r="D767" s="52"/>
      <c r="E767" s="52"/>
      <c r="F767" s="52"/>
      <c r="G767" s="52"/>
      <c r="H767" s="52"/>
    </row>
    <row r="768" spans="1:8" ht="12.75" x14ac:dyDescent="0.35">
      <c r="A768" s="52"/>
      <c r="B768" s="52"/>
      <c r="C768" s="52"/>
      <c r="D768" s="52"/>
      <c r="E768" s="52"/>
      <c r="F768" s="52"/>
      <c r="G768" s="52"/>
      <c r="H768" s="52"/>
    </row>
    <row r="769" spans="1:8" ht="12.75" x14ac:dyDescent="0.35">
      <c r="A769" s="52"/>
      <c r="B769" s="52"/>
      <c r="C769" s="52"/>
      <c r="D769" s="52"/>
      <c r="E769" s="52"/>
      <c r="F769" s="52"/>
      <c r="G769" s="52"/>
      <c r="H769" s="52"/>
    </row>
    <row r="770" spans="1:8" ht="12.75" x14ac:dyDescent="0.35">
      <c r="A770" s="52"/>
      <c r="B770" s="52"/>
      <c r="C770" s="52"/>
      <c r="D770" s="52"/>
      <c r="E770" s="52"/>
      <c r="F770" s="52"/>
      <c r="G770" s="52"/>
      <c r="H770" s="52"/>
    </row>
    <row r="771" spans="1:8" ht="12.75" x14ac:dyDescent="0.35">
      <c r="A771" s="52"/>
      <c r="B771" s="52"/>
      <c r="C771" s="52"/>
      <c r="D771" s="52"/>
      <c r="E771" s="52"/>
      <c r="F771" s="52"/>
      <c r="G771" s="52"/>
      <c r="H771" s="52"/>
    </row>
    <row r="772" spans="1:8" ht="12.75" x14ac:dyDescent="0.35">
      <c r="A772" s="52"/>
      <c r="B772" s="52"/>
      <c r="C772" s="52"/>
      <c r="D772" s="52"/>
      <c r="E772" s="52"/>
      <c r="F772" s="52"/>
      <c r="G772" s="52"/>
      <c r="H772" s="52"/>
    </row>
    <row r="773" spans="1:8" ht="12.75" x14ac:dyDescent="0.35">
      <c r="A773" s="52"/>
      <c r="B773" s="52"/>
      <c r="C773" s="52"/>
      <c r="D773" s="52"/>
      <c r="E773" s="52"/>
      <c r="F773" s="52"/>
      <c r="G773" s="52"/>
      <c r="H773" s="52"/>
    </row>
    <row r="774" spans="1:8" ht="12.75" x14ac:dyDescent="0.35">
      <c r="A774" s="52"/>
      <c r="B774" s="52"/>
      <c r="C774" s="52"/>
      <c r="D774" s="52"/>
      <c r="E774" s="52"/>
      <c r="F774" s="52"/>
      <c r="G774" s="52"/>
      <c r="H774" s="52"/>
    </row>
    <row r="775" spans="1:8" ht="12.75" x14ac:dyDescent="0.35">
      <c r="A775" s="52"/>
      <c r="B775" s="52"/>
      <c r="C775" s="52"/>
      <c r="D775" s="52"/>
      <c r="E775" s="52"/>
      <c r="F775" s="52"/>
      <c r="G775" s="52"/>
      <c r="H775" s="52"/>
    </row>
    <row r="776" spans="1:8" ht="12.75" x14ac:dyDescent="0.35">
      <c r="A776" s="52"/>
      <c r="B776" s="52"/>
      <c r="C776" s="52"/>
      <c r="D776" s="52"/>
      <c r="E776" s="52"/>
      <c r="F776" s="52"/>
      <c r="G776" s="52"/>
      <c r="H776" s="52"/>
    </row>
    <row r="777" spans="1:8" ht="12.75" x14ac:dyDescent="0.35">
      <c r="A777" s="52"/>
      <c r="B777" s="52"/>
      <c r="C777" s="52"/>
      <c r="D777" s="52"/>
      <c r="E777" s="52"/>
      <c r="F777" s="52"/>
      <c r="G777" s="52"/>
      <c r="H777" s="52"/>
    </row>
    <row r="778" spans="1:8" ht="12.75" x14ac:dyDescent="0.35">
      <c r="A778" s="52"/>
      <c r="B778" s="52"/>
      <c r="C778" s="52"/>
      <c r="D778" s="52"/>
      <c r="E778" s="52"/>
      <c r="F778" s="52"/>
      <c r="G778" s="52"/>
      <c r="H778" s="52"/>
    </row>
    <row r="779" spans="1:8" ht="12.75" x14ac:dyDescent="0.35">
      <c r="A779" s="52"/>
      <c r="B779" s="52"/>
      <c r="C779" s="52"/>
      <c r="D779" s="52"/>
      <c r="E779" s="52"/>
      <c r="F779" s="52"/>
      <c r="G779" s="52"/>
      <c r="H779" s="52"/>
    </row>
    <row r="780" spans="1:8" ht="12.75" x14ac:dyDescent="0.35">
      <c r="A780" s="52"/>
      <c r="B780" s="52"/>
      <c r="C780" s="52"/>
      <c r="D780" s="52"/>
      <c r="E780" s="52"/>
      <c r="F780" s="52"/>
      <c r="G780" s="52"/>
      <c r="H780" s="52"/>
    </row>
    <row r="781" spans="1:8" ht="12.75" x14ac:dyDescent="0.35">
      <c r="A781" s="52"/>
      <c r="B781" s="52"/>
      <c r="C781" s="52"/>
      <c r="D781" s="52"/>
      <c r="E781" s="52"/>
      <c r="F781" s="52"/>
      <c r="G781" s="52"/>
      <c r="H781" s="52"/>
    </row>
    <row r="782" spans="1:8" ht="12.75" x14ac:dyDescent="0.35">
      <c r="A782" s="52"/>
      <c r="B782" s="52"/>
      <c r="C782" s="52"/>
      <c r="D782" s="52"/>
      <c r="E782" s="52"/>
      <c r="F782" s="52"/>
      <c r="G782" s="52"/>
      <c r="H782" s="52"/>
    </row>
    <row r="783" spans="1:8" ht="12.75" x14ac:dyDescent="0.35">
      <c r="A783" s="52"/>
      <c r="B783" s="52"/>
      <c r="C783" s="52"/>
      <c r="D783" s="52"/>
      <c r="E783" s="52"/>
      <c r="F783" s="52"/>
      <c r="G783" s="52"/>
      <c r="H783" s="52"/>
    </row>
    <row r="784" spans="1:8" ht="12.75" x14ac:dyDescent="0.35">
      <c r="A784" s="52"/>
      <c r="B784" s="52"/>
      <c r="C784" s="52"/>
      <c r="D784" s="52"/>
      <c r="E784" s="52"/>
      <c r="F784" s="52"/>
      <c r="G784" s="52"/>
      <c r="H784" s="52"/>
    </row>
    <row r="785" spans="1:8" ht="12.75" x14ac:dyDescent="0.35">
      <c r="A785" s="52"/>
      <c r="B785" s="52"/>
      <c r="C785" s="52"/>
      <c r="D785" s="52"/>
      <c r="E785" s="52"/>
      <c r="F785" s="52"/>
      <c r="G785" s="52"/>
      <c r="H785" s="52"/>
    </row>
    <row r="786" spans="1:8" ht="12.75" x14ac:dyDescent="0.35">
      <c r="A786" s="52"/>
      <c r="B786" s="52"/>
      <c r="C786" s="52"/>
      <c r="D786" s="52"/>
      <c r="E786" s="52"/>
      <c r="F786" s="52"/>
      <c r="G786" s="52"/>
      <c r="H786" s="52"/>
    </row>
    <row r="787" spans="1:8" ht="12.75" x14ac:dyDescent="0.35">
      <c r="A787" s="52"/>
      <c r="B787" s="52"/>
      <c r="C787" s="52"/>
      <c r="D787" s="52"/>
      <c r="E787" s="52"/>
      <c r="F787" s="52"/>
      <c r="G787" s="52"/>
      <c r="H787" s="52"/>
    </row>
    <row r="788" spans="1:8" ht="12.75" x14ac:dyDescent="0.35">
      <c r="A788" s="52"/>
      <c r="B788" s="52"/>
      <c r="C788" s="52"/>
      <c r="D788" s="52"/>
      <c r="E788" s="52"/>
      <c r="F788" s="52"/>
      <c r="G788" s="52"/>
      <c r="H788" s="52"/>
    </row>
    <row r="789" spans="1:8" ht="12.75" x14ac:dyDescent="0.35">
      <c r="A789" s="52"/>
      <c r="B789" s="52"/>
      <c r="C789" s="52"/>
      <c r="D789" s="52"/>
      <c r="E789" s="52"/>
      <c r="F789" s="52"/>
      <c r="G789" s="52"/>
      <c r="H789" s="52"/>
    </row>
    <row r="790" spans="1:8" ht="12.75" x14ac:dyDescent="0.35">
      <c r="A790" s="52"/>
      <c r="B790" s="52"/>
      <c r="C790" s="52"/>
      <c r="D790" s="52"/>
      <c r="E790" s="52"/>
      <c r="F790" s="52"/>
      <c r="G790" s="52"/>
      <c r="H790" s="52"/>
    </row>
    <row r="791" spans="1:8" ht="12.75" x14ac:dyDescent="0.35">
      <c r="A791" s="52"/>
      <c r="B791" s="52"/>
      <c r="C791" s="52"/>
      <c r="D791" s="52"/>
      <c r="E791" s="52"/>
      <c r="F791" s="52"/>
      <c r="G791" s="52"/>
      <c r="H791" s="52"/>
    </row>
    <row r="792" spans="1:8" ht="12.75" x14ac:dyDescent="0.35">
      <c r="A792" s="52"/>
      <c r="B792" s="52"/>
      <c r="C792" s="52"/>
      <c r="D792" s="52"/>
      <c r="E792" s="52"/>
      <c r="F792" s="52"/>
      <c r="G792" s="52"/>
      <c r="H792" s="52"/>
    </row>
    <row r="793" spans="1:8" ht="12.75" x14ac:dyDescent="0.35">
      <c r="A793" s="52"/>
      <c r="B793" s="52"/>
      <c r="C793" s="52"/>
      <c r="D793" s="52"/>
      <c r="E793" s="52"/>
      <c r="F793" s="52"/>
      <c r="G793" s="52"/>
      <c r="H793" s="52"/>
    </row>
    <row r="794" spans="1:8" ht="12.75" x14ac:dyDescent="0.35">
      <c r="A794" s="52"/>
      <c r="B794" s="52"/>
      <c r="C794" s="52"/>
      <c r="D794" s="52"/>
      <c r="E794" s="52"/>
      <c r="F794" s="52"/>
      <c r="G794" s="52"/>
      <c r="H794" s="52"/>
    </row>
    <row r="795" spans="1:8" ht="12.75" x14ac:dyDescent="0.35">
      <c r="A795" s="52"/>
      <c r="B795" s="52"/>
      <c r="C795" s="52"/>
      <c r="D795" s="52"/>
      <c r="E795" s="52"/>
      <c r="F795" s="52"/>
      <c r="G795" s="52"/>
      <c r="H795" s="52"/>
    </row>
    <row r="796" spans="1:8" ht="12.75" x14ac:dyDescent="0.35">
      <c r="A796" s="52"/>
      <c r="B796" s="52"/>
      <c r="C796" s="52"/>
      <c r="D796" s="52"/>
      <c r="E796" s="52"/>
      <c r="F796" s="52"/>
      <c r="G796" s="52"/>
      <c r="H796" s="52"/>
    </row>
    <row r="797" spans="1:8" ht="12.75" x14ac:dyDescent="0.35">
      <c r="A797" s="52"/>
      <c r="B797" s="52"/>
      <c r="C797" s="52"/>
      <c r="D797" s="52"/>
      <c r="E797" s="52"/>
      <c r="F797" s="52"/>
      <c r="G797" s="52"/>
      <c r="H797" s="52"/>
    </row>
    <row r="798" spans="1:8" ht="12.75" x14ac:dyDescent="0.35">
      <c r="A798" s="52"/>
      <c r="B798" s="52"/>
      <c r="C798" s="52"/>
      <c r="D798" s="52"/>
      <c r="E798" s="52"/>
      <c r="F798" s="52"/>
      <c r="G798" s="52"/>
      <c r="H798" s="52"/>
    </row>
    <row r="799" spans="1:8" ht="12.75" x14ac:dyDescent="0.35">
      <c r="A799" s="52"/>
      <c r="B799" s="52"/>
      <c r="C799" s="52"/>
      <c r="D799" s="52"/>
      <c r="E799" s="52"/>
      <c r="F799" s="52"/>
      <c r="G799" s="52"/>
      <c r="H799" s="52"/>
    </row>
    <row r="800" spans="1:8" ht="12.75" x14ac:dyDescent="0.35">
      <c r="A800" s="52"/>
      <c r="B800" s="52"/>
      <c r="C800" s="52"/>
      <c r="D800" s="52"/>
      <c r="E800" s="52"/>
      <c r="F800" s="52"/>
      <c r="G800" s="52"/>
      <c r="H800" s="52"/>
    </row>
    <row r="801" spans="1:8" ht="12.75" x14ac:dyDescent="0.35">
      <c r="A801" s="52"/>
      <c r="B801" s="52"/>
      <c r="C801" s="52"/>
      <c r="D801" s="52"/>
      <c r="E801" s="52"/>
      <c r="F801" s="52"/>
      <c r="G801" s="52"/>
      <c r="H801" s="52"/>
    </row>
    <row r="802" spans="1:8" ht="12.75" x14ac:dyDescent="0.35">
      <c r="A802" s="52"/>
      <c r="B802" s="52"/>
      <c r="C802" s="52"/>
      <c r="D802" s="52"/>
      <c r="E802" s="52"/>
      <c r="F802" s="52"/>
      <c r="G802" s="52"/>
      <c r="H802" s="52"/>
    </row>
    <row r="803" spans="1:8" ht="12.75" x14ac:dyDescent="0.35">
      <c r="A803" s="52"/>
      <c r="B803" s="52"/>
      <c r="C803" s="52"/>
      <c r="D803" s="52"/>
      <c r="E803" s="52"/>
      <c r="F803" s="52"/>
      <c r="G803" s="52"/>
      <c r="H803" s="52"/>
    </row>
    <row r="804" spans="1:8" ht="12.75" x14ac:dyDescent="0.35">
      <c r="A804" s="52"/>
      <c r="B804" s="52"/>
      <c r="C804" s="52"/>
      <c r="D804" s="52"/>
      <c r="E804" s="52"/>
      <c r="F804" s="52"/>
      <c r="G804" s="52"/>
      <c r="H804" s="52"/>
    </row>
    <row r="805" spans="1:8" ht="12.75" x14ac:dyDescent="0.35">
      <c r="A805" s="52"/>
      <c r="B805" s="52"/>
      <c r="C805" s="52"/>
      <c r="D805" s="52"/>
      <c r="E805" s="52"/>
      <c r="F805" s="52"/>
      <c r="G805" s="52"/>
      <c r="H805" s="52"/>
    </row>
    <row r="806" spans="1:8" ht="12.75" x14ac:dyDescent="0.35">
      <c r="A806" s="52"/>
      <c r="B806" s="52"/>
      <c r="C806" s="52"/>
      <c r="D806" s="52"/>
      <c r="E806" s="52"/>
      <c r="F806" s="52"/>
      <c r="G806" s="52"/>
      <c r="H806" s="52"/>
    </row>
    <row r="807" spans="1:8" ht="12.75" x14ac:dyDescent="0.35">
      <c r="A807" s="52"/>
      <c r="B807" s="52"/>
      <c r="C807" s="52"/>
      <c r="D807" s="52"/>
      <c r="E807" s="52"/>
      <c r="F807" s="52"/>
      <c r="G807" s="52"/>
      <c r="H807" s="52"/>
    </row>
    <row r="808" spans="1:8" ht="12.75" x14ac:dyDescent="0.35">
      <c r="A808" s="52"/>
      <c r="B808" s="52"/>
      <c r="C808" s="52"/>
      <c r="D808" s="52"/>
      <c r="E808" s="52"/>
      <c r="F808" s="52"/>
      <c r="G808" s="52"/>
      <c r="H808" s="52"/>
    </row>
    <row r="809" spans="1:8" ht="12.75" x14ac:dyDescent="0.35">
      <c r="A809" s="52"/>
      <c r="B809" s="52"/>
      <c r="C809" s="52"/>
      <c r="D809" s="52"/>
      <c r="E809" s="52"/>
      <c r="F809" s="52"/>
      <c r="G809" s="52"/>
      <c r="H809" s="52"/>
    </row>
    <row r="810" spans="1:8" ht="12.75" x14ac:dyDescent="0.35">
      <c r="A810" s="52"/>
      <c r="B810" s="52"/>
      <c r="C810" s="52"/>
      <c r="D810" s="52"/>
      <c r="E810" s="52"/>
      <c r="F810" s="52"/>
      <c r="G810" s="52"/>
      <c r="H810" s="52"/>
    </row>
    <row r="811" spans="1:8" ht="12.75" x14ac:dyDescent="0.35">
      <c r="A811" s="52"/>
      <c r="B811" s="52"/>
      <c r="C811" s="52"/>
      <c r="D811" s="52"/>
      <c r="E811" s="52"/>
      <c r="F811" s="52"/>
      <c r="G811" s="52"/>
      <c r="H811" s="52"/>
    </row>
    <row r="812" spans="1:8" ht="12.75" x14ac:dyDescent="0.35">
      <c r="A812" s="52"/>
      <c r="B812" s="52"/>
      <c r="C812" s="52"/>
      <c r="D812" s="52"/>
      <c r="E812" s="52"/>
      <c r="F812" s="52"/>
      <c r="G812" s="52"/>
      <c r="H812" s="52"/>
    </row>
    <row r="813" spans="1:8" ht="12.75" x14ac:dyDescent="0.35">
      <c r="A813" s="52"/>
      <c r="B813" s="52"/>
      <c r="C813" s="52"/>
      <c r="D813" s="52"/>
      <c r="E813" s="52"/>
      <c r="F813" s="52"/>
      <c r="G813" s="52"/>
      <c r="H813" s="52"/>
    </row>
    <row r="814" spans="1:8" ht="12.75" x14ac:dyDescent="0.35">
      <c r="A814" s="52"/>
      <c r="B814" s="52"/>
      <c r="C814" s="52"/>
      <c r="D814" s="52"/>
      <c r="E814" s="52"/>
      <c r="F814" s="52"/>
      <c r="G814" s="52"/>
      <c r="H814" s="52"/>
    </row>
    <row r="815" spans="1:8" ht="12.75" x14ac:dyDescent="0.35">
      <c r="A815" s="52"/>
      <c r="B815" s="52"/>
      <c r="C815" s="52"/>
      <c r="D815" s="52"/>
      <c r="E815" s="52"/>
      <c r="F815" s="52"/>
      <c r="G815" s="52"/>
      <c r="H815" s="52"/>
    </row>
    <row r="816" spans="1:8" ht="12.75" x14ac:dyDescent="0.35">
      <c r="A816" s="52"/>
      <c r="B816" s="52"/>
      <c r="C816" s="52"/>
      <c r="D816" s="52"/>
      <c r="E816" s="52"/>
      <c r="F816" s="52"/>
      <c r="G816" s="52"/>
      <c r="H816" s="52"/>
    </row>
    <row r="817" spans="1:8" ht="12.75" x14ac:dyDescent="0.35">
      <c r="A817" s="52"/>
      <c r="B817" s="52"/>
      <c r="C817" s="52"/>
      <c r="D817" s="52"/>
      <c r="E817" s="52"/>
      <c r="F817" s="52"/>
      <c r="G817" s="52"/>
      <c r="H817" s="52"/>
    </row>
    <row r="818" spans="1:8" ht="12.75" x14ac:dyDescent="0.35">
      <c r="A818" s="52"/>
      <c r="B818" s="52"/>
      <c r="C818" s="52"/>
      <c r="D818" s="52"/>
      <c r="E818" s="52"/>
      <c r="F818" s="52"/>
      <c r="G818" s="52"/>
      <c r="H818" s="52"/>
    </row>
    <row r="819" spans="1:8" ht="12.75" x14ac:dyDescent="0.35">
      <c r="A819" s="52"/>
      <c r="B819" s="52"/>
      <c r="C819" s="52"/>
      <c r="D819" s="52"/>
      <c r="E819" s="52"/>
      <c r="F819" s="52"/>
      <c r="G819" s="52"/>
      <c r="H819" s="52"/>
    </row>
    <row r="820" spans="1:8" ht="12.75" x14ac:dyDescent="0.35">
      <c r="A820" s="52"/>
      <c r="B820" s="52"/>
      <c r="C820" s="52"/>
      <c r="D820" s="52"/>
      <c r="E820" s="52"/>
      <c r="F820" s="52"/>
      <c r="G820" s="52"/>
      <c r="H820" s="52"/>
    </row>
    <row r="821" spans="1:8" ht="12.75" x14ac:dyDescent="0.35">
      <c r="A821" s="52"/>
      <c r="B821" s="52"/>
      <c r="C821" s="52"/>
      <c r="D821" s="52"/>
      <c r="E821" s="52"/>
      <c r="F821" s="52"/>
      <c r="G821" s="52"/>
      <c r="H821" s="52"/>
    </row>
    <row r="822" spans="1:8" ht="12.75" x14ac:dyDescent="0.35">
      <c r="A822" s="52"/>
      <c r="B822" s="52"/>
      <c r="C822" s="52"/>
      <c r="D822" s="52"/>
      <c r="E822" s="52"/>
      <c r="F822" s="52"/>
      <c r="G822" s="52"/>
      <c r="H822" s="52"/>
    </row>
    <row r="823" spans="1:8" ht="12.75" x14ac:dyDescent="0.35">
      <c r="A823" s="52"/>
      <c r="B823" s="52"/>
      <c r="C823" s="52"/>
      <c r="D823" s="52"/>
      <c r="E823" s="52"/>
      <c r="F823" s="52"/>
      <c r="G823" s="52"/>
      <c r="H823" s="52"/>
    </row>
    <row r="824" spans="1:8" ht="12.75" x14ac:dyDescent="0.35">
      <c r="A824" s="52"/>
      <c r="B824" s="52"/>
      <c r="C824" s="52"/>
      <c r="D824" s="52"/>
      <c r="E824" s="52"/>
      <c r="F824" s="52"/>
      <c r="G824" s="52"/>
      <c r="H824" s="52"/>
    </row>
    <row r="825" spans="1:8" ht="12.75" x14ac:dyDescent="0.35">
      <c r="A825" s="52"/>
      <c r="B825" s="52"/>
      <c r="C825" s="52"/>
      <c r="D825" s="52"/>
      <c r="E825" s="52"/>
      <c r="F825" s="52"/>
      <c r="G825" s="52"/>
      <c r="H825" s="52"/>
    </row>
    <row r="826" spans="1:8" ht="12.75" x14ac:dyDescent="0.35">
      <c r="A826" s="52"/>
      <c r="B826" s="52"/>
      <c r="C826" s="52"/>
      <c r="D826" s="52"/>
      <c r="E826" s="52"/>
      <c r="F826" s="52"/>
      <c r="G826" s="52"/>
      <c r="H826" s="52"/>
    </row>
    <row r="827" spans="1:8" ht="12.75" x14ac:dyDescent="0.35">
      <c r="A827" s="52"/>
      <c r="B827" s="52"/>
      <c r="C827" s="52"/>
      <c r="D827" s="52"/>
      <c r="E827" s="52"/>
      <c r="F827" s="52"/>
      <c r="G827" s="52"/>
      <c r="H827" s="52"/>
    </row>
    <row r="828" spans="1:8" ht="12.75" x14ac:dyDescent="0.35">
      <c r="A828" s="52"/>
      <c r="B828" s="52"/>
      <c r="C828" s="52"/>
      <c r="D828" s="52"/>
      <c r="E828" s="52"/>
      <c r="F828" s="52"/>
      <c r="G828" s="52"/>
      <c r="H828" s="52"/>
    </row>
    <row r="829" spans="1:8" ht="12.75" x14ac:dyDescent="0.35">
      <c r="A829" s="52"/>
      <c r="B829" s="52"/>
      <c r="C829" s="52"/>
      <c r="D829" s="52"/>
      <c r="E829" s="52"/>
      <c r="F829" s="52"/>
      <c r="G829" s="52"/>
      <c r="H829" s="52"/>
    </row>
    <row r="830" spans="1:8" ht="12.75" x14ac:dyDescent="0.35">
      <c r="A830" s="52"/>
      <c r="B830" s="52"/>
      <c r="C830" s="52"/>
      <c r="D830" s="52"/>
      <c r="E830" s="52"/>
      <c r="F830" s="52"/>
      <c r="G830" s="52"/>
      <c r="H830" s="52"/>
    </row>
    <row r="831" spans="1:8" ht="12.75" x14ac:dyDescent="0.35">
      <c r="A831" s="52"/>
      <c r="B831" s="52"/>
      <c r="C831" s="52"/>
      <c r="D831" s="52"/>
      <c r="E831" s="52"/>
      <c r="F831" s="52"/>
      <c r="G831" s="52"/>
      <c r="H831" s="52"/>
    </row>
    <row r="832" spans="1:8" ht="12.75" x14ac:dyDescent="0.35">
      <c r="A832" s="52"/>
      <c r="B832" s="52"/>
      <c r="C832" s="52"/>
      <c r="D832" s="52"/>
      <c r="E832" s="52"/>
      <c r="F832" s="52"/>
      <c r="G832" s="52"/>
      <c r="H832" s="52"/>
    </row>
    <row r="833" spans="1:8" ht="12.75" x14ac:dyDescent="0.35">
      <c r="A833" s="52"/>
      <c r="B833" s="52"/>
      <c r="C833" s="52"/>
      <c r="D833" s="52"/>
      <c r="E833" s="52"/>
      <c r="F833" s="52"/>
      <c r="G833" s="52"/>
      <c r="H833" s="52"/>
    </row>
    <row r="834" spans="1:8" ht="12.75" x14ac:dyDescent="0.35">
      <c r="A834" s="52"/>
      <c r="B834" s="52"/>
      <c r="C834" s="52"/>
      <c r="D834" s="52"/>
      <c r="E834" s="52"/>
      <c r="F834" s="52"/>
      <c r="G834" s="52"/>
      <c r="H834" s="52"/>
    </row>
    <row r="835" spans="1:8" ht="12.75" x14ac:dyDescent="0.35">
      <c r="A835" s="52"/>
      <c r="B835" s="52"/>
      <c r="C835" s="52"/>
      <c r="D835" s="52"/>
      <c r="E835" s="52"/>
      <c r="F835" s="52"/>
      <c r="G835" s="52"/>
      <c r="H835" s="52"/>
    </row>
    <row r="836" spans="1:8" ht="12.75" x14ac:dyDescent="0.35">
      <c r="A836" s="52"/>
      <c r="B836" s="52"/>
      <c r="C836" s="52"/>
      <c r="D836" s="52"/>
      <c r="E836" s="52"/>
      <c r="F836" s="52"/>
      <c r="G836" s="52"/>
      <c r="H836" s="52"/>
    </row>
    <row r="837" spans="1:8" ht="12.75" x14ac:dyDescent="0.35">
      <c r="A837" s="52"/>
      <c r="B837" s="52"/>
      <c r="C837" s="52"/>
      <c r="D837" s="52"/>
      <c r="E837" s="52"/>
      <c r="F837" s="52"/>
      <c r="G837" s="52"/>
      <c r="H837" s="52"/>
    </row>
    <row r="838" spans="1:8" ht="12.75" x14ac:dyDescent="0.35">
      <c r="A838" s="52"/>
      <c r="B838" s="52"/>
      <c r="C838" s="52"/>
      <c r="D838" s="52"/>
      <c r="E838" s="52"/>
      <c r="F838" s="52"/>
      <c r="G838" s="52"/>
      <c r="H838" s="52"/>
    </row>
    <row r="839" spans="1:8" ht="12.75" x14ac:dyDescent="0.35">
      <c r="A839" s="52"/>
      <c r="B839" s="52"/>
      <c r="C839" s="52"/>
      <c r="D839" s="52"/>
      <c r="E839" s="52"/>
      <c r="F839" s="52"/>
      <c r="G839" s="52"/>
      <c r="H839" s="52"/>
    </row>
    <row r="840" spans="1:8" ht="12.75" x14ac:dyDescent="0.35">
      <c r="A840" s="52"/>
      <c r="B840" s="52"/>
      <c r="C840" s="52"/>
      <c r="D840" s="52"/>
      <c r="E840" s="52"/>
      <c r="F840" s="52"/>
      <c r="G840" s="52"/>
      <c r="H840" s="52"/>
    </row>
    <row r="841" spans="1:8" ht="12.75" x14ac:dyDescent="0.35">
      <c r="A841" s="52"/>
      <c r="B841" s="52"/>
      <c r="C841" s="52"/>
      <c r="D841" s="52"/>
      <c r="E841" s="52"/>
      <c r="F841" s="52"/>
      <c r="G841" s="52"/>
      <c r="H841" s="52"/>
    </row>
    <row r="842" spans="1:8" ht="12.75" x14ac:dyDescent="0.35">
      <c r="A842" s="52"/>
      <c r="B842" s="52"/>
      <c r="C842" s="52"/>
      <c r="D842" s="52"/>
      <c r="E842" s="52"/>
      <c r="F842" s="52"/>
      <c r="G842" s="52"/>
      <c r="H842" s="52"/>
    </row>
    <row r="843" spans="1:8" ht="12.75" x14ac:dyDescent="0.35">
      <c r="A843" s="52"/>
      <c r="B843" s="52"/>
      <c r="C843" s="52"/>
      <c r="D843" s="52"/>
      <c r="E843" s="52"/>
      <c r="F843" s="52"/>
      <c r="G843" s="52"/>
      <c r="H843" s="52"/>
    </row>
    <row r="844" spans="1:8" ht="12.75" x14ac:dyDescent="0.35">
      <c r="A844" s="52"/>
      <c r="B844" s="52"/>
      <c r="C844" s="52"/>
      <c r="D844" s="52"/>
      <c r="E844" s="52"/>
      <c r="F844" s="52"/>
      <c r="G844" s="52"/>
      <c r="H844" s="52"/>
    </row>
    <row r="845" spans="1:8" ht="12.75" x14ac:dyDescent="0.35">
      <c r="A845" s="52"/>
      <c r="B845" s="52"/>
      <c r="C845" s="52"/>
      <c r="D845" s="52"/>
      <c r="E845" s="52"/>
      <c r="F845" s="52"/>
      <c r="G845" s="52"/>
      <c r="H845" s="52"/>
    </row>
    <row r="846" spans="1:8" ht="12.75" x14ac:dyDescent="0.35">
      <c r="A846" s="52"/>
      <c r="B846" s="52"/>
      <c r="C846" s="52"/>
      <c r="D846" s="52"/>
      <c r="E846" s="52"/>
      <c r="F846" s="52"/>
      <c r="G846" s="52"/>
      <c r="H846" s="52"/>
    </row>
    <row r="847" spans="1:8" ht="12.75" x14ac:dyDescent="0.35">
      <c r="A847" s="52"/>
      <c r="B847" s="52"/>
      <c r="C847" s="52"/>
      <c r="D847" s="52"/>
      <c r="E847" s="52"/>
      <c r="F847" s="52"/>
      <c r="G847" s="52"/>
      <c r="H847" s="52"/>
    </row>
    <row r="848" spans="1:8" ht="12.75" x14ac:dyDescent="0.35">
      <c r="A848" s="52"/>
      <c r="B848" s="52"/>
      <c r="C848" s="52"/>
      <c r="D848" s="52"/>
      <c r="E848" s="52"/>
      <c r="F848" s="52"/>
      <c r="G848" s="52"/>
      <c r="H848" s="52"/>
    </row>
    <row r="849" spans="1:8" ht="12.75" x14ac:dyDescent="0.35">
      <c r="A849" s="52"/>
      <c r="B849" s="52"/>
      <c r="C849" s="52"/>
      <c r="D849" s="52"/>
      <c r="E849" s="52"/>
      <c r="F849" s="52"/>
      <c r="G849" s="52"/>
      <c r="H849" s="52"/>
    </row>
    <row r="850" spans="1:8" ht="12.75" x14ac:dyDescent="0.35">
      <c r="A850" s="52"/>
      <c r="B850" s="52"/>
      <c r="C850" s="52"/>
      <c r="D850" s="52"/>
      <c r="E850" s="52"/>
      <c r="F850" s="52"/>
      <c r="G850" s="52"/>
      <c r="H850" s="52"/>
    </row>
    <row r="851" spans="1:8" ht="12.75" x14ac:dyDescent="0.35">
      <c r="A851" s="52"/>
      <c r="B851" s="52"/>
      <c r="C851" s="52"/>
      <c r="D851" s="52"/>
      <c r="E851" s="52"/>
      <c r="F851" s="52"/>
      <c r="G851" s="52"/>
      <c r="H851" s="52"/>
    </row>
    <row r="852" spans="1:8" ht="12.75" x14ac:dyDescent="0.35">
      <c r="A852" s="52"/>
      <c r="B852" s="52"/>
      <c r="C852" s="52"/>
      <c r="D852" s="52"/>
      <c r="E852" s="52"/>
      <c r="F852" s="52"/>
      <c r="G852" s="52"/>
      <c r="H852" s="52"/>
    </row>
    <row r="853" spans="1:8" ht="12.75" x14ac:dyDescent="0.35">
      <c r="A853" s="52"/>
      <c r="B853" s="52"/>
      <c r="C853" s="52"/>
      <c r="D853" s="52"/>
      <c r="E853" s="52"/>
      <c r="F853" s="52"/>
      <c r="G853" s="52"/>
      <c r="H853" s="52"/>
    </row>
    <row r="854" spans="1:8" ht="12.75" x14ac:dyDescent="0.35">
      <c r="A854" s="52"/>
      <c r="B854" s="52"/>
      <c r="C854" s="52"/>
      <c r="D854" s="52"/>
      <c r="E854" s="52"/>
      <c r="F854" s="52"/>
      <c r="G854" s="52"/>
      <c r="H854" s="52"/>
    </row>
    <row r="855" spans="1:8" ht="12.75" x14ac:dyDescent="0.35">
      <c r="A855" s="52"/>
      <c r="B855" s="52"/>
      <c r="C855" s="52"/>
      <c r="D855" s="52"/>
      <c r="E855" s="52"/>
      <c r="F855" s="52"/>
      <c r="G855" s="52"/>
      <c r="H855" s="52"/>
    </row>
    <row r="856" spans="1:8" ht="12.75" x14ac:dyDescent="0.35">
      <c r="A856" s="52"/>
      <c r="B856" s="52"/>
      <c r="C856" s="52"/>
      <c r="D856" s="52"/>
      <c r="E856" s="52"/>
      <c r="F856" s="52"/>
      <c r="G856" s="52"/>
      <c r="H856" s="52"/>
    </row>
    <row r="857" spans="1:8" ht="12.75" x14ac:dyDescent="0.35">
      <c r="A857" s="52"/>
      <c r="B857" s="52"/>
      <c r="C857" s="52"/>
      <c r="D857" s="52"/>
      <c r="E857" s="52"/>
      <c r="F857" s="52"/>
      <c r="G857" s="52"/>
      <c r="H857" s="52"/>
    </row>
    <row r="858" spans="1:8" ht="12.75" x14ac:dyDescent="0.35">
      <c r="A858" s="52"/>
      <c r="B858" s="52"/>
      <c r="C858" s="52"/>
      <c r="D858" s="52"/>
      <c r="E858" s="52"/>
      <c r="F858" s="52"/>
      <c r="G858" s="52"/>
      <c r="H858" s="52"/>
    </row>
    <row r="859" spans="1:8" ht="12.75" x14ac:dyDescent="0.35">
      <c r="A859" s="52"/>
      <c r="B859" s="52"/>
      <c r="C859" s="52"/>
      <c r="D859" s="52"/>
      <c r="E859" s="52"/>
      <c r="F859" s="52"/>
      <c r="G859" s="52"/>
      <c r="H859" s="52"/>
    </row>
    <row r="860" spans="1:8" ht="12.75" x14ac:dyDescent="0.35">
      <c r="A860" s="52"/>
      <c r="B860" s="52"/>
      <c r="C860" s="52"/>
      <c r="D860" s="52"/>
      <c r="E860" s="52"/>
      <c r="F860" s="52"/>
      <c r="G860" s="52"/>
      <c r="H860" s="52"/>
    </row>
    <row r="861" spans="1:8" ht="12.75" x14ac:dyDescent="0.35">
      <c r="A861" s="52"/>
      <c r="B861" s="52"/>
      <c r="C861" s="52"/>
      <c r="D861" s="52"/>
      <c r="E861" s="52"/>
      <c r="F861" s="52"/>
      <c r="G861" s="52"/>
      <c r="H861" s="52"/>
    </row>
    <row r="862" spans="1:8" ht="12.75" x14ac:dyDescent="0.35">
      <c r="A862" s="52"/>
      <c r="B862" s="52"/>
      <c r="C862" s="52"/>
      <c r="D862" s="52"/>
      <c r="E862" s="52"/>
      <c r="F862" s="52"/>
      <c r="G862" s="52"/>
      <c r="H862" s="52"/>
    </row>
    <row r="863" spans="1:8" ht="12.75" x14ac:dyDescent="0.35">
      <c r="A863" s="52"/>
      <c r="B863" s="52"/>
      <c r="C863" s="52"/>
      <c r="D863" s="52"/>
      <c r="E863" s="52"/>
      <c r="F863" s="52"/>
      <c r="G863" s="52"/>
      <c r="H863" s="52"/>
    </row>
    <row r="864" spans="1:8" ht="12.75" x14ac:dyDescent="0.35">
      <c r="A864" s="52"/>
      <c r="B864" s="52"/>
      <c r="C864" s="52"/>
      <c r="D864" s="52"/>
      <c r="E864" s="52"/>
      <c r="F864" s="52"/>
      <c r="G864" s="52"/>
      <c r="H864" s="52"/>
    </row>
    <row r="865" spans="1:8" ht="12.75" x14ac:dyDescent="0.35">
      <c r="A865" s="52"/>
      <c r="B865" s="52"/>
      <c r="C865" s="52"/>
      <c r="D865" s="52"/>
      <c r="E865" s="52"/>
      <c r="F865" s="52"/>
      <c r="G865" s="52"/>
      <c r="H865" s="52"/>
    </row>
    <row r="866" spans="1:8" ht="12.75" x14ac:dyDescent="0.35">
      <c r="A866" s="52"/>
      <c r="B866" s="52"/>
      <c r="C866" s="52"/>
      <c r="D866" s="52"/>
      <c r="E866" s="52"/>
      <c r="F866" s="52"/>
      <c r="G866" s="52"/>
      <c r="H866" s="52"/>
    </row>
    <row r="867" spans="1:8" ht="12.75" x14ac:dyDescent="0.35">
      <c r="A867" s="52"/>
      <c r="B867" s="52"/>
      <c r="C867" s="52"/>
      <c r="D867" s="52"/>
      <c r="E867" s="52"/>
      <c r="F867" s="52"/>
      <c r="G867" s="52"/>
      <c r="H867" s="52"/>
    </row>
    <row r="868" spans="1:8" ht="12.75" x14ac:dyDescent="0.35">
      <c r="A868" s="52"/>
      <c r="B868" s="52"/>
      <c r="C868" s="52"/>
      <c r="D868" s="52"/>
      <c r="E868" s="52"/>
      <c r="F868" s="52"/>
      <c r="G868" s="52"/>
      <c r="H868" s="52"/>
    </row>
    <row r="869" spans="1:8" ht="12.75" x14ac:dyDescent="0.35">
      <c r="A869" s="52"/>
      <c r="B869" s="52"/>
      <c r="C869" s="52"/>
      <c r="D869" s="52"/>
      <c r="E869" s="52"/>
      <c r="F869" s="52"/>
      <c r="G869" s="52"/>
      <c r="H869" s="52"/>
    </row>
    <row r="870" spans="1:8" ht="12.75" x14ac:dyDescent="0.35">
      <c r="A870" s="52"/>
      <c r="B870" s="52"/>
      <c r="C870" s="52"/>
      <c r="D870" s="52"/>
      <c r="E870" s="52"/>
      <c r="F870" s="52"/>
      <c r="G870" s="52"/>
      <c r="H870" s="52"/>
    </row>
    <row r="871" spans="1:8" ht="12.75" x14ac:dyDescent="0.35">
      <c r="A871" s="52"/>
      <c r="B871" s="52"/>
      <c r="C871" s="52"/>
      <c r="D871" s="52"/>
      <c r="E871" s="52"/>
      <c r="F871" s="52"/>
      <c r="G871" s="52"/>
      <c r="H871" s="52"/>
    </row>
    <row r="872" spans="1:8" ht="12.75" x14ac:dyDescent="0.35">
      <c r="A872" s="52"/>
      <c r="B872" s="52"/>
      <c r="C872" s="52"/>
      <c r="D872" s="52"/>
      <c r="E872" s="52"/>
      <c r="F872" s="52"/>
      <c r="G872" s="52"/>
      <c r="H872" s="52"/>
    </row>
    <row r="873" spans="1:8" ht="12.75" x14ac:dyDescent="0.35">
      <c r="A873" s="52"/>
      <c r="B873" s="52"/>
      <c r="C873" s="52"/>
      <c r="D873" s="52"/>
      <c r="E873" s="52"/>
      <c r="F873" s="52"/>
      <c r="G873" s="52"/>
      <c r="H873" s="52"/>
    </row>
    <row r="874" spans="1:8" ht="12.75" x14ac:dyDescent="0.35">
      <c r="A874" s="52"/>
      <c r="B874" s="52"/>
      <c r="C874" s="52"/>
      <c r="D874" s="52"/>
      <c r="E874" s="52"/>
      <c r="F874" s="52"/>
      <c r="G874" s="52"/>
      <c r="H874" s="52"/>
    </row>
    <row r="875" spans="1:8" ht="12.75" x14ac:dyDescent="0.35">
      <c r="A875" s="52"/>
      <c r="B875" s="52"/>
      <c r="C875" s="52"/>
      <c r="D875" s="52"/>
      <c r="E875" s="52"/>
      <c r="F875" s="52"/>
      <c r="G875" s="52"/>
      <c r="H875" s="52"/>
    </row>
    <row r="876" spans="1:8" ht="12.75" x14ac:dyDescent="0.35">
      <c r="A876" s="52"/>
      <c r="B876" s="52"/>
      <c r="C876" s="52"/>
      <c r="D876" s="52"/>
      <c r="E876" s="52"/>
      <c r="F876" s="52"/>
      <c r="G876" s="52"/>
      <c r="H876" s="52"/>
    </row>
    <row r="877" spans="1:8" ht="12.75" x14ac:dyDescent="0.35">
      <c r="A877" s="52"/>
      <c r="B877" s="52"/>
      <c r="C877" s="52"/>
      <c r="D877" s="52"/>
      <c r="E877" s="52"/>
      <c r="F877" s="52"/>
      <c r="G877" s="52"/>
      <c r="H877" s="52"/>
    </row>
    <row r="878" spans="1:8" ht="12.75" x14ac:dyDescent="0.35">
      <c r="A878" s="52"/>
      <c r="B878" s="52"/>
      <c r="C878" s="52"/>
      <c r="D878" s="52"/>
      <c r="E878" s="52"/>
      <c r="F878" s="52"/>
      <c r="G878" s="52"/>
      <c r="H878" s="52"/>
    </row>
    <row r="879" spans="1:8" ht="12.75" x14ac:dyDescent="0.35">
      <c r="A879" s="52"/>
      <c r="B879" s="52"/>
      <c r="C879" s="52"/>
      <c r="D879" s="52"/>
      <c r="E879" s="52"/>
      <c r="F879" s="52"/>
      <c r="G879" s="52"/>
      <c r="H879" s="52"/>
    </row>
    <row r="880" spans="1:8" ht="12.75" x14ac:dyDescent="0.35">
      <c r="A880" s="52"/>
      <c r="B880" s="52"/>
      <c r="C880" s="52"/>
      <c r="D880" s="52"/>
      <c r="E880" s="52"/>
      <c r="F880" s="52"/>
      <c r="G880" s="52"/>
      <c r="H880" s="52"/>
    </row>
    <row r="881" spans="1:8" ht="12.75" x14ac:dyDescent="0.35">
      <c r="A881" s="52"/>
      <c r="B881" s="52"/>
      <c r="C881" s="52"/>
      <c r="D881" s="52"/>
      <c r="E881" s="52"/>
      <c r="F881" s="52"/>
      <c r="G881" s="52"/>
      <c r="H881" s="52"/>
    </row>
    <row r="882" spans="1:8" ht="12.75" x14ac:dyDescent="0.35">
      <c r="A882" s="52"/>
      <c r="B882" s="52"/>
      <c r="C882" s="52"/>
      <c r="D882" s="52"/>
      <c r="E882" s="52"/>
      <c r="F882" s="52"/>
      <c r="G882" s="52"/>
      <c r="H882" s="52"/>
    </row>
    <row r="883" spans="1:8" ht="12.75" x14ac:dyDescent="0.35">
      <c r="A883" s="52"/>
      <c r="B883" s="52"/>
      <c r="C883" s="52"/>
      <c r="D883" s="52"/>
      <c r="E883" s="52"/>
      <c r="F883" s="52"/>
      <c r="G883" s="52"/>
      <c r="H883" s="52"/>
    </row>
    <row r="884" spans="1:8" ht="12.75" x14ac:dyDescent="0.35">
      <c r="A884" s="52"/>
      <c r="B884" s="52"/>
      <c r="C884" s="52"/>
      <c r="D884" s="52"/>
      <c r="E884" s="52"/>
      <c r="F884" s="52"/>
      <c r="G884" s="52"/>
      <c r="H884" s="52"/>
    </row>
    <row r="885" spans="1:8" ht="12.75" x14ac:dyDescent="0.35">
      <c r="A885" s="52"/>
      <c r="B885" s="52"/>
      <c r="C885" s="52"/>
      <c r="D885" s="52"/>
      <c r="E885" s="52"/>
      <c r="F885" s="52"/>
      <c r="G885" s="52"/>
      <c r="H885" s="52"/>
    </row>
    <row r="886" spans="1:8" ht="12.75" x14ac:dyDescent="0.35">
      <c r="A886" s="52"/>
      <c r="B886" s="52"/>
      <c r="C886" s="52"/>
      <c r="D886" s="52"/>
      <c r="E886" s="52"/>
      <c r="F886" s="52"/>
      <c r="G886" s="52"/>
      <c r="H886" s="52"/>
    </row>
    <row r="887" spans="1:8" ht="12.75" x14ac:dyDescent="0.35">
      <c r="A887" s="52"/>
      <c r="B887" s="52"/>
      <c r="C887" s="52"/>
      <c r="D887" s="52"/>
      <c r="E887" s="52"/>
      <c r="F887" s="52"/>
      <c r="G887" s="52"/>
      <c r="H887" s="52"/>
    </row>
    <row r="888" spans="1:8" ht="12.75" x14ac:dyDescent="0.35">
      <c r="A888" s="52"/>
      <c r="B888" s="52"/>
      <c r="C888" s="52"/>
      <c r="D888" s="52"/>
      <c r="E888" s="52"/>
      <c r="F888" s="52"/>
      <c r="G888" s="52"/>
      <c r="H888" s="52"/>
    </row>
    <row r="889" spans="1:8" ht="12.75" x14ac:dyDescent="0.35">
      <c r="A889" s="52"/>
      <c r="B889" s="52"/>
      <c r="C889" s="52"/>
      <c r="D889" s="52"/>
      <c r="E889" s="52"/>
      <c r="F889" s="52"/>
      <c r="G889" s="52"/>
      <c r="H889" s="52"/>
    </row>
    <row r="890" spans="1:8" ht="12.75" x14ac:dyDescent="0.35">
      <c r="A890" s="52"/>
      <c r="B890" s="52"/>
      <c r="C890" s="52"/>
      <c r="D890" s="52"/>
      <c r="E890" s="52"/>
      <c r="F890" s="52"/>
      <c r="G890" s="52"/>
      <c r="H890" s="52"/>
    </row>
    <row r="891" spans="1:8" ht="12.75" x14ac:dyDescent="0.35">
      <c r="A891" s="52"/>
      <c r="B891" s="52"/>
      <c r="C891" s="52"/>
      <c r="D891" s="52"/>
      <c r="E891" s="52"/>
      <c r="F891" s="52"/>
      <c r="G891" s="52"/>
      <c r="H891" s="52"/>
    </row>
    <row r="892" spans="1:8" ht="12.75" x14ac:dyDescent="0.35">
      <c r="A892" s="52"/>
      <c r="B892" s="52"/>
      <c r="C892" s="52"/>
      <c r="D892" s="52"/>
      <c r="E892" s="52"/>
      <c r="F892" s="52"/>
      <c r="G892" s="52"/>
      <c r="H892" s="52"/>
    </row>
    <row r="893" spans="1:8" ht="12.75" x14ac:dyDescent="0.35">
      <c r="A893" s="52"/>
      <c r="B893" s="52"/>
      <c r="C893" s="52"/>
      <c r="D893" s="52"/>
      <c r="E893" s="52"/>
      <c r="F893" s="52"/>
      <c r="G893" s="52"/>
      <c r="H893" s="52"/>
    </row>
    <row r="894" spans="1:8" ht="12.75" x14ac:dyDescent="0.35">
      <c r="A894" s="52"/>
      <c r="B894" s="52"/>
      <c r="C894" s="52"/>
      <c r="D894" s="52"/>
      <c r="E894" s="52"/>
      <c r="F894" s="52"/>
      <c r="G894" s="52"/>
      <c r="H894" s="52"/>
    </row>
    <row r="895" spans="1:8" ht="12.75" x14ac:dyDescent="0.35">
      <c r="A895" s="52"/>
      <c r="B895" s="52"/>
      <c r="C895" s="52"/>
      <c r="D895" s="52"/>
      <c r="E895" s="52"/>
      <c r="F895" s="52"/>
      <c r="G895" s="52"/>
      <c r="H895" s="52"/>
    </row>
    <row r="896" spans="1:8" ht="12.75" x14ac:dyDescent="0.35">
      <c r="A896" s="52"/>
      <c r="B896" s="52"/>
      <c r="C896" s="52"/>
      <c r="D896" s="52"/>
      <c r="E896" s="52"/>
      <c r="F896" s="52"/>
      <c r="G896" s="52"/>
      <c r="H896" s="52"/>
    </row>
    <row r="897" spans="1:8" ht="12.75" x14ac:dyDescent="0.35">
      <c r="A897" s="52"/>
      <c r="B897" s="52"/>
      <c r="C897" s="52"/>
      <c r="D897" s="52"/>
      <c r="E897" s="52"/>
      <c r="F897" s="52"/>
      <c r="G897" s="52"/>
      <c r="H897" s="52"/>
    </row>
    <row r="898" spans="1:8" ht="12.75" x14ac:dyDescent="0.35">
      <c r="A898" s="52"/>
      <c r="B898" s="52"/>
      <c r="C898" s="52"/>
      <c r="D898" s="52"/>
      <c r="E898" s="52"/>
      <c r="F898" s="52"/>
      <c r="G898" s="52"/>
      <c r="H898" s="52"/>
    </row>
    <row r="899" spans="1:8" ht="12.75" x14ac:dyDescent="0.35">
      <c r="A899" s="52"/>
      <c r="B899" s="52"/>
      <c r="C899" s="52"/>
      <c r="D899" s="52"/>
      <c r="E899" s="52"/>
      <c r="F899" s="52"/>
      <c r="G899" s="52"/>
      <c r="H899" s="52"/>
    </row>
    <row r="900" spans="1:8" ht="12.75" x14ac:dyDescent="0.35">
      <c r="A900" s="52"/>
      <c r="B900" s="52"/>
      <c r="C900" s="52"/>
      <c r="D900" s="52"/>
      <c r="E900" s="52"/>
      <c r="F900" s="52"/>
      <c r="G900" s="52"/>
      <c r="H900" s="52"/>
    </row>
    <row r="901" spans="1:8" ht="12.75" x14ac:dyDescent="0.35">
      <c r="A901" s="52"/>
      <c r="B901" s="52"/>
      <c r="C901" s="52"/>
      <c r="D901" s="52"/>
      <c r="E901" s="52"/>
      <c r="F901" s="52"/>
      <c r="G901" s="52"/>
      <c r="H901" s="52"/>
    </row>
    <row r="902" spans="1:8" ht="12.75" x14ac:dyDescent="0.35">
      <c r="A902" s="52"/>
      <c r="B902" s="52"/>
      <c r="C902" s="52"/>
      <c r="D902" s="52"/>
      <c r="E902" s="52"/>
      <c r="F902" s="52"/>
      <c r="G902" s="52"/>
      <c r="H902" s="52"/>
    </row>
    <row r="903" spans="1:8" ht="12.75" x14ac:dyDescent="0.35">
      <c r="A903" s="52"/>
      <c r="B903" s="52"/>
      <c r="C903" s="52"/>
      <c r="D903" s="52"/>
      <c r="E903" s="52"/>
      <c r="F903" s="52"/>
      <c r="G903" s="52"/>
      <c r="H903" s="52"/>
    </row>
    <row r="904" spans="1:8" ht="12.75" x14ac:dyDescent="0.35">
      <c r="A904" s="52"/>
      <c r="B904" s="52"/>
      <c r="C904" s="52"/>
      <c r="D904" s="52"/>
      <c r="E904" s="52"/>
      <c r="F904" s="52"/>
      <c r="G904" s="52"/>
      <c r="H904" s="52"/>
    </row>
    <row r="905" spans="1:8" ht="12.75" x14ac:dyDescent="0.35">
      <c r="A905" s="52"/>
      <c r="B905" s="52"/>
      <c r="C905" s="52"/>
      <c r="D905" s="52"/>
      <c r="E905" s="52"/>
      <c r="F905" s="52"/>
      <c r="G905" s="52"/>
      <c r="H905" s="52"/>
    </row>
    <row r="906" spans="1:8" ht="12.75" x14ac:dyDescent="0.35">
      <c r="A906" s="52"/>
      <c r="B906" s="52"/>
      <c r="C906" s="52"/>
      <c r="D906" s="52"/>
      <c r="E906" s="52"/>
      <c r="F906" s="52"/>
      <c r="G906" s="52"/>
      <c r="H906" s="52"/>
    </row>
    <row r="907" spans="1:8" ht="12.75" x14ac:dyDescent="0.35">
      <c r="A907" s="52"/>
      <c r="B907" s="52"/>
      <c r="C907" s="52"/>
      <c r="D907" s="52"/>
      <c r="E907" s="52"/>
      <c r="F907" s="52"/>
      <c r="G907" s="52"/>
      <c r="H907" s="52"/>
    </row>
    <row r="908" spans="1:8" ht="12.75" x14ac:dyDescent="0.35">
      <c r="A908" s="52"/>
      <c r="B908" s="52"/>
      <c r="C908" s="52"/>
      <c r="D908" s="52"/>
      <c r="E908" s="52"/>
      <c r="F908" s="52"/>
      <c r="G908" s="52"/>
      <c r="H908" s="52"/>
    </row>
    <row r="909" spans="1:8" ht="12.75" x14ac:dyDescent="0.35">
      <c r="A909" s="52"/>
      <c r="B909" s="52"/>
      <c r="C909" s="52"/>
      <c r="D909" s="52"/>
      <c r="E909" s="52"/>
      <c r="F909" s="52"/>
      <c r="G909" s="52"/>
      <c r="H909" s="52"/>
    </row>
    <row r="910" spans="1:8" ht="12.75" x14ac:dyDescent="0.35">
      <c r="A910" s="52"/>
      <c r="B910" s="52"/>
      <c r="C910" s="52"/>
      <c r="D910" s="52"/>
      <c r="E910" s="52"/>
      <c r="F910" s="52"/>
      <c r="G910" s="52"/>
      <c r="H910" s="52"/>
    </row>
    <row r="911" spans="1:8" ht="12.75" x14ac:dyDescent="0.35">
      <c r="A911" s="52"/>
      <c r="B911" s="52"/>
      <c r="C911" s="52"/>
      <c r="D911" s="52"/>
      <c r="E911" s="52"/>
      <c r="F911" s="52"/>
      <c r="G911" s="52"/>
      <c r="H911" s="52"/>
    </row>
    <row r="912" spans="1:8" ht="12.75" x14ac:dyDescent="0.35">
      <c r="A912" s="52"/>
      <c r="B912" s="52"/>
      <c r="C912" s="52"/>
      <c r="D912" s="52"/>
      <c r="E912" s="52"/>
      <c r="F912" s="52"/>
      <c r="G912" s="52"/>
      <c r="H912" s="52"/>
    </row>
    <row r="913" spans="1:8" ht="12.75" x14ac:dyDescent="0.35">
      <c r="A913" s="52"/>
      <c r="B913" s="52"/>
      <c r="C913" s="52"/>
      <c r="D913" s="52"/>
      <c r="E913" s="52"/>
      <c r="F913" s="52"/>
      <c r="G913" s="52"/>
      <c r="H913" s="52"/>
    </row>
    <row r="914" spans="1:8" ht="12.75" x14ac:dyDescent="0.35">
      <c r="A914" s="52"/>
      <c r="B914" s="52"/>
      <c r="C914" s="52"/>
      <c r="D914" s="52"/>
      <c r="E914" s="52"/>
      <c r="F914" s="52"/>
      <c r="G914" s="52"/>
      <c r="H914" s="52"/>
    </row>
    <row r="915" spans="1:8" ht="12.75" x14ac:dyDescent="0.35">
      <c r="A915" s="52"/>
      <c r="B915" s="52"/>
      <c r="C915" s="52"/>
      <c r="D915" s="52"/>
      <c r="E915" s="52"/>
      <c r="F915" s="52"/>
      <c r="G915" s="52"/>
      <c r="H915" s="52"/>
    </row>
    <row r="916" spans="1:8" ht="12.75" x14ac:dyDescent="0.35">
      <c r="A916" s="52"/>
      <c r="B916" s="52"/>
      <c r="C916" s="52"/>
      <c r="D916" s="52"/>
      <c r="E916" s="52"/>
      <c r="F916" s="52"/>
      <c r="G916" s="52"/>
      <c r="H916" s="52"/>
    </row>
    <row r="917" spans="1:8" ht="12.75" x14ac:dyDescent="0.35">
      <c r="A917" s="52"/>
      <c r="B917" s="52"/>
      <c r="C917" s="52"/>
      <c r="D917" s="52"/>
      <c r="E917" s="52"/>
      <c r="F917" s="52"/>
      <c r="G917" s="52"/>
      <c r="H917" s="52"/>
    </row>
    <row r="918" spans="1:8" ht="12.75" x14ac:dyDescent="0.35">
      <c r="A918" s="52"/>
      <c r="B918" s="52"/>
      <c r="C918" s="52"/>
      <c r="D918" s="52"/>
      <c r="E918" s="52"/>
      <c r="F918" s="52"/>
      <c r="G918" s="52"/>
      <c r="H918" s="52"/>
    </row>
    <row r="919" spans="1:8" ht="12.75" x14ac:dyDescent="0.35">
      <c r="A919" s="52"/>
      <c r="B919" s="52"/>
      <c r="C919" s="52"/>
      <c r="D919" s="52"/>
      <c r="E919" s="52"/>
      <c r="F919" s="52"/>
      <c r="G919" s="52"/>
      <c r="H919" s="52"/>
    </row>
    <row r="920" spans="1:8" ht="12.75" x14ac:dyDescent="0.35">
      <c r="A920" s="52"/>
      <c r="B920" s="52"/>
      <c r="C920" s="52"/>
      <c r="D920" s="52"/>
      <c r="E920" s="52"/>
      <c r="F920" s="52"/>
      <c r="G920" s="52"/>
      <c r="H920" s="52"/>
    </row>
    <row r="921" spans="1:8" ht="12.75" x14ac:dyDescent="0.35">
      <c r="A921" s="52"/>
      <c r="B921" s="52"/>
      <c r="C921" s="52"/>
      <c r="D921" s="52"/>
      <c r="E921" s="52"/>
      <c r="F921" s="52"/>
      <c r="G921" s="52"/>
      <c r="H921" s="52"/>
    </row>
    <row r="922" spans="1:8" ht="12.75" x14ac:dyDescent="0.35">
      <c r="A922" s="52"/>
      <c r="B922" s="52"/>
      <c r="C922" s="52"/>
      <c r="D922" s="52"/>
      <c r="E922" s="52"/>
      <c r="F922" s="52"/>
      <c r="G922" s="52"/>
      <c r="H922" s="52"/>
    </row>
    <row r="923" spans="1:8" ht="12.75" x14ac:dyDescent="0.35">
      <c r="A923" s="52"/>
      <c r="B923" s="52"/>
      <c r="C923" s="52"/>
      <c r="D923" s="52"/>
      <c r="E923" s="52"/>
      <c r="F923" s="52"/>
      <c r="G923" s="52"/>
      <c r="H923" s="52"/>
    </row>
    <row r="924" spans="1:8" ht="12.75" x14ac:dyDescent="0.35">
      <c r="A924" s="52"/>
      <c r="B924" s="52"/>
      <c r="C924" s="52"/>
      <c r="D924" s="52"/>
      <c r="E924" s="52"/>
      <c r="F924" s="52"/>
      <c r="G924" s="52"/>
      <c r="H924" s="52"/>
    </row>
    <row r="925" spans="1:8" ht="12.75" x14ac:dyDescent="0.35">
      <c r="A925" s="52"/>
      <c r="B925" s="52"/>
      <c r="C925" s="52"/>
      <c r="D925" s="52"/>
      <c r="E925" s="52"/>
      <c r="F925" s="52"/>
      <c r="G925" s="52"/>
      <c r="H925" s="52"/>
    </row>
    <row r="926" spans="1:8" ht="12.75" x14ac:dyDescent="0.35">
      <c r="A926" s="52"/>
      <c r="B926" s="52"/>
      <c r="C926" s="52"/>
      <c r="D926" s="52"/>
      <c r="E926" s="52"/>
      <c r="F926" s="52"/>
      <c r="G926" s="52"/>
      <c r="H926" s="52"/>
    </row>
    <row r="927" spans="1:8" ht="12.75" x14ac:dyDescent="0.35">
      <c r="A927" s="52"/>
      <c r="B927" s="52"/>
      <c r="C927" s="52"/>
      <c r="D927" s="52"/>
      <c r="E927" s="52"/>
      <c r="F927" s="52"/>
      <c r="G927" s="52"/>
      <c r="H927" s="52"/>
    </row>
    <row r="928" spans="1:8" ht="12.75" x14ac:dyDescent="0.35">
      <c r="A928" s="52"/>
      <c r="B928" s="52"/>
      <c r="C928" s="52"/>
      <c r="D928" s="52"/>
      <c r="E928" s="52"/>
      <c r="F928" s="52"/>
      <c r="G928" s="52"/>
      <c r="H928" s="52"/>
    </row>
    <row r="929" spans="1:8" ht="12.75" x14ac:dyDescent="0.35">
      <c r="A929" s="52"/>
      <c r="B929" s="52"/>
      <c r="C929" s="52"/>
      <c r="D929" s="52"/>
      <c r="E929" s="52"/>
      <c r="F929" s="52"/>
      <c r="G929" s="52"/>
      <c r="H929" s="52"/>
    </row>
    <row r="930" spans="1:8" ht="12.75" x14ac:dyDescent="0.35">
      <c r="A930" s="52"/>
      <c r="B930" s="52"/>
      <c r="C930" s="52"/>
      <c r="D930" s="52"/>
      <c r="E930" s="52"/>
      <c r="F930" s="52"/>
      <c r="G930" s="52"/>
      <c r="H930" s="52"/>
    </row>
    <row r="931" spans="1:8" ht="12.75" x14ac:dyDescent="0.35">
      <c r="A931" s="52"/>
      <c r="B931" s="52"/>
      <c r="C931" s="52"/>
      <c r="D931" s="52"/>
      <c r="E931" s="52"/>
      <c r="F931" s="52"/>
      <c r="G931" s="52"/>
      <c r="H931" s="52"/>
    </row>
    <row r="932" spans="1:8" ht="12.75" x14ac:dyDescent="0.35">
      <c r="A932" s="52"/>
      <c r="B932" s="52"/>
      <c r="C932" s="52"/>
      <c r="D932" s="52"/>
      <c r="E932" s="52"/>
      <c r="F932" s="52"/>
      <c r="G932" s="52"/>
      <c r="H932" s="52"/>
    </row>
    <row r="933" spans="1:8" ht="12.75" x14ac:dyDescent="0.35">
      <c r="A933" s="52"/>
      <c r="B933" s="52"/>
      <c r="C933" s="52"/>
      <c r="D933" s="52"/>
      <c r="E933" s="52"/>
      <c r="F933" s="52"/>
      <c r="G933" s="52"/>
      <c r="H933" s="52"/>
    </row>
    <row r="934" spans="1:8" ht="12.75" x14ac:dyDescent="0.35">
      <c r="A934" s="52"/>
      <c r="B934" s="52"/>
      <c r="C934" s="52"/>
      <c r="D934" s="52"/>
      <c r="E934" s="52"/>
      <c r="F934" s="52"/>
      <c r="G934" s="52"/>
      <c r="H934" s="52"/>
    </row>
    <row r="935" spans="1:8" ht="12.75" x14ac:dyDescent="0.35">
      <c r="A935" s="52"/>
      <c r="B935" s="52"/>
      <c r="C935" s="52"/>
      <c r="D935" s="52"/>
      <c r="E935" s="52"/>
      <c r="F935" s="52"/>
      <c r="G935" s="52"/>
      <c r="H935" s="52"/>
    </row>
    <row r="936" spans="1:8" ht="12.75" x14ac:dyDescent="0.35">
      <c r="A936" s="52"/>
      <c r="B936" s="52"/>
      <c r="C936" s="52"/>
      <c r="D936" s="52"/>
      <c r="E936" s="52"/>
      <c r="F936" s="52"/>
      <c r="G936" s="52"/>
      <c r="H936" s="52"/>
    </row>
    <row r="937" spans="1:8" ht="12.75" x14ac:dyDescent="0.35">
      <c r="A937" s="52"/>
      <c r="B937" s="52"/>
      <c r="C937" s="52"/>
      <c r="D937" s="52"/>
      <c r="E937" s="52"/>
      <c r="F937" s="52"/>
      <c r="G937" s="52"/>
      <c r="H937" s="52"/>
    </row>
    <row r="938" spans="1:8" ht="12.75" x14ac:dyDescent="0.35">
      <c r="A938" s="52"/>
      <c r="B938" s="52"/>
      <c r="C938" s="52"/>
      <c r="D938" s="52"/>
      <c r="E938" s="52"/>
      <c r="F938" s="52"/>
      <c r="G938" s="52"/>
      <c r="H938" s="52"/>
    </row>
    <row r="939" spans="1:8" ht="12.75" x14ac:dyDescent="0.35">
      <c r="A939" s="52"/>
      <c r="B939" s="52"/>
      <c r="C939" s="52"/>
      <c r="D939" s="52"/>
      <c r="E939" s="52"/>
      <c r="F939" s="52"/>
      <c r="G939" s="52"/>
      <c r="H939" s="52"/>
    </row>
    <row r="940" spans="1:8" ht="12.75" x14ac:dyDescent="0.35">
      <c r="A940" s="52"/>
      <c r="B940" s="52"/>
      <c r="C940" s="52"/>
      <c r="D940" s="52"/>
      <c r="E940" s="52"/>
      <c r="F940" s="52"/>
      <c r="G940" s="52"/>
      <c r="H940" s="52"/>
    </row>
    <row r="941" spans="1:8" ht="12.75" x14ac:dyDescent="0.35">
      <c r="A941" s="52"/>
      <c r="B941" s="52"/>
      <c r="C941" s="52"/>
      <c r="D941" s="52"/>
      <c r="E941" s="52"/>
      <c r="F941" s="52"/>
      <c r="G941" s="52"/>
      <c r="H941" s="52"/>
    </row>
    <row r="942" spans="1:8" ht="12.75" x14ac:dyDescent="0.35">
      <c r="A942" s="52"/>
      <c r="B942" s="52"/>
      <c r="C942" s="52"/>
      <c r="D942" s="52"/>
      <c r="E942" s="52"/>
      <c r="F942" s="52"/>
      <c r="G942" s="52"/>
      <c r="H942" s="52"/>
    </row>
    <row r="943" spans="1:8" ht="12.75" x14ac:dyDescent="0.35">
      <c r="A943" s="52"/>
      <c r="B943" s="52"/>
      <c r="C943" s="52"/>
      <c r="D943" s="52"/>
      <c r="E943" s="52"/>
      <c r="F943" s="52"/>
      <c r="G943" s="52"/>
      <c r="H943" s="52"/>
    </row>
    <row r="944" spans="1:8" ht="12.75" x14ac:dyDescent="0.35">
      <c r="A944" s="52"/>
      <c r="B944" s="52"/>
      <c r="C944" s="52"/>
      <c r="D944" s="52"/>
      <c r="E944" s="52"/>
      <c r="F944" s="52"/>
      <c r="G944" s="52"/>
      <c r="H944" s="52"/>
    </row>
    <row r="945" spans="1:8" ht="12.75" x14ac:dyDescent="0.35">
      <c r="A945" s="52"/>
      <c r="B945" s="52"/>
      <c r="C945" s="52"/>
      <c r="D945" s="52"/>
      <c r="E945" s="52"/>
      <c r="F945" s="52"/>
      <c r="G945" s="52"/>
      <c r="H945" s="52"/>
    </row>
    <row r="946" spans="1:8" ht="12.75" x14ac:dyDescent="0.35">
      <c r="A946" s="52"/>
      <c r="B946" s="52"/>
      <c r="C946" s="52"/>
      <c r="D946" s="52"/>
      <c r="E946" s="52"/>
      <c r="F946" s="52"/>
      <c r="G946" s="52"/>
      <c r="H946" s="52"/>
    </row>
    <row r="947" spans="1:8" ht="12.75" x14ac:dyDescent="0.35">
      <c r="A947" s="52"/>
      <c r="B947" s="52"/>
      <c r="C947" s="52"/>
      <c r="D947" s="52"/>
      <c r="E947" s="52"/>
      <c r="F947" s="52"/>
      <c r="G947" s="52"/>
      <c r="H947" s="52"/>
    </row>
    <row r="948" spans="1:8" ht="12.75" x14ac:dyDescent="0.35">
      <c r="A948" s="52"/>
      <c r="B948" s="52"/>
      <c r="C948" s="52"/>
      <c r="D948" s="52"/>
      <c r="E948" s="52"/>
      <c r="F948" s="52"/>
      <c r="G948" s="52"/>
      <c r="H948" s="52"/>
    </row>
    <row r="949" spans="1:8" ht="12.75" x14ac:dyDescent="0.35">
      <c r="A949" s="52"/>
      <c r="B949" s="52"/>
      <c r="C949" s="52"/>
      <c r="D949" s="52"/>
      <c r="E949" s="52"/>
      <c r="F949" s="52"/>
      <c r="G949" s="52"/>
      <c r="H949" s="52"/>
    </row>
    <row r="950" spans="1:8" ht="12.75" x14ac:dyDescent="0.35">
      <c r="A950" s="52"/>
      <c r="B950" s="52"/>
      <c r="C950" s="52"/>
      <c r="D950" s="52"/>
      <c r="E950" s="52"/>
      <c r="F950" s="52"/>
      <c r="G950" s="52"/>
      <c r="H950" s="52"/>
    </row>
    <row r="951" spans="1:8" ht="12.75" x14ac:dyDescent="0.35">
      <c r="A951" s="52"/>
      <c r="B951" s="52"/>
      <c r="C951" s="52"/>
      <c r="D951" s="52"/>
      <c r="E951" s="52"/>
      <c r="F951" s="52"/>
      <c r="G951" s="52"/>
      <c r="H951" s="52"/>
    </row>
    <row r="952" spans="1:8" ht="12.75" x14ac:dyDescent="0.35">
      <c r="A952" s="52"/>
      <c r="B952" s="52"/>
      <c r="C952" s="52"/>
      <c r="D952" s="52"/>
      <c r="E952" s="52"/>
      <c r="F952" s="52"/>
      <c r="G952" s="52"/>
      <c r="H952" s="52"/>
    </row>
    <row r="953" spans="1:8" ht="12.75" x14ac:dyDescent="0.35">
      <c r="A953" s="52"/>
      <c r="B953" s="52"/>
      <c r="C953" s="52"/>
      <c r="D953" s="52"/>
      <c r="E953" s="52"/>
      <c r="F953" s="52"/>
      <c r="G953" s="52"/>
      <c r="H953" s="52"/>
    </row>
    <row r="954" spans="1:8" ht="12.75" x14ac:dyDescent="0.35">
      <c r="A954" s="52"/>
      <c r="B954" s="52"/>
      <c r="C954" s="52"/>
      <c r="D954" s="52"/>
      <c r="E954" s="52"/>
      <c r="F954" s="52"/>
      <c r="G954" s="52"/>
      <c r="H954" s="52"/>
    </row>
    <row r="955" spans="1:8" ht="12.75" x14ac:dyDescent="0.35">
      <c r="A955" s="52"/>
      <c r="B955" s="52"/>
      <c r="C955" s="52"/>
      <c r="D955" s="52"/>
      <c r="E955" s="52"/>
      <c r="F955" s="52"/>
      <c r="G955" s="52"/>
      <c r="H955" s="52"/>
    </row>
    <row r="956" spans="1:8" ht="12.75" x14ac:dyDescent="0.35">
      <c r="A956" s="52"/>
      <c r="B956" s="52"/>
      <c r="C956" s="52"/>
      <c r="D956" s="52"/>
      <c r="E956" s="52"/>
      <c r="F956" s="52"/>
      <c r="G956" s="52"/>
      <c r="H956" s="52"/>
    </row>
    <row r="957" spans="1:8" ht="12.75" x14ac:dyDescent="0.35">
      <c r="A957" s="52"/>
      <c r="B957" s="52"/>
      <c r="C957" s="52"/>
      <c r="D957" s="52"/>
      <c r="E957" s="52"/>
      <c r="F957" s="52"/>
      <c r="G957" s="52"/>
      <c r="H957" s="52"/>
    </row>
    <row r="958" spans="1:8" ht="12.75" x14ac:dyDescent="0.35">
      <c r="A958" s="52"/>
      <c r="B958" s="52"/>
      <c r="C958" s="52"/>
      <c r="D958" s="52"/>
      <c r="E958" s="52"/>
      <c r="F958" s="52"/>
      <c r="G958" s="52"/>
      <c r="H958" s="52"/>
    </row>
    <row r="959" spans="1:8" ht="12.75" x14ac:dyDescent="0.35">
      <c r="A959" s="52"/>
      <c r="B959" s="52"/>
      <c r="C959" s="52"/>
      <c r="D959" s="52"/>
      <c r="E959" s="52"/>
      <c r="F959" s="52"/>
      <c r="G959" s="52"/>
      <c r="H959" s="52"/>
    </row>
    <row r="960" spans="1:8" ht="12.75" x14ac:dyDescent="0.35">
      <c r="A960" s="52"/>
      <c r="B960" s="52"/>
      <c r="C960" s="52"/>
      <c r="D960" s="52"/>
      <c r="E960" s="52"/>
      <c r="F960" s="52"/>
      <c r="G960" s="52"/>
      <c r="H960" s="52"/>
    </row>
    <row r="961" spans="1:8" ht="12.75" x14ac:dyDescent="0.35">
      <c r="A961" s="52"/>
      <c r="B961" s="52"/>
      <c r="C961" s="52"/>
      <c r="D961" s="52"/>
      <c r="E961" s="52"/>
      <c r="F961" s="52"/>
      <c r="G961" s="52"/>
      <c r="H961" s="52"/>
    </row>
    <row r="962" spans="1:8" ht="12.75" x14ac:dyDescent="0.35">
      <c r="A962" s="52"/>
      <c r="B962" s="52"/>
      <c r="C962" s="52"/>
      <c r="D962" s="52"/>
      <c r="E962" s="52"/>
      <c r="F962" s="52"/>
      <c r="G962" s="52"/>
      <c r="H962" s="52"/>
    </row>
    <row r="963" spans="1:8" ht="12.75" x14ac:dyDescent="0.35">
      <c r="A963" s="52"/>
      <c r="B963" s="52"/>
      <c r="C963" s="52"/>
      <c r="D963" s="52"/>
      <c r="E963" s="52"/>
      <c r="F963" s="52"/>
      <c r="G963" s="52"/>
      <c r="H963" s="52"/>
    </row>
    <row r="964" spans="1:8" ht="12.75" x14ac:dyDescent="0.35">
      <c r="A964" s="52"/>
      <c r="B964" s="52"/>
      <c r="C964" s="52"/>
      <c r="D964" s="52"/>
      <c r="E964" s="52"/>
      <c r="F964" s="52"/>
      <c r="G964" s="52"/>
      <c r="H964" s="52"/>
    </row>
    <row r="965" spans="1:8" ht="12.75" x14ac:dyDescent="0.35">
      <c r="A965" s="52"/>
      <c r="B965" s="52"/>
      <c r="C965" s="52"/>
      <c r="D965" s="52"/>
      <c r="E965" s="52"/>
      <c r="F965" s="52"/>
      <c r="G965" s="52"/>
      <c r="H965" s="52"/>
    </row>
    <row r="966" spans="1:8" ht="12.75" x14ac:dyDescent="0.35">
      <c r="A966" s="52"/>
      <c r="B966" s="52"/>
      <c r="C966" s="52"/>
      <c r="D966" s="52"/>
      <c r="E966" s="52"/>
      <c r="F966" s="52"/>
      <c r="G966" s="52"/>
      <c r="H966" s="52"/>
    </row>
    <row r="967" spans="1:8" ht="12.75" x14ac:dyDescent="0.35">
      <c r="A967" s="52"/>
      <c r="B967" s="52"/>
      <c r="C967" s="52"/>
      <c r="D967" s="52"/>
      <c r="E967" s="52"/>
      <c r="F967" s="52"/>
      <c r="G967" s="52"/>
      <c r="H967" s="52"/>
    </row>
    <row r="968" spans="1:8" ht="12.75" x14ac:dyDescent="0.35">
      <c r="A968" s="52"/>
      <c r="B968" s="52"/>
      <c r="C968" s="52"/>
      <c r="D968" s="52"/>
      <c r="E968" s="52"/>
      <c r="F968" s="52"/>
      <c r="G968" s="52"/>
      <c r="H968" s="52"/>
    </row>
    <row r="969" spans="1:8" ht="12.75" x14ac:dyDescent="0.35">
      <c r="A969" s="52"/>
      <c r="B969" s="52"/>
      <c r="C969" s="52"/>
      <c r="D969" s="52"/>
      <c r="E969" s="52"/>
      <c r="F969" s="52"/>
      <c r="G969" s="52"/>
      <c r="H969" s="52"/>
    </row>
    <row r="970" spans="1:8" ht="12.75" x14ac:dyDescent="0.35">
      <c r="A970" s="52"/>
      <c r="B970" s="52"/>
      <c r="C970" s="52"/>
      <c r="D970" s="52"/>
      <c r="E970" s="52"/>
      <c r="F970" s="52"/>
      <c r="G970" s="52"/>
      <c r="H970" s="52"/>
    </row>
    <row r="971" spans="1:8" ht="12.75" x14ac:dyDescent="0.35">
      <c r="A971" s="52"/>
      <c r="B971" s="52"/>
      <c r="C971" s="52"/>
      <c r="D971" s="52"/>
      <c r="E971" s="52"/>
      <c r="F971" s="52"/>
      <c r="G971" s="52"/>
      <c r="H971" s="52"/>
    </row>
    <row r="972" spans="1:8" ht="12.75" x14ac:dyDescent="0.35">
      <c r="A972" s="52"/>
      <c r="B972" s="52"/>
      <c r="C972" s="52"/>
      <c r="D972" s="52"/>
      <c r="E972" s="52"/>
      <c r="F972" s="52"/>
      <c r="G972" s="52"/>
      <c r="H972" s="52"/>
    </row>
    <row r="973" spans="1:8" ht="12.75" x14ac:dyDescent="0.35">
      <c r="A973" s="52"/>
      <c r="B973" s="52"/>
      <c r="C973" s="52"/>
      <c r="D973" s="52"/>
      <c r="E973" s="52"/>
      <c r="F973" s="52"/>
      <c r="G973" s="52"/>
      <c r="H973" s="52"/>
    </row>
    <row r="974" spans="1:8" ht="12.75" x14ac:dyDescent="0.35">
      <c r="A974" s="52"/>
      <c r="B974" s="52"/>
      <c r="C974" s="52"/>
      <c r="D974" s="52"/>
      <c r="E974" s="52"/>
      <c r="F974" s="52"/>
      <c r="G974" s="52"/>
      <c r="H974" s="52"/>
    </row>
    <row r="975" spans="1:8" ht="12.75" x14ac:dyDescent="0.35">
      <c r="A975" s="52"/>
      <c r="B975" s="52"/>
      <c r="C975" s="52"/>
      <c r="D975" s="52"/>
      <c r="E975" s="52"/>
      <c r="F975" s="52"/>
      <c r="G975" s="52"/>
      <c r="H975" s="52"/>
    </row>
    <row r="976" spans="1:8" ht="12.75" x14ac:dyDescent="0.35">
      <c r="A976" s="52"/>
      <c r="B976" s="52"/>
      <c r="C976" s="52"/>
      <c r="D976" s="52"/>
      <c r="E976" s="52"/>
      <c r="F976" s="52"/>
      <c r="G976" s="52"/>
      <c r="H976" s="52"/>
    </row>
    <row r="977" spans="1:8" ht="12.75" x14ac:dyDescent="0.35">
      <c r="A977" s="52"/>
      <c r="B977" s="52"/>
      <c r="C977" s="52"/>
      <c r="D977" s="52"/>
      <c r="E977" s="52"/>
      <c r="F977" s="52"/>
      <c r="G977" s="52"/>
      <c r="H977" s="52"/>
    </row>
    <row r="978" spans="1:8" ht="12.75" x14ac:dyDescent="0.35">
      <c r="A978" s="52"/>
      <c r="B978" s="52"/>
      <c r="C978" s="52"/>
      <c r="D978" s="52"/>
      <c r="E978" s="52"/>
      <c r="F978" s="52"/>
      <c r="G978" s="52"/>
      <c r="H978" s="52"/>
    </row>
    <row r="979" spans="1:8" ht="12.75" x14ac:dyDescent="0.35">
      <c r="A979" s="52"/>
      <c r="B979" s="52"/>
      <c r="C979" s="52"/>
      <c r="D979" s="52"/>
      <c r="E979" s="52"/>
      <c r="F979" s="52"/>
      <c r="G979" s="52"/>
      <c r="H979" s="52"/>
    </row>
    <row r="980" spans="1:8" ht="12.75" x14ac:dyDescent="0.35">
      <c r="A980" s="52"/>
      <c r="B980" s="52"/>
      <c r="C980" s="52"/>
      <c r="D980" s="52"/>
      <c r="E980" s="52"/>
      <c r="F980" s="52"/>
      <c r="G980" s="52"/>
      <c r="H980" s="52"/>
    </row>
    <row r="981" spans="1:8" ht="12.75" x14ac:dyDescent="0.35">
      <c r="A981" s="52"/>
      <c r="B981" s="52"/>
      <c r="C981" s="52"/>
      <c r="D981" s="52"/>
      <c r="E981" s="52"/>
      <c r="F981" s="52"/>
      <c r="G981" s="52"/>
      <c r="H981" s="52"/>
    </row>
    <row r="982" spans="1:8" ht="12.75" x14ac:dyDescent="0.35">
      <c r="A982" s="52"/>
      <c r="B982" s="52"/>
      <c r="C982" s="52"/>
      <c r="D982" s="52"/>
      <c r="E982" s="52"/>
      <c r="F982" s="52"/>
      <c r="G982" s="52"/>
      <c r="H982" s="52"/>
    </row>
    <row r="983" spans="1:8" ht="12.75" x14ac:dyDescent="0.35">
      <c r="A983" s="52"/>
      <c r="B983" s="52"/>
      <c r="C983" s="52"/>
      <c r="D983" s="52"/>
      <c r="E983" s="52"/>
      <c r="F983" s="52"/>
      <c r="G983" s="52"/>
      <c r="H983" s="52"/>
    </row>
    <row r="984" spans="1:8" ht="12.75" x14ac:dyDescent="0.35">
      <c r="A984" s="52"/>
      <c r="B984" s="52"/>
      <c r="C984" s="52"/>
      <c r="D984" s="52"/>
      <c r="E984" s="52"/>
      <c r="F984" s="52"/>
      <c r="G984" s="52"/>
      <c r="H984" s="52"/>
    </row>
    <row r="985" spans="1:8" ht="12.75" x14ac:dyDescent="0.35">
      <c r="A985" s="52"/>
      <c r="B985" s="52"/>
      <c r="C985" s="52"/>
      <c r="D985" s="52"/>
      <c r="E985" s="52"/>
      <c r="F985" s="52"/>
      <c r="G985" s="52"/>
      <c r="H985" s="52"/>
    </row>
    <row r="986" spans="1:8" ht="12.75" x14ac:dyDescent="0.35">
      <c r="A986" s="52"/>
      <c r="B986" s="52"/>
      <c r="C986" s="52"/>
      <c r="D986" s="52"/>
      <c r="E986" s="52"/>
      <c r="F986" s="52"/>
      <c r="G986" s="52"/>
      <c r="H986" s="52"/>
    </row>
    <row r="987" spans="1:8" ht="12.75" x14ac:dyDescent="0.35">
      <c r="A987" s="52"/>
      <c r="B987" s="52"/>
      <c r="C987" s="52"/>
      <c r="D987" s="52"/>
      <c r="E987" s="52"/>
      <c r="F987" s="52"/>
      <c r="G987" s="52"/>
      <c r="H987" s="52"/>
    </row>
    <row r="988" spans="1:8" ht="12.75" x14ac:dyDescent="0.35">
      <c r="A988" s="52"/>
      <c r="B988" s="52"/>
      <c r="C988" s="52"/>
      <c r="D988" s="52"/>
      <c r="E988" s="52"/>
      <c r="F988" s="52"/>
      <c r="G988" s="52"/>
      <c r="H988" s="52"/>
    </row>
    <row r="989" spans="1:8" ht="12.75" x14ac:dyDescent="0.35">
      <c r="A989" s="52"/>
      <c r="B989" s="52"/>
      <c r="C989" s="52"/>
      <c r="D989" s="52"/>
      <c r="E989" s="52"/>
      <c r="F989" s="52"/>
      <c r="G989" s="52"/>
      <c r="H989" s="52"/>
    </row>
    <row r="990" spans="1:8" ht="12.75" x14ac:dyDescent="0.35">
      <c r="A990" s="52"/>
      <c r="B990" s="52"/>
      <c r="C990" s="52"/>
      <c r="D990" s="52"/>
      <c r="E990" s="52"/>
      <c r="F990" s="52"/>
      <c r="G990" s="52"/>
      <c r="H990" s="52"/>
    </row>
    <row r="991" spans="1:8" ht="12.75" x14ac:dyDescent="0.35">
      <c r="A991" s="52"/>
      <c r="B991" s="52"/>
      <c r="C991" s="52"/>
      <c r="D991" s="52"/>
      <c r="E991" s="52"/>
      <c r="F991" s="52"/>
      <c r="G991" s="52"/>
      <c r="H991" s="52"/>
    </row>
    <row r="992" spans="1:8" ht="12.75" x14ac:dyDescent="0.35">
      <c r="A992" s="52"/>
      <c r="B992" s="52"/>
      <c r="C992" s="52"/>
      <c r="D992" s="52"/>
      <c r="E992" s="52"/>
      <c r="F992" s="52"/>
      <c r="G992" s="52"/>
      <c r="H992" s="52"/>
    </row>
    <row r="993" spans="1:8" ht="12.75" x14ac:dyDescent="0.35">
      <c r="A993" s="52"/>
      <c r="B993" s="52"/>
      <c r="C993" s="52"/>
      <c r="D993" s="52"/>
      <c r="E993" s="52"/>
      <c r="F993" s="52"/>
      <c r="G993" s="52"/>
      <c r="H993" s="52"/>
    </row>
    <row r="994" spans="1:8" ht="12.75" x14ac:dyDescent="0.35">
      <c r="A994" s="52"/>
      <c r="B994" s="52"/>
      <c r="C994" s="52"/>
      <c r="D994" s="52"/>
      <c r="E994" s="52"/>
      <c r="F994" s="52"/>
      <c r="G994" s="52"/>
      <c r="H994" s="52"/>
    </row>
    <row r="995" spans="1:8" ht="12.75" x14ac:dyDescent="0.35">
      <c r="A995" s="52"/>
      <c r="B995" s="52"/>
      <c r="C995" s="52"/>
      <c r="D995" s="52"/>
      <c r="E995" s="52"/>
      <c r="F995" s="52"/>
      <c r="G995" s="52"/>
      <c r="H995" s="52"/>
    </row>
    <row r="996" spans="1:8" ht="12.75" x14ac:dyDescent="0.35">
      <c r="A996" s="52"/>
      <c r="B996" s="52"/>
      <c r="C996" s="52"/>
      <c r="D996" s="52"/>
      <c r="E996" s="52"/>
      <c r="F996" s="52"/>
      <c r="G996" s="52"/>
      <c r="H996" s="52"/>
    </row>
    <row r="997" spans="1:8" ht="12.75" x14ac:dyDescent="0.35">
      <c r="A997" s="52"/>
      <c r="B997" s="52"/>
      <c r="C997" s="52"/>
      <c r="D997" s="52"/>
      <c r="E997" s="52"/>
      <c r="F997" s="52"/>
      <c r="G997" s="52"/>
      <c r="H997" s="52"/>
    </row>
    <row r="998" spans="1:8" ht="12.75" x14ac:dyDescent="0.35">
      <c r="A998" s="52"/>
      <c r="B998" s="52"/>
      <c r="C998" s="52"/>
      <c r="D998" s="52"/>
      <c r="E998" s="52"/>
      <c r="F998" s="52"/>
      <c r="G998" s="52"/>
      <c r="H998" s="52"/>
    </row>
    <row r="999" spans="1:8" ht="12.75" x14ac:dyDescent="0.35">
      <c r="A999" s="52"/>
      <c r="B999" s="52"/>
      <c r="C999" s="52"/>
      <c r="D999" s="52"/>
      <c r="E999" s="52"/>
      <c r="F999" s="52"/>
      <c r="G999" s="52"/>
      <c r="H999" s="52"/>
    </row>
    <row r="1000" spans="1:8" ht="12.75" x14ac:dyDescent="0.35">
      <c r="A1000" s="52"/>
      <c r="B1000" s="52"/>
      <c r="C1000" s="52"/>
      <c r="D1000" s="52"/>
      <c r="E1000" s="52"/>
      <c r="F1000" s="52"/>
      <c r="G1000" s="52"/>
      <c r="H1000" s="52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オンコール名簿</vt:lpstr>
      <vt:lpstr>暫定シフト表</vt:lpstr>
      <vt:lpstr>統計②</vt:lpstr>
      <vt:lpstr>統計①</vt:lpstr>
      <vt:lpstr>フォーム回答</vt:lpstr>
      <vt:lpstr>確定シフト表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Niimi</dc:creator>
  <cp:lastModifiedBy>Nozomi Niimi</cp:lastModifiedBy>
  <dcterms:modified xsi:type="dcterms:W3CDTF">2023-03-08T08:54:38Z</dcterms:modified>
</cp:coreProperties>
</file>