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415" tabRatio="784"/>
  </bookViews>
  <sheets>
    <sheet name="PPh 21 Pegawai Tetap" sheetId="1" r:id="rId1"/>
    <sheet name="PPh 21 Pegawai Mutasi" sheetId="6" r:id="rId2"/>
    <sheet name="PPh 21 Masa Pajak Terakhir" sheetId="7" r:id="rId3"/>
    <sheet name="PPh 21 Pegawai Tidak Tetap" sheetId="2" r:id="rId4"/>
    <sheet name="PPh 21 Bukan Pegawai" sheetId="8" r:id="rId5"/>
  </sheets>
  <definedNames>
    <definedName name="Status_PTKP">'PPh 21 Pegawai Tetap'!$P$29:$P$36</definedName>
    <definedName name="Nama_Bulan">'PPh 21 Bukan Pegawai'!$C$8:$C$19</definedName>
    <definedName name="Januari">'PPh 21 Pegawai Tetap'!$B$4</definedName>
    <definedName name="Februari">'PPh 21 Pegawai Tetap'!$B$50</definedName>
    <definedName name="Maret">'PPh 21 Pegawai Tetap'!$B$96</definedName>
    <definedName name="April">'PPh 21 Pegawai Tetap'!$B$142</definedName>
    <definedName name="Mei">'PPh 21 Pegawai Tetap'!$B$188</definedName>
    <definedName name="Juni">'PPh 21 Pegawai Tetap'!$B$234</definedName>
    <definedName name="Juli">'PPh 21 Pegawai Tetap'!$B$280</definedName>
    <definedName name="Agustus">'PPh 21 Pegawai Tetap'!$B$326</definedName>
    <definedName name="September">'PPh 21 Pegawai Tetap'!$B$372</definedName>
    <definedName name="Oktober">'PPh 21 Pegawai Tetap'!$B$418</definedName>
    <definedName name="November">'PPh 21 Pegawai Tetap'!$B$464</definedName>
    <definedName name="Desember">'PPh 21 Pegawai Tetap'!$B$510</definedName>
    <definedName name="Ya" localSheetId="2">'PPh 21 Masa Pajak Terakhir'!$S$7</definedName>
    <definedName name="Yes" localSheetId="2">'PPh 21 Masa Pajak Terakhir'!$S$8</definedName>
    <definedName name="Tidak" localSheetId="2">'PPh 21 Masa Pajak Terakhir'!$S$9:$S$10</definedName>
  </definedNames>
  <calcPr calcId="144525"/>
</workbook>
</file>

<file path=xl/sharedStrings.xml><?xml version="1.0" encoding="utf-8"?>
<sst xmlns="http://schemas.openxmlformats.org/spreadsheetml/2006/main" count="1124" uniqueCount="108">
  <si>
    <t>Nama</t>
  </si>
  <si>
    <t>PTKP</t>
  </si>
  <si>
    <t>TK/0</t>
  </si>
  <si>
    <t>Ph. Neto</t>
  </si>
  <si>
    <t>Disetahunkan</t>
  </si>
  <si>
    <t>Setahun</t>
  </si>
  <si>
    <t>Lihat 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</si>
  <si>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</si>
  <si>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</si>
  <si>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</si>
  <si>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</si>
  <si>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</si>
  <si>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</si>
  <si>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</si>
  <si>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</si>
  <si>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</si>
  <si>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</si>
  <si>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</si>
  <si>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</si>
  <si>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Masa Pajak Terakhir</t>
  </si>
  <si>
    <t>PPh 21 atas Penghasilan Teratur</t>
  </si>
  <si>
    <t>PPh 21 atas Penghasilan Tidak Teratur</t>
  </si>
  <si>
    <t>NPWP</t>
  </si>
  <si>
    <t>Ada</t>
  </si>
  <si>
    <t>Gaji</t>
  </si>
  <si>
    <t>Tunjangan</t>
  </si>
  <si>
    <t>Uang Makan</t>
  </si>
  <si>
    <t>Nominal</t>
  </si>
  <si>
    <t>Tarif</t>
  </si>
  <si>
    <t>Premi Asuransi dibayar pemberi kerja</t>
  </si>
  <si>
    <t>Uang Lembur</t>
  </si>
  <si>
    <t>Natura</t>
  </si>
  <si>
    <t>Ph. Bruto</t>
  </si>
  <si>
    <t>Ph. Tak Teratur (Bonus, THR, sejenisnya)</t>
  </si>
  <si>
    <t>Biaya Jabatan</t>
  </si>
  <si>
    <t>Iuran Pensiun/JHT/THT dibayar sendiri</t>
  </si>
  <si>
    <t>Zakat</t>
  </si>
  <si>
    <t>PhKP</t>
  </si>
  <si>
    <t>PPh 21</t>
  </si>
  <si>
    <t>PPh 21 Bulanan</t>
  </si>
  <si>
    <t>PPh 21 atas Ph. Tak Teratur</t>
  </si>
  <si>
    <t>PPh 21 atas Rapel</t>
  </si>
  <si>
    <t>Jumlah bulan Rapel</t>
  </si>
  <si>
    <t>Status PTKP</t>
  </si>
  <si>
    <t>TK/</t>
  </si>
  <si>
    <t>Gaji setelah Rapel</t>
  </si>
  <si>
    <t>Rapel</t>
  </si>
  <si>
    <t>Tunjangan setelah Rapel</t>
  </si>
  <si>
    <t>K/</t>
  </si>
  <si>
    <t>PPh 21 Bulanan setelah Rapel</t>
  </si>
  <si>
    <t>Total PPh 21 yang dipotong bulan ini :</t>
  </si>
  <si>
    <t>Lebih potong masa sebelumnya akibat penghitungan ulang setelah ber-NPWP</t>
  </si>
  <si>
    <t>Hitung</t>
  </si>
  <si>
    <t>Nama :</t>
  </si>
  <si>
    <t>Tidak Ada</t>
  </si>
  <si>
    <t>Cabang baru</t>
  </si>
  <si>
    <t>Cabang lama</t>
  </si>
  <si>
    <t>Total</t>
  </si>
  <si>
    <t>Terutang Total</t>
  </si>
  <si>
    <t>Telah Dipotong</t>
  </si>
  <si>
    <t>Terutang di Cabang baru</t>
  </si>
  <si>
    <t>Sama dengan bulan sebelumnya</t>
  </si>
  <si>
    <t>Hitung baru</t>
  </si>
  <si>
    <t>Masa pajak pertama</t>
  </si>
  <si>
    <t>Jumlah Bulan Kerja</t>
  </si>
  <si>
    <t>Masa pajak terakhir</t>
  </si>
  <si>
    <t>Histori pemotongan PPh 21 :</t>
  </si>
  <si>
    <t>Indikator</t>
  </si>
  <si>
    <t>Ph. Tak Teratur</t>
  </si>
  <si>
    <t>Terutang</t>
  </si>
  <si>
    <t>PPh 21 Telah Dipotong</t>
  </si>
  <si>
    <t>PPh 21 Kurang (Lebih) Bayar</t>
  </si>
  <si>
    <t>Penghasilan/Bulan</t>
  </si>
  <si>
    <t>Rapel Gaji</t>
  </si>
  <si>
    <t>Rapel Tunjangan</t>
  </si>
  <si>
    <t>Dengan Upah Harian</t>
  </si>
  <si>
    <t>Dengan Upah Mingguan</t>
  </si>
  <si>
    <t>Hari Kerja dalam seminggu</t>
  </si>
  <si>
    <t>Hari ke-</t>
  </si>
  <si>
    <t>Upah harian</t>
  </si>
  <si>
    <t>Upah Kumulatif</t>
  </si>
  <si>
    <t>PPh 21 atas 
Upah Harian</t>
  </si>
  <si>
    <t>PPh 21 atas 
Upah Kumulatif</t>
  </si>
  <si>
    <t>PPh 21 
telah dipotong</t>
  </si>
  <si>
    <t>Minggu ke-</t>
  </si>
  <si>
    <t>Upah 
Mingguan</t>
  </si>
  <si>
    <t>Upah 
Kumulatif</t>
  </si>
  <si>
    <t>PPh 21 atas dasar
Upah Harian</t>
  </si>
  <si>
    <t>Hitung Manual</t>
  </si>
  <si>
    <t>Upah Kumulatif Disetahunkan</t>
  </si>
  <si>
    <t>PPh 21 Disetahunkan</t>
  </si>
  <si>
    <t>PPh 21 Terutang</t>
  </si>
  <si>
    <t>Dengan Upah Borongan</t>
  </si>
  <si>
    <t>Upah 
Borongan</t>
  </si>
  <si>
    <t>Jumlah Hari Kerja</t>
  </si>
  <si>
    <t>Kumulatif</t>
  </si>
  <si>
    <t>Dengan Upah Bulanan</t>
  </si>
  <si>
    <t>Berhak PTKP?</t>
  </si>
  <si>
    <t>Ya</t>
  </si>
  <si>
    <t>sampai</t>
  </si>
  <si>
    <t>Bulan</t>
  </si>
  <si>
    <t>Imbalan</t>
  </si>
  <si>
    <t>Biaya Pegawai</t>
  </si>
  <si>
    <t>Biaya Barang</t>
  </si>
  <si>
    <t>Bruto</t>
  </si>
  <si>
    <t>50%*Bruto</t>
  </si>
  <si>
    <t>DPP</t>
  </si>
  <si>
    <t>DPP Kumulatif</t>
  </si>
</sst>
</file>

<file path=xl/styles.xml><?xml version="1.0" encoding="utf-8"?>
<styleSheet xmlns="http://schemas.openxmlformats.org/spreadsheetml/2006/main">
  <numFmts count="7">
    <numFmt numFmtId="176" formatCode="_(* #.##0_);_(* \(#.##0\);_(* &quot;-&quot;_);_(@_)"/>
    <numFmt numFmtId="177" formatCode="_(* #,###.##000_);_(* \(#,###.##000\);_(* &quot;-&quot;??_);_(@_)"/>
    <numFmt numFmtId="178" formatCode="_(&quot;Rp&quot;* #.##0_);_(&quot;Rp&quot;* \(#.##0\);_(&quot;Rp&quot;* &quot;-&quot;_);_(@_)"/>
    <numFmt numFmtId="179" formatCode="_(&quot;Rp&quot;* #,###.##000_);_(&quot;Rp&quot;* \(#,###.##000\);_(&quot;Rp&quot;* &quot;-&quot;??_);_(@_)"/>
    <numFmt numFmtId="180" formatCode="0\ &quot;bulan&quot;"/>
    <numFmt numFmtId="181" formatCode="0\ &quot;hari&quot;"/>
    <numFmt numFmtId="182" formatCode="#,##0_);\(#,##0\)"/>
  </numFmts>
  <fonts count="30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rgb="FF800080"/>
      <name val="Calibri"/>
      <charset val="0"/>
      <scheme val="minor"/>
    </font>
    <font>
      <b/>
      <sz val="10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 tint="-0.5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</fills>
  <borders count="5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theme="0" tint="-0.35"/>
      </right>
      <top style="thin">
        <color auto="1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thin">
        <color auto="1"/>
      </top>
      <bottom style="thin">
        <color theme="0" tint="-0.35"/>
      </bottom>
      <diagonal/>
    </border>
    <border>
      <left style="thin">
        <color auto="1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auto="1"/>
      </left>
      <right style="thin">
        <color theme="0" tint="-0.35"/>
      </right>
      <top style="thin">
        <color theme="0" tint="-0.35"/>
      </top>
      <bottom style="thin">
        <color auto="1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theme="0" tint="-0.35"/>
      </left>
      <right style="double">
        <color auto="1"/>
      </right>
      <top style="thin">
        <color auto="1"/>
      </top>
      <bottom style="thin">
        <color theme="0" tint="-0.35"/>
      </bottom>
      <diagonal/>
    </border>
    <border>
      <left style="thin">
        <color theme="0" tint="-0.35"/>
      </left>
      <right style="double">
        <color auto="1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double">
        <color auto="1"/>
      </right>
      <top style="thin">
        <color theme="0" tint="-0.35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theme="0" tint="-0.35"/>
      </right>
      <top style="thin">
        <color auto="1"/>
      </top>
      <bottom style="thin">
        <color theme="0" tint="-0.35"/>
      </bottom>
      <diagonal/>
    </border>
    <border>
      <left style="double">
        <color auto="1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double">
        <color auto="1"/>
      </left>
      <right style="thin">
        <color theme="0" tint="-0.35"/>
      </right>
      <top style="thin">
        <color theme="0" tint="-0.35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theme="0" tint="-0.35"/>
      </right>
      <top style="thin">
        <color theme="0" tint="-0.35"/>
      </top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/>
      <diagonal/>
    </border>
    <border>
      <left style="thin">
        <color theme="0" tint="-0.35"/>
      </left>
      <right style="double">
        <color auto="1"/>
      </right>
      <top style="thin">
        <color theme="0" tint="-0.35"/>
      </top>
      <bottom/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8" fillId="0" borderId="4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29" borderId="53" applyNumberFormat="0" applyFon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4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0" borderId="46" applyNumberFormat="0" applyAlignment="0" applyProtection="0">
      <alignment vertical="center"/>
    </xf>
    <xf numFmtId="0" fontId="22" fillId="9" borderId="50" applyNumberFormat="0" applyAlignment="0" applyProtection="0">
      <alignment vertical="center"/>
    </xf>
    <xf numFmtId="0" fontId="14" fillId="9" borderId="46" applyNumberFormat="0" applyAlignment="0" applyProtection="0">
      <alignment vertical="center"/>
    </xf>
    <xf numFmtId="0" fontId="19" fillId="18" borderId="48" applyNumberFormat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182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182" fontId="0" fillId="2" borderId="2" xfId="0" applyNumberFormat="1" applyFill="1" applyBorder="1" applyAlignment="1">
      <alignment horizontal="left" vertical="center"/>
    </xf>
    <xf numFmtId="182" fontId="0" fillId="0" borderId="2" xfId="0" applyNumberFormat="1" applyBorder="1">
      <alignment vertical="center"/>
    </xf>
    <xf numFmtId="182" fontId="1" fillId="0" borderId="2" xfId="0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0" xfId="0" applyBorder="1" applyAlignment="1">
      <alignment horizontal="center" vertical="center"/>
    </xf>
    <xf numFmtId="182" fontId="0" fillId="2" borderId="0" xfId="0" applyNumberFormat="1" applyFill="1" applyBorder="1" applyAlignment="1" applyProtection="1">
      <alignment horizontal="center" vertical="center"/>
      <protection locked="0"/>
    </xf>
    <xf numFmtId="182" fontId="0" fillId="0" borderId="0" xfId="0" applyNumberFormat="1" applyBorder="1">
      <alignment vertical="center"/>
    </xf>
    <xf numFmtId="182" fontId="0" fillId="2" borderId="0" xfId="0" applyNumberFormat="1" applyFill="1" applyBorder="1" applyProtection="1">
      <alignment vertical="center"/>
      <protection locked="0"/>
    </xf>
    <xf numFmtId="182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82" fontId="0" fillId="2" borderId="0" xfId="0" applyNumberFormat="1" applyFill="1" applyAlignment="1">
      <alignment horizontal="center" vertical="center"/>
    </xf>
    <xf numFmtId="182" fontId="0" fillId="2" borderId="0" xfId="0" applyNumberFormat="1" applyFill="1" applyProtection="1">
      <alignment vertical="center"/>
      <protection locked="0"/>
    </xf>
    <xf numFmtId="182" fontId="0" fillId="3" borderId="0" xfId="0" applyNumberFormat="1" applyFill="1" applyAlignment="1" applyProtection="1">
      <alignment horizontal="center" vertical="center"/>
      <protection locked="0"/>
    </xf>
    <xf numFmtId="0" fontId="1" fillId="0" borderId="0" xfId="0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182" fontId="0" fillId="0" borderId="5" xfId="0" applyNumberFormat="1" applyFill="1" applyBorder="1" applyAlignment="1">
      <alignment horizontal="center" vertical="center"/>
    </xf>
    <xf numFmtId="0" fontId="0" fillId="0" borderId="6" xfId="0" applyBorder="1">
      <alignment vertical="center"/>
    </xf>
    <xf numFmtId="182" fontId="0" fillId="0" borderId="7" xfId="0" applyNumberFormat="1" applyBorder="1">
      <alignment vertical="center"/>
    </xf>
    <xf numFmtId="0" fontId="1" fillId="0" borderId="3" xfId="0" applyFont="1" applyBorder="1">
      <alignment vertical="center"/>
    </xf>
    <xf numFmtId="0" fontId="0" fillId="3" borderId="6" xfId="0" applyFill="1" applyBorder="1">
      <alignment vertical="center"/>
    </xf>
    <xf numFmtId="182" fontId="0" fillId="2" borderId="7" xfId="0" applyNumberFormat="1" applyFill="1" applyBorder="1" applyProtection="1">
      <alignment vertical="center"/>
      <protection locked="0"/>
    </xf>
    <xf numFmtId="182" fontId="0" fillId="3" borderId="7" xfId="0" applyNumberFormat="1" applyFill="1" applyBorder="1">
      <alignment vertical="center"/>
    </xf>
    <xf numFmtId="0" fontId="0" fillId="3" borderId="8" xfId="0" applyFill="1" applyBorder="1">
      <alignment vertical="center"/>
    </xf>
    <xf numFmtId="182" fontId="0" fillId="2" borderId="9" xfId="0" applyNumberFormat="1" applyFill="1" applyBorder="1" applyProtection="1">
      <alignment vertical="center"/>
      <protection locked="0"/>
    </xf>
    <xf numFmtId="182" fontId="0" fillId="3" borderId="9" xfId="0" applyNumberFormat="1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82" fontId="0" fillId="0" borderId="11" xfId="0" applyNumberFormat="1" applyBorder="1">
      <alignment vertical="center"/>
    </xf>
    <xf numFmtId="182" fontId="0" fillId="0" borderId="12" xfId="0" applyNumberFormat="1" applyBorder="1">
      <alignment vertical="center"/>
    </xf>
    <xf numFmtId="182" fontId="0" fillId="0" borderId="13" xfId="0" applyNumberFormat="1" applyBorder="1">
      <alignment vertical="center"/>
    </xf>
    <xf numFmtId="182" fontId="0" fillId="0" borderId="0" xfId="0" applyNumberFormat="1" applyFill="1">
      <alignment vertical="center"/>
    </xf>
    <xf numFmtId="182" fontId="0" fillId="0" borderId="14" xfId="0" applyNumberFormat="1" applyFill="1" applyBorder="1" applyAlignment="1">
      <alignment horizontal="center" vertical="center"/>
    </xf>
    <xf numFmtId="182" fontId="0" fillId="0" borderId="15" xfId="0" applyNumberFormat="1" applyBorder="1">
      <alignment vertical="center"/>
    </xf>
    <xf numFmtId="182" fontId="0" fillId="3" borderId="15" xfId="0" applyNumberFormat="1" applyFill="1" applyBorder="1">
      <alignment vertical="center"/>
    </xf>
    <xf numFmtId="182" fontId="0" fillId="3" borderId="16" xfId="0" applyNumberFormat="1" applyFill="1" applyBorder="1">
      <alignment vertical="center"/>
    </xf>
    <xf numFmtId="182" fontId="0" fillId="3" borderId="17" xfId="0" applyNumberForma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2" borderId="2" xfId="0" applyFill="1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Protection="1">
      <alignment vertical="center"/>
      <protection locked="0"/>
    </xf>
    <xf numFmtId="3" fontId="0" fillId="3" borderId="0" xfId="0" applyNumberFormat="1" applyFill="1" applyAlignment="1" applyProtection="1">
      <alignment horizontal="center" vertical="center"/>
      <protection locked="0"/>
    </xf>
    <xf numFmtId="182" fontId="0" fillId="0" borderId="13" xfId="0" applyNumberFormat="1" applyFill="1" applyBorder="1">
      <alignment vertical="center"/>
    </xf>
    <xf numFmtId="0" fontId="0" fillId="0" borderId="18" xfId="0" applyNumberFormat="1" applyFill="1" applyBorder="1" applyAlignment="1">
      <alignment horizontal="center" vertical="center"/>
    </xf>
    <xf numFmtId="182" fontId="0" fillId="0" borderId="5" xfId="0" applyNumberFormat="1" applyFill="1" applyBorder="1" applyAlignment="1">
      <alignment horizontal="center" vertical="center" wrapText="1"/>
    </xf>
    <xf numFmtId="182" fontId="0" fillId="0" borderId="14" xfId="0" applyNumberFormat="1" applyFill="1" applyBorder="1" applyAlignment="1">
      <alignment horizontal="center" vertical="center" wrapText="1"/>
    </xf>
    <xf numFmtId="0" fontId="0" fillId="0" borderId="19" xfId="0" applyNumberFormat="1" applyBorder="1">
      <alignment vertical="center"/>
    </xf>
    <xf numFmtId="0" fontId="0" fillId="3" borderId="19" xfId="0" applyNumberFormat="1" applyFill="1" applyBorder="1" applyAlignment="1">
      <alignment horizontal="center" vertical="center"/>
    </xf>
    <xf numFmtId="0" fontId="0" fillId="3" borderId="20" xfId="0" applyNumberFormat="1" applyFill="1" applyBorder="1" applyAlignment="1">
      <alignment horizontal="center" vertical="center"/>
    </xf>
    <xf numFmtId="182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0" borderId="0" xfId="0" applyFill="1" applyAlignment="1">
      <alignment horizontal="left" vertical="center"/>
    </xf>
    <xf numFmtId="182" fontId="0" fillId="3" borderId="11" xfId="0" applyNumberFormat="1" applyFill="1" applyBorder="1">
      <alignment vertical="center"/>
    </xf>
    <xf numFmtId="0" fontId="0" fillId="0" borderId="11" xfId="0" applyBorder="1" applyAlignment="1">
      <alignment horizontal="right" vertical="center"/>
    </xf>
    <xf numFmtId="0" fontId="0" fillId="2" borderId="21" xfId="0" applyFill="1" applyBorder="1">
      <alignment vertic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0" xfId="0" applyFill="1">
      <alignment vertical="center"/>
    </xf>
    <xf numFmtId="181" fontId="0" fillId="2" borderId="12" xfId="0" applyNumberFormat="1" applyFill="1" applyBorder="1" applyAlignment="1" applyProtection="1">
      <alignment horizontal="center" vertical="center"/>
      <protection locked="0"/>
    </xf>
    <xf numFmtId="0" fontId="0" fillId="0" borderId="18" xfId="0" applyFill="1" applyBorder="1" applyAlignment="1">
      <alignment horizontal="center" vertical="center"/>
    </xf>
    <xf numFmtId="0" fontId="0" fillId="0" borderId="22" xfId="0" applyFill="1" applyBorder="1" applyAlignment="1">
      <alignment horizontal="left" vertical="center"/>
    </xf>
    <xf numFmtId="182" fontId="0" fillId="0" borderId="23" xfId="0" applyNumberFormat="1" applyFill="1" applyBorder="1" applyAlignment="1">
      <alignment vertical="center"/>
    </xf>
    <xf numFmtId="182" fontId="0" fillId="0" borderId="24" xfId="0" applyNumberForma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182" fontId="0" fillId="2" borderId="7" xfId="0" applyNumberFormat="1" applyFill="1" applyBorder="1" applyAlignment="1" applyProtection="1">
      <alignment vertical="center"/>
      <protection locked="0"/>
    </xf>
    <xf numFmtId="182" fontId="0" fillId="3" borderId="7" xfId="0" applyNumberFormat="1" applyFill="1" applyBorder="1" applyAlignment="1">
      <alignment vertical="center"/>
    </xf>
    <xf numFmtId="182" fontId="0" fillId="3" borderId="15" xfId="0" applyNumberFormat="1" applyFill="1" applyBorder="1" applyAlignment="1">
      <alignment vertical="center"/>
    </xf>
    <xf numFmtId="0" fontId="0" fillId="3" borderId="20" xfId="0" applyFill="1" applyBorder="1" applyAlignment="1">
      <alignment horizontal="center" vertical="center"/>
    </xf>
    <xf numFmtId="182" fontId="0" fillId="2" borderId="9" xfId="0" applyNumberFormat="1" applyFill="1" applyBorder="1" applyAlignment="1" applyProtection="1">
      <alignment vertical="center"/>
      <protection locked="0"/>
    </xf>
    <xf numFmtId="182" fontId="0" fillId="3" borderId="9" xfId="0" applyNumberFormat="1" applyFill="1" applyBorder="1" applyAlignment="1">
      <alignment vertical="center"/>
    </xf>
    <xf numFmtId="182" fontId="0" fillId="3" borderId="16" xfId="0" applyNumberFormat="1" applyFill="1" applyBorder="1" applyAlignment="1">
      <alignment vertical="center"/>
    </xf>
    <xf numFmtId="0" fontId="0" fillId="2" borderId="2" xfId="0" applyFill="1" applyBorder="1">
      <alignment vertical="center"/>
    </xf>
    <xf numFmtId="181" fontId="0" fillId="0" borderId="12" xfId="0" applyNumberFormat="1" applyBorder="1">
      <alignment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9" xfId="0" applyBorder="1">
      <alignment vertical="center"/>
    </xf>
    <xf numFmtId="0" fontId="0" fillId="0" borderId="7" xfId="0" applyBorder="1">
      <alignment vertical="center"/>
    </xf>
    <xf numFmtId="0" fontId="0" fillId="0" borderId="15" xfId="0" applyBorder="1">
      <alignment vertical="center"/>
    </xf>
    <xf numFmtId="182" fontId="0" fillId="2" borderId="19" xfId="0" applyNumberFormat="1" applyFill="1" applyBorder="1" applyProtection="1">
      <alignment vertical="center"/>
      <protection locked="0"/>
    </xf>
    <xf numFmtId="182" fontId="0" fillId="2" borderId="20" xfId="0" applyNumberFormat="1" applyFill="1" applyBorder="1" applyProtection="1">
      <alignment vertical="center"/>
      <protection locked="0"/>
    </xf>
    <xf numFmtId="0" fontId="0" fillId="0" borderId="0" xfId="0" applyNumberFormat="1">
      <alignment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182" fontId="2" fillId="4" borderId="0" xfId="0" applyNumberFormat="1" applyFont="1" applyFill="1" applyAlignment="1">
      <alignment horizontal="center" vertical="center"/>
    </xf>
    <xf numFmtId="0" fontId="3" fillId="0" borderId="0" xfId="12" applyNumberFormat="1" applyFont="1" applyAlignment="1">
      <alignment horizontal="center" vertical="center"/>
    </xf>
    <xf numFmtId="182" fontId="3" fillId="0" borderId="0" xfId="12" applyNumberFormat="1" applyFont="1" applyAlignment="1">
      <alignment horizontal="center" vertical="center"/>
    </xf>
    <xf numFmtId="0" fontId="3" fillId="0" borderId="0" xfId="12" applyFont="1" applyAlignment="1">
      <alignment horizontal="center" vertical="center"/>
    </xf>
    <xf numFmtId="0" fontId="2" fillId="0" borderId="0" xfId="0" applyFont="1">
      <alignment vertical="center"/>
    </xf>
    <xf numFmtId="0" fontId="0" fillId="3" borderId="2" xfId="0" applyFill="1" applyBorder="1" applyAlignment="1" applyProtection="1">
      <alignment horizontal="center" vertical="center"/>
    </xf>
    <xf numFmtId="0" fontId="0" fillId="0" borderId="2" xfId="0" applyNumberFormat="1" applyBorder="1">
      <alignment vertical="center"/>
    </xf>
    <xf numFmtId="180" fontId="0" fillId="3" borderId="2" xfId="0" applyNumberFormat="1" applyFill="1" applyBorder="1" applyProtection="1">
      <alignment vertical="center"/>
    </xf>
    <xf numFmtId="182" fontId="0" fillId="3" borderId="0" xfId="0" applyNumberFormat="1" applyFill="1" applyProtection="1">
      <alignment vertical="center"/>
      <protection locked="0"/>
    </xf>
    <xf numFmtId="0" fontId="0" fillId="3" borderId="0" xfId="0" applyFill="1" applyAlignment="1">
      <alignment horizontal="center" vertical="center"/>
    </xf>
    <xf numFmtId="180" fontId="0" fillId="3" borderId="0" xfId="0" applyNumberFormat="1" applyFill="1">
      <alignment vertical="center"/>
    </xf>
    <xf numFmtId="180" fontId="0" fillId="0" borderId="0" xfId="0" applyNumberFormat="1">
      <alignment vertical="center"/>
    </xf>
    <xf numFmtId="0" fontId="0" fillId="3" borderId="0" xfId="0" applyNumberFormat="1" applyFill="1">
      <alignment vertical="center"/>
    </xf>
    <xf numFmtId="0" fontId="0" fillId="0" borderId="11" xfId="0" applyNumberFormat="1" applyBorder="1">
      <alignment vertical="center"/>
    </xf>
    <xf numFmtId="0" fontId="4" fillId="5" borderId="25" xfId="0" applyFont="1" applyFill="1" applyBorder="1" applyAlignment="1">
      <alignment horizontal="left" vertical="center"/>
    </xf>
    <xf numFmtId="0" fontId="4" fillId="5" borderId="26" xfId="0" applyFont="1" applyFill="1" applyBorder="1" applyAlignment="1">
      <alignment horizontal="left" vertical="center"/>
    </xf>
    <xf numFmtId="0" fontId="5" fillId="5" borderId="27" xfId="0" applyNumberFormat="1" applyFont="1" applyFill="1" applyBorder="1">
      <alignment vertical="center"/>
    </xf>
    <xf numFmtId="0" fontId="5" fillId="5" borderId="28" xfId="0" applyFont="1" applyFill="1" applyBorder="1" applyAlignment="1">
      <alignment horizontal="left" vertical="center"/>
    </xf>
    <xf numFmtId="0" fontId="5" fillId="5" borderId="29" xfId="0" applyFont="1" applyFill="1" applyBorder="1" applyAlignment="1">
      <alignment horizontal="left" vertical="center"/>
    </xf>
    <xf numFmtId="182" fontId="0" fillId="6" borderId="30" xfId="0" applyNumberFormat="1" applyFont="1" applyFill="1" applyBorder="1">
      <alignment vertical="center"/>
    </xf>
    <xf numFmtId="0" fontId="5" fillId="5" borderId="31" xfId="0" applyFont="1" applyFill="1" applyBorder="1" applyAlignment="1">
      <alignment horizontal="left" vertical="center"/>
    </xf>
    <xf numFmtId="0" fontId="5" fillId="5" borderId="32" xfId="0" applyFont="1" applyFill="1" applyBorder="1" applyAlignment="1">
      <alignment horizontal="left" vertical="center"/>
    </xf>
    <xf numFmtId="182" fontId="0" fillId="7" borderId="30" xfId="0" applyNumberFormat="1" applyFont="1" applyFill="1" applyBorder="1">
      <alignment vertical="center"/>
    </xf>
    <xf numFmtId="0" fontId="5" fillId="5" borderId="33" xfId="0" applyFont="1" applyFill="1" applyBorder="1" applyAlignment="1">
      <alignment horizontal="left" vertical="center"/>
    </xf>
    <xf numFmtId="0" fontId="5" fillId="5" borderId="34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180" fontId="1" fillId="0" borderId="0" xfId="0" applyNumberFormat="1" applyFont="1" applyFill="1">
      <alignment vertical="center"/>
    </xf>
    <xf numFmtId="0" fontId="3" fillId="2" borderId="0" xfId="12" applyFont="1" applyFill="1" applyAlignment="1">
      <alignment horizontal="center" vertical="center"/>
    </xf>
    <xf numFmtId="180" fontId="6" fillId="2" borderId="0" xfId="12" applyNumberFormat="1" applyFont="1" applyFill="1" applyAlignment="1">
      <alignment vertical="center"/>
    </xf>
    <xf numFmtId="0" fontId="7" fillId="0" borderId="0" xfId="12" applyFont="1" applyBorder="1" applyAlignment="1">
      <alignment vertical="center" wrapText="1"/>
    </xf>
    <xf numFmtId="0" fontId="8" fillId="0" borderId="0" xfId="12" applyFont="1" applyBorder="1" applyAlignment="1">
      <alignment vertical="center" wrapText="1"/>
    </xf>
    <xf numFmtId="0" fontId="3" fillId="0" borderId="0" xfId="12" applyFont="1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2" xfId="0" applyFill="1" applyBorder="1" applyProtection="1">
      <alignment vertical="center"/>
      <protection locked="0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180" fontId="0" fillId="0" borderId="0" xfId="0" applyNumberFormat="1" applyFill="1" applyProtection="1">
      <alignment vertical="center"/>
      <protection locked="0"/>
    </xf>
    <xf numFmtId="0" fontId="1" fillId="0" borderId="0" xfId="0" applyFont="1" applyFill="1">
      <alignment vertical="center"/>
    </xf>
    <xf numFmtId="3" fontId="0" fillId="2" borderId="0" xfId="0" applyNumberFormat="1" applyFill="1">
      <alignment vertical="center"/>
    </xf>
    <xf numFmtId="10" fontId="0" fillId="2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0" fillId="0" borderId="11" xfId="0" applyFill="1" applyBorder="1" applyAlignment="1">
      <alignment horizontal="center" vertical="center"/>
    </xf>
    <xf numFmtId="0" fontId="0" fillId="0" borderId="21" xfId="0" applyFill="1" applyBorder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5" fillId="5" borderId="27" xfId="0" applyFont="1" applyFill="1" applyBorder="1">
      <alignment vertical="center"/>
    </xf>
    <xf numFmtId="0" fontId="5" fillId="5" borderId="35" xfId="0" applyFont="1" applyFill="1" applyBorder="1">
      <alignment vertical="center"/>
    </xf>
    <xf numFmtId="0" fontId="9" fillId="0" borderId="0" xfId="0" applyFont="1" applyBorder="1" applyAlignment="1">
      <alignment vertical="center" wrapText="1"/>
    </xf>
    <xf numFmtId="0" fontId="10" fillId="0" borderId="0" xfId="0" applyFont="1">
      <alignment vertical="center"/>
    </xf>
    <xf numFmtId="0" fontId="0" fillId="0" borderId="12" xfId="0" applyBorder="1" applyAlignment="1">
      <alignment horizontal="center" vertical="center"/>
    </xf>
    <xf numFmtId="3" fontId="0" fillId="0" borderId="13" xfId="0" applyNumberFormat="1" applyBorder="1">
      <alignment vertical="center"/>
    </xf>
    <xf numFmtId="3" fontId="0" fillId="0" borderId="21" xfId="0" applyNumberFormat="1" applyBorder="1">
      <alignment vertical="center"/>
    </xf>
    <xf numFmtId="0" fontId="0" fillId="2" borderId="2" xfId="0" applyFill="1" applyBorder="1" applyAlignment="1" applyProtection="1">
      <alignment horizontal="center" vertical="center"/>
    </xf>
    <xf numFmtId="182" fontId="0" fillId="0" borderId="2" xfId="0" applyNumberFormat="1" applyBorder="1" applyAlignment="1">
      <alignment horizontal="right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NumberFormat="1" applyBorder="1">
      <alignment vertical="center"/>
    </xf>
    <xf numFmtId="182" fontId="0" fillId="2" borderId="0" xfId="0" applyNumberFormat="1" applyFill="1" applyBorder="1">
      <alignment vertical="center"/>
    </xf>
    <xf numFmtId="182" fontId="0" fillId="3" borderId="0" xfId="0" applyNumberFormat="1" applyFill="1" applyBorder="1">
      <alignment vertical="center"/>
    </xf>
    <xf numFmtId="180" fontId="0" fillId="0" borderId="0" xfId="0" applyNumberFormat="1" applyBorder="1">
      <alignment vertical="center"/>
    </xf>
    <xf numFmtId="180" fontId="0" fillId="2" borderId="0" xfId="0" applyNumberFormat="1" applyFill="1" applyBorder="1" applyProtection="1">
      <alignment vertical="center"/>
      <protection locked="0"/>
    </xf>
    <xf numFmtId="180" fontId="0" fillId="3" borderId="0" xfId="0" applyNumberFormat="1" applyFill="1" applyBorder="1" applyProtection="1">
      <alignment vertical="center"/>
      <protection locked="0"/>
    </xf>
    <xf numFmtId="0" fontId="0" fillId="0" borderId="2" xfId="0" applyFill="1" applyBorder="1">
      <alignment vertical="center"/>
    </xf>
    <xf numFmtId="0" fontId="10" fillId="0" borderId="0" xfId="0" applyFont="1" applyBorder="1" applyAlignment="1">
      <alignment horizontal="center" vertical="center"/>
    </xf>
    <xf numFmtId="3" fontId="0" fillId="2" borderId="0" xfId="0" applyNumberFormat="1" applyFill="1" applyBorder="1">
      <alignment vertical="center"/>
    </xf>
    <xf numFmtId="10" fontId="0" fillId="2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21" xfId="0" applyBorder="1">
      <alignment vertical="center"/>
    </xf>
    <xf numFmtId="0" fontId="2" fillId="4" borderId="36" xfId="0" applyFont="1" applyFill="1" applyBorder="1">
      <alignment vertical="center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</xf>
    <xf numFmtId="180" fontId="0" fillId="3" borderId="0" xfId="0" applyNumberFormat="1" applyFill="1" applyProtection="1">
      <alignment vertical="center"/>
    </xf>
    <xf numFmtId="0" fontId="0" fillId="0" borderId="2" xfId="0" applyFill="1" applyBorder="1" applyAlignment="1">
      <alignment horizontal="center" vertical="center"/>
    </xf>
    <xf numFmtId="180" fontId="0" fillId="2" borderId="0" xfId="0" applyNumberFormat="1" applyFill="1" applyProtection="1">
      <alignment vertical="center"/>
      <protection locked="0"/>
    </xf>
    <xf numFmtId="0" fontId="2" fillId="4" borderId="11" xfId="0" applyFont="1" applyFill="1" applyBorder="1" applyAlignment="1">
      <alignment horizontal="left" vertical="center"/>
    </xf>
    <xf numFmtId="0" fontId="11" fillId="0" borderId="0" xfId="12" applyNumberFormat="1" applyFont="1">
      <alignment vertical="center"/>
    </xf>
    <xf numFmtId="180" fontId="2" fillId="2" borderId="0" xfId="0" applyNumberFormat="1" applyFont="1" applyFill="1">
      <alignment vertical="center"/>
    </xf>
    <xf numFmtId="0" fontId="11" fillId="0" borderId="0" xfId="12" applyFont="1" applyAlignment="1">
      <alignment vertical="center"/>
    </xf>
    <xf numFmtId="0" fontId="8" fillId="0" borderId="37" xfId="12" applyFont="1" applyBorder="1" applyAlignment="1">
      <alignment horizontal="center" vertical="center" wrapText="1"/>
    </xf>
    <xf numFmtId="0" fontId="8" fillId="0" borderId="38" xfId="12" applyFont="1" applyBorder="1" applyAlignment="1">
      <alignment horizontal="center" vertical="center" wrapText="1"/>
    </xf>
    <xf numFmtId="0" fontId="8" fillId="0" borderId="39" xfId="12" applyFont="1" applyBorder="1" applyAlignment="1">
      <alignment horizontal="center" vertical="center" wrapText="1"/>
    </xf>
    <xf numFmtId="0" fontId="8" fillId="0" borderId="40" xfId="12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3" fontId="0" fillId="2" borderId="0" xfId="0" applyNumberFormat="1" applyFill="1" applyProtection="1">
      <alignment vertical="center"/>
      <protection locked="0"/>
    </xf>
    <xf numFmtId="10" fontId="0" fillId="2" borderId="13" xfId="0" applyNumberFormat="1" applyFill="1" applyBorder="1" applyProtection="1">
      <alignment vertical="center"/>
      <protection locked="0"/>
    </xf>
    <xf numFmtId="10" fontId="1" fillId="0" borderId="0" xfId="0" applyNumberFormat="1" applyFont="1" applyFill="1" applyBorder="1" applyProtection="1">
      <alignment vertical="center"/>
      <protection locked="0"/>
    </xf>
    <xf numFmtId="0" fontId="1" fillId="0" borderId="0" xfId="0" applyFont="1" applyFill="1" applyBorder="1">
      <alignment vertical="center"/>
    </xf>
    <xf numFmtId="182" fontId="0" fillId="0" borderId="13" xfId="0" applyNumberFormat="1" applyFill="1" applyBorder="1" applyProtection="1">
      <alignment vertical="center"/>
    </xf>
    <xf numFmtId="182" fontId="0" fillId="0" borderId="0" xfId="0" applyNumberFormat="1" applyFill="1" applyProtection="1">
      <alignment vertical="center"/>
    </xf>
    <xf numFmtId="3" fontId="0" fillId="3" borderId="0" xfId="0" applyNumberFormat="1" applyFill="1">
      <alignment vertical="center"/>
    </xf>
    <xf numFmtId="10" fontId="0" fillId="3" borderId="13" xfId="0" applyNumberFormat="1" applyFill="1" applyBorder="1">
      <alignment vertical="center"/>
    </xf>
    <xf numFmtId="10" fontId="0" fillId="0" borderId="0" xfId="0" applyNumberFormat="1" applyFill="1">
      <alignment vertical="center"/>
    </xf>
    <xf numFmtId="182" fontId="0" fillId="0" borderId="21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11" xfId="0" applyBorder="1" applyAlignment="1">
      <alignment vertical="center" wrapText="1"/>
    </xf>
    <xf numFmtId="0" fontId="8" fillId="0" borderId="41" xfId="12" applyFont="1" applyBorder="1" applyAlignment="1">
      <alignment horizontal="center" vertical="center" wrapText="1"/>
    </xf>
    <xf numFmtId="0" fontId="8" fillId="0" borderId="42" xfId="12" applyFont="1" applyBorder="1" applyAlignment="1">
      <alignment horizontal="center" vertical="center" wrapText="1"/>
    </xf>
    <xf numFmtId="0" fontId="12" fillId="0" borderId="0" xfId="0" applyFont="1" applyFill="1" applyAlignment="1">
      <alignment vertical="center"/>
    </xf>
    <xf numFmtId="0" fontId="12" fillId="0" borderId="13" xfId="0" applyFont="1" applyFill="1" applyBorder="1" applyAlignment="1">
      <alignment vertical="center"/>
    </xf>
    <xf numFmtId="0" fontId="0" fillId="0" borderId="11" xfId="0" applyFill="1" applyBorder="1" applyAlignment="1" applyProtection="1">
      <alignment horizontal="center" vertical="center"/>
      <protection locked="0"/>
    </xf>
    <xf numFmtId="0" fontId="0" fillId="0" borderId="21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</xf>
    <xf numFmtId="180" fontId="0" fillId="2" borderId="0" xfId="0" applyNumberFormat="1" applyFill="1" applyProtection="1">
      <alignment vertical="center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2" fillId="4" borderId="43" xfId="0" applyFont="1" applyFill="1" applyBorder="1" applyAlignment="1">
      <alignment horizontal="left" vertical="center"/>
    </xf>
    <xf numFmtId="0" fontId="2" fillId="4" borderId="44" xfId="0" applyFont="1" applyFill="1" applyBorder="1" applyAlignment="1">
      <alignment horizontal="left" vertical="center"/>
    </xf>
    <xf numFmtId="0" fontId="2" fillId="0" borderId="45" xfId="0" applyFont="1" applyFill="1" applyBorder="1">
      <alignment vertical="center"/>
    </xf>
    <xf numFmtId="182" fontId="11" fillId="3" borderId="11" xfId="12" applyNumberFormat="1" applyFont="1" applyFill="1" applyBorder="1">
      <alignment vertical="center"/>
    </xf>
  </cellXfs>
  <cellStyles count="49">
    <cellStyle name="Normal" xfId="0" builtinId="0"/>
    <cellStyle name="Kepala 3" xfId="1" builtinId="18"/>
    <cellStyle name="20% - Aksen2" xfId="2" builtinId="34"/>
    <cellStyle name="Catatan" xfId="3" builtinId="10"/>
    <cellStyle name="Koma [0]" xfId="4" builtinId="6"/>
    <cellStyle name="Koma" xfId="5" builtinId="3"/>
    <cellStyle name="Mata Uang [0]" xfId="6" builtinId="7"/>
    <cellStyle name="20% - Aksen4" xfId="7" builtinId="42"/>
    <cellStyle name="Mata Uang" xfId="8" builtinId="4"/>
    <cellStyle name="Sel Ditautkan" xfId="9" builtinId="24"/>
    <cellStyle name="Persen" xfId="10" builtinId="5"/>
    <cellStyle name="Kepala 4" xfId="11" builtinId="19"/>
    <cellStyle name="Hyperlink" xfId="12" builtinId="8"/>
    <cellStyle name="20% - Aksen6" xfId="13" builtinId="50"/>
    <cellStyle name="Total" xfId="14" builtinId="25"/>
    <cellStyle name="Hyperlink yang Diikuti" xfId="15" builtinId="9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2" defaultPivotStyle="PivotStyleLight16"/>
  <colors>
    <mruColors>
      <color rgb="00FFD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555"/>
  <sheetViews>
    <sheetView showGridLines="0" tabSelected="1" workbookViewId="0">
      <pane xSplit="1" ySplit="3" topLeftCell="B4" activePane="bottomRight" state="frozen"/>
      <selection/>
      <selection pane="topRight"/>
      <selection pane="bottomLeft"/>
      <selection pane="bottomRight" activeCell="A1" sqref="A1"/>
    </sheetView>
  </sheetViews>
  <sheetFormatPr defaultColWidth="9.14285714285714" defaultRowHeight="15"/>
  <cols>
    <col min="1" max="1" width="1.41904761904762" customWidth="1"/>
    <col min="3" max="3" width="3.42857142857143" customWidth="1"/>
    <col min="4" max="4" width="9.14285714285714" style="90"/>
    <col min="5" max="5" width="10.7142857142857" style="90" customWidth="1"/>
    <col min="6" max="6" width="9.71428571428571" style="90" customWidth="1"/>
    <col min="7" max="7" width="12.4285714285714" style="1"/>
    <col min="8" max="8" width="5.28571428571429" customWidth="1"/>
    <col min="9" max="9" width="7.71428571428571" customWidth="1"/>
    <col min="10" max="11" width="10.1428571428571"/>
    <col min="12" max="12" width="3.28571428571429" customWidth="1"/>
    <col min="14" max="14" width="3.42857142857143" customWidth="1"/>
    <col min="16" max="16" width="10.8571428571429"/>
    <col min="17" max="17" width="9.71428571428571" customWidth="1"/>
    <col min="18" max="18" width="12.4285714285714"/>
    <col min="19" max="19" width="5.42857142857143" customWidth="1"/>
    <col min="20" max="20" width="7.71428571428571" customWidth="1"/>
    <col min="22" max="22" width="10.1428571428571"/>
  </cols>
  <sheetData>
    <row r="1" spans="2:23">
      <c r="B1" s="91" t="s">
        <v>0</v>
      </c>
      <c r="C1" s="91"/>
      <c r="D1" s="130"/>
      <c r="E1" s="130"/>
      <c r="F1" s="93"/>
      <c r="I1" s="91" t="s">
        <v>1</v>
      </c>
      <c r="J1" s="130" t="s">
        <v>2</v>
      </c>
      <c r="M1" s="91" t="s">
        <v>3</v>
      </c>
      <c r="N1" s="130" t="s">
        <v>4</v>
      </c>
      <c r="O1" s="130"/>
      <c r="P1" s="178">
        <v>12</v>
      </c>
      <c r="R1" s="143" t="s">
        <v>4</v>
      </c>
      <c r="S1" s="143" t="s">
        <v>5</v>
      </c>
      <c r="T1" s="17"/>
      <c r="U1" s="147"/>
      <c r="V1" s="147"/>
      <c r="W1" s="147"/>
    </row>
    <row r="2" spans="2:23">
      <c r="B2" s="91" t="s">
        <v>6</v>
      </c>
      <c r="C2" s="91"/>
      <c r="D2" s="95" t="s">
        <v>7</v>
      </c>
      <c r="E2" s="95" t="s">
        <v>8</v>
      </c>
      <c r="F2" s="95" t="s">
        <v>9</v>
      </c>
      <c r="G2" s="96" t="s">
        <v>10</v>
      </c>
      <c r="H2" s="97" t="s">
        <v>11</v>
      </c>
      <c r="I2" s="97" t="s">
        <v>12</v>
      </c>
      <c r="J2" s="97" t="s">
        <v>13</v>
      </c>
      <c r="K2" s="97"/>
      <c r="L2" s="179"/>
      <c r="M2" s="180"/>
      <c r="N2" s="181"/>
      <c r="O2" s="181"/>
      <c r="P2" s="181"/>
      <c r="Q2" s="181"/>
      <c r="R2" s="181"/>
      <c r="S2" s="181"/>
      <c r="T2" s="181"/>
      <c r="U2" s="181"/>
      <c r="V2" s="198"/>
      <c r="W2" s="127"/>
    </row>
    <row r="3" ht="15.75" spans="3:23">
      <c r="C3" s="98"/>
      <c r="D3" s="95" t="s">
        <v>14</v>
      </c>
      <c r="E3" s="95" t="s">
        <v>15</v>
      </c>
      <c r="F3" s="95" t="s">
        <v>16</v>
      </c>
      <c r="G3" s="96" t="s">
        <v>17</v>
      </c>
      <c r="H3" s="97" t="s">
        <v>18</v>
      </c>
      <c r="I3" s="97"/>
      <c r="J3" s="128" t="s">
        <v>19</v>
      </c>
      <c r="K3" s="128"/>
      <c r="M3" s="182"/>
      <c r="N3" s="183"/>
      <c r="O3" s="183"/>
      <c r="P3" s="183"/>
      <c r="Q3" s="183"/>
      <c r="R3" s="183"/>
      <c r="S3" s="183"/>
      <c r="T3" s="183"/>
      <c r="U3" s="183"/>
      <c r="V3" s="199"/>
      <c r="W3" s="127"/>
    </row>
    <row r="4" ht="15.75" spans="2:2">
      <c r="B4" s="167" t="s">
        <v>7</v>
      </c>
    </row>
    <row r="5" ht="15.75" spans="2:22">
      <c r="B5" s="168" t="s">
        <v>20</v>
      </c>
      <c r="C5" s="169"/>
      <c r="D5" s="169"/>
      <c r="E5" s="169"/>
      <c r="F5" s="100"/>
      <c r="G5" s="153"/>
      <c r="H5" s="170"/>
      <c r="I5" s="170"/>
      <c r="J5" s="42"/>
      <c r="K5" s="45"/>
      <c r="L5" s="46"/>
      <c r="M5" s="168" t="s">
        <v>21</v>
      </c>
      <c r="N5" s="169"/>
      <c r="O5" s="169"/>
      <c r="P5" s="169"/>
      <c r="Q5" s="169"/>
      <c r="R5" s="43"/>
      <c r="S5" s="174"/>
      <c r="T5" s="174"/>
      <c r="U5" s="42"/>
      <c r="V5" s="45"/>
    </row>
    <row r="6" spans="2:22">
      <c r="B6" s="7"/>
      <c r="K6" s="47"/>
      <c r="L6" s="46"/>
      <c r="M6" s="7"/>
      <c r="V6" s="47"/>
    </row>
    <row r="7" spans="2:22">
      <c r="B7" s="7" t="s">
        <v>22</v>
      </c>
      <c r="C7" s="171" t="s">
        <v>23</v>
      </c>
      <c r="D7" s="171"/>
      <c r="K7" s="47"/>
      <c r="L7" s="46"/>
      <c r="M7" s="7" t="s">
        <v>22</v>
      </c>
      <c r="N7" s="103" t="str">
        <f>C7</f>
        <v>Ada</v>
      </c>
      <c r="O7" s="103"/>
      <c r="P7" s="90"/>
      <c r="Q7" s="90"/>
      <c r="R7" s="1"/>
      <c r="V7" s="47"/>
    </row>
    <row r="8" spans="2:22">
      <c r="B8" s="7"/>
      <c r="K8" s="47"/>
      <c r="L8" s="46"/>
      <c r="M8" s="7"/>
      <c r="O8" s="90"/>
      <c r="P8" s="90"/>
      <c r="Q8" s="90"/>
      <c r="R8" s="1"/>
      <c r="V8" s="47"/>
    </row>
    <row r="9" spans="2:22">
      <c r="B9" s="7" t="s">
        <v>24</v>
      </c>
      <c r="G9" s="15"/>
      <c r="K9" s="47"/>
      <c r="L9" s="46"/>
      <c r="M9" s="7" t="s">
        <v>24</v>
      </c>
      <c r="O9" s="90"/>
      <c r="P9" s="90"/>
      <c r="Q9" s="90"/>
      <c r="R9" s="58">
        <f>IF(G30&gt;G9,G30,G9)*IF($N$20="Disetahunkan",12,$P$20)</f>
        <v>0</v>
      </c>
      <c r="V9" s="47"/>
    </row>
    <row r="10" spans="2:22">
      <c r="B10" s="7" t="s">
        <v>25</v>
      </c>
      <c r="G10" s="15"/>
      <c r="K10" s="47"/>
      <c r="L10" s="46"/>
      <c r="M10" s="7" t="s">
        <v>25</v>
      </c>
      <c r="O10" s="90"/>
      <c r="P10" s="90"/>
      <c r="Q10" s="90"/>
      <c r="R10" s="58">
        <f>IF(G31&gt;G10,G31,G10)*IF($N$20="Disetahunkan",12,$P$20)</f>
        <v>0</v>
      </c>
      <c r="V10" s="47"/>
    </row>
    <row r="11" spans="2:22">
      <c r="B11" s="7" t="s">
        <v>26</v>
      </c>
      <c r="G11" s="15"/>
      <c r="J11" s="184" t="s">
        <v>27</v>
      </c>
      <c r="K11" s="185" t="s">
        <v>28</v>
      </c>
      <c r="L11" s="46"/>
      <c r="M11" s="7" t="s">
        <v>26</v>
      </c>
      <c r="O11" s="90"/>
      <c r="P11" s="90"/>
      <c r="Q11" s="90"/>
      <c r="R11" s="58">
        <f>G11*IF($N$20="Disetahunkan",12,$P$20)</f>
        <v>0</v>
      </c>
      <c r="U11" s="200"/>
      <c r="V11" s="201"/>
    </row>
    <row r="12" spans="2:22">
      <c r="B12" s="7" t="s">
        <v>29</v>
      </c>
      <c r="G12" s="58">
        <f>(K12*G9)+J12</f>
        <v>0</v>
      </c>
      <c r="J12" s="186"/>
      <c r="K12" s="187"/>
      <c r="L12" s="188"/>
      <c r="M12" s="7" t="s">
        <v>29</v>
      </c>
      <c r="O12" s="90"/>
      <c r="P12" s="90"/>
      <c r="Q12" s="90"/>
      <c r="R12" s="58">
        <f>(V12*R9)+(U12*P20)</f>
        <v>0</v>
      </c>
      <c r="U12" s="192">
        <f>J12</f>
        <v>0</v>
      </c>
      <c r="V12" s="193">
        <f>K12</f>
        <v>0</v>
      </c>
    </row>
    <row r="13" spans="2:22">
      <c r="B13" s="7" t="s">
        <v>30</v>
      </c>
      <c r="G13" s="15"/>
      <c r="K13" s="47"/>
      <c r="L13" s="189"/>
      <c r="M13" s="7" t="s">
        <v>30</v>
      </c>
      <c r="O13" s="90"/>
      <c r="P13" s="90"/>
      <c r="Q13" s="90"/>
      <c r="R13" s="58">
        <f>G13*IF($N$20="Disetahunkan",12,$P$20)</f>
        <v>0</v>
      </c>
      <c r="V13" s="47"/>
    </row>
    <row r="14" spans="2:23">
      <c r="B14" s="7" t="s">
        <v>31</v>
      </c>
      <c r="G14" s="15"/>
      <c r="K14" s="47"/>
      <c r="L14" s="189"/>
      <c r="M14" s="7" t="s">
        <v>31</v>
      </c>
      <c r="O14" s="90"/>
      <c r="P14" s="90"/>
      <c r="Q14" s="90"/>
      <c r="R14" s="58">
        <f>G14*IF($N$20="Disetahunkan",12,$P$20)</f>
        <v>0</v>
      </c>
      <c r="V14" s="47"/>
      <c r="W14" s="46"/>
    </row>
    <row r="15" spans="2:22">
      <c r="B15" s="7" t="s">
        <v>32</v>
      </c>
      <c r="G15" s="58">
        <f>SUM(G9:G14)</f>
        <v>0</v>
      </c>
      <c r="K15" s="47"/>
      <c r="L15" s="189"/>
      <c r="M15" s="7" t="s">
        <v>33</v>
      </c>
      <c r="O15" s="90"/>
      <c r="P15" s="90"/>
      <c r="Q15" s="90"/>
      <c r="R15" s="15"/>
      <c r="V15" s="47"/>
    </row>
    <row r="16" spans="2:22">
      <c r="B16" s="7" t="s">
        <v>34</v>
      </c>
      <c r="G16" s="58">
        <f>IF(G15*0.05&lt;=500000,G15*0.05,500000)</f>
        <v>0</v>
      </c>
      <c r="K16" s="47"/>
      <c r="L16" s="189"/>
      <c r="M16" s="7" t="s">
        <v>32</v>
      </c>
      <c r="O16" s="90"/>
      <c r="P16" s="90"/>
      <c r="Q16" s="90"/>
      <c r="R16" s="58">
        <f>SUM(R9:R15)</f>
        <v>0</v>
      </c>
      <c r="V16" s="47"/>
    </row>
    <row r="17" spans="2:22">
      <c r="B17" s="7" t="s">
        <v>35</v>
      </c>
      <c r="G17" s="58">
        <f>(K17*G9)+J17</f>
        <v>0</v>
      </c>
      <c r="J17" s="186"/>
      <c r="K17" s="187"/>
      <c r="L17" s="188"/>
      <c r="M17" s="7" t="s">
        <v>34</v>
      </c>
      <c r="O17" s="90"/>
      <c r="P17" s="90"/>
      <c r="Q17" s="90"/>
      <c r="R17" s="58">
        <f>IF(R16*0.05&lt;=500000*IF(N20="Disetahunkan",12,P20),R16*0.05,500000*P20)</f>
        <v>0</v>
      </c>
      <c r="V17" s="47"/>
    </row>
    <row r="18" spans="2:22">
      <c r="B18" s="7" t="s">
        <v>36</v>
      </c>
      <c r="G18" s="58">
        <f>(K18*G15)+J18</f>
        <v>0</v>
      </c>
      <c r="J18" s="186"/>
      <c r="K18" s="187"/>
      <c r="L18" s="188"/>
      <c r="M18" s="7" t="s">
        <v>35</v>
      </c>
      <c r="O18" s="90"/>
      <c r="P18" s="90"/>
      <c r="Q18" s="90"/>
      <c r="R18" s="58">
        <f>(V18*R9)+(U18*P20)</f>
        <v>0</v>
      </c>
      <c r="U18" s="192">
        <f>J17</f>
        <v>0</v>
      </c>
      <c r="V18" s="193">
        <f>K17</f>
        <v>0</v>
      </c>
    </row>
    <row r="19" spans="2:22">
      <c r="B19" s="7" t="s">
        <v>3</v>
      </c>
      <c r="G19" s="58">
        <f>G15-G16-G17-G18</f>
        <v>0</v>
      </c>
      <c r="K19" s="47"/>
      <c r="L19" s="46"/>
      <c r="M19" s="7" t="s">
        <v>36</v>
      </c>
      <c r="O19" s="90"/>
      <c r="P19" s="90"/>
      <c r="Q19" s="90"/>
      <c r="R19" s="58">
        <f>(V19*R16)+(U19*P20)</f>
        <v>0</v>
      </c>
      <c r="U19" s="192">
        <f>J18</f>
        <v>0</v>
      </c>
      <c r="V19" s="193">
        <f>K18</f>
        <v>0</v>
      </c>
    </row>
    <row r="20" spans="2:22">
      <c r="B20" s="7" t="s">
        <v>3</v>
      </c>
      <c r="C20" s="172" t="str">
        <f>N1</f>
        <v>Disetahunkan</v>
      </c>
      <c r="D20" s="172"/>
      <c r="E20" s="173">
        <f>P1</f>
        <v>12</v>
      </c>
      <c r="G20" s="58">
        <f>IF(C20="Disetahunkan",G19*12,G19*E20)</f>
        <v>0</v>
      </c>
      <c r="K20" s="47"/>
      <c r="L20" s="46"/>
      <c r="M20" s="7" t="s">
        <v>3</v>
      </c>
      <c r="N20" s="103" t="str">
        <f>C20</f>
        <v>Disetahunkan</v>
      </c>
      <c r="O20" s="103"/>
      <c r="P20" s="104">
        <f>E20</f>
        <v>12</v>
      </c>
      <c r="Q20" s="90"/>
      <c r="R20" s="58">
        <f>R16-R17-R18-R19</f>
        <v>0</v>
      </c>
      <c r="V20" s="47"/>
    </row>
    <row r="21" spans="2:22">
      <c r="B21" s="7" t="s">
        <v>1</v>
      </c>
      <c r="C21" s="172" t="str">
        <f>J1</f>
        <v>TK/0</v>
      </c>
      <c r="D21" s="172"/>
      <c r="E21" s="105"/>
      <c r="G21" s="58">
        <f>VLOOKUP(C21,$P$29:$Q$36,2,FALSE)</f>
        <v>54000000</v>
      </c>
      <c r="K21" s="47"/>
      <c r="L21" s="46"/>
      <c r="M21" s="7" t="s">
        <v>1</v>
      </c>
      <c r="N21" s="103" t="str">
        <f>C21</f>
        <v>TK/0</v>
      </c>
      <c r="O21" s="103"/>
      <c r="P21" s="105"/>
      <c r="Q21" s="90"/>
      <c r="R21" s="58">
        <f>G21</f>
        <v>54000000</v>
      </c>
      <c r="V21" s="47"/>
    </row>
    <row r="22" spans="2:22">
      <c r="B22" s="7" t="s">
        <v>37</v>
      </c>
      <c r="D22" s="105"/>
      <c r="E22" s="105"/>
      <c r="G22" s="58">
        <f>IF(G20&gt;G21,ROUNDDOWN(G20-G21,-3),0)</f>
        <v>0</v>
      </c>
      <c r="K22" s="47"/>
      <c r="L22" s="46"/>
      <c r="M22" s="7" t="s">
        <v>37</v>
      </c>
      <c r="O22" s="105"/>
      <c r="P22" s="105"/>
      <c r="Q22" s="90"/>
      <c r="R22" s="58">
        <f>IF(R20&gt;R21,ROUNDDOWN(R20-R21,-3),0)</f>
        <v>0</v>
      </c>
      <c r="V22" s="47"/>
    </row>
    <row r="23" spans="2:22">
      <c r="B23" s="7" t="s">
        <v>38</v>
      </c>
      <c r="C23" s="59" t="str">
        <f>C20</f>
        <v>Disetahunkan</v>
      </c>
      <c r="D23" s="106"/>
      <c r="G23" s="58">
        <f>IF(G22&lt;=50000000,G22*0.05,IF(G22&lt;=250000000,(G22-50000000)*0.15+2500000,IF(G22&lt;=500000000,(G22-250000000)*0.25+32500000,IF(G22&gt;500000000,(G22-500000000)*0.3+95000000,"no"))))*IF(C7="Ada",1,1.2)</f>
        <v>0</v>
      </c>
      <c r="K23" s="47"/>
      <c r="L23" s="46"/>
      <c r="M23" s="7" t="s">
        <v>38</v>
      </c>
      <c r="N23" s="59" t="str">
        <f>N20</f>
        <v>Disetahunkan</v>
      </c>
      <c r="O23" s="106"/>
      <c r="P23" s="90"/>
      <c r="Q23" s="90"/>
      <c r="R23" s="58">
        <f>IF(R22&lt;=50000000,R22*0.05,IF(R22&lt;=250000000,(R22-50000000)*0.15+2500000,IF(R22&lt;=500000000,(R22-250000000)*0.25+32500000,IF(R22&gt;500000000,(R22-500000000)*0.3+95000000,"no"))))*IF(N7="Ada",1,1.2)</f>
        <v>0</v>
      </c>
      <c r="V23" s="47"/>
    </row>
    <row r="24" ht="15.75" spans="2:22">
      <c r="B24" s="29" t="s">
        <v>39</v>
      </c>
      <c r="C24" s="30"/>
      <c r="D24" s="107"/>
      <c r="E24" s="107"/>
      <c r="F24" s="107"/>
      <c r="G24" s="61">
        <f>ROUNDUP(IF(C20="Disetahunkan",G23/12,G23/E20),0)</f>
        <v>0</v>
      </c>
      <c r="H24" s="30"/>
      <c r="I24" s="30"/>
      <c r="J24" s="30"/>
      <c r="K24" s="166"/>
      <c r="L24" s="46"/>
      <c r="M24" s="29" t="s">
        <v>40</v>
      </c>
      <c r="N24" s="30"/>
      <c r="O24" s="107"/>
      <c r="P24" s="107"/>
      <c r="Q24" s="107"/>
      <c r="R24" s="61">
        <f>R23-IF(G44&gt;G23,G44,G23)</f>
        <v>0</v>
      </c>
      <c r="S24" s="30"/>
      <c r="T24" s="202"/>
      <c r="U24" s="202"/>
      <c r="V24" s="203"/>
    </row>
    <row r="25" ht="16.5" spans="2:22">
      <c r="B25" s="46"/>
      <c r="C25" s="46"/>
      <c r="D25" s="155"/>
      <c r="E25" s="155"/>
      <c r="F25" s="155"/>
      <c r="G25" s="10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</row>
    <row r="26" ht="15.75" spans="2:22">
      <c r="B26" s="168" t="s">
        <v>41</v>
      </c>
      <c r="C26" s="169"/>
      <c r="D26" s="169"/>
      <c r="E26" s="100"/>
      <c r="F26" s="100"/>
      <c r="G26" s="153"/>
      <c r="H26" s="174"/>
      <c r="I26" s="174"/>
      <c r="J26" s="42"/>
      <c r="K26" s="45"/>
      <c r="V26" s="46"/>
    </row>
    <row r="27" ht="15.75" spans="2:22">
      <c r="B27" s="7"/>
      <c r="K27" s="47"/>
      <c r="V27" s="46"/>
    </row>
    <row r="28" ht="15.75" spans="2:23">
      <c r="B28" s="7" t="s">
        <v>22</v>
      </c>
      <c r="C28" s="103" t="str">
        <f>C7</f>
        <v>Ada</v>
      </c>
      <c r="D28" s="103"/>
      <c r="E28" s="90" t="s">
        <v>42</v>
      </c>
      <c r="G28" s="175">
        <v>4</v>
      </c>
      <c r="K28" s="33"/>
      <c r="L28" s="1"/>
      <c r="N28" s="141"/>
      <c r="O28" s="141"/>
      <c r="P28" s="142" t="s">
        <v>43</v>
      </c>
      <c r="Q28" s="149"/>
      <c r="W28" s="46"/>
    </row>
    <row r="29" spans="2:23">
      <c r="B29" s="7"/>
      <c r="K29" s="33"/>
      <c r="L29" s="1"/>
      <c r="N29" s="143" t="s">
        <v>44</v>
      </c>
      <c r="O29" s="144">
        <v>0</v>
      </c>
      <c r="P29" s="7" t="str">
        <f t="shared" ref="P29:P36" si="0">N29&amp;O29</f>
        <v>TK/0</v>
      </c>
      <c r="Q29" s="150">
        <f t="shared" ref="Q29:Q36" si="1">54000000+IF(N29="K/",4500000,0)+(O29*4500000)</f>
        <v>54000000</v>
      </c>
      <c r="W29" s="46"/>
    </row>
    <row r="30" spans="2:23">
      <c r="B30" s="7" t="s">
        <v>45</v>
      </c>
      <c r="G30" s="58">
        <f>G9+(J30/G28)</f>
        <v>0</v>
      </c>
      <c r="I30" t="s">
        <v>46</v>
      </c>
      <c r="J30" s="11"/>
      <c r="K30" s="190"/>
      <c r="L30" s="191"/>
      <c r="N30" s="143" t="s">
        <v>44</v>
      </c>
      <c r="O30" s="144">
        <v>1</v>
      </c>
      <c r="P30" s="7" t="str">
        <f t="shared" si="0"/>
        <v>TK/1</v>
      </c>
      <c r="Q30" s="150">
        <f t="shared" si="1"/>
        <v>58500000</v>
      </c>
      <c r="W30" s="46"/>
    </row>
    <row r="31" spans="2:23">
      <c r="B31" s="7" t="s">
        <v>47</v>
      </c>
      <c r="G31" s="58">
        <f>G10+(J31/G28)</f>
        <v>0</v>
      </c>
      <c r="I31" t="s">
        <v>46</v>
      </c>
      <c r="J31" s="11"/>
      <c r="K31" s="190"/>
      <c r="L31" s="191"/>
      <c r="N31" s="143" t="s">
        <v>44</v>
      </c>
      <c r="O31" s="144">
        <v>2</v>
      </c>
      <c r="P31" s="7" t="str">
        <f t="shared" si="0"/>
        <v>TK/2</v>
      </c>
      <c r="Q31" s="150">
        <f t="shared" si="1"/>
        <v>63000000</v>
      </c>
      <c r="W31" s="46"/>
    </row>
    <row r="32" spans="2:23">
      <c r="B32" s="7" t="s">
        <v>26</v>
      </c>
      <c r="G32" s="58">
        <f>G11</f>
        <v>0</v>
      </c>
      <c r="K32" s="33"/>
      <c r="L32" s="34"/>
      <c r="N32" s="143" t="s">
        <v>44</v>
      </c>
      <c r="O32" s="144">
        <v>3</v>
      </c>
      <c r="P32" s="7" t="str">
        <f t="shared" si="0"/>
        <v>TK/3</v>
      </c>
      <c r="Q32" s="150">
        <f t="shared" si="1"/>
        <v>67500000</v>
      </c>
      <c r="W32" s="46"/>
    </row>
    <row r="33" spans="2:23">
      <c r="B33" s="7" t="s">
        <v>29</v>
      </c>
      <c r="G33" s="58">
        <f>(K33*G30)+J33</f>
        <v>0</v>
      </c>
      <c r="J33" s="192">
        <f>J12</f>
        <v>0</v>
      </c>
      <c r="K33" s="193">
        <f>K12</f>
        <v>0</v>
      </c>
      <c r="L33" s="194"/>
      <c r="N33" s="143" t="s">
        <v>48</v>
      </c>
      <c r="O33" s="144">
        <v>0</v>
      </c>
      <c r="P33" s="7" t="str">
        <f t="shared" si="0"/>
        <v>K/0</v>
      </c>
      <c r="Q33" s="150">
        <f t="shared" si="1"/>
        <v>58500000</v>
      </c>
      <c r="W33" s="46"/>
    </row>
    <row r="34" spans="2:23">
      <c r="B34" s="7" t="s">
        <v>30</v>
      </c>
      <c r="G34" s="58">
        <f>G13</f>
        <v>0</v>
      </c>
      <c r="K34" s="33"/>
      <c r="L34" s="34"/>
      <c r="N34" s="143" t="s">
        <v>48</v>
      </c>
      <c r="O34" s="144">
        <v>1</v>
      </c>
      <c r="P34" s="7" t="str">
        <f t="shared" si="0"/>
        <v>K/1</v>
      </c>
      <c r="Q34" s="150">
        <f t="shared" si="1"/>
        <v>63000000</v>
      </c>
      <c r="W34" s="46"/>
    </row>
    <row r="35" spans="2:23">
      <c r="B35" s="7" t="s">
        <v>31</v>
      </c>
      <c r="G35" s="58">
        <f>G14</f>
        <v>0</v>
      </c>
      <c r="K35" s="33"/>
      <c r="L35" s="34"/>
      <c r="N35" s="143" t="s">
        <v>48</v>
      </c>
      <c r="O35" s="144">
        <v>2</v>
      </c>
      <c r="P35" s="7" t="str">
        <f t="shared" si="0"/>
        <v>K/2</v>
      </c>
      <c r="Q35" s="150">
        <f t="shared" si="1"/>
        <v>67500000</v>
      </c>
      <c r="W35" s="46"/>
    </row>
    <row r="36" ht="15.75" spans="2:23">
      <c r="B36" s="7" t="s">
        <v>32</v>
      </c>
      <c r="G36" s="58">
        <f>SUM(G30:G35)</f>
        <v>0</v>
      </c>
      <c r="K36" s="33"/>
      <c r="L36" s="34"/>
      <c r="N36" s="143" t="s">
        <v>48</v>
      </c>
      <c r="O36" s="144">
        <v>3</v>
      </c>
      <c r="P36" s="29" t="str">
        <f t="shared" si="0"/>
        <v>K/3</v>
      </c>
      <c r="Q36" s="151">
        <f t="shared" si="1"/>
        <v>72000000</v>
      </c>
      <c r="W36" s="46"/>
    </row>
    <row r="37" ht="15.75" spans="2:22">
      <c r="B37" s="7" t="s">
        <v>34</v>
      </c>
      <c r="G37" s="58">
        <f>IF(G36*0.05&lt;=500000,G36*0.05,500000)</f>
        <v>0</v>
      </c>
      <c r="K37" s="33"/>
      <c r="L37" s="34"/>
      <c r="V37" s="46"/>
    </row>
    <row r="38" spans="2:22">
      <c r="B38" s="7" t="s">
        <v>35</v>
      </c>
      <c r="G38" s="58">
        <f>(K38*G30)+J38</f>
        <v>0</v>
      </c>
      <c r="J38" s="192">
        <f>J17</f>
        <v>0</v>
      </c>
      <c r="K38" s="193">
        <f>K17</f>
        <v>0</v>
      </c>
      <c r="L38" s="194"/>
      <c r="V38" s="46"/>
    </row>
    <row r="39" spans="2:22">
      <c r="B39" s="7" t="s">
        <v>36</v>
      </c>
      <c r="G39" s="58">
        <f>(K39*G36)+J39</f>
        <v>0</v>
      </c>
      <c r="J39" s="192">
        <f>J18</f>
        <v>0</v>
      </c>
      <c r="K39" s="193">
        <f>K18</f>
        <v>0</v>
      </c>
      <c r="L39" s="194"/>
      <c r="V39" s="46"/>
    </row>
    <row r="40" spans="2:22">
      <c r="B40" s="7" t="s">
        <v>3</v>
      </c>
      <c r="G40" s="58">
        <f>G36-G37-G38-G39</f>
        <v>0</v>
      </c>
      <c r="K40" s="33"/>
      <c r="L40" s="1"/>
      <c r="V40" s="46"/>
    </row>
    <row r="41" spans="2:22">
      <c r="B41" s="7" t="s">
        <v>3</v>
      </c>
      <c r="C41" s="103" t="str">
        <f>C20</f>
        <v>Disetahunkan</v>
      </c>
      <c r="D41" s="103"/>
      <c r="E41" s="104">
        <f>E20</f>
        <v>12</v>
      </c>
      <c r="G41" s="58">
        <f>IF(C41="Disetahunkan",G40*12,G40*E41)</f>
        <v>0</v>
      </c>
      <c r="K41" s="33"/>
      <c r="L41" s="1"/>
      <c r="V41" s="46"/>
    </row>
    <row r="42" spans="2:22">
      <c r="B42" s="7" t="s">
        <v>1</v>
      </c>
      <c r="C42" s="103" t="str">
        <f>C21</f>
        <v>TK/0</v>
      </c>
      <c r="D42" s="103"/>
      <c r="E42" s="105"/>
      <c r="G42" s="58">
        <f>G21</f>
        <v>54000000</v>
      </c>
      <c r="K42" s="33"/>
      <c r="L42" s="1"/>
      <c r="V42" s="46"/>
    </row>
    <row r="43" spans="2:22">
      <c r="B43" s="7" t="s">
        <v>37</v>
      </c>
      <c r="D43" s="105"/>
      <c r="E43" s="105"/>
      <c r="G43" s="58">
        <f>IF(G41&gt;G42,ROUNDDOWN(G41-G42,-3),0)</f>
        <v>0</v>
      </c>
      <c r="K43" s="33"/>
      <c r="L43" s="1"/>
      <c r="V43" s="46"/>
    </row>
    <row r="44" spans="2:22">
      <c r="B44" s="7" t="s">
        <v>38</v>
      </c>
      <c r="C44" s="59" t="str">
        <f>C41</f>
        <v>Disetahunkan</v>
      </c>
      <c r="D44" s="106"/>
      <c r="G44" s="58">
        <f>IF(G43&lt;=50000000,G43*0.05,IF(G43&lt;=250000000,(G43-50000000)*0.15+2500000,IF(G43&lt;=500000000,(G43-250000000)*0.25+32500000,IF(G43&gt;500000000,(G43-500000000)*0.3+95000000,"no"))))*IF(C28="Ada",1,1.2)</f>
        <v>0</v>
      </c>
      <c r="K44" s="33"/>
      <c r="L44" s="1"/>
      <c r="V44" s="46"/>
    </row>
    <row r="45" spans="2:22">
      <c r="B45" s="7" t="s">
        <v>49</v>
      </c>
      <c r="G45" s="58">
        <f>ROUNDUP(IF(C41="Disetahunkan",G44/12,G44/E41),0)</f>
        <v>0</v>
      </c>
      <c r="K45" s="33"/>
      <c r="L45" s="1"/>
      <c r="V45" s="46"/>
    </row>
    <row r="46" ht="15.75" spans="2:22">
      <c r="B46" s="29" t="s">
        <v>41</v>
      </c>
      <c r="C46" s="30"/>
      <c r="D46" s="107"/>
      <c r="E46" s="107"/>
      <c r="F46" s="107"/>
      <c r="G46" s="61">
        <f>(G45-G24)*G28</f>
        <v>0</v>
      </c>
      <c r="H46" s="30"/>
      <c r="I46" s="30"/>
      <c r="J46" s="30"/>
      <c r="K46" s="195"/>
      <c r="L46" s="10"/>
      <c r="M46" s="46"/>
      <c r="N46" s="46"/>
      <c r="O46" s="46"/>
      <c r="P46" s="46"/>
      <c r="Q46" s="46"/>
      <c r="R46" s="46"/>
      <c r="S46" s="46"/>
      <c r="T46" s="46"/>
      <c r="U46" s="46"/>
      <c r="V46" s="46"/>
    </row>
    <row r="47" ht="15.75" spans="13:17">
      <c r="M47" s="196"/>
      <c r="N47" s="196"/>
      <c r="O47" s="196"/>
      <c r="P47" s="196"/>
      <c r="Q47" s="196"/>
    </row>
    <row r="48" ht="15.75" spans="2:22">
      <c r="B48" s="176" t="s">
        <v>50</v>
      </c>
      <c r="C48" s="176"/>
      <c r="D48" s="176"/>
      <c r="E48" s="176"/>
      <c r="F48" s="176"/>
      <c r="G48" s="61">
        <f>G24+R24+G46</f>
        <v>0</v>
      </c>
      <c r="H48" s="30"/>
      <c r="I48" s="30"/>
      <c r="J48" s="30"/>
      <c r="K48" s="30"/>
      <c r="L48" s="30"/>
      <c r="M48" s="197"/>
      <c r="N48" s="197"/>
      <c r="O48" s="197"/>
      <c r="P48" s="197"/>
      <c r="Q48" s="197"/>
      <c r="R48" s="30"/>
      <c r="S48" s="30"/>
      <c r="T48" s="30"/>
      <c r="U48" s="30"/>
      <c r="V48" s="30"/>
    </row>
    <row r="49" ht="16.5" spans="4:4">
      <c r="D49" s="177"/>
    </row>
    <row r="50" ht="15.75" spans="2:2">
      <c r="B50" s="167" t="s">
        <v>8</v>
      </c>
    </row>
    <row r="51" ht="15.75" spans="2:22">
      <c r="B51" s="168" t="s">
        <v>20</v>
      </c>
      <c r="C51" s="169"/>
      <c r="D51" s="169"/>
      <c r="E51" s="169"/>
      <c r="F51" s="100"/>
      <c r="G51" s="153"/>
      <c r="H51" s="170"/>
      <c r="I51" s="170"/>
      <c r="J51" s="42"/>
      <c r="K51" s="45"/>
      <c r="L51" s="46"/>
      <c r="M51" s="168" t="s">
        <v>21</v>
      </c>
      <c r="N51" s="169"/>
      <c r="O51" s="169"/>
      <c r="P51" s="169"/>
      <c r="Q51" s="169"/>
      <c r="R51" s="43"/>
      <c r="S51" s="174"/>
      <c r="T51" s="174"/>
      <c r="U51" s="42"/>
      <c r="V51" s="45"/>
    </row>
    <row r="52" spans="2:22">
      <c r="B52" s="7"/>
      <c r="K52" s="47"/>
      <c r="L52" s="46"/>
      <c r="M52" s="7"/>
      <c r="V52" s="47"/>
    </row>
    <row r="53" spans="2:22">
      <c r="B53" s="7" t="s">
        <v>22</v>
      </c>
      <c r="C53" s="171" t="str">
        <f>C7</f>
        <v>Ada</v>
      </c>
      <c r="D53" s="171"/>
      <c r="K53" s="47"/>
      <c r="L53" s="46"/>
      <c r="M53" s="7" t="s">
        <v>22</v>
      </c>
      <c r="N53" s="103" t="str">
        <f>C53</f>
        <v>Ada</v>
      </c>
      <c r="O53" s="103"/>
      <c r="P53" s="90"/>
      <c r="Q53" s="90"/>
      <c r="R53" s="1"/>
      <c r="V53" s="47"/>
    </row>
    <row r="54" spans="2:22">
      <c r="B54" s="7"/>
      <c r="K54" s="47"/>
      <c r="L54" s="46"/>
      <c r="M54" s="7"/>
      <c r="O54" s="90"/>
      <c r="P54" s="90"/>
      <c r="Q54" s="90"/>
      <c r="R54" s="1"/>
      <c r="V54" s="47"/>
    </row>
    <row r="55" spans="2:22">
      <c r="B55" s="7" t="s">
        <v>24</v>
      </c>
      <c r="G55" s="15"/>
      <c r="K55" s="47"/>
      <c r="L55" s="46"/>
      <c r="M55" s="7" t="s">
        <v>24</v>
      </c>
      <c r="O55" s="90"/>
      <c r="P55" s="90"/>
      <c r="Q55" s="90"/>
      <c r="R55" s="58">
        <f>IF(G76&gt;G55,G76,G55)*IF($N$66="Disetahunkan",12,$P$66)</f>
        <v>0</v>
      </c>
      <c r="V55" s="47"/>
    </row>
    <row r="56" spans="2:22">
      <c r="B56" s="7" t="s">
        <v>25</v>
      </c>
      <c r="G56" s="15"/>
      <c r="K56" s="47"/>
      <c r="L56" s="46"/>
      <c r="M56" s="7" t="s">
        <v>25</v>
      </c>
      <c r="O56" s="90"/>
      <c r="P56" s="90"/>
      <c r="Q56" s="90"/>
      <c r="R56" s="58">
        <f>IF(G77&gt;G56,G77,G56)*IF($N$66="Disetahunkan",12,$P$66)</f>
        <v>0</v>
      </c>
      <c r="V56" s="47"/>
    </row>
    <row r="57" spans="2:22">
      <c r="B57" s="7" t="s">
        <v>26</v>
      </c>
      <c r="G57" s="15"/>
      <c r="J57" s="184" t="s">
        <v>27</v>
      </c>
      <c r="K57" s="185" t="s">
        <v>28</v>
      </c>
      <c r="L57" s="46"/>
      <c r="M57" s="7" t="s">
        <v>26</v>
      </c>
      <c r="O57" s="90"/>
      <c r="P57" s="90"/>
      <c r="Q57" s="90"/>
      <c r="R57" s="58">
        <f>G57*IF($N$66="Disetahunkan",12,$P$66)</f>
        <v>0</v>
      </c>
      <c r="U57" s="200"/>
      <c r="V57" s="201"/>
    </row>
    <row r="58" spans="2:22">
      <c r="B58" s="7" t="s">
        <v>29</v>
      </c>
      <c r="G58" s="58">
        <f>(K58*G55)+J58</f>
        <v>0</v>
      </c>
      <c r="J58" s="186"/>
      <c r="K58" s="187"/>
      <c r="L58" s="188"/>
      <c r="M58" s="7" t="s">
        <v>29</v>
      </c>
      <c r="O58" s="90"/>
      <c r="P58" s="90"/>
      <c r="Q58" s="90"/>
      <c r="R58" s="58">
        <f>(V58*R55)+(U58*P66)</f>
        <v>0</v>
      </c>
      <c r="U58" s="192">
        <f t="shared" ref="T58:V58" si="2">J58</f>
        <v>0</v>
      </c>
      <c r="V58" s="193">
        <f t="shared" si="2"/>
        <v>0</v>
      </c>
    </row>
    <row r="59" spans="2:22">
      <c r="B59" s="7" t="s">
        <v>30</v>
      </c>
      <c r="G59" s="15"/>
      <c r="K59" s="47"/>
      <c r="L59" s="189"/>
      <c r="M59" s="7" t="s">
        <v>30</v>
      </c>
      <c r="O59" s="90"/>
      <c r="P59" s="90"/>
      <c r="Q59" s="90"/>
      <c r="R59" s="58">
        <f>G59*IF($N$66="Disetahunkan",12,$P$66)</f>
        <v>0</v>
      </c>
      <c r="V59" s="47"/>
    </row>
    <row r="60" spans="2:22">
      <c r="B60" s="7" t="s">
        <v>31</v>
      </c>
      <c r="G60" s="15"/>
      <c r="K60" s="47"/>
      <c r="L60" s="189"/>
      <c r="M60" s="7" t="s">
        <v>31</v>
      </c>
      <c r="O60" s="90"/>
      <c r="P60" s="90"/>
      <c r="Q60" s="90"/>
      <c r="R60" s="58">
        <f>G60*IF($N$66="Disetahunkan",12,$P$66)</f>
        <v>0</v>
      </c>
      <c r="V60" s="47"/>
    </row>
    <row r="61" spans="2:22">
      <c r="B61" s="7" t="s">
        <v>32</v>
      </c>
      <c r="G61" s="58">
        <f>SUM(G55:G60)</f>
        <v>0</v>
      </c>
      <c r="K61" s="47"/>
      <c r="L61" s="189"/>
      <c r="M61" s="7" t="s">
        <v>33</v>
      </c>
      <c r="O61" s="90"/>
      <c r="P61" s="90"/>
      <c r="Q61" s="90"/>
      <c r="R61" s="15"/>
      <c r="V61" s="47"/>
    </row>
    <row r="62" spans="2:22">
      <c r="B62" s="7" t="s">
        <v>34</v>
      </c>
      <c r="G62" s="58">
        <f>IF(G61*0.05&lt;=500000,G61*0.05,500000)</f>
        <v>0</v>
      </c>
      <c r="K62" s="47"/>
      <c r="L62" s="189"/>
      <c r="M62" s="7" t="s">
        <v>32</v>
      </c>
      <c r="O62" s="90"/>
      <c r="P62" s="90"/>
      <c r="Q62" s="90"/>
      <c r="R62" s="58">
        <f>SUM(R55:R61)</f>
        <v>0</v>
      </c>
      <c r="V62" s="47"/>
    </row>
    <row r="63" spans="2:22">
      <c r="B63" s="7" t="s">
        <v>35</v>
      </c>
      <c r="G63" s="58">
        <f>(K63*G55)+J63</f>
        <v>0</v>
      </c>
      <c r="J63" s="186"/>
      <c r="K63" s="187"/>
      <c r="L63" s="188"/>
      <c r="M63" s="7" t="s">
        <v>34</v>
      </c>
      <c r="O63" s="90"/>
      <c r="P63" s="90"/>
      <c r="Q63" s="90"/>
      <c r="R63" s="58">
        <f>IF(R62*0.05&lt;=500000*IF(N66="Disetahunkan",12,P66),R62*0.05,500000*P66)</f>
        <v>0</v>
      </c>
      <c r="V63" s="47"/>
    </row>
    <row r="64" spans="2:22">
      <c r="B64" s="7" t="s">
        <v>36</v>
      </c>
      <c r="G64" s="58">
        <f>(K64*G61)+J64</f>
        <v>0</v>
      </c>
      <c r="J64" s="186"/>
      <c r="K64" s="187"/>
      <c r="L64" s="188"/>
      <c r="M64" s="7" t="s">
        <v>35</v>
      </c>
      <c r="O64" s="90"/>
      <c r="P64" s="90"/>
      <c r="Q64" s="90"/>
      <c r="R64" s="58">
        <f>(V64*R55)+(U64*P66)</f>
        <v>0</v>
      </c>
      <c r="U64" s="192">
        <f t="shared" ref="T64:V64" si="3">J63</f>
        <v>0</v>
      </c>
      <c r="V64" s="193">
        <f t="shared" si="3"/>
        <v>0</v>
      </c>
    </row>
    <row r="65" spans="2:22">
      <c r="B65" s="7" t="s">
        <v>3</v>
      </c>
      <c r="G65" s="58">
        <f>G61-G62-G63-G64</f>
        <v>0</v>
      </c>
      <c r="K65" s="47"/>
      <c r="L65" s="46"/>
      <c r="M65" s="7" t="s">
        <v>36</v>
      </c>
      <c r="O65" s="90"/>
      <c r="P65" s="90"/>
      <c r="Q65" s="90"/>
      <c r="R65" s="58">
        <f>(V65*R62)+(U65*P66)</f>
        <v>0</v>
      </c>
      <c r="U65" s="192">
        <f t="shared" ref="T65:V65" si="4">J64</f>
        <v>0</v>
      </c>
      <c r="V65" s="193">
        <f t="shared" si="4"/>
        <v>0</v>
      </c>
    </row>
    <row r="66" spans="2:22">
      <c r="B66" s="7" t="s">
        <v>3</v>
      </c>
      <c r="C66" s="204" t="str">
        <f>C20</f>
        <v>Disetahunkan</v>
      </c>
      <c r="D66" s="204"/>
      <c r="E66" s="205">
        <f>E20</f>
        <v>12</v>
      </c>
      <c r="G66" s="58">
        <f>IF(C66="Disetahunkan",G65*12,G65*E66)</f>
        <v>0</v>
      </c>
      <c r="K66" s="47"/>
      <c r="L66" s="46"/>
      <c r="M66" s="7" t="s">
        <v>3</v>
      </c>
      <c r="N66" s="103" t="str">
        <f>C66</f>
        <v>Disetahunkan</v>
      </c>
      <c r="O66" s="103"/>
      <c r="P66" s="104">
        <f>E66</f>
        <v>12</v>
      </c>
      <c r="Q66" s="90"/>
      <c r="R66" s="58">
        <f>R62-R63-R64-R65</f>
        <v>0</v>
      </c>
      <c r="V66" s="47"/>
    </row>
    <row r="67" spans="2:22">
      <c r="B67" s="7" t="s">
        <v>1</v>
      </c>
      <c r="C67" s="172" t="str">
        <f>J1</f>
        <v>TK/0</v>
      </c>
      <c r="D67" s="172"/>
      <c r="E67" s="105"/>
      <c r="G67" s="58">
        <f>VLOOKUP(C67,P75:Q82,2,FALSE)</f>
        <v>54000000</v>
      </c>
      <c r="K67" s="47"/>
      <c r="L67" s="46"/>
      <c r="M67" s="7" t="s">
        <v>1</v>
      </c>
      <c r="N67" s="103" t="str">
        <f>C67</f>
        <v>TK/0</v>
      </c>
      <c r="O67" s="103"/>
      <c r="P67" s="105"/>
      <c r="Q67" s="90"/>
      <c r="R67" s="58">
        <f>G67</f>
        <v>54000000</v>
      </c>
      <c r="V67" s="47"/>
    </row>
    <row r="68" spans="2:22">
      <c r="B68" s="7" t="s">
        <v>37</v>
      </c>
      <c r="D68" s="105"/>
      <c r="E68" s="105"/>
      <c r="G68" s="58">
        <f>IF(G66&gt;G67,ROUNDDOWN(G66-G67,-3),0)</f>
        <v>0</v>
      </c>
      <c r="K68" s="47"/>
      <c r="L68" s="46"/>
      <c r="M68" s="7" t="s">
        <v>37</v>
      </c>
      <c r="O68" s="105"/>
      <c r="P68" s="105"/>
      <c r="Q68" s="90"/>
      <c r="R68" s="58">
        <f>IF(R66&gt;R67,ROUNDDOWN(R66-R67,-3),0)</f>
        <v>0</v>
      </c>
      <c r="V68" s="47"/>
    </row>
    <row r="69" spans="2:22">
      <c r="B69" s="7" t="s">
        <v>38</v>
      </c>
      <c r="C69" s="59" t="str">
        <f>C66</f>
        <v>Disetahunkan</v>
      </c>
      <c r="D69" s="106"/>
      <c r="G69" s="58">
        <f>IF(G68&lt;=50000000,G68*0.05,IF(G68&lt;=250000000,(G68-50000000)*0.15+2500000,IF(G68&lt;=500000000,(G68-250000000)*0.25+32500000,IF(G68&gt;500000000,(G68-500000000)*0.3+95000000,"no"))))*IF(C53="Ada",1,1.2)</f>
        <v>0</v>
      </c>
      <c r="K69" s="47"/>
      <c r="L69" s="46"/>
      <c r="M69" s="7" t="s">
        <v>38</v>
      </c>
      <c r="N69" s="59" t="str">
        <f>N66</f>
        <v>Disetahunkan</v>
      </c>
      <c r="O69" s="106"/>
      <c r="P69" s="90"/>
      <c r="Q69" s="90"/>
      <c r="R69" s="58">
        <f>IF(R68&lt;=50000000,R68*0.05,IF(R68&lt;=250000000,(R68-50000000)*0.15+2500000,IF(R68&lt;=500000000,(R68-250000000)*0.25+32500000,IF(R68&gt;500000000,(R68-500000000)*0.3+95000000,"no"))))*IF(N53="Ada",1,1.2)</f>
        <v>0</v>
      </c>
      <c r="V69" s="47"/>
    </row>
    <row r="70" ht="15.75" spans="2:22">
      <c r="B70" s="29" t="s">
        <v>39</v>
      </c>
      <c r="C70" s="30"/>
      <c r="D70" s="107"/>
      <c r="E70" s="107"/>
      <c r="F70" s="107"/>
      <c r="G70" s="61">
        <f>ROUNDUP(IF(C66="Disetahunkan",G69/12,G69/E66),0)</f>
        <v>0</v>
      </c>
      <c r="H70" s="30"/>
      <c r="I70" s="30"/>
      <c r="J70" s="30"/>
      <c r="K70" s="166"/>
      <c r="L70" s="46"/>
      <c r="M70" s="29" t="s">
        <v>40</v>
      </c>
      <c r="N70" s="30"/>
      <c r="O70" s="107"/>
      <c r="P70" s="107"/>
      <c r="Q70" s="107"/>
      <c r="R70" s="61">
        <f>R69-IF(G90&gt;G69,G90,G69)</f>
        <v>0</v>
      </c>
      <c r="S70" s="30"/>
      <c r="T70" s="202"/>
      <c r="U70" s="202"/>
      <c r="V70" s="203"/>
    </row>
    <row r="71" ht="16.5" spans="2:22">
      <c r="B71" s="46"/>
      <c r="C71" s="46"/>
      <c r="D71" s="155"/>
      <c r="E71" s="155"/>
      <c r="F71" s="155"/>
      <c r="G71" s="10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</row>
    <row r="72" ht="15.75" spans="2:22">
      <c r="B72" s="168" t="s">
        <v>41</v>
      </c>
      <c r="C72" s="169"/>
      <c r="D72" s="169"/>
      <c r="E72" s="100"/>
      <c r="F72" s="100"/>
      <c r="G72" s="153"/>
      <c r="H72" s="174"/>
      <c r="I72" s="174"/>
      <c r="J72" s="42"/>
      <c r="K72" s="45"/>
      <c r="V72" s="46"/>
    </row>
    <row r="73" ht="15.75" spans="2:22">
      <c r="B73" s="7"/>
      <c r="K73" s="47"/>
      <c r="V73" s="46"/>
    </row>
    <row r="74" ht="15.75" spans="2:17">
      <c r="B74" s="7" t="s">
        <v>22</v>
      </c>
      <c r="C74" s="103" t="str">
        <f>C53</f>
        <v>Ada</v>
      </c>
      <c r="D74" s="103"/>
      <c r="E74" s="90" t="s">
        <v>42</v>
      </c>
      <c r="G74" s="175">
        <v>4</v>
      </c>
      <c r="K74" s="33"/>
      <c r="L74" s="1"/>
      <c r="N74" s="141"/>
      <c r="O74" s="141"/>
      <c r="P74" s="142" t="s">
        <v>43</v>
      </c>
      <c r="Q74" s="149"/>
    </row>
    <row r="75" spans="2:17">
      <c r="B75" s="7"/>
      <c r="K75" s="33"/>
      <c r="L75" s="1"/>
      <c r="N75" s="143" t="s">
        <v>44</v>
      </c>
      <c r="O75" s="144">
        <v>0</v>
      </c>
      <c r="P75" s="7" t="str">
        <f t="shared" ref="P75:P82" si="5">N75&amp;O75</f>
        <v>TK/0</v>
      </c>
      <c r="Q75" s="150">
        <f t="shared" ref="Q75:Q82" si="6">54000000+IF(N75="K/",4500000,0)+(O75*4500000)</f>
        <v>54000000</v>
      </c>
    </row>
    <row r="76" spans="2:17">
      <c r="B76" s="7" t="s">
        <v>45</v>
      </c>
      <c r="G76" s="58">
        <f>G55+(J76/G74)</f>
        <v>0</v>
      </c>
      <c r="I76" t="s">
        <v>46</v>
      </c>
      <c r="J76" s="11"/>
      <c r="K76" s="190"/>
      <c r="L76" s="191"/>
      <c r="N76" s="143" t="s">
        <v>44</v>
      </c>
      <c r="O76" s="144">
        <v>1</v>
      </c>
      <c r="P76" s="7" t="str">
        <f t="shared" si="5"/>
        <v>TK/1</v>
      </c>
      <c r="Q76" s="150">
        <f t="shared" si="6"/>
        <v>58500000</v>
      </c>
    </row>
    <row r="77" spans="2:17">
      <c r="B77" s="7" t="s">
        <v>47</v>
      </c>
      <c r="G77" s="58">
        <f>G56+(J77/G74)</f>
        <v>0</v>
      </c>
      <c r="I77" t="s">
        <v>46</v>
      </c>
      <c r="J77" s="11"/>
      <c r="K77" s="190"/>
      <c r="L77" s="191"/>
      <c r="N77" s="143" t="s">
        <v>44</v>
      </c>
      <c r="O77" s="144">
        <v>2</v>
      </c>
      <c r="P77" s="7" t="str">
        <f t="shared" si="5"/>
        <v>TK/2</v>
      </c>
      <c r="Q77" s="150">
        <f t="shared" si="6"/>
        <v>63000000</v>
      </c>
    </row>
    <row r="78" spans="2:17">
      <c r="B78" s="7" t="s">
        <v>26</v>
      </c>
      <c r="G78" s="58">
        <f t="shared" ref="G78:G81" si="7">G57</f>
        <v>0</v>
      </c>
      <c r="K78" s="33"/>
      <c r="L78" s="34"/>
      <c r="N78" s="143" t="s">
        <v>44</v>
      </c>
      <c r="O78" s="144">
        <v>3</v>
      </c>
      <c r="P78" s="7" t="str">
        <f t="shared" si="5"/>
        <v>TK/3</v>
      </c>
      <c r="Q78" s="150">
        <f t="shared" si="6"/>
        <v>67500000</v>
      </c>
    </row>
    <row r="79" spans="2:17">
      <c r="B79" s="7" t="s">
        <v>29</v>
      </c>
      <c r="G79" s="58">
        <f>(K79*G76)+J79</f>
        <v>0</v>
      </c>
      <c r="J79" s="192">
        <f t="shared" ref="I79:K79" si="8">J58</f>
        <v>0</v>
      </c>
      <c r="K79" s="193">
        <f t="shared" si="8"/>
        <v>0</v>
      </c>
      <c r="L79" s="194"/>
      <c r="N79" s="143" t="s">
        <v>48</v>
      </c>
      <c r="O79" s="144">
        <v>0</v>
      </c>
      <c r="P79" s="7" t="str">
        <f t="shared" si="5"/>
        <v>K/0</v>
      </c>
      <c r="Q79" s="150">
        <f t="shared" si="6"/>
        <v>58500000</v>
      </c>
    </row>
    <row r="80" spans="2:17">
      <c r="B80" s="7" t="s">
        <v>30</v>
      </c>
      <c r="G80" s="58">
        <f t="shared" si="7"/>
        <v>0</v>
      </c>
      <c r="K80" s="33"/>
      <c r="L80" s="34"/>
      <c r="N80" s="143" t="s">
        <v>48</v>
      </c>
      <c r="O80" s="144">
        <v>1</v>
      </c>
      <c r="P80" s="7" t="str">
        <f t="shared" si="5"/>
        <v>K/1</v>
      </c>
      <c r="Q80" s="150">
        <f t="shared" si="6"/>
        <v>63000000</v>
      </c>
    </row>
    <row r="81" spans="2:17">
      <c r="B81" s="7" t="s">
        <v>31</v>
      </c>
      <c r="G81" s="58">
        <f t="shared" si="7"/>
        <v>0</v>
      </c>
      <c r="K81" s="33"/>
      <c r="L81" s="34"/>
      <c r="N81" s="143" t="s">
        <v>48</v>
      </c>
      <c r="O81" s="144">
        <v>2</v>
      </c>
      <c r="P81" s="7" t="str">
        <f t="shared" si="5"/>
        <v>K/2</v>
      </c>
      <c r="Q81" s="150">
        <f t="shared" si="6"/>
        <v>67500000</v>
      </c>
    </row>
    <row r="82" ht="15.75" spans="2:17">
      <c r="B82" s="7" t="s">
        <v>32</v>
      </c>
      <c r="G82" s="58">
        <f>SUM(G76:G81)</f>
        <v>0</v>
      </c>
      <c r="K82" s="33"/>
      <c r="L82" s="34"/>
      <c r="N82" s="143" t="s">
        <v>48</v>
      </c>
      <c r="O82" s="144">
        <v>3</v>
      </c>
      <c r="P82" s="29" t="str">
        <f t="shared" si="5"/>
        <v>K/3</v>
      </c>
      <c r="Q82" s="151">
        <f t="shared" si="6"/>
        <v>72000000</v>
      </c>
    </row>
    <row r="83" ht="15.75" spans="2:22">
      <c r="B83" s="7" t="s">
        <v>34</v>
      </c>
      <c r="G83" s="58">
        <f>IF(G82*0.05&lt;=500000,G82*0.05,500000)</f>
        <v>0</v>
      </c>
      <c r="K83" s="33"/>
      <c r="L83" s="34"/>
      <c r="V83" s="46"/>
    </row>
    <row r="84" spans="2:22">
      <c r="B84" s="7" t="s">
        <v>35</v>
      </c>
      <c r="G84" s="58">
        <f>(K84*G76)+J84</f>
        <v>0</v>
      </c>
      <c r="J84" s="192">
        <f t="shared" ref="I84:K84" si="9">J63</f>
        <v>0</v>
      </c>
      <c r="K84" s="193">
        <f t="shared" si="9"/>
        <v>0</v>
      </c>
      <c r="L84" s="194"/>
      <c r="V84" s="46"/>
    </row>
    <row r="85" spans="2:22">
      <c r="B85" s="7" t="s">
        <v>36</v>
      </c>
      <c r="G85" s="58">
        <f>(K85*G82)+J85</f>
        <v>0</v>
      </c>
      <c r="J85" s="192">
        <f t="shared" ref="I85:K85" si="10">J64</f>
        <v>0</v>
      </c>
      <c r="K85" s="193">
        <f t="shared" si="10"/>
        <v>0</v>
      </c>
      <c r="L85" s="194"/>
      <c r="V85" s="46"/>
    </row>
    <row r="86" spans="2:22">
      <c r="B86" s="7" t="s">
        <v>3</v>
      </c>
      <c r="G86" s="58">
        <f>G82-G83-G84-G85</f>
        <v>0</v>
      </c>
      <c r="K86" s="33"/>
      <c r="L86" s="1"/>
      <c r="V86" s="46"/>
    </row>
    <row r="87" spans="2:22">
      <c r="B87" s="7" t="s">
        <v>3</v>
      </c>
      <c r="C87" s="103" t="str">
        <f>C66</f>
        <v>Disetahunkan</v>
      </c>
      <c r="D87" s="103"/>
      <c r="E87" s="104">
        <f>E66</f>
        <v>12</v>
      </c>
      <c r="G87" s="58">
        <f>IF(C87="Disetahunkan",G86*12,G86*E87)</f>
        <v>0</v>
      </c>
      <c r="K87" s="33"/>
      <c r="L87" s="1"/>
      <c r="V87" s="46"/>
    </row>
    <row r="88" spans="2:22">
      <c r="B88" s="7" t="s">
        <v>1</v>
      </c>
      <c r="C88" s="103" t="str">
        <f>C67</f>
        <v>TK/0</v>
      </c>
      <c r="D88" s="103"/>
      <c r="E88" s="105"/>
      <c r="G88" s="58">
        <f>G67</f>
        <v>54000000</v>
      </c>
      <c r="K88" s="33"/>
      <c r="L88" s="1"/>
      <c r="V88" s="46"/>
    </row>
    <row r="89" spans="2:22">
      <c r="B89" s="7" t="s">
        <v>37</v>
      </c>
      <c r="D89" s="105"/>
      <c r="E89" s="105"/>
      <c r="G89" s="58">
        <f>IF(G87&gt;G88,ROUNDDOWN(G87-G88,-3),0)</f>
        <v>0</v>
      </c>
      <c r="K89" s="33"/>
      <c r="L89" s="1"/>
      <c r="V89" s="46"/>
    </row>
    <row r="90" spans="2:22">
      <c r="B90" s="7" t="s">
        <v>38</v>
      </c>
      <c r="C90" s="59" t="str">
        <f>C87</f>
        <v>Disetahunkan</v>
      </c>
      <c r="D90" s="106"/>
      <c r="G90" s="58">
        <f>IF(G89&lt;=50000000,G89*0.05,IF(G89&lt;=250000000,(G89-50000000)*0.15+2500000,IF(G89&lt;=500000000,(G89-250000000)*0.25+32500000,IF(G89&gt;500000000,(G89-500000000)*0.3+95000000,"no"))))*IF(C74="Ada",1,1.2)</f>
        <v>0</v>
      </c>
      <c r="K90" s="33"/>
      <c r="L90" s="1"/>
      <c r="V90" s="46"/>
    </row>
    <row r="91" spans="2:22">
      <c r="B91" s="7" t="s">
        <v>49</v>
      </c>
      <c r="G91" s="58">
        <f>ROUNDUP(IF(C87="Disetahunkan",G90/12,G90/E87),0)</f>
        <v>0</v>
      </c>
      <c r="K91" s="33"/>
      <c r="L91" s="1"/>
      <c r="V91" s="46"/>
    </row>
    <row r="92" ht="15.75" spans="2:22">
      <c r="B92" s="29" t="s">
        <v>41</v>
      </c>
      <c r="C92" s="30"/>
      <c r="D92" s="107"/>
      <c r="E92" s="107"/>
      <c r="F92" s="107"/>
      <c r="G92" s="61">
        <f>(G91-G70)*G74</f>
        <v>0</v>
      </c>
      <c r="H92" s="30"/>
      <c r="I92" s="30"/>
      <c r="J92" s="30"/>
      <c r="K92" s="195"/>
      <c r="L92" s="10"/>
      <c r="M92" s="46"/>
      <c r="N92" s="46"/>
      <c r="O92" s="46"/>
      <c r="P92" s="46"/>
      <c r="Q92" s="46"/>
      <c r="R92" s="46"/>
      <c r="S92" s="46"/>
      <c r="T92" s="46"/>
      <c r="U92" s="46"/>
      <c r="V92" s="46"/>
    </row>
    <row r="93" ht="15.75" spans="13:17">
      <c r="M93" s="206" t="s">
        <v>51</v>
      </c>
      <c r="N93" s="206"/>
      <c r="O93" s="206"/>
      <c r="P93" s="206"/>
      <c r="Q93" s="206"/>
    </row>
    <row r="94" ht="15.75" spans="2:22">
      <c r="B94" s="176" t="s">
        <v>50</v>
      </c>
      <c r="C94" s="176"/>
      <c r="D94" s="176"/>
      <c r="E94" s="176"/>
      <c r="F94" s="176"/>
      <c r="G94" s="61">
        <f>IF(G55&gt;0,IF(C74="Ada",G70+R70+G92-R94,G70+R70+G92),G48)</f>
        <v>0</v>
      </c>
      <c r="H94" s="30"/>
      <c r="I94" s="30"/>
      <c r="J94" s="30"/>
      <c r="K94" s="30"/>
      <c r="L94" s="30"/>
      <c r="M94" s="207"/>
      <c r="N94" s="207"/>
      <c r="O94" s="207"/>
      <c r="P94" s="207"/>
      <c r="Q94" s="207"/>
      <c r="R94" s="31">
        <f>IF(C7="Tidak Ada",20/120*G48,0)</f>
        <v>0</v>
      </c>
      <c r="S94" s="30"/>
      <c r="T94" s="30"/>
      <c r="U94" s="30"/>
      <c r="V94" s="30"/>
    </row>
    <row r="95" ht="16.5"/>
    <row r="96" ht="15.75" spans="2:2">
      <c r="B96" s="167" t="s">
        <v>9</v>
      </c>
    </row>
    <row r="97" ht="15.75" spans="2:22">
      <c r="B97" s="168" t="s">
        <v>20</v>
      </c>
      <c r="C97" s="169"/>
      <c r="D97" s="169"/>
      <c r="E97" s="169"/>
      <c r="F97" s="100"/>
      <c r="G97" s="153"/>
      <c r="H97" s="170"/>
      <c r="I97" s="170"/>
      <c r="J97" s="42"/>
      <c r="K97" s="45"/>
      <c r="L97" s="46"/>
      <c r="M97" s="168" t="s">
        <v>21</v>
      </c>
      <c r="N97" s="169"/>
      <c r="O97" s="169"/>
      <c r="P97" s="169"/>
      <c r="Q97" s="169"/>
      <c r="R97" s="43"/>
      <c r="S97" s="174"/>
      <c r="T97" s="174"/>
      <c r="U97" s="42"/>
      <c r="V97" s="45"/>
    </row>
    <row r="98" spans="2:22">
      <c r="B98" s="7"/>
      <c r="K98" s="47"/>
      <c r="L98" s="46"/>
      <c r="M98" s="7"/>
      <c r="V98" s="47"/>
    </row>
    <row r="99" spans="2:22">
      <c r="B99" s="7" t="s">
        <v>22</v>
      </c>
      <c r="C99" s="171" t="str">
        <f>C53</f>
        <v>Ada</v>
      </c>
      <c r="D99" s="171"/>
      <c r="K99" s="47"/>
      <c r="L99" s="46"/>
      <c r="M99" s="7" t="s">
        <v>22</v>
      </c>
      <c r="N99" s="103" t="str">
        <f>C99</f>
        <v>Ada</v>
      </c>
      <c r="O99" s="103"/>
      <c r="P99" s="90"/>
      <c r="Q99" s="90"/>
      <c r="R99" s="1"/>
      <c r="V99" s="47"/>
    </row>
    <row r="100" spans="2:22">
      <c r="B100" s="7"/>
      <c r="K100" s="47"/>
      <c r="L100" s="46"/>
      <c r="M100" s="7"/>
      <c r="O100" s="90"/>
      <c r="P100" s="90"/>
      <c r="Q100" s="90"/>
      <c r="R100" s="1"/>
      <c r="V100" s="47"/>
    </row>
    <row r="101" spans="2:22">
      <c r="B101" s="7" t="s">
        <v>24</v>
      </c>
      <c r="G101" s="15"/>
      <c r="K101" s="47"/>
      <c r="L101" s="46"/>
      <c r="M101" s="7" t="s">
        <v>24</v>
      </c>
      <c r="O101" s="90"/>
      <c r="P101" s="90"/>
      <c r="Q101" s="90"/>
      <c r="R101" s="58">
        <f>IF(G122&gt;G101,G122,G101)*IF($N$112="Disetahunkan",12,$P$112)</f>
        <v>0</v>
      </c>
      <c r="V101" s="47"/>
    </row>
    <row r="102" spans="2:22">
      <c r="B102" s="7" t="s">
        <v>25</v>
      </c>
      <c r="G102" s="15"/>
      <c r="K102" s="47"/>
      <c r="L102" s="46"/>
      <c r="M102" s="7" t="s">
        <v>25</v>
      </c>
      <c r="O102" s="90"/>
      <c r="P102" s="90"/>
      <c r="Q102" s="90"/>
      <c r="R102" s="58">
        <f>IF(G123&gt;G102,G123,G102)*IF($N$112="Disetahunkan",12,$P$112)</f>
        <v>0</v>
      </c>
      <c r="V102" s="47"/>
    </row>
    <row r="103" spans="2:22">
      <c r="B103" s="7" t="s">
        <v>26</v>
      </c>
      <c r="G103" s="15"/>
      <c r="J103" s="184" t="s">
        <v>27</v>
      </c>
      <c r="K103" s="185" t="s">
        <v>28</v>
      </c>
      <c r="L103" s="46"/>
      <c r="M103" s="7" t="s">
        <v>26</v>
      </c>
      <c r="O103" s="90"/>
      <c r="P103" s="90"/>
      <c r="Q103" s="90"/>
      <c r="R103" s="58">
        <f>G103*IF($N$112="Disetahunkan",12,$P$112)</f>
        <v>0</v>
      </c>
      <c r="U103" s="200"/>
      <c r="V103" s="201"/>
    </row>
    <row r="104" spans="2:22">
      <c r="B104" s="7" t="s">
        <v>29</v>
      </c>
      <c r="G104" s="58">
        <f>(K104*G101)+J104</f>
        <v>0</v>
      </c>
      <c r="J104" s="186"/>
      <c r="K104" s="187"/>
      <c r="L104" s="188"/>
      <c r="M104" s="7" t="s">
        <v>29</v>
      </c>
      <c r="O104" s="90"/>
      <c r="P104" s="90"/>
      <c r="Q104" s="90"/>
      <c r="R104" s="58">
        <f>(V104*R101)+(U104*P112)</f>
        <v>0</v>
      </c>
      <c r="U104" s="192">
        <f t="shared" ref="T104:V104" si="11">J104</f>
        <v>0</v>
      </c>
      <c r="V104" s="193">
        <f t="shared" si="11"/>
        <v>0</v>
      </c>
    </row>
    <row r="105" spans="2:22">
      <c r="B105" s="7" t="s">
        <v>30</v>
      </c>
      <c r="G105" s="15"/>
      <c r="K105" s="47"/>
      <c r="L105" s="189"/>
      <c r="M105" s="7" t="s">
        <v>30</v>
      </c>
      <c r="O105" s="90"/>
      <c r="P105" s="90"/>
      <c r="Q105" s="90"/>
      <c r="R105" s="58">
        <f>G105*IF($N$112="Disetahunkan",12,$P$112)</f>
        <v>0</v>
      </c>
      <c r="V105" s="47"/>
    </row>
    <row r="106" spans="2:22">
      <c r="B106" s="7" t="s">
        <v>31</v>
      </c>
      <c r="G106" s="15"/>
      <c r="K106" s="47"/>
      <c r="L106" s="189"/>
      <c r="M106" s="7" t="s">
        <v>31</v>
      </c>
      <c r="O106" s="90"/>
      <c r="P106" s="90"/>
      <c r="Q106" s="90"/>
      <c r="R106" s="58">
        <f>G106*IF($N$112="Disetahunkan",12,$P$112)</f>
        <v>0</v>
      </c>
      <c r="V106" s="47"/>
    </row>
    <row r="107" spans="2:22">
      <c r="B107" s="7" t="s">
        <v>32</v>
      </c>
      <c r="G107" s="58">
        <f>SUM(G101:G106)</f>
        <v>0</v>
      </c>
      <c r="K107" s="47"/>
      <c r="L107" s="189"/>
      <c r="M107" s="7" t="s">
        <v>33</v>
      </c>
      <c r="O107" s="90"/>
      <c r="P107" s="90"/>
      <c r="Q107" s="90"/>
      <c r="R107" s="15"/>
      <c r="V107" s="47"/>
    </row>
    <row r="108" spans="2:22">
      <c r="B108" s="7" t="s">
        <v>34</v>
      </c>
      <c r="G108" s="58">
        <f>IF(G107*0.05&lt;=500000,G107*0.05,500000)</f>
        <v>0</v>
      </c>
      <c r="K108" s="47"/>
      <c r="L108" s="189"/>
      <c r="M108" s="7" t="s">
        <v>32</v>
      </c>
      <c r="O108" s="90"/>
      <c r="P108" s="90"/>
      <c r="Q108" s="90"/>
      <c r="R108" s="58">
        <f>SUM(R101:R107)</f>
        <v>0</v>
      </c>
      <c r="V108" s="47"/>
    </row>
    <row r="109" spans="2:22">
      <c r="B109" s="7" t="s">
        <v>35</v>
      </c>
      <c r="G109" s="58">
        <f>(K109*G101)+J109</f>
        <v>0</v>
      </c>
      <c r="J109" s="186"/>
      <c r="K109" s="187"/>
      <c r="L109" s="188"/>
      <c r="M109" s="7" t="s">
        <v>34</v>
      </c>
      <c r="O109" s="90"/>
      <c r="P109" s="90"/>
      <c r="Q109" s="90"/>
      <c r="R109" s="58">
        <f>IF(R108*0.05&lt;=500000*IF(N112="Disetahunkan",12,P112),R108*0.05,500000*P112)</f>
        <v>0</v>
      </c>
      <c r="V109" s="47"/>
    </row>
    <row r="110" spans="2:22">
      <c r="B110" s="7" t="s">
        <v>36</v>
      </c>
      <c r="G110" s="58">
        <f>(K110*G107)+J110</f>
        <v>0</v>
      </c>
      <c r="J110" s="186"/>
      <c r="K110" s="187"/>
      <c r="L110" s="188"/>
      <c r="M110" s="7" t="s">
        <v>35</v>
      </c>
      <c r="O110" s="90"/>
      <c r="P110" s="90"/>
      <c r="Q110" s="90"/>
      <c r="R110" s="58">
        <f>(V110*R101)+(U110*P112)</f>
        <v>0</v>
      </c>
      <c r="U110" s="192">
        <f t="shared" ref="T110:V110" si="12">J109</f>
        <v>0</v>
      </c>
      <c r="V110" s="193">
        <f t="shared" si="12"/>
        <v>0</v>
      </c>
    </row>
    <row r="111" spans="2:22">
      <c r="B111" s="7" t="s">
        <v>3</v>
      </c>
      <c r="G111" s="58">
        <f>G107-G108-G109-G110</f>
        <v>0</v>
      </c>
      <c r="K111" s="47"/>
      <c r="L111" s="46"/>
      <c r="M111" s="7" t="s">
        <v>36</v>
      </c>
      <c r="O111" s="90"/>
      <c r="P111" s="90"/>
      <c r="Q111" s="90"/>
      <c r="R111" s="58">
        <f>(V111*R108)+(U111*P112)</f>
        <v>0</v>
      </c>
      <c r="U111" s="192">
        <f t="shared" ref="T111:V111" si="13">J110</f>
        <v>0</v>
      </c>
      <c r="V111" s="193">
        <f t="shared" si="13"/>
        <v>0</v>
      </c>
    </row>
    <row r="112" spans="2:22">
      <c r="B112" s="7" t="s">
        <v>3</v>
      </c>
      <c r="C112" s="204" t="str">
        <f>C66</f>
        <v>Disetahunkan</v>
      </c>
      <c r="D112" s="204"/>
      <c r="E112" s="205">
        <f>E66</f>
        <v>12</v>
      </c>
      <c r="G112" s="58">
        <f>IF(C112="Disetahunkan",G111*12,G111*E112)</f>
        <v>0</v>
      </c>
      <c r="K112" s="47"/>
      <c r="L112" s="46"/>
      <c r="M112" s="7" t="s">
        <v>3</v>
      </c>
      <c r="N112" s="103" t="str">
        <f>C112</f>
        <v>Disetahunkan</v>
      </c>
      <c r="O112" s="103"/>
      <c r="P112" s="104">
        <f>E112</f>
        <v>12</v>
      </c>
      <c r="Q112" s="90"/>
      <c r="R112" s="58">
        <f>R108-R109-R110-R111</f>
        <v>0</v>
      </c>
      <c r="V112" s="47"/>
    </row>
    <row r="113" spans="2:22">
      <c r="B113" s="7" t="s">
        <v>1</v>
      </c>
      <c r="C113" s="172" t="str">
        <f>J1</f>
        <v>TK/0</v>
      </c>
      <c r="D113" s="172"/>
      <c r="E113" s="105"/>
      <c r="G113" s="58">
        <f>VLOOKUP(C113,P121:Q128,2,FALSE)</f>
        <v>54000000</v>
      </c>
      <c r="K113" s="47"/>
      <c r="L113" s="46"/>
      <c r="M113" s="7" t="s">
        <v>1</v>
      </c>
      <c r="N113" s="103" t="str">
        <f>C113</f>
        <v>TK/0</v>
      </c>
      <c r="O113" s="103"/>
      <c r="P113" s="105"/>
      <c r="Q113" s="90"/>
      <c r="R113" s="58">
        <f>G113</f>
        <v>54000000</v>
      </c>
      <c r="V113" s="47"/>
    </row>
    <row r="114" spans="2:22">
      <c r="B114" s="7" t="s">
        <v>37</v>
      </c>
      <c r="D114" s="105"/>
      <c r="E114" s="105"/>
      <c r="G114" s="58">
        <f>IF(G112&gt;G113,ROUNDDOWN(G112-G113,-3),0)</f>
        <v>0</v>
      </c>
      <c r="K114" s="47"/>
      <c r="L114" s="46"/>
      <c r="M114" s="7" t="s">
        <v>37</v>
      </c>
      <c r="O114" s="105"/>
      <c r="P114" s="105"/>
      <c r="Q114" s="90"/>
      <c r="R114" s="58">
        <f>IF(R112&gt;R113,ROUNDDOWN(R112-R113,-3),0)</f>
        <v>0</v>
      </c>
      <c r="V114" s="47"/>
    </row>
    <row r="115" spans="2:22">
      <c r="B115" s="7" t="s">
        <v>38</v>
      </c>
      <c r="C115" s="59" t="str">
        <f>C112</f>
        <v>Disetahunkan</v>
      </c>
      <c r="D115" s="106"/>
      <c r="G115" s="58">
        <f>IF(G114&lt;=50000000,G114*0.05,IF(G114&lt;=250000000,(G114-50000000)*0.15+2500000,IF(G114&lt;=500000000,(G114-250000000)*0.25+32500000,IF(G114&gt;500000000,(G114-500000000)*0.3+95000000,"no"))))*IF(C99="Ada",1,1.2)</f>
        <v>0</v>
      </c>
      <c r="K115" s="47"/>
      <c r="L115" s="46"/>
      <c r="M115" s="7" t="s">
        <v>38</v>
      </c>
      <c r="N115" s="59" t="str">
        <f>N112</f>
        <v>Disetahunkan</v>
      </c>
      <c r="O115" s="106"/>
      <c r="P115" s="90"/>
      <c r="Q115" s="90"/>
      <c r="R115" s="58">
        <f>IF(R114&lt;=50000000,R114*0.05,IF(R114&lt;=250000000,(R114-50000000)*0.15+2500000,IF(R114&lt;=500000000,(R114-250000000)*0.25+32500000,IF(R114&gt;500000000,(R114-500000000)*0.3+95000000,"no"))))*IF(N99="Ada",1,1.2)</f>
        <v>0</v>
      </c>
      <c r="V115" s="47"/>
    </row>
    <row r="116" ht="15.75" spans="2:22">
      <c r="B116" s="29" t="s">
        <v>39</v>
      </c>
      <c r="C116" s="30"/>
      <c r="D116" s="107"/>
      <c r="E116" s="107"/>
      <c r="F116" s="107"/>
      <c r="G116" s="61">
        <f>ROUNDUP(IF(C112="Disetahunkan",G115/12,G115/E112),0)</f>
        <v>0</v>
      </c>
      <c r="H116" s="30"/>
      <c r="I116" s="30"/>
      <c r="J116" s="30"/>
      <c r="K116" s="166"/>
      <c r="L116" s="46"/>
      <c r="M116" s="29" t="s">
        <v>40</v>
      </c>
      <c r="N116" s="30"/>
      <c r="O116" s="107"/>
      <c r="P116" s="107"/>
      <c r="Q116" s="107"/>
      <c r="R116" s="61">
        <f>R115-IF(G136&gt;G115,G136,G115)</f>
        <v>0</v>
      </c>
      <c r="S116" s="30"/>
      <c r="T116" s="202"/>
      <c r="U116" s="202"/>
      <c r="V116" s="203"/>
    </row>
    <row r="117" ht="16.5" spans="2:22">
      <c r="B117" s="46"/>
      <c r="C117" s="46"/>
      <c r="D117" s="155"/>
      <c r="E117" s="155"/>
      <c r="F117" s="155"/>
      <c r="G117" s="10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</row>
    <row r="118" ht="15.75" spans="2:22">
      <c r="B118" s="168" t="s">
        <v>41</v>
      </c>
      <c r="C118" s="169"/>
      <c r="D118" s="169"/>
      <c r="E118" s="100"/>
      <c r="F118" s="100"/>
      <c r="G118" s="153"/>
      <c r="H118" s="174"/>
      <c r="I118" s="174"/>
      <c r="J118" s="42"/>
      <c r="K118" s="45"/>
      <c r="V118" s="46"/>
    </row>
    <row r="119" ht="15.75" spans="2:22">
      <c r="B119" s="7"/>
      <c r="K119" s="47"/>
      <c r="V119" s="46"/>
    </row>
    <row r="120" ht="15.75" spans="2:17">
      <c r="B120" s="7" t="s">
        <v>22</v>
      </c>
      <c r="C120" s="103" t="str">
        <f>C99</f>
        <v>Ada</v>
      </c>
      <c r="D120" s="103"/>
      <c r="E120" s="90" t="s">
        <v>42</v>
      </c>
      <c r="G120" s="175">
        <v>4</v>
      </c>
      <c r="K120" s="33"/>
      <c r="L120" s="1"/>
      <c r="N120" s="141"/>
      <c r="O120" s="141"/>
      <c r="P120" s="142" t="s">
        <v>43</v>
      </c>
      <c r="Q120" s="149"/>
    </row>
    <row r="121" spans="2:17">
      <c r="B121" s="7"/>
      <c r="K121" s="33"/>
      <c r="L121" s="1"/>
      <c r="N121" s="143" t="s">
        <v>44</v>
      </c>
      <c r="O121" s="144">
        <v>0</v>
      </c>
      <c r="P121" s="7" t="str">
        <f t="shared" ref="P121:P128" si="14">N121&amp;O121</f>
        <v>TK/0</v>
      </c>
      <c r="Q121" s="150">
        <f t="shared" ref="Q121:Q128" si="15">54000000+IF(N121="K/",4500000,0)+(O121*4500000)</f>
        <v>54000000</v>
      </c>
    </row>
    <row r="122" spans="2:17">
      <c r="B122" s="7" t="s">
        <v>45</v>
      </c>
      <c r="G122" s="58">
        <f>G101+(J122/G120)</f>
        <v>0</v>
      </c>
      <c r="I122" t="s">
        <v>46</v>
      </c>
      <c r="J122" s="11"/>
      <c r="K122" s="190"/>
      <c r="L122" s="191"/>
      <c r="N122" s="143" t="s">
        <v>44</v>
      </c>
      <c r="O122" s="144">
        <v>1</v>
      </c>
      <c r="P122" s="7" t="str">
        <f t="shared" si="14"/>
        <v>TK/1</v>
      </c>
      <c r="Q122" s="150">
        <f t="shared" si="15"/>
        <v>58500000</v>
      </c>
    </row>
    <row r="123" spans="2:17">
      <c r="B123" s="7" t="s">
        <v>47</v>
      </c>
      <c r="G123" s="58">
        <f>G102+(J123/G120)</f>
        <v>0</v>
      </c>
      <c r="I123" t="s">
        <v>46</v>
      </c>
      <c r="J123" s="11"/>
      <c r="K123" s="190"/>
      <c r="L123" s="191"/>
      <c r="N123" s="143" t="s">
        <v>44</v>
      </c>
      <c r="O123" s="144">
        <v>2</v>
      </c>
      <c r="P123" s="7" t="str">
        <f t="shared" si="14"/>
        <v>TK/2</v>
      </c>
      <c r="Q123" s="150">
        <f t="shared" si="15"/>
        <v>63000000</v>
      </c>
    </row>
    <row r="124" spans="2:17">
      <c r="B124" s="7" t="s">
        <v>26</v>
      </c>
      <c r="G124" s="58">
        <f t="shared" ref="G124:G127" si="16">G103</f>
        <v>0</v>
      </c>
      <c r="K124" s="33"/>
      <c r="L124" s="34"/>
      <c r="N124" s="143" t="s">
        <v>44</v>
      </c>
      <c r="O124" s="144">
        <v>3</v>
      </c>
      <c r="P124" s="7" t="str">
        <f t="shared" si="14"/>
        <v>TK/3</v>
      </c>
      <c r="Q124" s="150">
        <f t="shared" si="15"/>
        <v>67500000</v>
      </c>
    </row>
    <row r="125" spans="2:17">
      <c r="B125" s="7" t="s">
        <v>29</v>
      </c>
      <c r="G125" s="58">
        <f>(K125*G122)+J125</f>
        <v>0</v>
      </c>
      <c r="J125" s="192">
        <f t="shared" ref="I125:K125" si="17">J104</f>
        <v>0</v>
      </c>
      <c r="K125" s="193">
        <f t="shared" si="17"/>
        <v>0</v>
      </c>
      <c r="L125" s="194"/>
      <c r="N125" s="143" t="s">
        <v>48</v>
      </c>
      <c r="O125" s="144">
        <v>0</v>
      </c>
      <c r="P125" s="7" t="str">
        <f t="shared" si="14"/>
        <v>K/0</v>
      </c>
      <c r="Q125" s="150">
        <f t="shared" si="15"/>
        <v>58500000</v>
      </c>
    </row>
    <row r="126" spans="2:17">
      <c r="B126" s="7" t="s">
        <v>30</v>
      </c>
      <c r="G126" s="58">
        <f t="shared" si="16"/>
        <v>0</v>
      </c>
      <c r="K126" s="33"/>
      <c r="L126" s="34"/>
      <c r="N126" s="143" t="s">
        <v>48</v>
      </c>
      <c r="O126" s="144">
        <v>1</v>
      </c>
      <c r="P126" s="7" t="str">
        <f t="shared" si="14"/>
        <v>K/1</v>
      </c>
      <c r="Q126" s="150">
        <f t="shared" si="15"/>
        <v>63000000</v>
      </c>
    </row>
    <row r="127" spans="2:17">
      <c r="B127" s="7" t="s">
        <v>31</v>
      </c>
      <c r="G127" s="58">
        <f t="shared" si="16"/>
        <v>0</v>
      </c>
      <c r="K127" s="33"/>
      <c r="L127" s="34"/>
      <c r="N127" s="143" t="s">
        <v>48</v>
      </c>
      <c r="O127" s="144">
        <v>2</v>
      </c>
      <c r="P127" s="7" t="str">
        <f t="shared" si="14"/>
        <v>K/2</v>
      </c>
      <c r="Q127" s="150">
        <f t="shared" si="15"/>
        <v>67500000</v>
      </c>
    </row>
    <row r="128" ht="15.75" spans="2:17">
      <c r="B128" s="7" t="s">
        <v>32</v>
      </c>
      <c r="G128" s="58">
        <f>SUM(G122:G127)</f>
        <v>0</v>
      </c>
      <c r="K128" s="33"/>
      <c r="L128" s="34"/>
      <c r="N128" s="143" t="s">
        <v>48</v>
      </c>
      <c r="O128" s="144">
        <v>3</v>
      </c>
      <c r="P128" s="29" t="str">
        <f t="shared" si="14"/>
        <v>K/3</v>
      </c>
      <c r="Q128" s="151">
        <f t="shared" si="15"/>
        <v>72000000</v>
      </c>
    </row>
    <row r="129" ht="15.75" spans="2:22">
      <c r="B129" s="7" t="s">
        <v>34</v>
      </c>
      <c r="G129" s="58">
        <f>IF(G128*0.05&lt;=500000,G128*0.05,500000)</f>
        <v>0</v>
      </c>
      <c r="K129" s="33"/>
      <c r="L129" s="34"/>
      <c r="V129" s="46"/>
    </row>
    <row r="130" spans="2:22">
      <c r="B130" s="7" t="s">
        <v>35</v>
      </c>
      <c r="G130" s="58">
        <f>(K130*G122)+J130</f>
        <v>0</v>
      </c>
      <c r="J130" s="192">
        <f t="shared" ref="I130:K130" si="18">J109</f>
        <v>0</v>
      </c>
      <c r="K130" s="193">
        <f t="shared" si="18"/>
        <v>0</v>
      </c>
      <c r="L130" s="194"/>
      <c r="V130" s="46"/>
    </row>
    <row r="131" spans="2:22">
      <c r="B131" s="7" t="s">
        <v>36</v>
      </c>
      <c r="G131" s="58">
        <f>(K131*G128)+J131</f>
        <v>0</v>
      </c>
      <c r="J131" s="192">
        <f t="shared" ref="I131:K131" si="19">J110</f>
        <v>0</v>
      </c>
      <c r="K131" s="193">
        <f t="shared" si="19"/>
        <v>0</v>
      </c>
      <c r="L131" s="194"/>
      <c r="V131" s="46"/>
    </row>
    <row r="132" spans="2:22">
      <c r="B132" s="7" t="s">
        <v>3</v>
      </c>
      <c r="G132" s="58">
        <f>G128-G129-G130-G131</f>
        <v>0</v>
      </c>
      <c r="K132" s="33"/>
      <c r="L132" s="1"/>
      <c r="V132" s="46"/>
    </row>
    <row r="133" spans="2:22">
      <c r="B133" s="7" t="s">
        <v>3</v>
      </c>
      <c r="C133" s="103" t="str">
        <f>C112</f>
        <v>Disetahunkan</v>
      </c>
      <c r="D133" s="103"/>
      <c r="E133" s="104">
        <f>E112</f>
        <v>12</v>
      </c>
      <c r="G133" s="58">
        <f>IF(C133="Disetahunkan",G132*12,G132*E133)</f>
        <v>0</v>
      </c>
      <c r="K133" s="33"/>
      <c r="L133" s="1"/>
      <c r="V133" s="46"/>
    </row>
    <row r="134" spans="2:22">
      <c r="B134" s="7" t="s">
        <v>1</v>
      </c>
      <c r="C134" s="103" t="str">
        <f>C113</f>
        <v>TK/0</v>
      </c>
      <c r="D134" s="103"/>
      <c r="E134" s="105"/>
      <c r="G134" s="58">
        <f>G113</f>
        <v>54000000</v>
      </c>
      <c r="K134" s="33"/>
      <c r="L134" s="1"/>
      <c r="V134" s="46"/>
    </row>
    <row r="135" spans="2:22">
      <c r="B135" s="7" t="s">
        <v>37</v>
      </c>
      <c r="D135" s="105"/>
      <c r="E135" s="105"/>
      <c r="G135" s="58">
        <f>IF(G133&gt;G134,ROUNDDOWN(G133-G134,-3),0)</f>
        <v>0</v>
      </c>
      <c r="K135" s="33"/>
      <c r="L135" s="1"/>
      <c r="V135" s="46"/>
    </row>
    <row r="136" spans="2:22">
      <c r="B136" s="7" t="s">
        <v>38</v>
      </c>
      <c r="C136" s="59" t="str">
        <f>C133</f>
        <v>Disetahunkan</v>
      </c>
      <c r="D136" s="106"/>
      <c r="G136" s="58">
        <f>IF(G135&lt;=50000000,G135*0.05,IF(G135&lt;=250000000,(G135-50000000)*0.15+2500000,IF(G135&lt;=500000000,(G135-250000000)*0.25+32500000,IF(G135&gt;500000000,(G135-500000000)*0.3+95000000,"no"))))*IF(C120="Ada",1,1.2)</f>
        <v>0</v>
      </c>
      <c r="K136" s="33"/>
      <c r="L136" s="1"/>
      <c r="V136" s="46"/>
    </row>
    <row r="137" spans="2:22">
      <c r="B137" s="7" t="s">
        <v>49</v>
      </c>
      <c r="G137" s="58">
        <f>ROUNDUP(IF(C133="Disetahunkan",G136/12,G136/E133),0)</f>
        <v>0</v>
      </c>
      <c r="K137" s="33"/>
      <c r="L137" s="1"/>
      <c r="V137" s="46"/>
    </row>
    <row r="138" ht="15.75" spans="2:22">
      <c r="B138" s="29" t="s">
        <v>41</v>
      </c>
      <c r="C138" s="30"/>
      <c r="D138" s="107"/>
      <c r="E138" s="107"/>
      <c r="F138" s="107"/>
      <c r="G138" s="61">
        <f>(G137-G116)*G120</f>
        <v>0</v>
      </c>
      <c r="H138" s="30"/>
      <c r="I138" s="30"/>
      <c r="J138" s="30"/>
      <c r="K138" s="195"/>
      <c r="L138" s="10"/>
      <c r="M138" s="46"/>
      <c r="N138" s="46"/>
      <c r="O138" s="46"/>
      <c r="P138" s="46"/>
      <c r="Q138" s="46"/>
      <c r="R138" s="46"/>
      <c r="S138" s="46"/>
      <c r="T138" s="46"/>
      <c r="U138" s="46"/>
      <c r="V138" s="46"/>
    </row>
    <row r="139" ht="15.75" spans="13:17">
      <c r="M139" s="206" t="s">
        <v>51</v>
      </c>
      <c r="N139" s="206"/>
      <c r="O139" s="206"/>
      <c r="P139" s="206"/>
      <c r="Q139" s="206"/>
    </row>
    <row r="140" ht="15.75" spans="2:22">
      <c r="B140" s="176" t="s">
        <v>50</v>
      </c>
      <c r="C140" s="176"/>
      <c r="D140" s="176"/>
      <c r="E140" s="176"/>
      <c r="F140" s="176"/>
      <c r="G140" s="61">
        <f>IF(G101&gt;0,IF(C120="Ada",G116+R116+G138-R140,G116+R116+G138),G94)</f>
        <v>0</v>
      </c>
      <c r="H140" s="30"/>
      <c r="I140" s="30"/>
      <c r="J140" s="30"/>
      <c r="K140" s="30"/>
      <c r="L140" s="30"/>
      <c r="M140" s="207"/>
      <c r="N140" s="207"/>
      <c r="O140" s="207"/>
      <c r="P140" s="207"/>
      <c r="Q140" s="207"/>
      <c r="R140" s="31">
        <f>IF(C53="Tidak Ada",20/120*(G48+G94),0)</f>
        <v>0</v>
      </c>
      <c r="S140" s="30"/>
      <c r="T140" s="30"/>
      <c r="U140" s="30"/>
      <c r="V140" s="30"/>
    </row>
    <row r="141" ht="16.5"/>
    <row r="142" ht="15.75" spans="2:2">
      <c r="B142" s="167" t="s">
        <v>10</v>
      </c>
    </row>
    <row r="143" ht="15.75" spans="2:22">
      <c r="B143" s="168" t="s">
        <v>20</v>
      </c>
      <c r="C143" s="169"/>
      <c r="D143" s="169"/>
      <c r="E143" s="169"/>
      <c r="F143" s="100"/>
      <c r="G143" s="153"/>
      <c r="H143" s="170"/>
      <c r="I143" s="170"/>
      <c r="J143" s="42"/>
      <c r="K143" s="45"/>
      <c r="L143" s="46"/>
      <c r="M143" s="168" t="s">
        <v>21</v>
      </c>
      <c r="N143" s="169"/>
      <c r="O143" s="169"/>
      <c r="P143" s="169"/>
      <c r="Q143" s="169"/>
      <c r="R143" s="43"/>
      <c r="S143" s="174"/>
      <c r="T143" s="174"/>
      <c r="U143" s="42"/>
      <c r="V143" s="45"/>
    </row>
    <row r="144" spans="2:22">
      <c r="B144" s="7"/>
      <c r="K144" s="47"/>
      <c r="L144" s="46"/>
      <c r="M144" s="7"/>
      <c r="V144" s="47"/>
    </row>
    <row r="145" spans="2:22">
      <c r="B145" s="7" t="s">
        <v>22</v>
      </c>
      <c r="C145" s="171" t="str">
        <f>C99</f>
        <v>Ada</v>
      </c>
      <c r="D145" s="171"/>
      <c r="K145" s="47"/>
      <c r="L145" s="46"/>
      <c r="M145" s="7" t="s">
        <v>22</v>
      </c>
      <c r="N145" s="103" t="str">
        <f>C145</f>
        <v>Ada</v>
      </c>
      <c r="O145" s="103"/>
      <c r="P145" s="90"/>
      <c r="Q145" s="90"/>
      <c r="R145" s="1"/>
      <c r="V145" s="47"/>
    </row>
    <row r="146" spans="2:22">
      <c r="B146" s="7"/>
      <c r="K146" s="47"/>
      <c r="L146" s="46"/>
      <c r="M146" s="7"/>
      <c r="O146" s="90"/>
      <c r="P146" s="90"/>
      <c r="Q146" s="90"/>
      <c r="R146" s="1"/>
      <c r="V146" s="47"/>
    </row>
    <row r="147" spans="2:22">
      <c r="B147" s="7" t="s">
        <v>24</v>
      </c>
      <c r="G147" s="15"/>
      <c r="K147" s="47"/>
      <c r="L147" s="46"/>
      <c r="M147" s="7" t="s">
        <v>24</v>
      </c>
      <c r="O147" s="90"/>
      <c r="P147" s="90"/>
      <c r="Q147" s="90"/>
      <c r="R147" s="58">
        <f>IF(G168&gt;G147,G168,G147)*IF($N$158="Disetahunkan",12,$P$158)</f>
        <v>0</v>
      </c>
      <c r="V147" s="47"/>
    </row>
    <row r="148" spans="2:22">
      <c r="B148" s="7" t="s">
        <v>25</v>
      </c>
      <c r="G148" s="15"/>
      <c r="K148" s="47"/>
      <c r="L148" s="46"/>
      <c r="M148" s="7" t="s">
        <v>25</v>
      </c>
      <c r="O148" s="90"/>
      <c r="P148" s="90"/>
      <c r="Q148" s="90"/>
      <c r="R148" s="58">
        <f>IF(G169&gt;G148,G169,G148)*IF($N$158="Disetahunkan",12,$P$158)</f>
        <v>0</v>
      </c>
      <c r="V148" s="47"/>
    </row>
    <row r="149" spans="2:22">
      <c r="B149" s="7" t="s">
        <v>26</v>
      </c>
      <c r="G149" s="15"/>
      <c r="J149" s="184" t="s">
        <v>27</v>
      </c>
      <c r="K149" s="185" t="s">
        <v>28</v>
      </c>
      <c r="L149" s="46"/>
      <c r="M149" s="7" t="s">
        <v>26</v>
      </c>
      <c r="O149" s="90"/>
      <c r="P149" s="90"/>
      <c r="Q149" s="90"/>
      <c r="R149" s="58">
        <f>G149*IF($N$158="Disetahunkan",12,$P$158)</f>
        <v>0</v>
      </c>
      <c r="U149" s="200"/>
      <c r="V149" s="201"/>
    </row>
    <row r="150" spans="2:22">
      <c r="B150" s="7" t="s">
        <v>29</v>
      </c>
      <c r="G150" s="58">
        <f>(K150*G147)+J150</f>
        <v>0</v>
      </c>
      <c r="J150" s="186"/>
      <c r="K150" s="187"/>
      <c r="L150" s="188"/>
      <c r="M150" s="7" t="s">
        <v>29</v>
      </c>
      <c r="O150" s="90"/>
      <c r="P150" s="90"/>
      <c r="Q150" s="90"/>
      <c r="R150" s="58">
        <f>(V150*R147)+(U150*P158)</f>
        <v>0</v>
      </c>
      <c r="U150" s="192">
        <f t="shared" ref="T150:V150" si="20">J150</f>
        <v>0</v>
      </c>
      <c r="V150" s="193">
        <f t="shared" si="20"/>
        <v>0</v>
      </c>
    </row>
    <row r="151" spans="2:22">
      <c r="B151" s="7" t="s">
        <v>30</v>
      </c>
      <c r="G151" s="15"/>
      <c r="K151" s="47"/>
      <c r="L151" s="189"/>
      <c r="M151" s="7" t="s">
        <v>30</v>
      </c>
      <c r="O151" s="90"/>
      <c r="P151" s="90"/>
      <c r="Q151" s="90"/>
      <c r="R151" s="58">
        <f>G151*IF($N$158="Disetahunkan",12,$P$158)</f>
        <v>0</v>
      </c>
      <c r="V151" s="47"/>
    </row>
    <row r="152" spans="2:22">
      <c r="B152" s="7" t="s">
        <v>31</v>
      </c>
      <c r="G152" s="15"/>
      <c r="K152" s="47"/>
      <c r="L152" s="189"/>
      <c r="M152" s="7" t="s">
        <v>31</v>
      </c>
      <c r="O152" s="90"/>
      <c r="P152" s="90"/>
      <c r="Q152" s="90"/>
      <c r="R152" s="58">
        <f>G152*IF($N$158="Disetahunkan",12,$P$158)</f>
        <v>0</v>
      </c>
      <c r="V152" s="47"/>
    </row>
    <row r="153" spans="2:22">
      <c r="B153" s="7" t="s">
        <v>32</v>
      </c>
      <c r="G153" s="58">
        <f>SUM(G147:G152)</f>
        <v>0</v>
      </c>
      <c r="K153" s="47"/>
      <c r="L153" s="189"/>
      <c r="M153" s="7" t="s">
        <v>33</v>
      </c>
      <c r="O153" s="90"/>
      <c r="P153" s="90"/>
      <c r="Q153" s="90"/>
      <c r="R153" s="15"/>
      <c r="V153" s="47"/>
    </row>
    <row r="154" spans="2:22">
      <c r="B154" s="7" t="s">
        <v>34</v>
      </c>
      <c r="G154" s="58">
        <f>IF(G153*0.05&lt;=500000,G153*0.05,500000)</f>
        <v>0</v>
      </c>
      <c r="K154" s="47"/>
      <c r="L154" s="189"/>
      <c r="M154" s="7" t="s">
        <v>32</v>
      </c>
      <c r="O154" s="90"/>
      <c r="P154" s="90"/>
      <c r="Q154" s="90"/>
      <c r="R154" s="58">
        <f>SUM(R147:R153)</f>
        <v>0</v>
      </c>
      <c r="V154" s="47"/>
    </row>
    <row r="155" spans="2:22">
      <c r="B155" s="7" t="s">
        <v>35</v>
      </c>
      <c r="G155" s="58">
        <f>(K155*G147)+J155</f>
        <v>0</v>
      </c>
      <c r="J155" s="186"/>
      <c r="K155" s="187"/>
      <c r="L155" s="188"/>
      <c r="M155" s="7" t="s">
        <v>34</v>
      </c>
      <c r="O155" s="90"/>
      <c r="P155" s="90"/>
      <c r="Q155" s="90"/>
      <c r="R155" s="58">
        <f>IF(R154*0.05&lt;=500000*IF(N158="Disetahunkan",12,P158),R154*0.05,500000*P158)</f>
        <v>0</v>
      </c>
      <c r="V155" s="47"/>
    </row>
    <row r="156" spans="2:22">
      <c r="B156" s="7" t="s">
        <v>36</v>
      </c>
      <c r="G156" s="58">
        <f>(K156*G153)+J156</f>
        <v>0</v>
      </c>
      <c r="J156" s="186"/>
      <c r="K156" s="187"/>
      <c r="L156" s="188"/>
      <c r="M156" s="7" t="s">
        <v>35</v>
      </c>
      <c r="O156" s="90"/>
      <c r="P156" s="90"/>
      <c r="Q156" s="90"/>
      <c r="R156" s="58">
        <f>(V156*R147)+(U156*P158)</f>
        <v>0</v>
      </c>
      <c r="U156" s="192">
        <f t="shared" ref="T156:V156" si="21">J155</f>
        <v>0</v>
      </c>
      <c r="V156" s="193">
        <f t="shared" si="21"/>
        <v>0</v>
      </c>
    </row>
    <row r="157" spans="2:22">
      <c r="B157" s="7" t="s">
        <v>3</v>
      </c>
      <c r="G157" s="58">
        <f>G153-G154-G155-G156</f>
        <v>0</v>
      </c>
      <c r="K157" s="47"/>
      <c r="L157" s="46"/>
      <c r="M157" s="7" t="s">
        <v>36</v>
      </c>
      <c r="O157" s="90"/>
      <c r="P157" s="90"/>
      <c r="Q157" s="90"/>
      <c r="R157" s="58">
        <f>(V157*R154)+(U157*P158)</f>
        <v>0</v>
      </c>
      <c r="U157" s="192">
        <f t="shared" ref="T157:V157" si="22">J156</f>
        <v>0</v>
      </c>
      <c r="V157" s="193">
        <f t="shared" si="22"/>
        <v>0</v>
      </c>
    </row>
    <row r="158" spans="2:22">
      <c r="B158" s="7" t="s">
        <v>3</v>
      </c>
      <c r="C158" s="204" t="str">
        <f>C112</f>
        <v>Disetahunkan</v>
      </c>
      <c r="D158" s="204"/>
      <c r="E158" s="205">
        <f>E112</f>
        <v>12</v>
      </c>
      <c r="G158" s="58">
        <f>IF(C158="Disetahunkan",G157*12,G157*E158)</f>
        <v>0</v>
      </c>
      <c r="K158" s="47"/>
      <c r="L158" s="46"/>
      <c r="M158" s="7" t="s">
        <v>3</v>
      </c>
      <c r="N158" s="103" t="str">
        <f>C158</f>
        <v>Disetahunkan</v>
      </c>
      <c r="O158" s="103"/>
      <c r="P158" s="104">
        <f>E158</f>
        <v>12</v>
      </c>
      <c r="Q158" s="90"/>
      <c r="R158" s="58">
        <f>R154-R155-R156-R157</f>
        <v>0</v>
      </c>
      <c r="V158" s="47"/>
    </row>
    <row r="159" spans="2:22">
      <c r="B159" s="7" t="s">
        <v>1</v>
      </c>
      <c r="C159" s="172" t="str">
        <f>J1</f>
        <v>TK/0</v>
      </c>
      <c r="D159" s="172"/>
      <c r="E159" s="105"/>
      <c r="G159" s="58">
        <f>VLOOKUP(C159,P167:Q174,2,FALSE)</f>
        <v>54000000</v>
      </c>
      <c r="K159" s="47"/>
      <c r="L159" s="46"/>
      <c r="M159" s="7" t="s">
        <v>1</v>
      </c>
      <c r="N159" s="103" t="str">
        <f>C159</f>
        <v>TK/0</v>
      </c>
      <c r="O159" s="103"/>
      <c r="P159" s="105"/>
      <c r="Q159" s="90"/>
      <c r="R159" s="58">
        <f>G159</f>
        <v>54000000</v>
      </c>
      <c r="V159" s="47"/>
    </row>
    <row r="160" spans="2:22">
      <c r="B160" s="7" t="s">
        <v>37</v>
      </c>
      <c r="D160" s="105"/>
      <c r="E160" s="105"/>
      <c r="G160" s="58">
        <f>IF(G158&gt;G159,ROUNDDOWN(G158-G159,-3),0)</f>
        <v>0</v>
      </c>
      <c r="K160" s="47"/>
      <c r="L160" s="46"/>
      <c r="M160" s="7" t="s">
        <v>37</v>
      </c>
      <c r="O160" s="105"/>
      <c r="P160" s="105"/>
      <c r="Q160" s="90"/>
      <c r="R160" s="58">
        <f>IF(R158&gt;R159,ROUNDDOWN(R158-R159,-3),0)</f>
        <v>0</v>
      </c>
      <c r="V160" s="47"/>
    </row>
    <row r="161" spans="2:22">
      <c r="B161" s="7" t="s">
        <v>38</v>
      </c>
      <c r="C161" s="59" t="str">
        <f>C158</f>
        <v>Disetahunkan</v>
      </c>
      <c r="D161" s="106"/>
      <c r="G161" s="58">
        <f>IF(G160&lt;=50000000,G160*0.05,IF(G160&lt;=250000000,(G160-50000000)*0.15+2500000,IF(G160&lt;=500000000,(G160-250000000)*0.25+32500000,IF(G160&gt;500000000,(G160-500000000)*0.3+95000000,"no"))))*IF(C145="Ada",1,1.2)</f>
        <v>0</v>
      </c>
      <c r="K161" s="47"/>
      <c r="L161" s="46"/>
      <c r="M161" s="7" t="s">
        <v>38</v>
      </c>
      <c r="N161" s="59" t="str">
        <f>N158</f>
        <v>Disetahunkan</v>
      </c>
      <c r="O161" s="106"/>
      <c r="P161" s="90"/>
      <c r="Q161" s="90"/>
      <c r="R161" s="58">
        <f>IF(R160&lt;=50000000,R160*0.05,IF(R160&lt;=250000000,(R160-50000000)*0.15+2500000,IF(R160&lt;=500000000,(R160-250000000)*0.25+32500000,IF(R160&gt;500000000,(R160-500000000)*0.3+95000000,"no"))))*IF(N145="Ada",1,1.2)</f>
        <v>0</v>
      </c>
      <c r="V161" s="47"/>
    </row>
    <row r="162" ht="15.75" spans="2:22">
      <c r="B162" s="29" t="s">
        <v>39</v>
      </c>
      <c r="C162" s="30"/>
      <c r="D162" s="107"/>
      <c r="E162" s="107"/>
      <c r="F162" s="107"/>
      <c r="G162" s="61">
        <f>ROUNDUP(IF(C158="Disetahunkan",G161/12,G161/E158),0)</f>
        <v>0</v>
      </c>
      <c r="H162" s="30"/>
      <c r="I162" s="30"/>
      <c r="J162" s="30"/>
      <c r="K162" s="166"/>
      <c r="L162" s="46"/>
      <c r="M162" s="29" t="s">
        <v>40</v>
      </c>
      <c r="N162" s="30"/>
      <c r="O162" s="107"/>
      <c r="P162" s="107"/>
      <c r="Q162" s="107"/>
      <c r="R162" s="61">
        <f>R161-IF(G182&gt;G161,G182,G161)</f>
        <v>0</v>
      </c>
      <c r="S162" s="30"/>
      <c r="T162" s="202"/>
      <c r="U162" s="202"/>
      <c r="V162" s="203"/>
    </row>
    <row r="163" ht="16.5" spans="2:22">
      <c r="B163" s="46"/>
      <c r="C163" s="46"/>
      <c r="D163" s="155"/>
      <c r="E163" s="155"/>
      <c r="F163" s="155"/>
      <c r="G163" s="10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</row>
    <row r="164" ht="15.75" spans="2:22">
      <c r="B164" s="168" t="s">
        <v>41</v>
      </c>
      <c r="C164" s="169"/>
      <c r="D164" s="169"/>
      <c r="E164" s="100"/>
      <c r="F164" s="100"/>
      <c r="G164" s="153"/>
      <c r="H164" s="174"/>
      <c r="I164" s="174"/>
      <c r="J164" s="42"/>
      <c r="K164" s="45"/>
      <c r="V164" s="46"/>
    </row>
    <row r="165" ht="15.75" spans="2:22">
      <c r="B165" s="7"/>
      <c r="K165" s="47"/>
      <c r="V165" s="46"/>
    </row>
    <row r="166" ht="15.75" spans="2:17">
      <c r="B166" s="7" t="s">
        <v>22</v>
      </c>
      <c r="C166" s="103" t="str">
        <f>C145</f>
        <v>Ada</v>
      </c>
      <c r="D166" s="103"/>
      <c r="E166" s="90" t="s">
        <v>42</v>
      </c>
      <c r="G166" s="175">
        <v>4</v>
      </c>
      <c r="K166" s="33"/>
      <c r="L166" s="1"/>
      <c r="N166" s="141"/>
      <c r="O166" s="141"/>
      <c r="P166" s="142" t="s">
        <v>43</v>
      </c>
      <c r="Q166" s="149"/>
    </row>
    <row r="167" spans="2:17">
      <c r="B167" s="7"/>
      <c r="K167" s="33"/>
      <c r="L167" s="1"/>
      <c r="N167" s="143" t="s">
        <v>44</v>
      </c>
      <c r="O167" s="144">
        <v>0</v>
      </c>
      <c r="P167" s="7" t="str">
        <f t="shared" ref="P167:P174" si="23">N167&amp;O167</f>
        <v>TK/0</v>
      </c>
      <c r="Q167" s="150">
        <f t="shared" ref="Q167:Q174" si="24">54000000+IF(N167="K/",4500000,0)+(O167*4500000)</f>
        <v>54000000</v>
      </c>
    </row>
    <row r="168" spans="2:17">
      <c r="B168" s="7" t="s">
        <v>45</v>
      </c>
      <c r="G168" s="58">
        <f>G147+(J168/G166)</f>
        <v>0</v>
      </c>
      <c r="I168" t="s">
        <v>46</v>
      </c>
      <c r="J168" s="11"/>
      <c r="K168" s="190"/>
      <c r="L168" s="191"/>
      <c r="N168" s="143" t="s">
        <v>44</v>
      </c>
      <c r="O168" s="144">
        <v>1</v>
      </c>
      <c r="P168" s="7" t="str">
        <f t="shared" si="23"/>
        <v>TK/1</v>
      </c>
      <c r="Q168" s="150">
        <f t="shared" si="24"/>
        <v>58500000</v>
      </c>
    </row>
    <row r="169" spans="2:17">
      <c r="B169" s="7" t="s">
        <v>47</v>
      </c>
      <c r="G169" s="58">
        <f>G148+(J169/G166)</f>
        <v>0</v>
      </c>
      <c r="I169" t="s">
        <v>46</v>
      </c>
      <c r="J169" s="11"/>
      <c r="K169" s="190"/>
      <c r="L169" s="191"/>
      <c r="N169" s="143" t="s">
        <v>44</v>
      </c>
      <c r="O169" s="144">
        <v>2</v>
      </c>
      <c r="P169" s="7" t="str">
        <f t="shared" si="23"/>
        <v>TK/2</v>
      </c>
      <c r="Q169" s="150">
        <f t="shared" si="24"/>
        <v>63000000</v>
      </c>
    </row>
    <row r="170" spans="2:17">
      <c r="B170" s="7" t="s">
        <v>26</v>
      </c>
      <c r="G170" s="58">
        <f t="shared" ref="G170:G173" si="25">G149</f>
        <v>0</v>
      </c>
      <c r="K170" s="33"/>
      <c r="L170" s="34"/>
      <c r="N170" s="143" t="s">
        <v>44</v>
      </c>
      <c r="O170" s="144">
        <v>3</v>
      </c>
      <c r="P170" s="7" t="str">
        <f t="shared" si="23"/>
        <v>TK/3</v>
      </c>
      <c r="Q170" s="150">
        <f t="shared" si="24"/>
        <v>67500000</v>
      </c>
    </row>
    <row r="171" spans="2:17">
      <c r="B171" s="7" t="s">
        <v>29</v>
      </c>
      <c r="G171" s="58">
        <f>(K171*G168)+J171</f>
        <v>0</v>
      </c>
      <c r="J171" s="192">
        <f t="shared" ref="I171:K171" si="26">J150</f>
        <v>0</v>
      </c>
      <c r="K171" s="193">
        <f t="shared" si="26"/>
        <v>0</v>
      </c>
      <c r="L171" s="194"/>
      <c r="N171" s="143" t="s">
        <v>48</v>
      </c>
      <c r="O171" s="144">
        <v>0</v>
      </c>
      <c r="P171" s="7" t="str">
        <f t="shared" si="23"/>
        <v>K/0</v>
      </c>
      <c r="Q171" s="150">
        <f t="shared" si="24"/>
        <v>58500000</v>
      </c>
    </row>
    <row r="172" spans="2:17">
      <c r="B172" s="7" t="s">
        <v>30</v>
      </c>
      <c r="G172" s="58">
        <f t="shared" si="25"/>
        <v>0</v>
      </c>
      <c r="K172" s="33"/>
      <c r="L172" s="34"/>
      <c r="N172" s="143" t="s">
        <v>48</v>
      </c>
      <c r="O172" s="144">
        <v>1</v>
      </c>
      <c r="P172" s="7" t="str">
        <f t="shared" si="23"/>
        <v>K/1</v>
      </c>
      <c r="Q172" s="150">
        <f t="shared" si="24"/>
        <v>63000000</v>
      </c>
    </row>
    <row r="173" spans="2:17">
      <c r="B173" s="7" t="s">
        <v>31</v>
      </c>
      <c r="G173" s="58">
        <f t="shared" si="25"/>
        <v>0</v>
      </c>
      <c r="K173" s="33"/>
      <c r="L173" s="34"/>
      <c r="N173" s="143" t="s">
        <v>48</v>
      </c>
      <c r="O173" s="144">
        <v>2</v>
      </c>
      <c r="P173" s="7" t="str">
        <f t="shared" si="23"/>
        <v>K/2</v>
      </c>
      <c r="Q173" s="150">
        <f t="shared" si="24"/>
        <v>67500000</v>
      </c>
    </row>
    <row r="174" ht="15.75" spans="2:17">
      <c r="B174" s="7" t="s">
        <v>32</v>
      </c>
      <c r="G174" s="58">
        <f>SUM(G168:G173)</f>
        <v>0</v>
      </c>
      <c r="K174" s="33"/>
      <c r="L174" s="34"/>
      <c r="N174" s="143" t="s">
        <v>48</v>
      </c>
      <c r="O174" s="144">
        <v>3</v>
      </c>
      <c r="P174" s="29" t="str">
        <f t="shared" si="23"/>
        <v>K/3</v>
      </c>
      <c r="Q174" s="151">
        <f t="shared" si="24"/>
        <v>72000000</v>
      </c>
    </row>
    <row r="175" ht="15.75" spans="2:22">
      <c r="B175" s="7" t="s">
        <v>34</v>
      </c>
      <c r="G175" s="58">
        <f>IF(G174*0.05&lt;=500000,G174*0.05,500000)</f>
        <v>0</v>
      </c>
      <c r="K175" s="33"/>
      <c r="L175" s="34"/>
      <c r="V175" s="46"/>
    </row>
    <row r="176" spans="2:22">
      <c r="B176" s="7" t="s">
        <v>35</v>
      </c>
      <c r="G176" s="58">
        <f>(K176*G168)+J176</f>
        <v>0</v>
      </c>
      <c r="J176" s="192">
        <f t="shared" ref="I176:K176" si="27">J155</f>
        <v>0</v>
      </c>
      <c r="K176" s="193">
        <f t="shared" si="27"/>
        <v>0</v>
      </c>
      <c r="L176" s="194"/>
      <c r="V176" s="46"/>
    </row>
    <row r="177" spans="2:22">
      <c r="B177" s="7" t="s">
        <v>36</v>
      </c>
      <c r="G177" s="58">
        <f>(K177*G174)+J177</f>
        <v>0</v>
      </c>
      <c r="J177" s="192">
        <f t="shared" ref="I177:K177" si="28">J156</f>
        <v>0</v>
      </c>
      <c r="K177" s="193">
        <f t="shared" si="28"/>
        <v>0</v>
      </c>
      <c r="L177" s="194"/>
      <c r="V177" s="46"/>
    </row>
    <row r="178" spans="2:22">
      <c r="B178" s="7" t="s">
        <v>3</v>
      </c>
      <c r="G178" s="58">
        <f>G174-G175-G176-G177</f>
        <v>0</v>
      </c>
      <c r="K178" s="33"/>
      <c r="L178" s="1"/>
      <c r="V178" s="46"/>
    </row>
    <row r="179" spans="2:22">
      <c r="B179" s="7" t="s">
        <v>3</v>
      </c>
      <c r="C179" s="103" t="str">
        <f>C158</f>
        <v>Disetahunkan</v>
      </c>
      <c r="D179" s="103"/>
      <c r="E179" s="104">
        <f>E158</f>
        <v>12</v>
      </c>
      <c r="G179" s="58">
        <f>IF(C179="Disetahunkan",G178*12,G178*E179)</f>
        <v>0</v>
      </c>
      <c r="K179" s="33"/>
      <c r="L179" s="1"/>
      <c r="V179" s="46"/>
    </row>
    <row r="180" spans="2:22">
      <c r="B180" s="7" t="s">
        <v>1</v>
      </c>
      <c r="C180" s="103" t="str">
        <f>C159</f>
        <v>TK/0</v>
      </c>
      <c r="D180" s="103"/>
      <c r="E180" s="105"/>
      <c r="G180" s="58">
        <f>G159</f>
        <v>54000000</v>
      </c>
      <c r="K180" s="33"/>
      <c r="L180" s="1"/>
      <c r="V180" s="46"/>
    </row>
    <row r="181" spans="2:22">
      <c r="B181" s="7" t="s">
        <v>37</v>
      </c>
      <c r="D181" s="105"/>
      <c r="E181" s="105"/>
      <c r="G181" s="58">
        <f>IF(G179&gt;G180,ROUNDDOWN(G179-G180,-3),0)</f>
        <v>0</v>
      </c>
      <c r="K181" s="33"/>
      <c r="L181" s="1"/>
      <c r="V181" s="46"/>
    </row>
    <row r="182" spans="2:22">
      <c r="B182" s="7" t="s">
        <v>38</v>
      </c>
      <c r="C182" s="59" t="str">
        <f>C179</f>
        <v>Disetahunkan</v>
      </c>
      <c r="D182" s="106"/>
      <c r="G182" s="58">
        <f>IF(G181&lt;=50000000,G181*0.05,IF(G181&lt;=250000000,(G181-50000000)*0.15+2500000,IF(G181&lt;=500000000,(G181-250000000)*0.25+32500000,IF(G181&gt;500000000,(G181-500000000)*0.3+95000000,"no"))))*IF(C166="Ada",1,1.2)</f>
        <v>0</v>
      </c>
      <c r="K182" s="33"/>
      <c r="L182" s="1"/>
      <c r="V182" s="46"/>
    </row>
    <row r="183" spans="2:22">
      <c r="B183" s="7" t="s">
        <v>49</v>
      </c>
      <c r="G183" s="58">
        <f>ROUNDUP(IF(C179="Disetahunkan",G182/12,G182/E179),0)</f>
        <v>0</v>
      </c>
      <c r="K183" s="33"/>
      <c r="L183" s="1"/>
      <c r="V183" s="46"/>
    </row>
    <row r="184" ht="15.75" spans="2:22">
      <c r="B184" s="29" t="s">
        <v>41</v>
      </c>
      <c r="C184" s="30"/>
      <c r="D184" s="107"/>
      <c r="E184" s="107"/>
      <c r="F184" s="107"/>
      <c r="G184" s="61">
        <f>(G183-G162)*G166</f>
        <v>0</v>
      </c>
      <c r="H184" s="30"/>
      <c r="I184" s="30"/>
      <c r="J184" s="30"/>
      <c r="K184" s="195"/>
      <c r="L184" s="10"/>
      <c r="M184" s="46"/>
      <c r="N184" s="46"/>
      <c r="O184" s="46"/>
      <c r="P184" s="46"/>
      <c r="Q184" s="46"/>
      <c r="R184" s="46"/>
      <c r="S184" s="46"/>
      <c r="T184" s="46"/>
      <c r="U184" s="46"/>
      <c r="V184" s="46"/>
    </row>
    <row r="185" ht="15.75" spans="13:17">
      <c r="M185" s="206" t="s">
        <v>51</v>
      </c>
      <c r="N185" s="206"/>
      <c r="O185" s="206"/>
      <c r="P185" s="206"/>
      <c r="Q185" s="206"/>
    </row>
    <row r="186" ht="15.75" spans="2:22">
      <c r="B186" s="176" t="s">
        <v>50</v>
      </c>
      <c r="C186" s="176"/>
      <c r="D186" s="176"/>
      <c r="E186" s="176"/>
      <c r="F186" s="176"/>
      <c r="G186" s="61">
        <f>IF(G147&gt;0,IF(C166="Ada",G162+R162+G184-R186,G162+R162+G184),G140)</f>
        <v>0</v>
      </c>
      <c r="H186" s="30"/>
      <c r="I186" s="30"/>
      <c r="J186" s="30"/>
      <c r="K186" s="30"/>
      <c r="L186" s="30"/>
      <c r="M186" s="207"/>
      <c r="N186" s="207"/>
      <c r="O186" s="207"/>
      <c r="P186" s="207"/>
      <c r="Q186" s="207"/>
      <c r="R186" s="31">
        <f>IF(C99="Tidak Ada",20/120*(G48+G94+G140),0)</f>
        <v>0</v>
      </c>
      <c r="S186" s="30"/>
      <c r="T186" s="30"/>
      <c r="U186" s="30"/>
      <c r="V186" s="30"/>
    </row>
    <row r="187" ht="16.5"/>
    <row r="188" ht="15.75" spans="2:2">
      <c r="B188" s="167" t="s">
        <v>11</v>
      </c>
    </row>
    <row r="189" ht="15.75" spans="2:22">
      <c r="B189" s="168" t="s">
        <v>20</v>
      </c>
      <c r="C189" s="169"/>
      <c r="D189" s="169"/>
      <c r="E189" s="169"/>
      <c r="F189" s="100"/>
      <c r="G189" s="153"/>
      <c r="H189" s="170"/>
      <c r="I189" s="170"/>
      <c r="J189" s="42"/>
      <c r="K189" s="45"/>
      <c r="L189" s="46"/>
      <c r="M189" s="168" t="s">
        <v>21</v>
      </c>
      <c r="N189" s="169"/>
      <c r="O189" s="169"/>
      <c r="P189" s="169"/>
      <c r="Q189" s="169"/>
      <c r="R189" s="43"/>
      <c r="S189" s="174"/>
      <c r="T189" s="174"/>
      <c r="U189" s="42"/>
      <c r="V189" s="45"/>
    </row>
    <row r="190" spans="2:22">
      <c r="B190" s="7"/>
      <c r="K190" s="47"/>
      <c r="L190" s="46"/>
      <c r="M190" s="7"/>
      <c r="V190" s="47"/>
    </row>
    <row r="191" spans="2:22">
      <c r="B191" s="7" t="s">
        <v>22</v>
      </c>
      <c r="C191" s="171" t="str">
        <f>C145</f>
        <v>Ada</v>
      </c>
      <c r="D191" s="171"/>
      <c r="K191" s="47"/>
      <c r="L191" s="46"/>
      <c r="M191" s="7" t="s">
        <v>22</v>
      </c>
      <c r="N191" s="103" t="str">
        <f>C191</f>
        <v>Ada</v>
      </c>
      <c r="O191" s="103"/>
      <c r="P191" s="90"/>
      <c r="Q191" s="90"/>
      <c r="R191" s="1"/>
      <c r="V191" s="47"/>
    </row>
    <row r="192" spans="2:22">
      <c r="B192" s="7"/>
      <c r="K192" s="47"/>
      <c r="L192" s="46"/>
      <c r="M192" s="7"/>
      <c r="O192" s="90"/>
      <c r="P192" s="90"/>
      <c r="Q192" s="90"/>
      <c r="R192" s="1"/>
      <c r="V192" s="47"/>
    </row>
    <row r="193" spans="2:22">
      <c r="B193" s="7" t="s">
        <v>24</v>
      </c>
      <c r="G193" s="15"/>
      <c r="K193" s="47"/>
      <c r="L193" s="46"/>
      <c r="M193" s="7" t="s">
        <v>24</v>
      </c>
      <c r="O193" s="90"/>
      <c r="P193" s="90"/>
      <c r="Q193" s="90"/>
      <c r="R193" s="58">
        <f>IF(G214&gt;G193,G214,G193)*IF($N$204="Disetahunkan",12,$P$204)</f>
        <v>0</v>
      </c>
      <c r="V193" s="47"/>
    </row>
    <row r="194" spans="2:22">
      <c r="B194" s="7" t="s">
        <v>25</v>
      </c>
      <c r="G194" s="15"/>
      <c r="K194" s="47"/>
      <c r="L194" s="46"/>
      <c r="M194" s="7" t="s">
        <v>25</v>
      </c>
      <c r="O194" s="90"/>
      <c r="P194" s="90"/>
      <c r="Q194" s="90"/>
      <c r="R194" s="58">
        <f>IF(G215&gt;G194,G215,G194)*IF($N$204="Disetahunkan",12,$P$204)</f>
        <v>0</v>
      </c>
      <c r="V194" s="47"/>
    </row>
    <row r="195" spans="2:22">
      <c r="B195" s="7" t="s">
        <v>26</v>
      </c>
      <c r="G195" s="15"/>
      <c r="J195" s="184" t="s">
        <v>27</v>
      </c>
      <c r="K195" s="185" t="s">
        <v>28</v>
      </c>
      <c r="L195" s="46"/>
      <c r="M195" s="7" t="s">
        <v>26</v>
      </c>
      <c r="O195" s="90"/>
      <c r="P195" s="90"/>
      <c r="Q195" s="90"/>
      <c r="R195" s="58">
        <f>G195*IF($N$204="Disetahunkan",12,$P$204)</f>
        <v>0</v>
      </c>
      <c r="U195" s="200"/>
      <c r="V195" s="201"/>
    </row>
    <row r="196" spans="2:22">
      <c r="B196" s="7" t="s">
        <v>29</v>
      </c>
      <c r="G196" s="58">
        <f>(K196*G193)+J196</f>
        <v>0</v>
      </c>
      <c r="J196" s="186"/>
      <c r="K196" s="187"/>
      <c r="L196" s="188"/>
      <c r="M196" s="7" t="s">
        <v>29</v>
      </c>
      <c r="O196" s="90"/>
      <c r="P196" s="90"/>
      <c r="Q196" s="90"/>
      <c r="R196" s="58">
        <f>(V196*R193)+(U196*P204)</f>
        <v>0</v>
      </c>
      <c r="U196" s="192">
        <f t="shared" ref="T196:V196" si="29">J196</f>
        <v>0</v>
      </c>
      <c r="V196" s="193">
        <f t="shared" si="29"/>
        <v>0</v>
      </c>
    </row>
    <row r="197" spans="2:22">
      <c r="B197" s="7" t="s">
        <v>30</v>
      </c>
      <c r="G197" s="15"/>
      <c r="K197" s="47"/>
      <c r="L197" s="189"/>
      <c r="M197" s="7" t="s">
        <v>30</v>
      </c>
      <c r="O197" s="90"/>
      <c r="P197" s="90"/>
      <c r="Q197" s="90"/>
      <c r="R197" s="58">
        <f>G197*IF($N$204="Disetahunkan",12,$P$204)</f>
        <v>0</v>
      </c>
      <c r="V197" s="47"/>
    </row>
    <row r="198" spans="2:22">
      <c r="B198" s="7" t="s">
        <v>31</v>
      </c>
      <c r="G198" s="15"/>
      <c r="K198" s="47"/>
      <c r="L198" s="189"/>
      <c r="M198" s="7" t="s">
        <v>31</v>
      </c>
      <c r="O198" s="90"/>
      <c r="P198" s="90"/>
      <c r="Q198" s="90"/>
      <c r="R198" s="58">
        <f>G198*IF($N$204="Disetahunkan",12,$P$204)</f>
        <v>0</v>
      </c>
      <c r="V198" s="47"/>
    </row>
    <row r="199" spans="2:22">
      <c r="B199" s="7" t="s">
        <v>32</v>
      </c>
      <c r="G199" s="58">
        <f>SUM(G193:G198)</f>
        <v>0</v>
      </c>
      <c r="K199" s="47"/>
      <c r="L199" s="189"/>
      <c r="M199" s="7" t="s">
        <v>33</v>
      </c>
      <c r="O199" s="90"/>
      <c r="P199" s="90"/>
      <c r="Q199" s="90"/>
      <c r="R199" s="15"/>
      <c r="V199" s="47"/>
    </row>
    <row r="200" spans="2:22">
      <c r="B200" s="7" t="s">
        <v>34</v>
      </c>
      <c r="G200" s="58">
        <f>IF(G199*0.05&lt;=500000,G199*0.05,500000)</f>
        <v>0</v>
      </c>
      <c r="K200" s="47"/>
      <c r="L200" s="189"/>
      <c r="M200" s="7" t="s">
        <v>32</v>
      </c>
      <c r="O200" s="90"/>
      <c r="P200" s="90"/>
      <c r="Q200" s="90"/>
      <c r="R200" s="58">
        <f>SUM(R193:R199)</f>
        <v>0</v>
      </c>
      <c r="V200" s="47"/>
    </row>
    <row r="201" spans="2:22">
      <c r="B201" s="7" t="s">
        <v>35</v>
      </c>
      <c r="G201" s="58">
        <f>(K201*G193)+J201</f>
        <v>0</v>
      </c>
      <c r="J201" s="186"/>
      <c r="K201" s="187"/>
      <c r="L201" s="188"/>
      <c r="M201" s="7" t="s">
        <v>34</v>
      </c>
      <c r="O201" s="90"/>
      <c r="P201" s="90"/>
      <c r="Q201" s="90"/>
      <c r="R201" s="58">
        <f>IF(R200*0.05&lt;=500000*IF(N204="Disetahunkan",12,P204),R200*0.05,500000*P204)</f>
        <v>0</v>
      </c>
      <c r="V201" s="47"/>
    </row>
    <row r="202" spans="2:22">
      <c r="B202" s="7" t="s">
        <v>36</v>
      </c>
      <c r="G202" s="58">
        <f>(K202*G199)+J202</f>
        <v>0</v>
      </c>
      <c r="J202" s="186"/>
      <c r="K202" s="187"/>
      <c r="L202" s="188"/>
      <c r="M202" s="7" t="s">
        <v>35</v>
      </c>
      <c r="O202" s="90"/>
      <c r="P202" s="90"/>
      <c r="Q202" s="90"/>
      <c r="R202" s="58">
        <f>(V202*R193)+(U202*P204)</f>
        <v>0</v>
      </c>
      <c r="U202" s="192">
        <f t="shared" ref="T202:V202" si="30">J201</f>
        <v>0</v>
      </c>
      <c r="V202" s="193">
        <f t="shared" si="30"/>
        <v>0</v>
      </c>
    </row>
    <row r="203" spans="2:22">
      <c r="B203" s="7" t="s">
        <v>3</v>
      </c>
      <c r="G203" s="58">
        <f>G199-G200-G201-G202</f>
        <v>0</v>
      </c>
      <c r="K203" s="47"/>
      <c r="L203" s="46"/>
      <c r="M203" s="7" t="s">
        <v>36</v>
      </c>
      <c r="O203" s="90"/>
      <c r="P203" s="90"/>
      <c r="Q203" s="90"/>
      <c r="R203" s="58">
        <f>(V203*R200)+(U203*P204)</f>
        <v>0</v>
      </c>
      <c r="U203" s="192">
        <f t="shared" ref="T203:V203" si="31">J202</f>
        <v>0</v>
      </c>
      <c r="V203" s="193">
        <f t="shared" si="31"/>
        <v>0</v>
      </c>
    </row>
    <row r="204" spans="2:22">
      <c r="B204" s="7" t="s">
        <v>3</v>
      </c>
      <c r="C204" s="204" t="str">
        <f>C158</f>
        <v>Disetahunkan</v>
      </c>
      <c r="D204" s="204"/>
      <c r="E204" s="205">
        <f>E158</f>
        <v>12</v>
      </c>
      <c r="G204" s="58">
        <f>IF(C204="Disetahunkan",G203*12,G203*E204)</f>
        <v>0</v>
      </c>
      <c r="K204" s="47"/>
      <c r="L204" s="46"/>
      <c r="M204" s="7" t="s">
        <v>3</v>
      </c>
      <c r="N204" s="103" t="str">
        <f>C204</f>
        <v>Disetahunkan</v>
      </c>
      <c r="O204" s="103"/>
      <c r="P204" s="104">
        <f>E204</f>
        <v>12</v>
      </c>
      <c r="Q204" s="90"/>
      <c r="R204" s="58">
        <f>R200-R201-R202-R203</f>
        <v>0</v>
      </c>
      <c r="V204" s="47"/>
    </row>
    <row r="205" spans="2:22">
      <c r="B205" s="7" t="s">
        <v>1</v>
      </c>
      <c r="C205" s="172" t="str">
        <f>J1</f>
        <v>TK/0</v>
      </c>
      <c r="D205" s="172"/>
      <c r="E205" s="105"/>
      <c r="G205" s="58">
        <f>VLOOKUP(C205,P213:Q220,2,FALSE)</f>
        <v>54000000</v>
      </c>
      <c r="K205" s="47"/>
      <c r="L205" s="46"/>
      <c r="M205" s="7" t="s">
        <v>1</v>
      </c>
      <c r="N205" s="103" t="str">
        <f>C205</f>
        <v>TK/0</v>
      </c>
      <c r="O205" s="103"/>
      <c r="P205" s="105"/>
      <c r="Q205" s="90"/>
      <c r="R205" s="58">
        <f>G205</f>
        <v>54000000</v>
      </c>
      <c r="V205" s="47"/>
    </row>
    <row r="206" spans="2:22">
      <c r="B206" s="7" t="s">
        <v>37</v>
      </c>
      <c r="D206" s="105"/>
      <c r="E206" s="105"/>
      <c r="G206" s="58">
        <f>IF(G204&gt;G205,ROUNDDOWN(G204-G205,-3),0)</f>
        <v>0</v>
      </c>
      <c r="K206" s="47"/>
      <c r="L206" s="46"/>
      <c r="M206" s="7" t="s">
        <v>37</v>
      </c>
      <c r="O206" s="105"/>
      <c r="P206" s="105"/>
      <c r="Q206" s="90"/>
      <c r="R206" s="58">
        <f>IF(R204&gt;R205,ROUNDDOWN(R204-R205,-3),0)</f>
        <v>0</v>
      </c>
      <c r="V206" s="47"/>
    </row>
    <row r="207" spans="2:22">
      <c r="B207" s="7" t="s">
        <v>38</v>
      </c>
      <c r="C207" s="59" t="str">
        <f>C204</f>
        <v>Disetahunkan</v>
      </c>
      <c r="D207" s="106"/>
      <c r="G207" s="58">
        <f>IF(G206&lt;=50000000,G206*0.05,IF(G206&lt;=250000000,(G206-50000000)*0.15+2500000,IF(G206&lt;=500000000,(G206-250000000)*0.25+32500000,IF(G206&gt;500000000,(G206-500000000)*0.3+95000000,"no"))))*IF(C191="Ada",1,1.2)</f>
        <v>0</v>
      </c>
      <c r="K207" s="47"/>
      <c r="L207" s="46"/>
      <c r="M207" s="7" t="s">
        <v>38</v>
      </c>
      <c r="N207" s="59" t="str">
        <f>N204</f>
        <v>Disetahunkan</v>
      </c>
      <c r="O207" s="106"/>
      <c r="P207" s="90"/>
      <c r="Q207" s="90"/>
      <c r="R207" s="58">
        <f>IF(R206&lt;=50000000,R206*0.05,IF(R206&lt;=250000000,(R206-50000000)*0.15+2500000,IF(R206&lt;=500000000,(R206-250000000)*0.25+32500000,IF(R206&gt;500000000,(R206-500000000)*0.3+95000000,"no"))))*IF(N191="Ada",1,1.2)</f>
        <v>0</v>
      </c>
      <c r="V207" s="47"/>
    </row>
    <row r="208" ht="15.75" spans="2:22">
      <c r="B208" s="29" t="s">
        <v>39</v>
      </c>
      <c r="C208" s="30"/>
      <c r="D208" s="107"/>
      <c r="E208" s="107"/>
      <c r="F208" s="107"/>
      <c r="G208" s="61">
        <f>ROUNDUP(IF(C204="Disetahunkan",G207/12,G207/E204),0)</f>
        <v>0</v>
      </c>
      <c r="H208" s="30"/>
      <c r="I208" s="30"/>
      <c r="J208" s="30"/>
      <c r="K208" s="166"/>
      <c r="L208" s="46"/>
      <c r="M208" s="29" t="s">
        <v>40</v>
      </c>
      <c r="N208" s="30"/>
      <c r="O208" s="107"/>
      <c r="P208" s="107"/>
      <c r="Q208" s="107"/>
      <c r="R208" s="61">
        <f>R207-IF(G228&gt;G207,G228,G207)</f>
        <v>0</v>
      </c>
      <c r="S208" s="30"/>
      <c r="T208" s="202"/>
      <c r="U208" s="202"/>
      <c r="V208" s="203"/>
    </row>
    <row r="209" ht="16.5" spans="2:22">
      <c r="B209" s="46"/>
      <c r="C209" s="46"/>
      <c r="D209" s="155"/>
      <c r="E209" s="155"/>
      <c r="F209" s="155"/>
      <c r="G209" s="10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</row>
    <row r="210" ht="15.75" spans="2:22">
      <c r="B210" s="168" t="s">
        <v>41</v>
      </c>
      <c r="C210" s="169"/>
      <c r="D210" s="169"/>
      <c r="E210" s="100"/>
      <c r="F210" s="100"/>
      <c r="G210" s="153"/>
      <c r="H210" s="174"/>
      <c r="I210" s="174"/>
      <c r="J210" s="42"/>
      <c r="K210" s="45"/>
      <c r="V210" s="46"/>
    </row>
    <row r="211" ht="15.75" spans="2:22">
      <c r="B211" s="7"/>
      <c r="K211" s="47"/>
      <c r="V211" s="46"/>
    </row>
    <row r="212" ht="15.75" spans="2:17">
      <c r="B212" s="7" t="s">
        <v>22</v>
      </c>
      <c r="C212" s="103" t="str">
        <f>C191</f>
        <v>Ada</v>
      </c>
      <c r="D212" s="103"/>
      <c r="E212" s="90" t="s">
        <v>42</v>
      </c>
      <c r="G212" s="175">
        <v>4</v>
      </c>
      <c r="K212" s="33"/>
      <c r="L212" s="1"/>
      <c r="N212" s="141"/>
      <c r="O212" s="141"/>
      <c r="P212" s="142" t="s">
        <v>43</v>
      </c>
      <c r="Q212" s="149"/>
    </row>
    <row r="213" spans="2:17">
      <c r="B213" s="7"/>
      <c r="K213" s="33"/>
      <c r="L213" s="1"/>
      <c r="N213" s="143" t="s">
        <v>44</v>
      </c>
      <c r="O213" s="144">
        <v>0</v>
      </c>
      <c r="P213" s="7" t="str">
        <f t="shared" ref="P213:P220" si="32">N213&amp;O213</f>
        <v>TK/0</v>
      </c>
      <c r="Q213" s="150">
        <f t="shared" ref="Q213:Q220" si="33">54000000+IF(N213="K/",4500000,0)+(O213*4500000)</f>
        <v>54000000</v>
      </c>
    </row>
    <row r="214" spans="2:17">
      <c r="B214" s="7" t="s">
        <v>45</v>
      </c>
      <c r="G214" s="58">
        <f>G193+(J214/G212)</f>
        <v>0</v>
      </c>
      <c r="I214" t="s">
        <v>46</v>
      </c>
      <c r="J214" s="11"/>
      <c r="K214" s="190"/>
      <c r="L214" s="191"/>
      <c r="N214" s="143" t="s">
        <v>44</v>
      </c>
      <c r="O214" s="144">
        <v>1</v>
      </c>
      <c r="P214" s="7" t="str">
        <f t="shared" si="32"/>
        <v>TK/1</v>
      </c>
      <c r="Q214" s="150">
        <f t="shared" si="33"/>
        <v>58500000</v>
      </c>
    </row>
    <row r="215" spans="2:17">
      <c r="B215" s="7" t="s">
        <v>47</v>
      </c>
      <c r="G215" s="58">
        <f>G194+(J215/G212)</f>
        <v>0</v>
      </c>
      <c r="I215" t="s">
        <v>46</v>
      </c>
      <c r="J215" s="11"/>
      <c r="K215" s="190"/>
      <c r="L215" s="191"/>
      <c r="N215" s="143" t="s">
        <v>44</v>
      </c>
      <c r="O215" s="144">
        <v>2</v>
      </c>
      <c r="P215" s="7" t="str">
        <f t="shared" si="32"/>
        <v>TK/2</v>
      </c>
      <c r="Q215" s="150">
        <f t="shared" si="33"/>
        <v>63000000</v>
      </c>
    </row>
    <row r="216" spans="2:17">
      <c r="B216" s="7" t="s">
        <v>26</v>
      </c>
      <c r="G216" s="58">
        <f t="shared" ref="G216:G219" si="34">G195</f>
        <v>0</v>
      </c>
      <c r="K216" s="33"/>
      <c r="L216" s="34"/>
      <c r="N216" s="143" t="s">
        <v>44</v>
      </c>
      <c r="O216" s="144">
        <v>3</v>
      </c>
      <c r="P216" s="7" t="str">
        <f t="shared" si="32"/>
        <v>TK/3</v>
      </c>
      <c r="Q216" s="150">
        <f t="shared" si="33"/>
        <v>67500000</v>
      </c>
    </row>
    <row r="217" spans="2:17">
      <c r="B217" s="7" t="s">
        <v>29</v>
      </c>
      <c r="G217" s="58">
        <f>(K217*G214)+J217</f>
        <v>0</v>
      </c>
      <c r="J217" s="192">
        <f t="shared" ref="I217:K217" si="35">J196</f>
        <v>0</v>
      </c>
      <c r="K217" s="193">
        <f t="shared" si="35"/>
        <v>0</v>
      </c>
      <c r="L217" s="194"/>
      <c r="N217" s="143" t="s">
        <v>48</v>
      </c>
      <c r="O217" s="144">
        <v>0</v>
      </c>
      <c r="P217" s="7" t="str">
        <f t="shared" si="32"/>
        <v>K/0</v>
      </c>
      <c r="Q217" s="150">
        <f t="shared" si="33"/>
        <v>58500000</v>
      </c>
    </row>
    <row r="218" spans="2:17">
      <c r="B218" s="7" t="s">
        <v>30</v>
      </c>
      <c r="G218" s="58">
        <f t="shared" si="34"/>
        <v>0</v>
      </c>
      <c r="K218" s="33"/>
      <c r="L218" s="34"/>
      <c r="N218" s="143" t="s">
        <v>48</v>
      </c>
      <c r="O218" s="144">
        <v>1</v>
      </c>
      <c r="P218" s="7" t="str">
        <f t="shared" si="32"/>
        <v>K/1</v>
      </c>
      <c r="Q218" s="150">
        <f t="shared" si="33"/>
        <v>63000000</v>
      </c>
    </row>
    <row r="219" spans="2:17">
      <c r="B219" s="7" t="s">
        <v>31</v>
      </c>
      <c r="G219" s="58">
        <f t="shared" si="34"/>
        <v>0</v>
      </c>
      <c r="K219" s="33"/>
      <c r="L219" s="34"/>
      <c r="N219" s="143" t="s">
        <v>48</v>
      </c>
      <c r="O219" s="144">
        <v>2</v>
      </c>
      <c r="P219" s="7" t="str">
        <f t="shared" si="32"/>
        <v>K/2</v>
      </c>
      <c r="Q219" s="150">
        <f t="shared" si="33"/>
        <v>67500000</v>
      </c>
    </row>
    <row r="220" ht="15.75" spans="2:17">
      <c r="B220" s="7" t="s">
        <v>32</v>
      </c>
      <c r="G220" s="58">
        <f>SUM(G214:G219)</f>
        <v>0</v>
      </c>
      <c r="K220" s="33"/>
      <c r="L220" s="34"/>
      <c r="N220" s="143" t="s">
        <v>48</v>
      </c>
      <c r="O220" s="144">
        <v>3</v>
      </c>
      <c r="P220" s="29" t="str">
        <f t="shared" si="32"/>
        <v>K/3</v>
      </c>
      <c r="Q220" s="151">
        <f t="shared" si="33"/>
        <v>72000000</v>
      </c>
    </row>
    <row r="221" ht="15.75" spans="2:22">
      <c r="B221" s="7" t="s">
        <v>34</v>
      </c>
      <c r="G221" s="58">
        <f>IF(G220*0.05&lt;=500000,G220*0.05,500000)</f>
        <v>0</v>
      </c>
      <c r="K221" s="33"/>
      <c r="L221" s="34"/>
      <c r="V221" s="46"/>
    </row>
    <row r="222" spans="2:22">
      <c r="B222" s="7" t="s">
        <v>35</v>
      </c>
      <c r="G222" s="58">
        <f>(K222*G214)+J222</f>
        <v>0</v>
      </c>
      <c r="J222" s="192">
        <f t="shared" ref="I222:K222" si="36">J201</f>
        <v>0</v>
      </c>
      <c r="K222" s="193">
        <f t="shared" si="36"/>
        <v>0</v>
      </c>
      <c r="L222" s="194"/>
      <c r="V222" s="46"/>
    </row>
    <row r="223" spans="2:22">
      <c r="B223" s="7" t="s">
        <v>36</v>
      </c>
      <c r="G223" s="58">
        <f>(K223*G220)+J223</f>
        <v>0</v>
      </c>
      <c r="J223" s="192">
        <f t="shared" ref="I223:K223" si="37">J202</f>
        <v>0</v>
      </c>
      <c r="K223" s="193">
        <f t="shared" si="37"/>
        <v>0</v>
      </c>
      <c r="L223" s="194"/>
      <c r="V223" s="46"/>
    </row>
    <row r="224" spans="2:22">
      <c r="B224" s="7" t="s">
        <v>3</v>
      </c>
      <c r="G224" s="58">
        <f>G220-G221-G222-G223</f>
        <v>0</v>
      </c>
      <c r="K224" s="33"/>
      <c r="L224" s="1"/>
      <c r="V224" s="46"/>
    </row>
    <row r="225" spans="2:22">
      <c r="B225" s="7" t="s">
        <v>3</v>
      </c>
      <c r="C225" s="103" t="str">
        <f>C204</f>
        <v>Disetahunkan</v>
      </c>
      <c r="D225" s="103"/>
      <c r="E225" s="104">
        <f>E204</f>
        <v>12</v>
      </c>
      <c r="G225" s="58">
        <f>IF(C225="Disetahunkan",G224*12,G224*E225)</f>
        <v>0</v>
      </c>
      <c r="K225" s="33"/>
      <c r="L225" s="1"/>
      <c r="V225" s="46"/>
    </row>
    <row r="226" spans="2:22">
      <c r="B226" s="7" t="s">
        <v>1</v>
      </c>
      <c r="C226" s="103" t="str">
        <f>C205</f>
        <v>TK/0</v>
      </c>
      <c r="D226" s="103"/>
      <c r="E226" s="105"/>
      <c r="G226" s="58">
        <f>G205</f>
        <v>54000000</v>
      </c>
      <c r="K226" s="33"/>
      <c r="L226" s="1"/>
      <c r="V226" s="46"/>
    </row>
    <row r="227" spans="2:22">
      <c r="B227" s="7" t="s">
        <v>37</v>
      </c>
      <c r="D227" s="105"/>
      <c r="E227" s="105"/>
      <c r="G227" s="58">
        <f>IF(G225&gt;G226,ROUNDDOWN(G225-G226,-3),0)</f>
        <v>0</v>
      </c>
      <c r="K227" s="33"/>
      <c r="L227" s="1"/>
      <c r="V227" s="46"/>
    </row>
    <row r="228" spans="2:22">
      <c r="B228" s="7" t="s">
        <v>38</v>
      </c>
      <c r="C228" s="59" t="str">
        <f>C225</f>
        <v>Disetahunkan</v>
      </c>
      <c r="D228" s="106"/>
      <c r="G228" s="58">
        <f>IF(G227&lt;=50000000,G227*0.05,IF(G227&lt;=250000000,(G227-50000000)*0.15+2500000,IF(G227&lt;=500000000,(G227-250000000)*0.25+32500000,IF(G227&gt;500000000,(G227-500000000)*0.3+95000000,"no"))))*IF(C212="Ada",1,1.2)</f>
        <v>0</v>
      </c>
      <c r="K228" s="33"/>
      <c r="L228" s="1"/>
      <c r="V228" s="46"/>
    </row>
    <row r="229" spans="2:22">
      <c r="B229" s="7" t="s">
        <v>49</v>
      </c>
      <c r="G229" s="58">
        <f>ROUNDUP(IF(C225="Disetahunkan",G228/12,G228/E225),0)</f>
        <v>0</v>
      </c>
      <c r="K229" s="33"/>
      <c r="L229" s="1"/>
      <c r="V229" s="46"/>
    </row>
    <row r="230" ht="15.75" spans="2:22">
      <c r="B230" s="29" t="s">
        <v>41</v>
      </c>
      <c r="C230" s="30"/>
      <c r="D230" s="107"/>
      <c r="E230" s="107"/>
      <c r="F230" s="107"/>
      <c r="G230" s="61">
        <f>(G229-G208)*G212</f>
        <v>0</v>
      </c>
      <c r="H230" s="30"/>
      <c r="I230" s="30"/>
      <c r="J230" s="30"/>
      <c r="K230" s="195"/>
      <c r="L230" s="10"/>
      <c r="M230" s="46"/>
      <c r="N230" s="46"/>
      <c r="O230" s="46"/>
      <c r="P230" s="46"/>
      <c r="Q230" s="46"/>
      <c r="R230" s="46"/>
      <c r="S230" s="46"/>
      <c r="T230" s="46"/>
      <c r="U230" s="46"/>
      <c r="V230" s="46"/>
    </row>
    <row r="231" ht="15.75" spans="13:17">
      <c r="M231" s="206" t="s">
        <v>51</v>
      </c>
      <c r="N231" s="206"/>
      <c r="O231" s="206"/>
      <c r="P231" s="206"/>
      <c r="Q231" s="206"/>
    </row>
    <row r="232" ht="15.75" spans="2:22">
      <c r="B232" s="176" t="s">
        <v>50</v>
      </c>
      <c r="C232" s="176"/>
      <c r="D232" s="176"/>
      <c r="E232" s="176"/>
      <c r="F232" s="176"/>
      <c r="G232" s="61">
        <f>IF(G193&gt;0,IF(C212="Ada",G208+R208+G230-R232,G208+R208+G230),G186)</f>
        <v>0</v>
      </c>
      <c r="H232" s="30"/>
      <c r="I232" s="30"/>
      <c r="J232" s="30"/>
      <c r="K232" s="30"/>
      <c r="L232" s="30"/>
      <c r="M232" s="207"/>
      <c r="N232" s="207"/>
      <c r="O232" s="207"/>
      <c r="P232" s="207"/>
      <c r="Q232" s="207"/>
      <c r="R232" s="31">
        <f>IF(C145="Tidak Ada",20/120*(G48+G94+G140+G186),0)</f>
        <v>0</v>
      </c>
      <c r="S232" s="30"/>
      <c r="T232" s="30"/>
      <c r="U232" s="30"/>
      <c r="V232" s="30"/>
    </row>
    <row r="233" ht="16.5"/>
    <row r="234" ht="15.75" spans="2:2">
      <c r="B234" s="167" t="s">
        <v>12</v>
      </c>
    </row>
    <row r="235" ht="15.75" spans="2:22">
      <c r="B235" s="168" t="s">
        <v>20</v>
      </c>
      <c r="C235" s="169"/>
      <c r="D235" s="169"/>
      <c r="E235" s="169"/>
      <c r="F235" s="100"/>
      <c r="G235" s="153"/>
      <c r="H235" s="170"/>
      <c r="I235" s="170"/>
      <c r="J235" s="42"/>
      <c r="K235" s="45"/>
      <c r="L235" s="46"/>
      <c r="M235" s="168" t="s">
        <v>21</v>
      </c>
      <c r="N235" s="169"/>
      <c r="O235" s="169"/>
      <c r="P235" s="169"/>
      <c r="Q235" s="169"/>
      <c r="R235" s="43"/>
      <c r="S235" s="174"/>
      <c r="T235" s="174"/>
      <c r="U235" s="42"/>
      <c r="V235" s="45"/>
    </row>
    <row r="236" spans="2:22">
      <c r="B236" s="7"/>
      <c r="K236" s="47"/>
      <c r="L236" s="46"/>
      <c r="M236" s="7"/>
      <c r="V236" s="47"/>
    </row>
    <row r="237" spans="2:22">
      <c r="B237" s="7" t="s">
        <v>22</v>
      </c>
      <c r="C237" s="171" t="str">
        <f>C191</f>
        <v>Ada</v>
      </c>
      <c r="D237" s="171"/>
      <c r="K237" s="47"/>
      <c r="L237" s="46"/>
      <c r="M237" s="7" t="s">
        <v>22</v>
      </c>
      <c r="N237" s="103" t="str">
        <f>C237</f>
        <v>Ada</v>
      </c>
      <c r="O237" s="103"/>
      <c r="P237" s="90"/>
      <c r="Q237" s="90"/>
      <c r="R237" s="1"/>
      <c r="V237" s="47"/>
    </row>
    <row r="238" spans="2:22">
      <c r="B238" s="7"/>
      <c r="K238" s="47"/>
      <c r="L238" s="46"/>
      <c r="M238" s="7"/>
      <c r="O238" s="90"/>
      <c r="P238" s="90"/>
      <c r="Q238" s="90"/>
      <c r="R238" s="1"/>
      <c r="V238" s="47"/>
    </row>
    <row r="239" spans="2:22">
      <c r="B239" s="7" t="s">
        <v>24</v>
      </c>
      <c r="G239" s="15"/>
      <c r="K239" s="47"/>
      <c r="L239" s="46"/>
      <c r="M239" s="7" t="s">
        <v>24</v>
      </c>
      <c r="O239" s="90"/>
      <c r="P239" s="90"/>
      <c r="Q239" s="90"/>
      <c r="R239" s="58">
        <f>IF(G260&gt;G239,G260,G239)*IF($N$250="Disetahunkan",12,$P$250)</f>
        <v>0</v>
      </c>
      <c r="V239" s="47"/>
    </row>
    <row r="240" spans="2:22">
      <c r="B240" s="7" t="s">
        <v>25</v>
      </c>
      <c r="G240" s="15"/>
      <c r="K240" s="47"/>
      <c r="L240" s="46"/>
      <c r="M240" s="7" t="s">
        <v>25</v>
      </c>
      <c r="O240" s="90"/>
      <c r="P240" s="90"/>
      <c r="Q240" s="90"/>
      <c r="R240" s="58">
        <f>IF(G261&gt;G240,G261,G240)*IF($N$250="Disetahunkan",12,$P$250)</f>
        <v>0</v>
      </c>
      <c r="V240" s="47"/>
    </row>
    <row r="241" spans="2:22">
      <c r="B241" s="7" t="s">
        <v>26</v>
      </c>
      <c r="G241" s="15"/>
      <c r="J241" s="184" t="s">
        <v>27</v>
      </c>
      <c r="K241" s="185" t="s">
        <v>28</v>
      </c>
      <c r="L241" s="46"/>
      <c r="M241" s="7" t="s">
        <v>26</v>
      </c>
      <c r="O241" s="90"/>
      <c r="P241" s="90"/>
      <c r="Q241" s="90"/>
      <c r="R241" s="58">
        <f>G241*IF($N$250="Disetahunkan",12,$P$250)</f>
        <v>0</v>
      </c>
      <c r="U241" s="200"/>
      <c r="V241" s="201"/>
    </row>
    <row r="242" spans="2:22">
      <c r="B242" s="7" t="s">
        <v>29</v>
      </c>
      <c r="G242" s="58">
        <f>(K242*G239)+J242</f>
        <v>0</v>
      </c>
      <c r="J242" s="186"/>
      <c r="K242" s="187"/>
      <c r="L242" s="188"/>
      <c r="M242" s="7" t="s">
        <v>29</v>
      </c>
      <c r="O242" s="90"/>
      <c r="P242" s="90"/>
      <c r="Q242" s="90"/>
      <c r="R242" s="58">
        <f>(V242*R239)+(U242*P250)</f>
        <v>0</v>
      </c>
      <c r="U242" s="192">
        <f t="shared" ref="T242:V242" si="38">J242</f>
        <v>0</v>
      </c>
      <c r="V242" s="193">
        <f t="shared" si="38"/>
        <v>0</v>
      </c>
    </row>
    <row r="243" spans="2:22">
      <c r="B243" s="7" t="s">
        <v>30</v>
      </c>
      <c r="G243" s="15"/>
      <c r="K243" s="47"/>
      <c r="L243" s="189"/>
      <c r="M243" s="7" t="s">
        <v>30</v>
      </c>
      <c r="O243" s="90"/>
      <c r="P243" s="90"/>
      <c r="Q243" s="90"/>
      <c r="R243" s="58">
        <f>G243*IF($N$250="Disetahunkan",12,$P$250)</f>
        <v>0</v>
      </c>
      <c r="V243" s="47"/>
    </row>
    <row r="244" spans="2:22">
      <c r="B244" s="7" t="s">
        <v>31</v>
      </c>
      <c r="G244" s="15"/>
      <c r="K244" s="47"/>
      <c r="L244" s="189"/>
      <c r="M244" s="7" t="s">
        <v>31</v>
      </c>
      <c r="O244" s="90"/>
      <c r="P244" s="90"/>
      <c r="Q244" s="90"/>
      <c r="R244" s="58">
        <f>G244*IF($N$250="Disetahunkan",12,$P$250)</f>
        <v>0</v>
      </c>
      <c r="V244" s="47"/>
    </row>
    <row r="245" spans="2:22">
      <c r="B245" s="7" t="s">
        <v>32</v>
      </c>
      <c r="G245" s="58">
        <f>SUM(G239:G244)</f>
        <v>0</v>
      </c>
      <c r="K245" s="47"/>
      <c r="L245" s="189"/>
      <c r="M245" s="7" t="s">
        <v>33</v>
      </c>
      <c r="O245" s="90"/>
      <c r="P245" s="90"/>
      <c r="Q245" s="90"/>
      <c r="R245" s="15"/>
      <c r="V245" s="47"/>
    </row>
    <row r="246" spans="2:22">
      <c r="B246" s="7" t="s">
        <v>34</v>
      </c>
      <c r="G246" s="58">
        <f>IF(G245*0.05&lt;=500000,G245*0.05,500000)</f>
        <v>0</v>
      </c>
      <c r="K246" s="47"/>
      <c r="L246" s="189"/>
      <c r="M246" s="7" t="s">
        <v>32</v>
      </c>
      <c r="O246" s="90"/>
      <c r="P246" s="90"/>
      <c r="Q246" s="90"/>
      <c r="R246" s="58">
        <f>SUM(R239:R245)</f>
        <v>0</v>
      </c>
      <c r="V246" s="47"/>
    </row>
    <row r="247" spans="2:22">
      <c r="B247" s="7" t="s">
        <v>35</v>
      </c>
      <c r="G247" s="58">
        <f>(K247*G239)+J247</f>
        <v>0</v>
      </c>
      <c r="J247" s="186"/>
      <c r="K247" s="187"/>
      <c r="L247" s="188"/>
      <c r="M247" s="7" t="s">
        <v>34</v>
      </c>
      <c r="O247" s="90"/>
      <c r="P247" s="90"/>
      <c r="Q247" s="90"/>
      <c r="R247" s="58">
        <f>IF(R246*0.05&lt;=500000*IF(N250="Disetahunkan",12,P250),R246*0.05,500000*P250)</f>
        <v>0</v>
      </c>
      <c r="V247" s="47"/>
    </row>
    <row r="248" spans="2:22">
      <c r="B248" s="7" t="s">
        <v>36</v>
      </c>
      <c r="G248" s="58">
        <f>(K248*G245)+J248</f>
        <v>0</v>
      </c>
      <c r="J248" s="186"/>
      <c r="K248" s="187"/>
      <c r="L248" s="188"/>
      <c r="M248" s="7" t="s">
        <v>35</v>
      </c>
      <c r="O248" s="90"/>
      <c r="P248" s="90"/>
      <c r="Q248" s="90"/>
      <c r="R248" s="58">
        <f>(V248*R239)+(U248*P250)</f>
        <v>0</v>
      </c>
      <c r="U248" s="192">
        <f t="shared" ref="T248:V248" si="39">J247</f>
        <v>0</v>
      </c>
      <c r="V248" s="193">
        <f t="shared" si="39"/>
        <v>0</v>
      </c>
    </row>
    <row r="249" spans="2:22">
      <c r="B249" s="7" t="s">
        <v>3</v>
      </c>
      <c r="G249" s="58">
        <f>G245-G246-G247-G248</f>
        <v>0</v>
      </c>
      <c r="K249" s="47"/>
      <c r="L249" s="46"/>
      <c r="M249" s="7" t="s">
        <v>36</v>
      </c>
      <c r="O249" s="90"/>
      <c r="P249" s="90"/>
      <c r="Q249" s="90"/>
      <c r="R249" s="58">
        <f>(V249*R246)+(U249*P250)</f>
        <v>0</v>
      </c>
      <c r="U249" s="192">
        <f t="shared" ref="T249:V249" si="40">J248</f>
        <v>0</v>
      </c>
      <c r="V249" s="193">
        <f t="shared" si="40"/>
        <v>0</v>
      </c>
    </row>
    <row r="250" spans="2:22">
      <c r="B250" s="7" t="s">
        <v>3</v>
      </c>
      <c r="C250" s="204" t="str">
        <f>C204</f>
        <v>Disetahunkan</v>
      </c>
      <c r="D250" s="204"/>
      <c r="E250" s="205">
        <f>E204</f>
        <v>12</v>
      </c>
      <c r="G250" s="58">
        <f>IF(C250="Disetahunkan",G249*12,G249*E250)</f>
        <v>0</v>
      </c>
      <c r="K250" s="47"/>
      <c r="L250" s="46"/>
      <c r="M250" s="7" t="s">
        <v>3</v>
      </c>
      <c r="N250" s="103" t="str">
        <f>C250</f>
        <v>Disetahunkan</v>
      </c>
      <c r="O250" s="103"/>
      <c r="P250" s="104">
        <f>E250</f>
        <v>12</v>
      </c>
      <c r="Q250" s="90"/>
      <c r="R250" s="58">
        <f>R246-R247-R248-R249</f>
        <v>0</v>
      </c>
      <c r="V250" s="47"/>
    </row>
    <row r="251" spans="2:22">
      <c r="B251" s="7" t="s">
        <v>1</v>
      </c>
      <c r="C251" s="172" t="str">
        <f>J1</f>
        <v>TK/0</v>
      </c>
      <c r="D251" s="172"/>
      <c r="E251" s="105"/>
      <c r="G251" s="58">
        <f>VLOOKUP(C251,P259:Q266,2,FALSE)</f>
        <v>54000000</v>
      </c>
      <c r="K251" s="47"/>
      <c r="L251" s="46"/>
      <c r="M251" s="7" t="s">
        <v>1</v>
      </c>
      <c r="N251" s="103" t="str">
        <f>C251</f>
        <v>TK/0</v>
      </c>
      <c r="O251" s="103"/>
      <c r="P251" s="105"/>
      <c r="Q251" s="90"/>
      <c r="R251" s="58">
        <f>G251</f>
        <v>54000000</v>
      </c>
      <c r="V251" s="47"/>
    </row>
    <row r="252" spans="2:22">
      <c r="B252" s="7" t="s">
        <v>37</v>
      </c>
      <c r="D252" s="105"/>
      <c r="E252" s="105"/>
      <c r="G252" s="58">
        <f>IF(G250&gt;G251,ROUNDDOWN(G250-G251,-3),0)</f>
        <v>0</v>
      </c>
      <c r="K252" s="47"/>
      <c r="L252" s="46"/>
      <c r="M252" s="7" t="s">
        <v>37</v>
      </c>
      <c r="O252" s="105"/>
      <c r="P252" s="105"/>
      <c r="Q252" s="90"/>
      <c r="R252" s="58">
        <f>IF(R250&gt;R251,ROUNDDOWN(R250-R251,-3),0)</f>
        <v>0</v>
      </c>
      <c r="V252" s="47"/>
    </row>
    <row r="253" spans="2:22">
      <c r="B253" s="7" t="s">
        <v>38</v>
      </c>
      <c r="C253" s="59" t="str">
        <f>C250</f>
        <v>Disetahunkan</v>
      </c>
      <c r="D253" s="106"/>
      <c r="G253" s="58">
        <f>IF(G252&lt;=50000000,G252*0.05,IF(G252&lt;=250000000,(G252-50000000)*0.15+2500000,IF(G252&lt;=500000000,(G252-250000000)*0.25+32500000,IF(G252&gt;500000000,(G252-500000000)*0.3+95000000,"no"))))*IF(C237="Ada",1,1.2)</f>
        <v>0</v>
      </c>
      <c r="K253" s="47"/>
      <c r="L253" s="46"/>
      <c r="M253" s="7" t="s">
        <v>38</v>
      </c>
      <c r="N253" s="59" t="str">
        <f>N250</f>
        <v>Disetahunkan</v>
      </c>
      <c r="O253" s="106"/>
      <c r="P253" s="90"/>
      <c r="Q253" s="90"/>
      <c r="R253" s="58">
        <f>IF(R252&lt;=50000000,R252*0.05,IF(R252&lt;=250000000,(R252-50000000)*0.15+2500000,IF(R252&lt;=500000000,(R252-250000000)*0.25+32500000,IF(R252&gt;500000000,(R252-500000000)*0.3+95000000,"no"))))*IF(N237="Ada",1,1.2)</f>
        <v>0</v>
      </c>
      <c r="V253" s="47"/>
    </row>
    <row r="254" ht="15.75" spans="2:22">
      <c r="B254" s="29" t="s">
        <v>39</v>
      </c>
      <c r="C254" s="30"/>
      <c r="D254" s="107"/>
      <c r="E254" s="107"/>
      <c r="F254" s="107"/>
      <c r="G254" s="61">
        <f>ROUNDUP(IF(C250="Disetahunkan",G253/12,G253/E250),0)</f>
        <v>0</v>
      </c>
      <c r="H254" s="30"/>
      <c r="I254" s="30"/>
      <c r="J254" s="30"/>
      <c r="K254" s="166"/>
      <c r="L254" s="46"/>
      <c r="M254" s="29" t="s">
        <v>40</v>
      </c>
      <c r="N254" s="30"/>
      <c r="O254" s="107"/>
      <c r="P254" s="107"/>
      <c r="Q254" s="107"/>
      <c r="R254" s="61">
        <f>R253-IF(G274&gt;G253,G274,G253)</f>
        <v>0</v>
      </c>
      <c r="S254" s="30"/>
      <c r="T254" s="202"/>
      <c r="U254" s="202"/>
      <c r="V254" s="203"/>
    </row>
    <row r="255" ht="16.5" spans="2:22">
      <c r="B255" s="46"/>
      <c r="C255" s="46"/>
      <c r="D255" s="155"/>
      <c r="E255" s="155"/>
      <c r="F255" s="155"/>
      <c r="G255" s="10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</row>
    <row r="256" ht="15.75" spans="2:22">
      <c r="B256" s="168" t="s">
        <v>41</v>
      </c>
      <c r="C256" s="169"/>
      <c r="D256" s="169"/>
      <c r="E256" s="100"/>
      <c r="F256" s="100"/>
      <c r="G256" s="153"/>
      <c r="H256" s="174"/>
      <c r="I256" s="174"/>
      <c r="J256" s="42"/>
      <c r="K256" s="45"/>
      <c r="V256" s="46"/>
    </row>
    <row r="257" ht="15.75" spans="2:22">
      <c r="B257" s="7"/>
      <c r="K257" s="47"/>
      <c r="V257" s="46"/>
    </row>
    <row r="258" ht="15.75" spans="2:17">
      <c r="B258" s="7" t="s">
        <v>22</v>
      </c>
      <c r="C258" s="103" t="str">
        <f>C237</f>
        <v>Ada</v>
      </c>
      <c r="D258" s="103"/>
      <c r="E258" s="90" t="s">
        <v>42</v>
      </c>
      <c r="G258" s="175">
        <v>4</v>
      </c>
      <c r="K258" s="33"/>
      <c r="L258" s="1"/>
      <c r="N258" s="141"/>
      <c r="O258" s="141"/>
      <c r="P258" s="142" t="s">
        <v>43</v>
      </c>
      <c r="Q258" s="149"/>
    </row>
    <row r="259" spans="2:17">
      <c r="B259" s="7"/>
      <c r="K259" s="33"/>
      <c r="L259" s="1"/>
      <c r="N259" s="143" t="s">
        <v>44</v>
      </c>
      <c r="O259" s="144">
        <v>0</v>
      </c>
      <c r="P259" s="7" t="str">
        <f t="shared" ref="P259:P266" si="41">N259&amp;O259</f>
        <v>TK/0</v>
      </c>
      <c r="Q259" s="150">
        <f t="shared" ref="Q259:Q266" si="42">54000000+IF(N259="K/",4500000,0)+(O259*4500000)</f>
        <v>54000000</v>
      </c>
    </row>
    <row r="260" spans="2:17">
      <c r="B260" s="7" t="s">
        <v>45</v>
      </c>
      <c r="G260" s="58">
        <f>G239+(J260/G258)</f>
        <v>0</v>
      </c>
      <c r="I260" t="s">
        <v>46</v>
      </c>
      <c r="J260" s="11"/>
      <c r="K260" s="190"/>
      <c r="L260" s="191"/>
      <c r="N260" s="143" t="s">
        <v>44</v>
      </c>
      <c r="O260" s="144">
        <v>1</v>
      </c>
      <c r="P260" s="7" t="str">
        <f t="shared" si="41"/>
        <v>TK/1</v>
      </c>
      <c r="Q260" s="150">
        <f t="shared" si="42"/>
        <v>58500000</v>
      </c>
    </row>
    <row r="261" spans="2:17">
      <c r="B261" s="7" t="s">
        <v>47</v>
      </c>
      <c r="G261" s="58">
        <f>G240+(J261/G258)</f>
        <v>0</v>
      </c>
      <c r="I261" t="s">
        <v>46</v>
      </c>
      <c r="J261" s="11"/>
      <c r="K261" s="190"/>
      <c r="L261" s="191"/>
      <c r="N261" s="143" t="s">
        <v>44</v>
      </c>
      <c r="O261" s="144">
        <v>2</v>
      </c>
      <c r="P261" s="7" t="str">
        <f t="shared" si="41"/>
        <v>TK/2</v>
      </c>
      <c r="Q261" s="150">
        <f t="shared" si="42"/>
        <v>63000000</v>
      </c>
    </row>
    <row r="262" spans="2:17">
      <c r="B262" s="7" t="s">
        <v>26</v>
      </c>
      <c r="G262" s="58">
        <f t="shared" ref="G262:G265" si="43">G241</f>
        <v>0</v>
      </c>
      <c r="K262" s="33"/>
      <c r="L262" s="34"/>
      <c r="N262" s="143" t="s">
        <v>44</v>
      </c>
      <c r="O262" s="144">
        <v>3</v>
      </c>
      <c r="P262" s="7" t="str">
        <f t="shared" si="41"/>
        <v>TK/3</v>
      </c>
      <c r="Q262" s="150">
        <f t="shared" si="42"/>
        <v>67500000</v>
      </c>
    </row>
    <row r="263" spans="2:17">
      <c r="B263" s="7" t="s">
        <v>29</v>
      </c>
      <c r="G263" s="58">
        <f>(K263*G260)+J263</f>
        <v>0</v>
      </c>
      <c r="J263" s="192">
        <f t="shared" ref="I263:K263" si="44">J242</f>
        <v>0</v>
      </c>
      <c r="K263" s="193">
        <f t="shared" si="44"/>
        <v>0</v>
      </c>
      <c r="L263" s="194"/>
      <c r="N263" s="143" t="s">
        <v>48</v>
      </c>
      <c r="O263" s="144">
        <v>0</v>
      </c>
      <c r="P263" s="7" t="str">
        <f t="shared" si="41"/>
        <v>K/0</v>
      </c>
      <c r="Q263" s="150">
        <f t="shared" si="42"/>
        <v>58500000</v>
      </c>
    </row>
    <row r="264" spans="2:17">
      <c r="B264" s="7" t="s">
        <v>30</v>
      </c>
      <c r="G264" s="58">
        <f t="shared" si="43"/>
        <v>0</v>
      </c>
      <c r="K264" s="33"/>
      <c r="L264" s="34"/>
      <c r="N264" s="143" t="s">
        <v>48</v>
      </c>
      <c r="O264" s="144">
        <v>1</v>
      </c>
      <c r="P264" s="7" t="str">
        <f t="shared" si="41"/>
        <v>K/1</v>
      </c>
      <c r="Q264" s="150">
        <f t="shared" si="42"/>
        <v>63000000</v>
      </c>
    </row>
    <row r="265" spans="2:17">
      <c r="B265" s="7" t="s">
        <v>31</v>
      </c>
      <c r="G265" s="58">
        <f t="shared" si="43"/>
        <v>0</v>
      </c>
      <c r="K265" s="33"/>
      <c r="L265" s="34"/>
      <c r="N265" s="143" t="s">
        <v>48</v>
      </c>
      <c r="O265" s="144">
        <v>2</v>
      </c>
      <c r="P265" s="7" t="str">
        <f t="shared" si="41"/>
        <v>K/2</v>
      </c>
      <c r="Q265" s="150">
        <f t="shared" si="42"/>
        <v>67500000</v>
      </c>
    </row>
    <row r="266" ht="15.75" spans="2:17">
      <c r="B266" s="7" t="s">
        <v>32</v>
      </c>
      <c r="G266" s="58">
        <f>SUM(G260:G265)</f>
        <v>0</v>
      </c>
      <c r="K266" s="33"/>
      <c r="L266" s="34"/>
      <c r="N266" s="143" t="s">
        <v>48</v>
      </c>
      <c r="O266" s="144">
        <v>3</v>
      </c>
      <c r="P266" s="29" t="str">
        <f t="shared" si="41"/>
        <v>K/3</v>
      </c>
      <c r="Q266" s="151">
        <f t="shared" si="42"/>
        <v>72000000</v>
      </c>
    </row>
    <row r="267" ht="15.75" spans="2:22">
      <c r="B267" s="7" t="s">
        <v>34</v>
      </c>
      <c r="G267" s="58">
        <f>IF(G266*0.05&lt;=500000,G266*0.05,500000)</f>
        <v>0</v>
      </c>
      <c r="K267" s="33"/>
      <c r="L267" s="34"/>
      <c r="V267" s="46"/>
    </row>
    <row r="268" spans="2:22">
      <c r="B268" s="7" t="s">
        <v>35</v>
      </c>
      <c r="G268" s="58">
        <f>(K268*G260)+J268</f>
        <v>0</v>
      </c>
      <c r="J268" s="192">
        <f t="shared" ref="I268:K268" si="45">J247</f>
        <v>0</v>
      </c>
      <c r="K268" s="193">
        <f t="shared" si="45"/>
        <v>0</v>
      </c>
      <c r="L268" s="194"/>
      <c r="V268" s="46"/>
    </row>
    <row r="269" spans="2:22">
      <c r="B269" s="7" t="s">
        <v>36</v>
      </c>
      <c r="G269" s="58">
        <f>(K269*G266)+J269</f>
        <v>0</v>
      </c>
      <c r="J269" s="192">
        <f t="shared" ref="I269:K269" si="46">J248</f>
        <v>0</v>
      </c>
      <c r="K269" s="193">
        <f t="shared" si="46"/>
        <v>0</v>
      </c>
      <c r="L269" s="194"/>
      <c r="V269" s="46"/>
    </row>
    <row r="270" spans="2:22">
      <c r="B270" s="7" t="s">
        <v>3</v>
      </c>
      <c r="G270" s="58">
        <f>G266-G267-G268-G269</f>
        <v>0</v>
      </c>
      <c r="K270" s="33"/>
      <c r="L270" s="1"/>
      <c r="V270" s="46"/>
    </row>
    <row r="271" spans="2:22">
      <c r="B271" s="7" t="s">
        <v>3</v>
      </c>
      <c r="C271" s="103" t="str">
        <f>C250</f>
        <v>Disetahunkan</v>
      </c>
      <c r="D271" s="103"/>
      <c r="E271" s="104">
        <f>E250</f>
        <v>12</v>
      </c>
      <c r="G271" s="58">
        <f>IF(C271="Disetahunkan",G270*12,G270*E271)</f>
        <v>0</v>
      </c>
      <c r="K271" s="33"/>
      <c r="L271" s="1"/>
      <c r="V271" s="46"/>
    </row>
    <row r="272" spans="2:22">
      <c r="B272" s="7" t="s">
        <v>1</v>
      </c>
      <c r="C272" s="103" t="str">
        <f>C251</f>
        <v>TK/0</v>
      </c>
      <c r="D272" s="103"/>
      <c r="E272" s="105"/>
      <c r="G272" s="58">
        <f>G251</f>
        <v>54000000</v>
      </c>
      <c r="K272" s="33"/>
      <c r="L272" s="1"/>
      <c r="V272" s="46"/>
    </row>
    <row r="273" spans="2:22">
      <c r="B273" s="7" t="s">
        <v>37</v>
      </c>
      <c r="D273" s="105"/>
      <c r="E273" s="105"/>
      <c r="G273" s="58">
        <f>IF(G271&gt;G272,ROUNDDOWN(G271-G272,-3),0)</f>
        <v>0</v>
      </c>
      <c r="K273" s="33"/>
      <c r="L273" s="1"/>
      <c r="V273" s="46"/>
    </row>
    <row r="274" spans="2:22">
      <c r="B274" s="7" t="s">
        <v>38</v>
      </c>
      <c r="C274" s="59" t="str">
        <f>C271</f>
        <v>Disetahunkan</v>
      </c>
      <c r="D274" s="106"/>
      <c r="G274" s="58">
        <f>IF(G273&lt;=50000000,G273*0.05,IF(G273&lt;=250000000,(G273-50000000)*0.15+2500000,IF(G273&lt;=500000000,(G273-250000000)*0.25+32500000,IF(G273&gt;500000000,(G273-500000000)*0.3+95000000,"no"))))*IF(C258="Ada",1,1.2)</f>
        <v>0</v>
      </c>
      <c r="K274" s="33"/>
      <c r="L274" s="1"/>
      <c r="V274" s="46"/>
    </row>
    <row r="275" spans="2:22">
      <c r="B275" s="7" t="s">
        <v>49</v>
      </c>
      <c r="G275" s="58">
        <f>ROUNDUP(IF(C271="Disetahunkan",G274/12,G274/E271),0)</f>
        <v>0</v>
      </c>
      <c r="K275" s="33"/>
      <c r="L275" s="1"/>
      <c r="V275" s="46"/>
    </row>
    <row r="276" ht="15.75" spans="2:22">
      <c r="B276" s="29" t="s">
        <v>41</v>
      </c>
      <c r="C276" s="30"/>
      <c r="D276" s="107"/>
      <c r="E276" s="107"/>
      <c r="F276" s="107"/>
      <c r="G276" s="61">
        <f>(G275-G254)*G258</f>
        <v>0</v>
      </c>
      <c r="H276" s="30"/>
      <c r="I276" s="30"/>
      <c r="J276" s="30"/>
      <c r="K276" s="195"/>
      <c r="L276" s="10"/>
      <c r="M276" s="46"/>
      <c r="N276" s="46"/>
      <c r="O276" s="46"/>
      <c r="P276" s="46"/>
      <c r="Q276" s="46"/>
      <c r="R276" s="46"/>
      <c r="S276" s="46"/>
      <c r="T276" s="46"/>
      <c r="U276" s="46"/>
      <c r="V276" s="46"/>
    </row>
    <row r="277" ht="15.75" spans="13:17">
      <c r="M277" s="206" t="s">
        <v>51</v>
      </c>
      <c r="N277" s="206"/>
      <c r="O277" s="206"/>
      <c r="P277" s="206"/>
      <c r="Q277" s="206"/>
    </row>
    <row r="278" ht="15.75" spans="2:22">
      <c r="B278" s="176" t="s">
        <v>50</v>
      </c>
      <c r="C278" s="176"/>
      <c r="D278" s="176"/>
      <c r="E278" s="176"/>
      <c r="F278" s="176"/>
      <c r="G278" s="61">
        <f>IF(G239&gt;0,IF(C258="Ada",G254+R254+G276-R278,G254+R254+G276),G232)</f>
        <v>0</v>
      </c>
      <c r="H278" s="30"/>
      <c r="I278" s="30"/>
      <c r="J278" s="30"/>
      <c r="K278" s="30"/>
      <c r="L278" s="30"/>
      <c r="M278" s="207"/>
      <c r="N278" s="207"/>
      <c r="O278" s="207"/>
      <c r="P278" s="207"/>
      <c r="Q278" s="207"/>
      <c r="R278" s="31">
        <f>IF(C191="Tidak Ada",20/120*(G48+G94+G140+G186+G232),0)</f>
        <v>0</v>
      </c>
      <c r="S278" s="30"/>
      <c r="T278" s="30"/>
      <c r="U278" s="30"/>
      <c r="V278" s="30"/>
    </row>
    <row r="279" ht="16.5"/>
    <row r="280" ht="15.75" spans="2:2">
      <c r="B280" s="167" t="s">
        <v>13</v>
      </c>
    </row>
    <row r="281" ht="15.75" spans="2:22">
      <c r="B281" s="168" t="s">
        <v>20</v>
      </c>
      <c r="C281" s="169"/>
      <c r="D281" s="169"/>
      <c r="E281" s="169"/>
      <c r="F281" s="100"/>
      <c r="G281" s="153"/>
      <c r="H281" s="170"/>
      <c r="I281" s="170"/>
      <c r="J281" s="42"/>
      <c r="K281" s="45"/>
      <c r="L281" s="46"/>
      <c r="M281" s="168" t="s">
        <v>21</v>
      </c>
      <c r="N281" s="169"/>
      <c r="O281" s="169"/>
      <c r="P281" s="169"/>
      <c r="Q281" s="169"/>
      <c r="R281" s="43"/>
      <c r="S281" s="174"/>
      <c r="T281" s="174"/>
      <c r="U281" s="42"/>
      <c r="V281" s="45"/>
    </row>
    <row r="282" spans="2:22">
      <c r="B282" s="7"/>
      <c r="K282" s="47"/>
      <c r="L282" s="46"/>
      <c r="M282" s="7"/>
      <c r="V282" s="47"/>
    </row>
    <row r="283" spans="2:22">
      <c r="B283" s="7" t="s">
        <v>22</v>
      </c>
      <c r="C283" s="171" t="str">
        <f>C237</f>
        <v>Ada</v>
      </c>
      <c r="D283" s="171"/>
      <c r="K283" s="47"/>
      <c r="L283" s="46"/>
      <c r="M283" s="7" t="s">
        <v>22</v>
      </c>
      <c r="N283" s="103" t="str">
        <f>C283</f>
        <v>Ada</v>
      </c>
      <c r="O283" s="103"/>
      <c r="P283" s="90"/>
      <c r="Q283" s="90"/>
      <c r="R283" s="1"/>
      <c r="V283" s="47"/>
    </row>
    <row r="284" spans="2:22">
      <c r="B284" s="7"/>
      <c r="K284" s="47"/>
      <c r="L284" s="46"/>
      <c r="M284" s="7"/>
      <c r="O284" s="90"/>
      <c r="P284" s="90"/>
      <c r="Q284" s="90"/>
      <c r="R284" s="1"/>
      <c r="V284" s="47"/>
    </row>
    <row r="285" spans="2:22">
      <c r="B285" s="7" t="s">
        <v>24</v>
      </c>
      <c r="G285" s="15"/>
      <c r="K285" s="47"/>
      <c r="L285" s="46"/>
      <c r="M285" s="7" t="s">
        <v>24</v>
      </c>
      <c r="O285" s="90"/>
      <c r="P285" s="90"/>
      <c r="Q285" s="90"/>
      <c r="R285" s="58">
        <f>IF(G306&gt;G285,G306,G285)*IF($N$296="Disetahunkan",12,$P$296)</f>
        <v>0</v>
      </c>
      <c r="V285" s="47"/>
    </row>
    <row r="286" spans="2:22">
      <c r="B286" s="7" t="s">
        <v>25</v>
      </c>
      <c r="G286" s="15"/>
      <c r="K286" s="47"/>
      <c r="L286" s="46"/>
      <c r="M286" s="7" t="s">
        <v>25</v>
      </c>
      <c r="O286" s="90"/>
      <c r="P286" s="90"/>
      <c r="Q286" s="90"/>
      <c r="R286" s="58">
        <f>IF(G307&gt;G286,G307,G286)*IF($N$296="Disetahunkan",12,$P$296)</f>
        <v>0</v>
      </c>
      <c r="V286" s="47"/>
    </row>
    <row r="287" spans="2:22">
      <c r="B287" s="7" t="s">
        <v>26</v>
      </c>
      <c r="G287" s="15"/>
      <c r="J287" s="184" t="s">
        <v>27</v>
      </c>
      <c r="K287" s="185" t="s">
        <v>28</v>
      </c>
      <c r="L287" s="46"/>
      <c r="M287" s="7" t="s">
        <v>26</v>
      </c>
      <c r="O287" s="90"/>
      <c r="P287" s="90"/>
      <c r="Q287" s="90"/>
      <c r="R287" s="58">
        <f>G287*IF($N$296="Disetahunkan",12,$P$296)</f>
        <v>0</v>
      </c>
      <c r="U287" s="200"/>
      <c r="V287" s="201"/>
    </row>
    <row r="288" spans="2:22">
      <c r="B288" s="7" t="s">
        <v>29</v>
      </c>
      <c r="G288" s="58">
        <f>(K288*G285)+J288</f>
        <v>0</v>
      </c>
      <c r="J288" s="186"/>
      <c r="K288" s="187"/>
      <c r="L288" s="188"/>
      <c r="M288" s="7" t="s">
        <v>29</v>
      </c>
      <c r="O288" s="90"/>
      <c r="P288" s="90"/>
      <c r="Q288" s="90"/>
      <c r="R288" s="58">
        <f>(V288*R285)+(U288*P296)</f>
        <v>0</v>
      </c>
      <c r="U288" s="192">
        <f t="shared" ref="T288:V288" si="47">J288</f>
        <v>0</v>
      </c>
      <c r="V288" s="193">
        <f t="shared" si="47"/>
        <v>0</v>
      </c>
    </row>
    <row r="289" spans="2:22">
      <c r="B289" s="7" t="s">
        <v>30</v>
      </c>
      <c r="G289" s="15"/>
      <c r="K289" s="47"/>
      <c r="L289" s="189"/>
      <c r="M289" s="7" t="s">
        <v>30</v>
      </c>
      <c r="O289" s="90"/>
      <c r="P289" s="90"/>
      <c r="Q289" s="90"/>
      <c r="R289" s="58">
        <f>G289*IF($N$296="Disetahunkan",12,$P$296)</f>
        <v>0</v>
      </c>
      <c r="V289" s="47"/>
    </row>
    <row r="290" spans="2:22">
      <c r="B290" s="7" t="s">
        <v>31</v>
      </c>
      <c r="G290" s="15"/>
      <c r="K290" s="47"/>
      <c r="L290" s="189"/>
      <c r="M290" s="7" t="s">
        <v>31</v>
      </c>
      <c r="O290" s="90"/>
      <c r="P290" s="90"/>
      <c r="Q290" s="90"/>
      <c r="R290" s="58">
        <f>G290*IF($N$296="Disetahunkan",12,$P$296)</f>
        <v>0</v>
      </c>
      <c r="V290" s="47"/>
    </row>
    <row r="291" spans="2:22">
      <c r="B291" s="7" t="s">
        <v>32</v>
      </c>
      <c r="G291" s="58">
        <f>SUM(G285:G290)</f>
        <v>0</v>
      </c>
      <c r="K291" s="47"/>
      <c r="L291" s="189"/>
      <c r="M291" s="7" t="s">
        <v>33</v>
      </c>
      <c r="O291" s="90"/>
      <c r="P291" s="90"/>
      <c r="Q291" s="90"/>
      <c r="R291" s="15"/>
      <c r="V291" s="47"/>
    </row>
    <row r="292" spans="2:22">
      <c r="B292" s="7" t="s">
        <v>34</v>
      </c>
      <c r="G292" s="58">
        <f>IF(G291*0.05&lt;=500000,G291*0.05,500000)</f>
        <v>0</v>
      </c>
      <c r="K292" s="47"/>
      <c r="L292" s="189"/>
      <c r="M292" s="7" t="s">
        <v>32</v>
      </c>
      <c r="O292" s="90"/>
      <c r="P292" s="90"/>
      <c r="Q292" s="90"/>
      <c r="R292" s="58">
        <f>SUM(R285:R291)</f>
        <v>0</v>
      </c>
      <c r="V292" s="47"/>
    </row>
    <row r="293" spans="2:22">
      <c r="B293" s="7" t="s">
        <v>35</v>
      </c>
      <c r="G293" s="58">
        <f>(K293*G285)+J293</f>
        <v>0</v>
      </c>
      <c r="J293" s="186"/>
      <c r="K293" s="187"/>
      <c r="L293" s="188"/>
      <c r="M293" s="7" t="s">
        <v>34</v>
      </c>
      <c r="O293" s="90"/>
      <c r="P293" s="90"/>
      <c r="Q293" s="90"/>
      <c r="R293" s="58">
        <f>IF(R292*0.05&lt;=500000*IF(N296="Disetahunkan",12,P296),R292*0.05,500000*P296)</f>
        <v>0</v>
      </c>
      <c r="V293" s="47"/>
    </row>
    <row r="294" spans="2:22">
      <c r="B294" s="7" t="s">
        <v>36</v>
      </c>
      <c r="G294" s="58">
        <f>(K294*G291)+J294</f>
        <v>0</v>
      </c>
      <c r="J294" s="186"/>
      <c r="K294" s="187"/>
      <c r="L294" s="188"/>
      <c r="M294" s="7" t="s">
        <v>35</v>
      </c>
      <c r="O294" s="90"/>
      <c r="P294" s="90"/>
      <c r="Q294" s="90"/>
      <c r="R294" s="58">
        <f>(V294*R285)+(U294*P296)</f>
        <v>0</v>
      </c>
      <c r="U294" s="192">
        <f t="shared" ref="T294:V294" si="48">J293</f>
        <v>0</v>
      </c>
      <c r="V294" s="193">
        <f t="shared" si="48"/>
        <v>0</v>
      </c>
    </row>
    <row r="295" spans="2:22">
      <c r="B295" s="7" t="s">
        <v>3</v>
      </c>
      <c r="G295" s="58">
        <f>G291-G292-G293-G294</f>
        <v>0</v>
      </c>
      <c r="K295" s="47"/>
      <c r="L295" s="46"/>
      <c r="M295" s="7" t="s">
        <v>36</v>
      </c>
      <c r="O295" s="90"/>
      <c r="P295" s="90"/>
      <c r="Q295" s="90"/>
      <c r="R295" s="58">
        <f>(V295*R292)+(U295*P296)</f>
        <v>0</v>
      </c>
      <c r="U295" s="192">
        <f t="shared" ref="T295:V295" si="49">J294</f>
        <v>0</v>
      </c>
      <c r="V295" s="193">
        <f t="shared" si="49"/>
        <v>0</v>
      </c>
    </row>
    <row r="296" spans="2:22">
      <c r="B296" s="7" t="s">
        <v>3</v>
      </c>
      <c r="C296" s="204" t="str">
        <f>C250</f>
        <v>Disetahunkan</v>
      </c>
      <c r="D296" s="204"/>
      <c r="E296" s="205">
        <f>E250</f>
        <v>12</v>
      </c>
      <c r="G296" s="58">
        <f>IF(C296="Disetahunkan",G295*12,G295*E296)</f>
        <v>0</v>
      </c>
      <c r="K296" s="47"/>
      <c r="L296" s="46"/>
      <c r="M296" s="7" t="s">
        <v>3</v>
      </c>
      <c r="N296" s="103" t="str">
        <f>C296</f>
        <v>Disetahunkan</v>
      </c>
      <c r="O296" s="103"/>
      <c r="P296" s="104">
        <f>E296</f>
        <v>12</v>
      </c>
      <c r="Q296" s="90"/>
      <c r="R296" s="58">
        <f>R292-R293-R294-R295</f>
        <v>0</v>
      </c>
      <c r="V296" s="47"/>
    </row>
    <row r="297" spans="2:22">
      <c r="B297" s="7" t="s">
        <v>1</v>
      </c>
      <c r="C297" s="172" t="str">
        <f>J1</f>
        <v>TK/0</v>
      </c>
      <c r="D297" s="172"/>
      <c r="E297" s="105"/>
      <c r="G297" s="58">
        <f>VLOOKUP(C297,P305:Q312,2,FALSE)</f>
        <v>54000000</v>
      </c>
      <c r="K297" s="47"/>
      <c r="L297" s="46"/>
      <c r="M297" s="7" t="s">
        <v>1</v>
      </c>
      <c r="N297" s="103" t="str">
        <f>C297</f>
        <v>TK/0</v>
      </c>
      <c r="O297" s="103"/>
      <c r="P297" s="105"/>
      <c r="Q297" s="90"/>
      <c r="R297" s="58">
        <f>G297</f>
        <v>54000000</v>
      </c>
      <c r="V297" s="47"/>
    </row>
    <row r="298" spans="2:22">
      <c r="B298" s="7" t="s">
        <v>37</v>
      </c>
      <c r="D298" s="105"/>
      <c r="E298" s="105"/>
      <c r="G298" s="58">
        <f>IF(G296&gt;G297,ROUNDDOWN(G296-G297,-3),0)</f>
        <v>0</v>
      </c>
      <c r="K298" s="47"/>
      <c r="L298" s="46"/>
      <c r="M298" s="7" t="s">
        <v>37</v>
      </c>
      <c r="O298" s="105"/>
      <c r="P298" s="105"/>
      <c r="Q298" s="90"/>
      <c r="R298" s="58">
        <f>IF(R296&gt;R297,ROUNDDOWN(R296-R297,-3),0)</f>
        <v>0</v>
      </c>
      <c r="V298" s="47"/>
    </row>
    <row r="299" spans="2:22">
      <c r="B299" s="7" t="s">
        <v>38</v>
      </c>
      <c r="C299" s="59" t="str">
        <f>C296</f>
        <v>Disetahunkan</v>
      </c>
      <c r="D299" s="106"/>
      <c r="G299" s="58">
        <f>IF(G298&lt;=50000000,G298*0.05,IF(G298&lt;=250000000,(G298-50000000)*0.15+2500000,IF(G298&lt;=500000000,(G298-250000000)*0.25+32500000,IF(G298&gt;500000000,(G298-500000000)*0.3+95000000,"no"))))*IF(C283="Ada",1,1.2)</f>
        <v>0</v>
      </c>
      <c r="K299" s="47"/>
      <c r="L299" s="46"/>
      <c r="M299" s="7" t="s">
        <v>38</v>
      </c>
      <c r="N299" s="59" t="str">
        <f>N296</f>
        <v>Disetahunkan</v>
      </c>
      <c r="O299" s="106"/>
      <c r="P299" s="90"/>
      <c r="Q299" s="90"/>
      <c r="R299" s="58">
        <f>IF(R298&lt;=50000000,R298*0.05,IF(R298&lt;=250000000,(R298-50000000)*0.15+2500000,IF(R298&lt;=500000000,(R298-250000000)*0.25+32500000,IF(R298&gt;500000000,(R298-500000000)*0.3+95000000,"no"))))*IF(N283="Ada",1,1.2)</f>
        <v>0</v>
      </c>
      <c r="V299" s="47"/>
    </row>
    <row r="300" ht="15.75" spans="2:22">
      <c r="B300" s="29" t="s">
        <v>39</v>
      </c>
      <c r="C300" s="30"/>
      <c r="D300" s="107"/>
      <c r="E300" s="107"/>
      <c r="F300" s="107"/>
      <c r="G300" s="61">
        <f>ROUNDUP(IF(C296="Disetahunkan",G299/12,G299/E296),0)</f>
        <v>0</v>
      </c>
      <c r="H300" s="30"/>
      <c r="I300" s="30"/>
      <c r="J300" s="30"/>
      <c r="K300" s="166"/>
      <c r="L300" s="46"/>
      <c r="M300" s="29" t="s">
        <v>40</v>
      </c>
      <c r="N300" s="30"/>
      <c r="O300" s="107"/>
      <c r="P300" s="107"/>
      <c r="Q300" s="107"/>
      <c r="R300" s="61">
        <f>R299-IF(G320&gt;G299,G320,G299)</f>
        <v>0</v>
      </c>
      <c r="S300" s="30"/>
      <c r="T300" s="202"/>
      <c r="U300" s="202"/>
      <c r="V300" s="203"/>
    </row>
    <row r="301" ht="16.5" spans="2:22">
      <c r="B301" s="46"/>
      <c r="C301" s="46"/>
      <c r="D301" s="155"/>
      <c r="E301" s="155"/>
      <c r="F301" s="155"/>
      <c r="G301" s="10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</row>
    <row r="302" ht="15.75" spans="2:22">
      <c r="B302" s="168" t="s">
        <v>41</v>
      </c>
      <c r="C302" s="169"/>
      <c r="D302" s="169"/>
      <c r="E302" s="100"/>
      <c r="F302" s="100"/>
      <c r="G302" s="153"/>
      <c r="H302" s="174"/>
      <c r="I302" s="174"/>
      <c r="J302" s="42"/>
      <c r="K302" s="45"/>
      <c r="V302" s="46"/>
    </row>
    <row r="303" ht="15.75" spans="2:22">
      <c r="B303" s="7"/>
      <c r="K303" s="47"/>
      <c r="V303" s="46"/>
    </row>
    <row r="304" ht="15.75" spans="2:17">
      <c r="B304" s="7" t="s">
        <v>22</v>
      </c>
      <c r="C304" s="103" t="str">
        <f>C283</f>
        <v>Ada</v>
      </c>
      <c r="D304" s="103"/>
      <c r="E304" s="90" t="s">
        <v>42</v>
      </c>
      <c r="G304" s="175">
        <v>4</v>
      </c>
      <c r="K304" s="33"/>
      <c r="L304" s="1"/>
      <c r="N304" s="141"/>
      <c r="O304" s="141"/>
      <c r="P304" s="142" t="s">
        <v>43</v>
      </c>
      <c r="Q304" s="149"/>
    </row>
    <row r="305" spans="2:17">
      <c r="B305" s="7"/>
      <c r="K305" s="33"/>
      <c r="L305" s="1"/>
      <c r="N305" s="143" t="s">
        <v>44</v>
      </c>
      <c r="O305" s="144">
        <v>0</v>
      </c>
      <c r="P305" s="7" t="str">
        <f t="shared" ref="P305:P312" si="50">N305&amp;O305</f>
        <v>TK/0</v>
      </c>
      <c r="Q305" s="150">
        <f t="shared" ref="Q305:Q312" si="51">54000000+IF(N305="K/",4500000,0)+(O305*4500000)</f>
        <v>54000000</v>
      </c>
    </row>
    <row r="306" spans="2:17">
      <c r="B306" s="7" t="s">
        <v>45</v>
      </c>
      <c r="G306" s="58">
        <f>G285+(J306/G304)</f>
        <v>0</v>
      </c>
      <c r="I306" t="s">
        <v>46</v>
      </c>
      <c r="J306" s="11"/>
      <c r="K306" s="190"/>
      <c r="L306" s="191"/>
      <c r="N306" s="143" t="s">
        <v>44</v>
      </c>
      <c r="O306" s="144">
        <v>1</v>
      </c>
      <c r="P306" s="7" t="str">
        <f t="shared" si="50"/>
        <v>TK/1</v>
      </c>
      <c r="Q306" s="150">
        <f t="shared" si="51"/>
        <v>58500000</v>
      </c>
    </row>
    <row r="307" spans="2:17">
      <c r="B307" s="7" t="s">
        <v>47</v>
      </c>
      <c r="G307" s="58">
        <f>G286+(J307/G304)</f>
        <v>0</v>
      </c>
      <c r="I307" t="s">
        <v>46</v>
      </c>
      <c r="J307" s="11"/>
      <c r="K307" s="190"/>
      <c r="L307" s="191"/>
      <c r="N307" s="143" t="s">
        <v>44</v>
      </c>
      <c r="O307" s="144">
        <v>2</v>
      </c>
      <c r="P307" s="7" t="str">
        <f t="shared" si="50"/>
        <v>TK/2</v>
      </c>
      <c r="Q307" s="150">
        <f t="shared" si="51"/>
        <v>63000000</v>
      </c>
    </row>
    <row r="308" spans="2:17">
      <c r="B308" s="7" t="s">
        <v>26</v>
      </c>
      <c r="G308" s="58">
        <f t="shared" ref="G308:G311" si="52">G287</f>
        <v>0</v>
      </c>
      <c r="K308" s="33"/>
      <c r="L308" s="34"/>
      <c r="N308" s="143" t="s">
        <v>44</v>
      </c>
      <c r="O308" s="144">
        <v>3</v>
      </c>
      <c r="P308" s="7" t="str">
        <f t="shared" si="50"/>
        <v>TK/3</v>
      </c>
      <c r="Q308" s="150">
        <f t="shared" si="51"/>
        <v>67500000</v>
      </c>
    </row>
    <row r="309" spans="2:17">
      <c r="B309" s="7" t="s">
        <v>29</v>
      </c>
      <c r="G309" s="58">
        <f>(K309*G306)+J309</f>
        <v>0</v>
      </c>
      <c r="J309" s="192">
        <f t="shared" ref="I309:K309" si="53">J288</f>
        <v>0</v>
      </c>
      <c r="K309" s="193">
        <f t="shared" si="53"/>
        <v>0</v>
      </c>
      <c r="L309" s="194"/>
      <c r="N309" s="143" t="s">
        <v>48</v>
      </c>
      <c r="O309" s="144">
        <v>0</v>
      </c>
      <c r="P309" s="7" t="str">
        <f t="shared" si="50"/>
        <v>K/0</v>
      </c>
      <c r="Q309" s="150">
        <f t="shared" si="51"/>
        <v>58500000</v>
      </c>
    </row>
    <row r="310" spans="2:17">
      <c r="B310" s="7" t="s">
        <v>30</v>
      </c>
      <c r="G310" s="58">
        <f t="shared" si="52"/>
        <v>0</v>
      </c>
      <c r="K310" s="33"/>
      <c r="L310" s="34"/>
      <c r="N310" s="143" t="s">
        <v>48</v>
      </c>
      <c r="O310" s="144">
        <v>1</v>
      </c>
      <c r="P310" s="7" t="str">
        <f t="shared" si="50"/>
        <v>K/1</v>
      </c>
      <c r="Q310" s="150">
        <f t="shared" si="51"/>
        <v>63000000</v>
      </c>
    </row>
    <row r="311" spans="2:17">
      <c r="B311" s="7" t="s">
        <v>31</v>
      </c>
      <c r="G311" s="58">
        <f t="shared" si="52"/>
        <v>0</v>
      </c>
      <c r="K311" s="33"/>
      <c r="L311" s="34"/>
      <c r="N311" s="143" t="s">
        <v>48</v>
      </c>
      <c r="O311" s="144">
        <v>2</v>
      </c>
      <c r="P311" s="7" t="str">
        <f t="shared" si="50"/>
        <v>K/2</v>
      </c>
      <c r="Q311" s="150">
        <f t="shared" si="51"/>
        <v>67500000</v>
      </c>
    </row>
    <row r="312" ht="15.75" spans="2:17">
      <c r="B312" s="7" t="s">
        <v>32</v>
      </c>
      <c r="G312" s="58">
        <f>SUM(G306:G311)</f>
        <v>0</v>
      </c>
      <c r="K312" s="33"/>
      <c r="L312" s="34"/>
      <c r="N312" s="143" t="s">
        <v>48</v>
      </c>
      <c r="O312" s="144">
        <v>3</v>
      </c>
      <c r="P312" s="29" t="str">
        <f t="shared" si="50"/>
        <v>K/3</v>
      </c>
      <c r="Q312" s="151">
        <f t="shared" si="51"/>
        <v>72000000</v>
      </c>
    </row>
    <row r="313" ht="15.75" spans="2:22">
      <c r="B313" s="7" t="s">
        <v>34</v>
      </c>
      <c r="G313" s="58">
        <f>IF(G312*0.05&lt;=500000,G312*0.05,500000)</f>
        <v>0</v>
      </c>
      <c r="K313" s="33"/>
      <c r="L313" s="34"/>
      <c r="V313" s="46"/>
    </row>
    <row r="314" spans="2:22">
      <c r="B314" s="7" t="s">
        <v>35</v>
      </c>
      <c r="G314" s="58">
        <f>(K314*G306)+J314</f>
        <v>0</v>
      </c>
      <c r="J314" s="192">
        <f t="shared" ref="I314:K314" si="54">J293</f>
        <v>0</v>
      </c>
      <c r="K314" s="193">
        <f t="shared" si="54"/>
        <v>0</v>
      </c>
      <c r="L314" s="194"/>
      <c r="V314" s="46"/>
    </row>
    <row r="315" spans="2:22">
      <c r="B315" s="7" t="s">
        <v>36</v>
      </c>
      <c r="G315" s="58">
        <f>(K315*G312)+J315</f>
        <v>0</v>
      </c>
      <c r="J315" s="192">
        <f t="shared" ref="I315:K315" si="55">J294</f>
        <v>0</v>
      </c>
      <c r="K315" s="193">
        <f t="shared" si="55"/>
        <v>0</v>
      </c>
      <c r="L315" s="194"/>
      <c r="V315" s="46"/>
    </row>
    <row r="316" spans="2:22">
      <c r="B316" s="7" t="s">
        <v>3</v>
      </c>
      <c r="G316" s="58">
        <f>G312-G313-G314-G315</f>
        <v>0</v>
      </c>
      <c r="K316" s="33"/>
      <c r="L316" s="1"/>
      <c r="V316" s="46"/>
    </row>
    <row r="317" spans="2:22">
      <c r="B317" s="7" t="s">
        <v>3</v>
      </c>
      <c r="C317" s="103" t="str">
        <f>C296</f>
        <v>Disetahunkan</v>
      </c>
      <c r="D317" s="103"/>
      <c r="E317" s="104">
        <f>E296</f>
        <v>12</v>
      </c>
      <c r="G317" s="58">
        <f>IF(C317="Disetahunkan",G316*12,G316*E317)</f>
        <v>0</v>
      </c>
      <c r="K317" s="33"/>
      <c r="L317" s="1"/>
      <c r="V317" s="46"/>
    </row>
    <row r="318" spans="2:22">
      <c r="B318" s="7" t="s">
        <v>1</v>
      </c>
      <c r="C318" s="103" t="str">
        <f>C297</f>
        <v>TK/0</v>
      </c>
      <c r="D318" s="103"/>
      <c r="E318" s="105"/>
      <c r="G318" s="58">
        <f>G297</f>
        <v>54000000</v>
      </c>
      <c r="K318" s="33"/>
      <c r="L318" s="1"/>
      <c r="V318" s="46"/>
    </row>
    <row r="319" spans="2:22">
      <c r="B319" s="7" t="s">
        <v>37</v>
      </c>
      <c r="D319" s="105"/>
      <c r="E319" s="105"/>
      <c r="G319" s="58">
        <f>IF(G317&gt;G318,ROUNDDOWN(G317-G318,-3),0)</f>
        <v>0</v>
      </c>
      <c r="K319" s="33"/>
      <c r="L319" s="1"/>
      <c r="V319" s="46"/>
    </row>
    <row r="320" spans="2:22">
      <c r="B320" s="7" t="s">
        <v>38</v>
      </c>
      <c r="C320" s="59" t="str">
        <f>C317</f>
        <v>Disetahunkan</v>
      </c>
      <c r="D320" s="106"/>
      <c r="G320" s="58">
        <f>IF(G319&lt;=50000000,G319*0.05,IF(G319&lt;=250000000,(G319-50000000)*0.15+2500000,IF(G319&lt;=500000000,(G319-250000000)*0.25+32500000,IF(G319&gt;500000000,(G319-500000000)*0.3+95000000,"no"))))*IF(C304="Ada",1,1.2)</f>
        <v>0</v>
      </c>
      <c r="K320" s="33"/>
      <c r="L320" s="1"/>
      <c r="V320" s="46"/>
    </row>
    <row r="321" spans="2:22">
      <c r="B321" s="7" t="s">
        <v>49</v>
      </c>
      <c r="G321" s="58">
        <f>ROUNDUP(IF(C317="Disetahunkan",G320/12,G320/E317),0)</f>
        <v>0</v>
      </c>
      <c r="K321" s="33"/>
      <c r="L321" s="1"/>
      <c r="V321" s="46"/>
    </row>
    <row r="322" ht="15.75" spans="2:22">
      <c r="B322" s="29" t="s">
        <v>41</v>
      </c>
      <c r="C322" s="30"/>
      <c r="D322" s="107"/>
      <c r="E322" s="107"/>
      <c r="F322" s="107"/>
      <c r="G322" s="61">
        <f>(G321-G300)*G304</f>
        <v>0</v>
      </c>
      <c r="H322" s="30"/>
      <c r="I322" s="30"/>
      <c r="J322" s="30"/>
      <c r="K322" s="195"/>
      <c r="L322" s="10"/>
      <c r="M322" s="46"/>
      <c r="N322" s="46"/>
      <c r="O322" s="46"/>
      <c r="P322" s="46"/>
      <c r="Q322" s="46"/>
      <c r="R322" s="46"/>
      <c r="S322" s="46"/>
      <c r="T322" s="46"/>
      <c r="U322" s="46"/>
      <c r="V322" s="46"/>
    </row>
    <row r="323" ht="15.75" spans="13:17">
      <c r="M323" s="206" t="s">
        <v>51</v>
      </c>
      <c r="N323" s="206"/>
      <c r="O323" s="206"/>
      <c r="P323" s="206"/>
      <c r="Q323" s="206"/>
    </row>
    <row r="324" ht="15.75" spans="2:22">
      <c r="B324" s="176" t="s">
        <v>50</v>
      </c>
      <c r="C324" s="176"/>
      <c r="D324" s="176"/>
      <c r="E324" s="176"/>
      <c r="F324" s="176"/>
      <c r="G324" s="61">
        <f>IF(G285&gt;0,IF(C304="Ada",G300+R300+G322-R324,G300+R300+G322),G278)</f>
        <v>0</v>
      </c>
      <c r="H324" s="30"/>
      <c r="I324" s="30"/>
      <c r="J324" s="30"/>
      <c r="K324" s="30"/>
      <c r="L324" s="30"/>
      <c r="M324" s="207"/>
      <c r="N324" s="207"/>
      <c r="O324" s="207"/>
      <c r="P324" s="207"/>
      <c r="Q324" s="207"/>
      <c r="R324" s="31">
        <f>IF(C237="Tidak Ada",20/120*(G48+G94+G140+G186+G232+G278),0)</f>
        <v>0</v>
      </c>
      <c r="S324" s="30"/>
      <c r="T324" s="30"/>
      <c r="U324" s="30"/>
      <c r="V324" s="30"/>
    </row>
    <row r="325" ht="16.5"/>
    <row r="326" ht="15.75" spans="2:2">
      <c r="B326" s="167" t="s">
        <v>14</v>
      </c>
    </row>
    <row r="327" ht="15.75" spans="2:22">
      <c r="B327" s="168" t="s">
        <v>20</v>
      </c>
      <c r="C327" s="169"/>
      <c r="D327" s="169"/>
      <c r="E327" s="169"/>
      <c r="F327" s="100"/>
      <c r="G327" s="153"/>
      <c r="H327" s="170"/>
      <c r="I327" s="170"/>
      <c r="J327" s="42"/>
      <c r="K327" s="45"/>
      <c r="L327" s="46"/>
      <c r="M327" s="168" t="s">
        <v>21</v>
      </c>
      <c r="N327" s="169"/>
      <c r="O327" s="169"/>
      <c r="P327" s="169"/>
      <c r="Q327" s="169"/>
      <c r="R327" s="43"/>
      <c r="S327" s="174"/>
      <c r="T327" s="174"/>
      <c r="U327" s="42"/>
      <c r="V327" s="45"/>
    </row>
    <row r="328" spans="2:22">
      <c r="B328" s="7"/>
      <c r="K328" s="47"/>
      <c r="L328" s="46"/>
      <c r="M328" s="7"/>
      <c r="V328" s="47"/>
    </row>
    <row r="329" spans="2:22">
      <c r="B329" s="7" t="s">
        <v>22</v>
      </c>
      <c r="C329" s="171" t="str">
        <f>C283</f>
        <v>Ada</v>
      </c>
      <c r="D329" s="171"/>
      <c r="K329" s="47"/>
      <c r="L329" s="46"/>
      <c r="M329" s="7" t="s">
        <v>22</v>
      </c>
      <c r="N329" s="103" t="str">
        <f>C329</f>
        <v>Ada</v>
      </c>
      <c r="O329" s="103"/>
      <c r="P329" s="90"/>
      <c r="Q329" s="90"/>
      <c r="R329" s="1"/>
      <c r="V329" s="47"/>
    </row>
    <row r="330" spans="2:22">
      <c r="B330" s="7"/>
      <c r="K330" s="47"/>
      <c r="L330" s="46"/>
      <c r="M330" s="7"/>
      <c r="O330" s="90"/>
      <c r="P330" s="90"/>
      <c r="Q330" s="90"/>
      <c r="R330" s="1"/>
      <c r="V330" s="47"/>
    </row>
    <row r="331" spans="2:22">
      <c r="B331" s="7" t="s">
        <v>24</v>
      </c>
      <c r="G331" s="15"/>
      <c r="K331" s="47"/>
      <c r="L331" s="46"/>
      <c r="M331" s="7" t="s">
        <v>24</v>
      </c>
      <c r="O331" s="90"/>
      <c r="P331" s="90"/>
      <c r="Q331" s="90"/>
      <c r="R331" s="58">
        <f>IF(G352&gt;G331,G352,G331)*IF($N$342="Disetahunkan",12,$P$342)</f>
        <v>0</v>
      </c>
      <c r="V331" s="47"/>
    </row>
    <row r="332" spans="2:22">
      <c r="B332" s="7" t="s">
        <v>25</v>
      </c>
      <c r="G332" s="15"/>
      <c r="K332" s="47"/>
      <c r="L332" s="46"/>
      <c r="M332" s="7" t="s">
        <v>25</v>
      </c>
      <c r="O332" s="90"/>
      <c r="P332" s="90"/>
      <c r="Q332" s="90"/>
      <c r="R332" s="58">
        <f>IF(G353&gt;G332,G353,G332)*IF($N$342="Disetahunkan",12,$P$342)</f>
        <v>0</v>
      </c>
      <c r="V332" s="47"/>
    </row>
    <row r="333" spans="2:22">
      <c r="B333" s="7" t="s">
        <v>26</v>
      </c>
      <c r="G333" s="15"/>
      <c r="J333" s="184" t="s">
        <v>27</v>
      </c>
      <c r="K333" s="185" t="s">
        <v>28</v>
      </c>
      <c r="L333" s="46"/>
      <c r="M333" s="7" t="s">
        <v>26</v>
      </c>
      <c r="O333" s="90"/>
      <c r="P333" s="90"/>
      <c r="Q333" s="90"/>
      <c r="R333" s="58">
        <f>G333*IF($N$342="Disetahunkan",12,$P$342)</f>
        <v>0</v>
      </c>
      <c r="U333" s="200"/>
      <c r="V333" s="201"/>
    </row>
    <row r="334" spans="2:22">
      <c r="B334" s="7" t="s">
        <v>29</v>
      </c>
      <c r="G334" s="58">
        <f>(K334*G331)+J334</f>
        <v>0</v>
      </c>
      <c r="J334" s="186"/>
      <c r="K334" s="187"/>
      <c r="L334" s="188"/>
      <c r="M334" s="7" t="s">
        <v>29</v>
      </c>
      <c r="O334" s="90"/>
      <c r="P334" s="90"/>
      <c r="Q334" s="90"/>
      <c r="R334" s="58">
        <f>(V334*R331)+(U334*P342)</f>
        <v>0</v>
      </c>
      <c r="U334" s="192">
        <f t="shared" ref="T334:V334" si="56">J334</f>
        <v>0</v>
      </c>
      <c r="V334" s="193">
        <f t="shared" si="56"/>
        <v>0</v>
      </c>
    </row>
    <row r="335" spans="2:22">
      <c r="B335" s="7" t="s">
        <v>30</v>
      </c>
      <c r="G335" s="15"/>
      <c r="K335" s="47"/>
      <c r="L335" s="189"/>
      <c r="M335" s="7" t="s">
        <v>30</v>
      </c>
      <c r="O335" s="90"/>
      <c r="P335" s="90"/>
      <c r="Q335" s="90"/>
      <c r="R335" s="58">
        <f>G335*IF($N$342="Disetahunkan",12,$P$342)</f>
        <v>0</v>
      </c>
      <c r="V335" s="47"/>
    </row>
    <row r="336" spans="2:22">
      <c r="B336" s="7" t="s">
        <v>31</v>
      </c>
      <c r="G336" s="15"/>
      <c r="K336" s="47"/>
      <c r="L336" s="189"/>
      <c r="M336" s="7" t="s">
        <v>31</v>
      </c>
      <c r="O336" s="90"/>
      <c r="P336" s="90"/>
      <c r="Q336" s="90"/>
      <c r="R336" s="58">
        <f>G336*IF($N$342="Disetahunkan",12,$P$342)</f>
        <v>0</v>
      </c>
      <c r="V336" s="47"/>
    </row>
    <row r="337" spans="2:22">
      <c r="B337" s="7" t="s">
        <v>32</v>
      </c>
      <c r="G337" s="58">
        <f>SUM(G331:G336)</f>
        <v>0</v>
      </c>
      <c r="K337" s="47"/>
      <c r="L337" s="189"/>
      <c r="M337" s="7" t="s">
        <v>33</v>
      </c>
      <c r="O337" s="90"/>
      <c r="P337" s="90"/>
      <c r="Q337" s="90"/>
      <c r="R337" s="15"/>
      <c r="V337" s="47"/>
    </row>
    <row r="338" spans="2:22">
      <c r="B338" s="7" t="s">
        <v>34</v>
      </c>
      <c r="G338" s="58">
        <f>IF(G337*0.05&lt;=500000,G337*0.05,500000)</f>
        <v>0</v>
      </c>
      <c r="K338" s="47"/>
      <c r="L338" s="189"/>
      <c r="M338" s="7" t="s">
        <v>32</v>
      </c>
      <c r="O338" s="90"/>
      <c r="P338" s="90"/>
      <c r="Q338" s="90"/>
      <c r="R338" s="58">
        <f>SUM(R331:R337)</f>
        <v>0</v>
      </c>
      <c r="V338" s="47"/>
    </row>
    <row r="339" spans="2:22">
      <c r="B339" s="7" t="s">
        <v>35</v>
      </c>
      <c r="G339" s="58">
        <f>(K339*G331)+J339</f>
        <v>0</v>
      </c>
      <c r="J339" s="186"/>
      <c r="K339" s="187"/>
      <c r="L339" s="188"/>
      <c r="M339" s="7" t="s">
        <v>34</v>
      </c>
      <c r="O339" s="90"/>
      <c r="P339" s="90"/>
      <c r="Q339" s="90"/>
      <c r="R339" s="58">
        <f>IF(R338*0.05&lt;=500000*IF(N342="Disetahunkan",12,P342),R338*0.05,500000*P342)</f>
        <v>0</v>
      </c>
      <c r="V339" s="47"/>
    </row>
    <row r="340" spans="2:22">
      <c r="B340" s="7" t="s">
        <v>36</v>
      </c>
      <c r="G340" s="58">
        <f>(K340*G337)+J340</f>
        <v>0</v>
      </c>
      <c r="J340" s="186"/>
      <c r="K340" s="187"/>
      <c r="L340" s="188"/>
      <c r="M340" s="7" t="s">
        <v>35</v>
      </c>
      <c r="O340" s="90"/>
      <c r="P340" s="90"/>
      <c r="Q340" s="90"/>
      <c r="R340" s="58">
        <f>(V340*R331)+(U340*P342)</f>
        <v>0</v>
      </c>
      <c r="U340" s="192">
        <f t="shared" ref="T340:V340" si="57">J339</f>
        <v>0</v>
      </c>
      <c r="V340" s="193">
        <f t="shared" si="57"/>
        <v>0</v>
      </c>
    </row>
    <row r="341" spans="2:22">
      <c r="B341" s="7" t="s">
        <v>3</v>
      </c>
      <c r="G341" s="58">
        <f>G337-G338-G339-G340</f>
        <v>0</v>
      </c>
      <c r="K341" s="47"/>
      <c r="L341" s="46"/>
      <c r="M341" s="7" t="s">
        <v>36</v>
      </c>
      <c r="O341" s="90"/>
      <c r="P341" s="90"/>
      <c r="Q341" s="90"/>
      <c r="R341" s="58">
        <f>(V341*R338)+(U341*P342)</f>
        <v>0</v>
      </c>
      <c r="U341" s="192">
        <f t="shared" ref="T341:V341" si="58">J340</f>
        <v>0</v>
      </c>
      <c r="V341" s="193">
        <f t="shared" si="58"/>
        <v>0</v>
      </c>
    </row>
    <row r="342" spans="2:22">
      <c r="B342" s="7" t="s">
        <v>3</v>
      </c>
      <c r="C342" s="204" t="str">
        <f>C296</f>
        <v>Disetahunkan</v>
      </c>
      <c r="D342" s="204"/>
      <c r="E342" s="205">
        <f>E296</f>
        <v>12</v>
      </c>
      <c r="G342" s="58">
        <f>IF(C342="Disetahunkan",G341*12,G341*E342)</f>
        <v>0</v>
      </c>
      <c r="K342" s="47"/>
      <c r="L342" s="46"/>
      <c r="M342" s="7" t="s">
        <v>3</v>
      </c>
      <c r="N342" s="103" t="str">
        <f>C342</f>
        <v>Disetahunkan</v>
      </c>
      <c r="O342" s="103"/>
      <c r="P342" s="104">
        <f>E342</f>
        <v>12</v>
      </c>
      <c r="Q342" s="90"/>
      <c r="R342" s="58">
        <f>R338-R339-R340-R341</f>
        <v>0</v>
      </c>
      <c r="V342" s="47"/>
    </row>
    <row r="343" spans="2:22">
      <c r="B343" s="7" t="s">
        <v>1</v>
      </c>
      <c r="C343" s="172" t="str">
        <f>J1</f>
        <v>TK/0</v>
      </c>
      <c r="D343" s="172"/>
      <c r="E343" s="105"/>
      <c r="G343" s="58">
        <f>VLOOKUP(C343,P351:Q358,2,FALSE)</f>
        <v>54000000</v>
      </c>
      <c r="K343" s="47"/>
      <c r="L343" s="46"/>
      <c r="M343" s="7" t="s">
        <v>1</v>
      </c>
      <c r="N343" s="103" t="str">
        <f>C343</f>
        <v>TK/0</v>
      </c>
      <c r="O343" s="103"/>
      <c r="P343" s="105"/>
      <c r="Q343" s="90"/>
      <c r="R343" s="58">
        <f>G343</f>
        <v>54000000</v>
      </c>
      <c r="V343" s="47"/>
    </row>
    <row r="344" spans="2:22">
      <c r="B344" s="7" t="s">
        <v>37</v>
      </c>
      <c r="D344" s="105"/>
      <c r="E344" s="105"/>
      <c r="G344" s="58">
        <f>IF(G342&gt;G343,ROUNDDOWN(G342-G343,-3),0)</f>
        <v>0</v>
      </c>
      <c r="K344" s="47"/>
      <c r="L344" s="46"/>
      <c r="M344" s="7" t="s">
        <v>37</v>
      </c>
      <c r="O344" s="105"/>
      <c r="P344" s="105"/>
      <c r="Q344" s="90"/>
      <c r="R344" s="58">
        <f>IF(R342&gt;R343,ROUNDDOWN(R342-R343,-3),0)</f>
        <v>0</v>
      </c>
      <c r="V344" s="47"/>
    </row>
    <row r="345" spans="2:22">
      <c r="B345" s="7" t="s">
        <v>38</v>
      </c>
      <c r="C345" s="59" t="str">
        <f>C342</f>
        <v>Disetahunkan</v>
      </c>
      <c r="D345" s="106"/>
      <c r="G345" s="58">
        <f>IF(G344&lt;=50000000,G344*0.05,IF(G344&lt;=250000000,(G344-50000000)*0.15+2500000,IF(G344&lt;=500000000,(G344-250000000)*0.25+32500000,IF(G344&gt;500000000,(G344-500000000)*0.3+95000000,"no"))))*IF(C329="Ada",1,1.2)</f>
        <v>0</v>
      </c>
      <c r="K345" s="47"/>
      <c r="L345" s="46"/>
      <c r="M345" s="7" t="s">
        <v>38</v>
      </c>
      <c r="N345" s="59" t="str">
        <f>N342</f>
        <v>Disetahunkan</v>
      </c>
      <c r="O345" s="106"/>
      <c r="P345" s="90"/>
      <c r="Q345" s="90"/>
      <c r="R345" s="58">
        <f>IF(R344&lt;=50000000,R344*0.05,IF(R344&lt;=250000000,(R344-50000000)*0.15+2500000,IF(R344&lt;=500000000,(R344-250000000)*0.25+32500000,IF(R344&gt;500000000,(R344-500000000)*0.3+95000000,"no"))))*IF(N329="Ada",1,1.2)</f>
        <v>0</v>
      </c>
      <c r="V345" s="47"/>
    </row>
    <row r="346" ht="15.75" spans="2:22">
      <c r="B346" s="29" t="s">
        <v>39</v>
      </c>
      <c r="C346" s="30"/>
      <c r="D346" s="107"/>
      <c r="E346" s="107"/>
      <c r="F346" s="107"/>
      <c r="G346" s="61">
        <f>ROUNDUP(IF(C342="Disetahunkan",G345/12,G345/E342),0)</f>
        <v>0</v>
      </c>
      <c r="H346" s="30"/>
      <c r="I346" s="30"/>
      <c r="J346" s="30"/>
      <c r="K346" s="166"/>
      <c r="L346" s="46"/>
      <c r="M346" s="29" t="s">
        <v>40</v>
      </c>
      <c r="N346" s="30"/>
      <c r="O346" s="107"/>
      <c r="P346" s="107"/>
      <c r="Q346" s="107"/>
      <c r="R346" s="61">
        <f>R345-IF(G366&gt;G345,G366,G345)</f>
        <v>0</v>
      </c>
      <c r="S346" s="30"/>
      <c r="T346" s="202"/>
      <c r="U346" s="202"/>
      <c r="V346" s="203"/>
    </row>
    <row r="347" ht="16.5" spans="2:22">
      <c r="B347" s="46"/>
      <c r="C347" s="46"/>
      <c r="D347" s="155"/>
      <c r="E347" s="155"/>
      <c r="F347" s="155"/>
      <c r="G347" s="10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</row>
    <row r="348" ht="15.75" spans="2:22">
      <c r="B348" s="168" t="s">
        <v>41</v>
      </c>
      <c r="C348" s="169"/>
      <c r="D348" s="169"/>
      <c r="E348" s="100"/>
      <c r="F348" s="100"/>
      <c r="G348" s="153"/>
      <c r="H348" s="174"/>
      <c r="I348" s="174"/>
      <c r="J348" s="42"/>
      <c r="K348" s="45"/>
      <c r="V348" s="46"/>
    </row>
    <row r="349" ht="15.75" spans="2:22">
      <c r="B349" s="7"/>
      <c r="K349" s="47"/>
      <c r="V349" s="46"/>
    </row>
    <row r="350" ht="15.75" spans="2:17">
      <c r="B350" s="7" t="s">
        <v>22</v>
      </c>
      <c r="C350" s="103" t="str">
        <f>C329</f>
        <v>Ada</v>
      </c>
      <c r="D350" s="103"/>
      <c r="E350" s="90" t="s">
        <v>42</v>
      </c>
      <c r="G350" s="175">
        <v>4</v>
      </c>
      <c r="K350" s="33"/>
      <c r="L350" s="1"/>
      <c r="N350" s="141"/>
      <c r="O350" s="141"/>
      <c r="P350" s="142" t="s">
        <v>43</v>
      </c>
      <c r="Q350" s="149"/>
    </row>
    <row r="351" spans="2:17">
      <c r="B351" s="7"/>
      <c r="K351" s="33"/>
      <c r="L351" s="1"/>
      <c r="N351" s="143" t="s">
        <v>44</v>
      </c>
      <c r="O351" s="144">
        <v>0</v>
      </c>
      <c r="P351" s="7" t="str">
        <f t="shared" ref="P351:P358" si="59">N351&amp;O351</f>
        <v>TK/0</v>
      </c>
      <c r="Q351" s="150">
        <f t="shared" ref="Q351:Q358" si="60">54000000+IF(N351="K/",4500000,0)+(O351*4500000)</f>
        <v>54000000</v>
      </c>
    </row>
    <row r="352" spans="2:17">
      <c r="B352" s="7" t="s">
        <v>45</v>
      </c>
      <c r="G352" s="58">
        <f>G331+(J352/G350)</f>
        <v>0</v>
      </c>
      <c r="I352" t="s">
        <v>46</v>
      </c>
      <c r="J352" s="11"/>
      <c r="K352" s="190"/>
      <c r="L352" s="191"/>
      <c r="N352" s="143" t="s">
        <v>44</v>
      </c>
      <c r="O352" s="144">
        <v>1</v>
      </c>
      <c r="P352" s="7" t="str">
        <f t="shared" si="59"/>
        <v>TK/1</v>
      </c>
      <c r="Q352" s="150">
        <f t="shared" si="60"/>
        <v>58500000</v>
      </c>
    </row>
    <row r="353" spans="2:17">
      <c r="B353" s="7" t="s">
        <v>47</v>
      </c>
      <c r="G353" s="58">
        <f>G332+(J353/G350)</f>
        <v>0</v>
      </c>
      <c r="I353" t="s">
        <v>46</v>
      </c>
      <c r="J353" s="11"/>
      <c r="K353" s="190"/>
      <c r="L353" s="191"/>
      <c r="N353" s="143" t="s">
        <v>44</v>
      </c>
      <c r="O353" s="144">
        <v>2</v>
      </c>
      <c r="P353" s="7" t="str">
        <f t="shared" si="59"/>
        <v>TK/2</v>
      </c>
      <c r="Q353" s="150">
        <f t="shared" si="60"/>
        <v>63000000</v>
      </c>
    </row>
    <row r="354" spans="2:17">
      <c r="B354" s="7" t="s">
        <v>26</v>
      </c>
      <c r="G354" s="58">
        <f t="shared" ref="G354:G357" si="61">G333</f>
        <v>0</v>
      </c>
      <c r="K354" s="33"/>
      <c r="L354" s="34"/>
      <c r="N354" s="143" t="s">
        <v>44</v>
      </c>
      <c r="O354" s="144">
        <v>3</v>
      </c>
      <c r="P354" s="7" t="str">
        <f t="shared" si="59"/>
        <v>TK/3</v>
      </c>
      <c r="Q354" s="150">
        <f t="shared" si="60"/>
        <v>67500000</v>
      </c>
    </row>
    <row r="355" spans="2:17">
      <c r="B355" s="7" t="s">
        <v>29</v>
      </c>
      <c r="G355" s="58">
        <f>(K355*G352)+J355</f>
        <v>0</v>
      </c>
      <c r="J355" s="192">
        <f t="shared" ref="I355:K355" si="62">J334</f>
        <v>0</v>
      </c>
      <c r="K355" s="193">
        <f t="shared" si="62"/>
        <v>0</v>
      </c>
      <c r="L355" s="194"/>
      <c r="N355" s="143" t="s">
        <v>48</v>
      </c>
      <c r="O355" s="144">
        <v>0</v>
      </c>
      <c r="P355" s="7" t="str">
        <f t="shared" si="59"/>
        <v>K/0</v>
      </c>
      <c r="Q355" s="150">
        <f t="shared" si="60"/>
        <v>58500000</v>
      </c>
    </row>
    <row r="356" spans="2:17">
      <c r="B356" s="7" t="s">
        <v>30</v>
      </c>
      <c r="G356" s="58">
        <f t="shared" si="61"/>
        <v>0</v>
      </c>
      <c r="K356" s="33"/>
      <c r="L356" s="34"/>
      <c r="N356" s="143" t="s">
        <v>48</v>
      </c>
      <c r="O356" s="144">
        <v>1</v>
      </c>
      <c r="P356" s="7" t="str">
        <f t="shared" si="59"/>
        <v>K/1</v>
      </c>
      <c r="Q356" s="150">
        <f t="shared" si="60"/>
        <v>63000000</v>
      </c>
    </row>
    <row r="357" spans="2:17">
      <c r="B357" s="7" t="s">
        <v>31</v>
      </c>
      <c r="G357" s="58">
        <f t="shared" si="61"/>
        <v>0</v>
      </c>
      <c r="K357" s="33"/>
      <c r="L357" s="34"/>
      <c r="N357" s="143" t="s">
        <v>48</v>
      </c>
      <c r="O357" s="144">
        <v>2</v>
      </c>
      <c r="P357" s="7" t="str">
        <f t="shared" si="59"/>
        <v>K/2</v>
      </c>
      <c r="Q357" s="150">
        <f t="shared" si="60"/>
        <v>67500000</v>
      </c>
    </row>
    <row r="358" ht="15.75" spans="2:17">
      <c r="B358" s="7" t="s">
        <v>32</v>
      </c>
      <c r="G358" s="58">
        <f>SUM(G352:G357)</f>
        <v>0</v>
      </c>
      <c r="K358" s="33"/>
      <c r="L358" s="34"/>
      <c r="N358" s="143" t="s">
        <v>48</v>
      </c>
      <c r="O358" s="144">
        <v>3</v>
      </c>
      <c r="P358" s="29" t="str">
        <f t="shared" si="59"/>
        <v>K/3</v>
      </c>
      <c r="Q358" s="151">
        <f t="shared" si="60"/>
        <v>72000000</v>
      </c>
    </row>
    <row r="359" ht="15.75" spans="2:22">
      <c r="B359" s="7" t="s">
        <v>34</v>
      </c>
      <c r="G359" s="58">
        <f>IF(G358*0.05&lt;=500000,G358*0.05,500000)</f>
        <v>0</v>
      </c>
      <c r="K359" s="33"/>
      <c r="L359" s="34"/>
      <c r="V359" s="46"/>
    </row>
    <row r="360" spans="2:22">
      <c r="B360" s="7" t="s">
        <v>35</v>
      </c>
      <c r="G360" s="58">
        <f>(K360*G352)+J360</f>
        <v>0</v>
      </c>
      <c r="J360" s="192">
        <f t="shared" ref="I360:K360" si="63">J339</f>
        <v>0</v>
      </c>
      <c r="K360" s="193">
        <f t="shared" si="63"/>
        <v>0</v>
      </c>
      <c r="L360" s="194"/>
      <c r="V360" s="46"/>
    </row>
    <row r="361" spans="2:22">
      <c r="B361" s="7" t="s">
        <v>36</v>
      </c>
      <c r="G361" s="58">
        <f>(K361*G358)+J361</f>
        <v>0</v>
      </c>
      <c r="J361" s="192">
        <f t="shared" ref="I361:K361" si="64">J340</f>
        <v>0</v>
      </c>
      <c r="K361" s="193">
        <f t="shared" si="64"/>
        <v>0</v>
      </c>
      <c r="L361" s="194"/>
      <c r="V361" s="46"/>
    </row>
    <row r="362" spans="2:22">
      <c r="B362" s="7" t="s">
        <v>3</v>
      </c>
      <c r="G362" s="58">
        <f>G358-G359-G360-G361</f>
        <v>0</v>
      </c>
      <c r="K362" s="33"/>
      <c r="L362" s="1"/>
      <c r="V362" s="46"/>
    </row>
    <row r="363" spans="2:22">
      <c r="B363" s="7" t="s">
        <v>3</v>
      </c>
      <c r="C363" s="103" t="str">
        <f>C342</f>
        <v>Disetahunkan</v>
      </c>
      <c r="D363" s="103"/>
      <c r="E363" s="104">
        <f>E342</f>
        <v>12</v>
      </c>
      <c r="G363" s="58">
        <f>IF(C363="Disetahunkan",G362*12,G362*E363)</f>
        <v>0</v>
      </c>
      <c r="K363" s="33"/>
      <c r="L363" s="1"/>
      <c r="V363" s="46"/>
    </row>
    <row r="364" spans="2:22">
      <c r="B364" s="7" t="s">
        <v>1</v>
      </c>
      <c r="C364" s="103" t="str">
        <f>C343</f>
        <v>TK/0</v>
      </c>
      <c r="D364" s="103"/>
      <c r="E364" s="105"/>
      <c r="G364" s="58">
        <f>G343</f>
        <v>54000000</v>
      </c>
      <c r="K364" s="33"/>
      <c r="L364" s="1"/>
      <c r="V364" s="46"/>
    </row>
    <row r="365" spans="2:22">
      <c r="B365" s="7" t="s">
        <v>37</v>
      </c>
      <c r="D365" s="105"/>
      <c r="E365" s="105"/>
      <c r="G365" s="58">
        <f>IF(G363&gt;G364,ROUNDDOWN(G363-G364,-3),0)</f>
        <v>0</v>
      </c>
      <c r="K365" s="33"/>
      <c r="L365" s="1"/>
      <c r="V365" s="46"/>
    </row>
    <row r="366" spans="2:22">
      <c r="B366" s="7" t="s">
        <v>38</v>
      </c>
      <c r="C366" s="59" t="str">
        <f>C363</f>
        <v>Disetahunkan</v>
      </c>
      <c r="D366" s="106"/>
      <c r="G366" s="58">
        <f>IF(G365&lt;=50000000,G365*0.05,IF(G365&lt;=250000000,(G365-50000000)*0.15+2500000,IF(G365&lt;=500000000,(G365-250000000)*0.25+32500000,IF(G365&gt;500000000,(G365-500000000)*0.3+95000000,"no"))))*IF(C350="Ada",1,1.2)</f>
        <v>0</v>
      </c>
      <c r="K366" s="33"/>
      <c r="L366" s="1"/>
      <c r="V366" s="46"/>
    </row>
    <row r="367" spans="2:22">
      <c r="B367" s="7" t="s">
        <v>49</v>
      </c>
      <c r="G367" s="58">
        <f>ROUNDUP(IF(C363="Disetahunkan",G366/12,G366/E363),0)</f>
        <v>0</v>
      </c>
      <c r="K367" s="33"/>
      <c r="L367" s="1"/>
      <c r="V367" s="46"/>
    </row>
    <row r="368" ht="15.75" spans="2:22">
      <c r="B368" s="29" t="s">
        <v>41</v>
      </c>
      <c r="C368" s="30"/>
      <c r="D368" s="107"/>
      <c r="E368" s="107"/>
      <c r="F368" s="107"/>
      <c r="G368" s="61">
        <f>(G367-G346)*G350</f>
        <v>0</v>
      </c>
      <c r="H368" s="30"/>
      <c r="I368" s="30"/>
      <c r="J368" s="30"/>
      <c r="K368" s="195"/>
      <c r="L368" s="10"/>
      <c r="M368" s="46"/>
      <c r="N368" s="46"/>
      <c r="O368" s="46"/>
      <c r="P368" s="46"/>
      <c r="Q368" s="46"/>
      <c r="R368" s="46"/>
      <c r="S368" s="46"/>
      <c r="T368" s="46"/>
      <c r="U368" s="46"/>
      <c r="V368" s="46"/>
    </row>
    <row r="369" ht="15.75" spans="13:17">
      <c r="M369" s="206" t="s">
        <v>51</v>
      </c>
      <c r="N369" s="206"/>
      <c r="O369" s="206"/>
      <c r="P369" s="206"/>
      <c r="Q369" s="206"/>
    </row>
    <row r="370" ht="15.75" spans="2:22">
      <c r="B370" s="176" t="s">
        <v>50</v>
      </c>
      <c r="C370" s="176"/>
      <c r="D370" s="176"/>
      <c r="E370" s="176"/>
      <c r="F370" s="176"/>
      <c r="G370" s="61">
        <f>IF(G331&gt;0,IF(C350="Ada",G346+R346+G368-R370,G346+R346+G368),G324)</f>
        <v>0</v>
      </c>
      <c r="H370" s="30"/>
      <c r="I370" s="30"/>
      <c r="J370" s="30"/>
      <c r="K370" s="30"/>
      <c r="L370" s="30"/>
      <c r="M370" s="207"/>
      <c r="N370" s="207"/>
      <c r="O370" s="207"/>
      <c r="P370" s="207"/>
      <c r="Q370" s="207"/>
      <c r="R370" s="31">
        <f>IF(C283="Tidak Ada",20/120*(G48+G94+G140+G186+G232+G278+G324),0)</f>
        <v>0</v>
      </c>
      <c r="S370" s="30"/>
      <c r="T370" s="30"/>
      <c r="U370" s="30"/>
      <c r="V370" s="30"/>
    </row>
    <row r="371" ht="16.5"/>
    <row r="372" ht="15.75" spans="2:3">
      <c r="B372" s="208" t="s">
        <v>15</v>
      </c>
      <c r="C372" s="209"/>
    </row>
    <row r="373" ht="15.75" spans="2:22">
      <c r="B373" s="168" t="s">
        <v>20</v>
      </c>
      <c r="C373" s="169"/>
      <c r="D373" s="169"/>
      <c r="E373" s="169"/>
      <c r="F373" s="100"/>
      <c r="G373" s="153"/>
      <c r="H373" s="170"/>
      <c r="I373" s="170"/>
      <c r="J373" s="42"/>
      <c r="K373" s="45"/>
      <c r="L373" s="46"/>
      <c r="M373" s="168" t="s">
        <v>21</v>
      </c>
      <c r="N373" s="169"/>
      <c r="O373" s="169"/>
      <c r="P373" s="169"/>
      <c r="Q373" s="169"/>
      <c r="R373" s="43"/>
      <c r="S373" s="174"/>
      <c r="T373" s="174"/>
      <c r="U373" s="42"/>
      <c r="V373" s="45"/>
    </row>
    <row r="374" spans="2:22">
      <c r="B374" s="7"/>
      <c r="K374" s="47"/>
      <c r="L374" s="46"/>
      <c r="M374" s="7"/>
      <c r="V374" s="47"/>
    </row>
    <row r="375" spans="2:22">
      <c r="B375" s="7" t="s">
        <v>22</v>
      </c>
      <c r="C375" s="171" t="str">
        <f>C329</f>
        <v>Ada</v>
      </c>
      <c r="D375" s="171"/>
      <c r="K375" s="47"/>
      <c r="L375" s="46"/>
      <c r="M375" s="7" t="s">
        <v>22</v>
      </c>
      <c r="N375" s="103" t="str">
        <f>C375</f>
        <v>Ada</v>
      </c>
      <c r="O375" s="103"/>
      <c r="P375" s="90"/>
      <c r="Q375" s="90"/>
      <c r="R375" s="1"/>
      <c r="V375" s="47"/>
    </row>
    <row r="376" spans="2:22">
      <c r="B376" s="7"/>
      <c r="K376" s="47"/>
      <c r="L376" s="46"/>
      <c r="M376" s="7"/>
      <c r="O376" s="90"/>
      <c r="P376" s="90"/>
      <c r="Q376" s="90"/>
      <c r="R376" s="1"/>
      <c r="V376" s="47"/>
    </row>
    <row r="377" spans="2:22">
      <c r="B377" s="7" t="s">
        <v>24</v>
      </c>
      <c r="G377" s="15"/>
      <c r="K377" s="47"/>
      <c r="L377" s="46"/>
      <c r="M377" s="7" t="s">
        <v>24</v>
      </c>
      <c r="O377" s="90"/>
      <c r="P377" s="90"/>
      <c r="Q377" s="90"/>
      <c r="R377" s="58">
        <f>IF(G398&gt;G377,G398,G377)*IF($N$388="Disetahunkan",12,$P$388)</f>
        <v>0</v>
      </c>
      <c r="V377" s="47"/>
    </row>
    <row r="378" spans="2:22">
      <c r="B378" s="7" t="s">
        <v>25</v>
      </c>
      <c r="G378" s="15"/>
      <c r="K378" s="47"/>
      <c r="L378" s="46"/>
      <c r="M378" s="7" t="s">
        <v>25</v>
      </c>
      <c r="O378" s="90"/>
      <c r="P378" s="90"/>
      <c r="Q378" s="90"/>
      <c r="R378" s="58">
        <f>IF(G399&gt;G378,G399,G378)*IF($N$388="Disetahunkan",12,$P$388)</f>
        <v>0</v>
      </c>
      <c r="V378" s="47"/>
    </row>
    <row r="379" spans="2:22">
      <c r="B379" s="7" t="s">
        <v>26</v>
      </c>
      <c r="G379" s="15"/>
      <c r="J379" s="184" t="s">
        <v>27</v>
      </c>
      <c r="K379" s="185" t="s">
        <v>28</v>
      </c>
      <c r="L379" s="46"/>
      <c r="M379" s="7" t="s">
        <v>26</v>
      </c>
      <c r="O379" s="90"/>
      <c r="P379" s="90"/>
      <c r="Q379" s="90"/>
      <c r="R379" s="58">
        <f>G379*IF($N$388="Disetahunkan",12,$P$388)</f>
        <v>0</v>
      </c>
      <c r="U379" s="200"/>
      <c r="V379" s="201"/>
    </row>
    <row r="380" spans="2:22">
      <c r="B380" s="7" t="s">
        <v>29</v>
      </c>
      <c r="G380" s="58">
        <f>(K380*G377)+J380</f>
        <v>0</v>
      </c>
      <c r="J380" s="186"/>
      <c r="K380" s="187"/>
      <c r="L380" s="188"/>
      <c r="M380" s="7" t="s">
        <v>29</v>
      </c>
      <c r="O380" s="90"/>
      <c r="P380" s="90"/>
      <c r="Q380" s="90"/>
      <c r="R380" s="58">
        <f>(V380*R377)+(U380*P388)</f>
        <v>0</v>
      </c>
      <c r="U380" s="192">
        <f t="shared" ref="T380:V380" si="65">J380</f>
        <v>0</v>
      </c>
      <c r="V380" s="193">
        <f t="shared" si="65"/>
        <v>0</v>
      </c>
    </row>
    <row r="381" spans="2:22">
      <c r="B381" s="7" t="s">
        <v>30</v>
      </c>
      <c r="G381" s="15"/>
      <c r="K381" s="47"/>
      <c r="L381" s="189"/>
      <c r="M381" s="7" t="s">
        <v>30</v>
      </c>
      <c r="O381" s="90"/>
      <c r="P381" s="90"/>
      <c r="Q381" s="90"/>
      <c r="R381" s="58">
        <f>G381*IF($N$388="Disetahunkan",12,$P$388)</f>
        <v>0</v>
      </c>
      <c r="V381" s="47"/>
    </row>
    <row r="382" spans="2:22">
      <c r="B382" s="7" t="s">
        <v>31</v>
      </c>
      <c r="G382" s="15"/>
      <c r="K382" s="47"/>
      <c r="L382" s="189"/>
      <c r="M382" s="7" t="s">
        <v>31</v>
      </c>
      <c r="O382" s="90"/>
      <c r="P382" s="90"/>
      <c r="Q382" s="90"/>
      <c r="R382" s="58">
        <f>G382*IF($N$388="Disetahunkan",12,$P$388)</f>
        <v>0</v>
      </c>
      <c r="V382" s="47"/>
    </row>
    <row r="383" spans="2:22">
      <c r="B383" s="7" t="s">
        <v>32</v>
      </c>
      <c r="G383" s="58">
        <f>SUM(G377:G382)</f>
        <v>0</v>
      </c>
      <c r="K383" s="47"/>
      <c r="L383" s="189"/>
      <c r="M383" s="7" t="s">
        <v>33</v>
      </c>
      <c r="O383" s="90"/>
      <c r="P383" s="90"/>
      <c r="Q383" s="90"/>
      <c r="R383" s="15"/>
      <c r="V383" s="47"/>
    </row>
    <row r="384" spans="2:22">
      <c r="B384" s="7" t="s">
        <v>34</v>
      </c>
      <c r="G384" s="58">
        <f>IF(G383*0.05&lt;=500000,G383*0.05,500000)</f>
        <v>0</v>
      </c>
      <c r="K384" s="47"/>
      <c r="L384" s="189"/>
      <c r="M384" s="7" t="s">
        <v>32</v>
      </c>
      <c r="O384" s="90"/>
      <c r="P384" s="90"/>
      <c r="Q384" s="90"/>
      <c r="R384" s="58">
        <f>SUM(R377:R383)</f>
        <v>0</v>
      </c>
      <c r="V384" s="47"/>
    </row>
    <row r="385" spans="2:22">
      <c r="B385" s="7" t="s">
        <v>35</v>
      </c>
      <c r="G385" s="58">
        <f>(K385*G377)+J385</f>
        <v>0</v>
      </c>
      <c r="J385" s="186"/>
      <c r="K385" s="187"/>
      <c r="L385" s="188"/>
      <c r="M385" s="7" t="s">
        <v>34</v>
      </c>
      <c r="O385" s="90"/>
      <c r="P385" s="90"/>
      <c r="Q385" s="90"/>
      <c r="R385" s="58">
        <f>IF(R384*0.05&lt;=500000*IF(N388="Disetahunkan",12,P388),R384*0.05,500000*P388)</f>
        <v>0</v>
      </c>
      <c r="V385" s="47"/>
    </row>
    <row r="386" spans="2:22">
      <c r="B386" s="7" t="s">
        <v>36</v>
      </c>
      <c r="G386" s="58">
        <f>(K386*G383)+J386</f>
        <v>0</v>
      </c>
      <c r="J386" s="186"/>
      <c r="K386" s="187"/>
      <c r="L386" s="188"/>
      <c r="M386" s="7" t="s">
        <v>35</v>
      </c>
      <c r="O386" s="90"/>
      <c r="P386" s="90"/>
      <c r="Q386" s="90"/>
      <c r="R386" s="58">
        <f>(V386*R377)+(U386*P388)</f>
        <v>0</v>
      </c>
      <c r="U386" s="192">
        <f t="shared" ref="T386:V386" si="66">J385</f>
        <v>0</v>
      </c>
      <c r="V386" s="193">
        <f t="shared" si="66"/>
        <v>0</v>
      </c>
    </row>
    <row r="387" spans="2:22">
      <c r="B387" s="7" t="s">
        <v>3</v>
      </c>
      <c r="G387" s="58">
        <f>G383-G384-G385-G386</f>
        <v>0</v>
      </c>
      <c r="K387" s="47"/>
      <c r="L387" s="46"/>
      <c r="M387" s="7" t="s">
        <v>36</v>
      </c>
      <c r="O387" s="90"/>
      <c r="P387" s="90"/>
      <c r="Q387" s="90"/>
      <c r="R387" s="58">
        <f>(V387*R384)+(U387*P388)</f>
        <v>0</v>
      </c>
      <c r="U387" s="192">
        <f t="shared" ref="T387:V387" si="67">J386</f>
        <v>0</v>
      </c>
      <c r="V387" s="193">
        <f t="shared" si="67"/>
        <v>0</v>
      </c>
    </row>
    <row r="388" spans="2:22">
      <c r="B388" s="7" t="s">
        <v>3</v>
      </c>
      <c r="C388" s="204" t="str">
        <f>C342</f>
        <v>Disetahunkan</v>
      </c>
      <c r="D388" s="204"/>
      <c r="E388" s="205">
        <f>E342</f>
        <v>12</v>
      </c>
      <c r="G388" s="58">
        <f>IF(C388="Disetahunkan",G387*12,G387*E388)</f>
        <v>0</v>
      </c>
      <c r="K388" s="47"/>
      <c r="L388" s="46"/>
      <c r="M388" s="7" t="s">
        <v>3</v>
      </c>
      <c r="N388" s="103" t="str">
        <f>C388</f>
        <v>Disetahunkan</v>
      </c>
      <c r="O388" s="103"/>
      <c r="P388" s="104">
        <f>E388</f>
        <v>12</v>
      </c>
      <c r="Q388" s="90"/>
      <c r="R388" s="58">
        <f>R384-R385-R386-R387</f>
        <v>0</v>
      </c>
      <c r="V388" s="47"/>
    </row>
    <row r="389" spans="2:22">
      <c r="B389" s="7" t="s">
        <v>1</v>
      </c>
      <c r="C389" s="172" t="str">
        <f>J1</f>
        <v>TK/0</v>
      </c>
      <c r="D389" s="172"/>
      <c r="E389" s="105"/>
      <c r="G389" s="58">
        <f>VLOOKUP(C389,P397:Q404,2,FALSE)</f>
        <v>54000000</v>
      </c>
      <c r="K389" s="47"/>
      <c r="L389" s="46"/>
      <c r="M389" s="7" t="s">
        <v>1</v>
      </c>
      <c r="N389" s="103" t="str">
        <f>C389</f>
        <v>TK/0</v>
      </c>
      <c r="O389" s="103"/>
      <c r="P389" s="105"/>
      <c r="Q389" s="90"/>
      <c r="R389" s="58">
        <f>G389</f>
        <v>54000000</v>
      </c>
      <c r="V389" s="47"/>
    </row>
    <row r="390" spans="2:22">
      <c r="B390" s="7" t="s">
        <v>37</v>
      </c>
      <c r="D390" s="105"/>
      <c r="E390" s="105"/>
      <c r="G390" s="58">
        <f>IF(G388&gt;G389,ROUNDDOWN(G388-G389,-3),0)</f>
        <v>0</v>
      </c>
      <c r="K390" s="47"/>
      <c r="L390" s="46"/>
      <c r="M390" s="7" t="s">
        <v>37</v>
      </c>
      <c r="O390" s="105"/>
      <c r="P390" s="105"/>
      <c r="Q390" s="90"/>
      <c r="R390" s="58">
        <f>IF(R388&gt;R389,ROUNDDOWN(R388-R389,-3),0)</f>
        <v>0</v>
      </c>
      <c r="V390" s="47"/>
    </row>
    <row r="391" spans="2:22">
      <c r="B391" s="7" t="s">
        <v>38</v>
      </c>
      <c r="C391" s="59" t="str">
        <f>C388</f>
        <v>Disetahunkan</v>
      </c>
      <c r="D391" s="106"/>
      <c r="G391" s="58">
        <f>IF(G390&lt;=50000000,G390*0.05,IF(G390&lt;=250000000,(G390-50000000)*0.15+2500000,IF(G390&lt;=500000000,(G390-250000000)*0.25+32500000,IF(G390&gt;500000000,(G390-500000000)*0.3+95000000,"no"))))*IF(C375="Ada",1,1.2)</f>
        <v>0</v>
      </c>
      <c r="K391" s="47"/>
      <c r="L391" s="46"/>
      <c r="M391" s="7" t="s">
        <v>38</v>
      </c>
      <c r="N391" s="59" t="str">
        <f>N388</f>
        <v>Disetahunkan</v>
      </c>
      <c r="O391" s="106"/>
      <c r="P391" s="90"/>
      <c r="Q391" s="90"/>
      <c r="R391" s="58">
        <f>IF(R390&lt;=50000000,R390*0.05,IF(R390&lt;=250000000,(R390-50000000)*0.15+2500000,IF(R390&lt;=500000000,(R390-250000000)*0.25+32500000,IF(R390&gt;500000000,(R390-500000000)*0.3+95000000,"no"))))*IF(N375="Ada",1,1.2)</f>
        <v>0</v>
      </c>
      <c r="V391" s="47"/>
    </row>
    <row r="392" ht="15.75" spans="2:22">
      <c r="B392" s="29" t="s">
        <v>39</v>
      </c>
      <c r="C392" s="30"/>
      <c r="D392" s="107"/>
      <c r="E392" s="107"/>
      <c r="F392" s="107"/>
      <c r="G392" s="61">
        <f>ROUNDUP(IF(C388="Disetahunkan",G391/12,G391/E388),0)</f>
        <v>0</v>
      </c>
      <c r="H392" s="30"/>
      <c r="I392" s="30"/>
      <c r="J392" s="30"/>
      <c r="K392" s="166"/>
      <c r="L392" s="46"/>
      <c r="M392" s="29" t="s">
        <v>40</v>
      </c>
      <c r="N392" s="30"/>
      <c r="O392" s="107"/>
      <c r="P392" s="107"/>
      <c r="Q392" s="107"/>
      <c r="R392" s="61">
        <f>R391-IF(G412&gt;G391,G412,G391)</f>
        <v>0</v>
      </c>
      <c r="S392" s="30"/>
      <c r="T392" s="202"/>
      <c r="U392" s="202"/>
      <c r="V392" s="203"/>
    </row>
    <row r="393" ht="16.5" spans="2:22">
      <c r="B393" s="46"/>
      <c r="C393" s="46"/>
      <c r="D393" s="155"/>
      <c r="E393" s="155"/>
      <c r="F393" s="155"/>
      <c r="G393" s="10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</row>
    <row r="394" ht="15.75" spans="2:22">
      <c r="B394" s="168" t="s">
        <v>41</v>
      </c>
      <c r="C394" s="169"/>
      <c r="D394" s="169"/>
      <c r="E394" s="100"/>
      <c r="F394" s="100"/>
      <c r="G394" s="153"/>
      <c r="H394" s="174"/>
      <c r="I394" s="174"/>
      <c r="J394" s="42"/>
      <c r="K394" s="45"/>
      <c r="V394" s="46"/>
    </row>
    <row r="395" ht="15.75" spans="2:22">
      <c r="B395" s="7"/>
      <c r="K395" s="47"/>
      <c r="V395" s="46"/>
    </row>
    <row r="396" ht="15.75" spans="2:17">
      <c r="B396" s="7" t="s">
        <v>22</v>
      </c>
      <c r="C396" s="103" t="str">
        <f>C375</f>
        <v>Ada</v>
      </c>
      <c r="D396" s="103"/>
      <c r="E396" s="90" t="s">
        <v>42</v>
      </c>
      <c r="G396" s="175">
        <v>4</v>
      </c>
      <c r="K396" s="33"/>
      <c r="L396" s="1"/>
      <c r="N396" s="141"/>
      <c r="O396" s="141"/>
      <c r="P396" s="142" t="s">
        <v>43</v>
      </c>
      <c r="Q396" s="149"/>
    </row>
    <row r="397" spans="2:17">
      <c r="B397" s="7"/>
      <c r="K397" s="33"/>
      <c r="L397" s="1"/>
      <c r="N397" s="143" t="s">
        <v>44</v>
      </c>
      <c r="O397" s="144">
        <v>0</v>
      </c>
      <c r="P397" s="7" t="str">
        <f t="shared" ref="P397:P404" si="68">N397&amp;O397</f>
        <v>TK/0</v>
      </c>
      <c r="Q397" s="150">
        <f t="shared" ref="Q397:Q404" si="69">54000000+IF(N397="K/",4500000,0)+(O397*4500000)</f>
        <v>54000000</v>
      </c>
    </row>
    <row r="398" spans="2:17">
      <c r="B398" s="7" t="s">
        <v>45</v>
      </c>
      <c r="G398" s="58">
        <f>G377+(J398/G396)</f>
        <v>0</v>
      </c>
      <c r="I398" t="s">
        <v>46</v>
      </c>
      <c r="J398" s="11"/>
      <c r="K398" s="190"/>
      <c r="L398" s="191"/>
      <c r="N398" s="143" t="s">
        <v>44</v>
      </c>
      <c r="O398" s="144">
        <v>1</v>
      </c>
      <c r="P398" s="7" t="str">
        <f t="shared" si="68"/>
        <v>TK/1</v>
      </c>
      <c r="Q398" s="150">
        <f t="shared" si="69"/>
        <v>58500000</v>
      </c>
    </row>
    <row r="399" spans="2:17">
      <c r="B399" s="7" t="s">
        <v>47</v>
      </c>
      <c r="G399" s="58">
        <f>G378+(J399/G396)</f>
        <v>0</v>
      </c>
      <c r="I399" t="s">
        <v>46</v>
      </c>
      <c r="J399" s="11"/>
      <c r="K399" s="190"/>
      <c r="L399" s="191"/>
      <c r="N399" s="143" t="s">
        <v>44</v>
      </c>
      <c r="O399" s="144">
        <v>2</v>
      </c>
      <c r="P399" s="7" t="str">
        <f t="shared" si="68"/>
        <v>TK/2</v>
      </c>
      <c r="Q399" s="150">
        <f t="shared" si="69"/>
        <v>63000000</v>
      </c>
    </row>
    <row r="400" spans="2:17">
      <c r="B400" s="7" t="s">
        <v>26</v>
      </c>
      <c r="G400" s="58">
        <f t="shared" ref="G400:G403" si="70">G379</f>
        <v>0</v>
      </c>
      <c r="K400" s="33"/>
      <c r="L400" s="34"/>
      <c r="N400" s="143" t="s">
        <v>44</v>
      </c>
      <c r="O400" s="144">
        <v>3</v>
      </c>
      <c r="P400" s="7" t="str">
        <f t="shared" si="68"/>
        <v>TK/3</v>
      </c>
      <c r="Q400" s="150">
        <f t="shared" si="69"/>
        <v>67500000</v>
      </c>
    </row>
    <row r="401" spans="2:17">
      <c r="B401" s="7" t="s">
        <v>29</v>
      </c>
      <c r="G401" s="58">
        <f>(K401*G398)+J401</f>
        <v>0</v>
      </c>
      <c r="J401" s="192">
        <f t="shared" ref="I401:K401" si="71">J380</f>
        <v>0</v>
      </c>
      <c r="K401" s="193">
        <f t="shared" si="71"/>
        <v>0</v>
      </c>
      <c r="L401" s="194"/>
      <c r="N401" s="143" t="s">
        <v>48</v>
      </c>
      <c r="O401" s="144">
        <v>0</v>
      </c>
      <c r="P401" s="7" t="str">
        <f t="shared" si="68"/>
        <v>K/0</v>
      </c>
      <c r="Q401" s="150">
        <f t="shared" si="69"/>
        <v>58500000</v>
      </c>
    </row>
    <row r="402" spans="2:17">
      <c r="B402" s="7" t="s">
        <v>30</v>
      </c>
      <c r="G402" s="58">
        <f t="shared" si="70"/>
        <v>0</v>
      </c>
      <c r="K402" s="33"/>
      <c r="L402" s="34"/>
      <c r="N402" s="143" t="s">
        <v>48</v>
      </c>
      <c r="O402" s="144">
        <v>1</v>
      </c>
      <c r="P402" s="7" t="str">
        <f t="shared" si="68"/>
        <v>K/1</v>
      </c>
      <c r="Q402" s="150">
        <f t="shared" si="69"/>
        <v>63000000</v>
      </c>
    </row>
    <row r="403" spans="2:17">
      <c r="B403" s="7" t="s">
        <v>31</v>
      </c>
      <c r="G403" s="58">
        <f t="shared" si="70"/>
        <v>0</v>
      </c>
      <c r="K403" s="33"/>
      <c r="L403" s="34"/>
      <c r="N403" s="143" t="s">
        <v>48</v>
      </c>
      <c r="O403" s="144">
        <v>2</v>
      </c>
      <c r="P403" s="7" t="str">
        <f t="shared" si="68"/>
        <v>K/2</v>
      </c>
      <c r="Q403" s="150">
        <f t="shared" si="69"/>
        <v>67500000</v>
      </c>
    </row>
    <row r="404" ht="15.75" spans="2:17">
      <c r="B404" s="7" t="s">
        <v>32</v>
      </c>
      <c r="G404" s="58">
        <f>SUM(G398:G403)</f>
        <v>0</v>
      </c>
      <c r="K404" s="33"/>
      <c r="L404" s="34"/>
      <c r="N404" s="143" t="s">
        <v>48</v>
      </c>
      <c r="O404" s="144">
        <v>3</v>
      </c>
      <c r="P404" s="29" t="str">
        <f t="shared" si="68"/>
        <v>K/3</v>
      </c>
      <c r="Q404" s="151">
        <f t="shared" si="69"/>
        <v>72000000</v>
      </c>
    </row>
    <row r="405" ht="15.75" spans="2:22">
      <c r="B405" s="7" t="s">
        <v>34</v>
      </c>
      <c r="G405" s="58">
        <f>IF(G404*0.05&lt;=500000,G404*0.05,500000)</f>
        <v>0</v>
      </c>
      <c r="K405" s="33"/>
      <c r="L405" s="34"/>
      <c r="V405" s="46"/>
    </row>
    <row r="406" spans="2:22">
      <c r="B406" s="7" t="s">
        <v>35</v>
      </c>
      <c r="G406" s="58">
        <f>(K406*G398)+J406</f>
        <v>0</v>
      </c>
      <c r="J406" s="192">
        <f t="shared" ref="I406:K406" si="72">J385</f>
        <v>0</v>
      </c>
      <c r="K406" s="193">
        <f t="shared" si="72"/>
        <v>0</v>
      </c>
      <c r="L406" s="194"/>
      <c r="V406" s="46"/>
    </row>
    <row r="407" spans="2:22">
      <c r="B407" s="7" t="s">
        <v>36</v>
      </c>
      <c r="G407" s="58">
        <f>(K407*G404)+J407</f>
        <v>0</v>
      </c>
      <c r="J407" s="192">
        <f t="shared" ref="I407:K407" si="73">J386</f>
        <v>0</v>
      </c>
      <c r="K407" s="193">
        <f t="shared" si="73"/>
        <v>0</v>
      </c>
      <c r="L407" s="194"/>
      <c r="V407" s="46"/>
    </row>
    <row r="408" spans="2:22">
      <c r="B408" s="7" t="s">
        <v>3</v>
      </c>
      <c r="G408" s="58">
        <f>G404-G405-G406-G407</f>
        <v>0</v>
      </c>
      <c r="K408" s="33"/>
      <c r="L408" s="1"/>
      <c r="V408" s="46"/>
    </row>
    <row r="409" spans="2:22">
      <c r="B409" s="7" t="s">
        <v>3</v>
      </c>
      <c r="C409" s="103" t="str">
        <f>C388</f>
        <v>Disetahunkan</v>
      </c>
      <c r="D409" s="103"/>
      <c r="E409" s="104">
        <f>E388</f>
        <v>12</v>
      </c>
      <c r="G409" s="58">
        <f>IF(C409="Disetahunkan",G408*12,G408*E409)</f>
        <v>0</v>
      </c>
      <c r="K409" s="33"/>
      <c r="L409" s="1"/>
      <c r="V409" s="46"/>
    </row>
    <row r="410" spans="2:22">
      <c r="B410" s="7" t="s">
        <v>1</v>
      </c>
      <c r="C410" s="103" t="str">
        <f>C389</f>
        <v>TK/0</v>
      </c>
      <c r="D410" s="103"/>
      <c r="E410" s="105"/>
      <c r="G410" s="58">
        <f>G389</f>
        <v>54000000</v>
      </c>
      <c r="K410" s="33"/>
      <c r="L410" s="1"/>
      <c r="V410" s="46"/>
    </row>
    <row r="411" spans="2:22">
      <c r="B411" s="7" t="s">
        <v>37</v>
      </c>
      <c r="D411" s="105"/>
      <c r="E411" s="105"/>
      <c r="G411" s="58">
        <f>IF(G409&gt;G410,ROUNDDOWN(G409-G410,-3),0)</f>
        <v>0</v>
      </c>
      <c r="K411" s="33"/>
      <c r="L411" s="1"/>
      <c r="V411" s="46"/>
    </row>
    <row r="412" spans="2:22">
      <c r="B412" s="7" t="s">
        <v>38</v>
      </c>
      <c r="C412" s="59" t="str">
        <f>C409</f>
        <v>Disetahunkan</v>
      </c>
      <c r="D412" s="106"/>
      <c r="G412" s="58">
        <f>IF(G411&lt;=50000000,G411*0.05,IF(G411&lt;=250000000,(G411-50000000)*0.15+2500000,IF(G411&lt;=500000000,(G411-250000000)*0.25+32500000,IF(G411&gt;500000000,(G411-500000000)*0.3+95000000,"no"))))*IF(C396="Ada",1,1.2)</f>
        <v>0</v>
      </c>
      <c r="K412" s="33"/>
      <c r="L412" s="1"/>
      <c r="V412" s="46"/>
    </row>
    <row r="413" spans="2:22">
      <c r="B413" s="7" t="s">
        <v>49</v>
      </c>
      <c r="G413" s="58">
        <f>ROUNDUP(IF(C409="Disetahunkan",G412/12,G412/E409),0)</f>
        <v>0</v>
      </c>
      <c r="K413" s="33"/>
      <c r="L413" s="1"/>
      <c r="V413" s="46"/>
    </row>
    <row r="414" ht="15.75" spans="2:22">
      <c r="B414" s="29" t="s">
        <v>41</v>
      </c>
      <c r="C414" s="30"/>
      <c r="D414" s="107"/>
      <c r="E414" s="107"/>
      <c r="F414" s="107"/>
      <c r="G414" s="61">
        <f>(G413-G392)*G396</f>
        <v>0</v>
      </c>
      <c r="H414" s="30"/>
      <c r="I414" s="30"/>
      <c r="J414" s="30"/>
      <c r="K414" s="195"/>
      <c r="L414" s="10"/>
      <c r="M414" s="46"/>
      <c r="N414" s="46"/>
      <c r="O414" s="46"/>
      <c r="P414" s="46"/>
      <c r="Q414" s="46"/>
      <c r="R414" s="46"/>
      <c r="S414" s="46"/>
      <c r="T414" s="46"/>
      <c r="U414" s="46"/>
      <c r="V414" s="46"/>
    </row>
    <row r="415" ht="15.75" spans="13:17">
      <c r="M415" s="206" t="s">
        <v>51</v>
      </c>
      <c r="N415" s="206"/>
      <c r="O415" s="206"/>
      <c r="P415" s="206"/>
      <c r="Q415" s="206"/>
    </row>
    <row r="416" ht="15.75" spans="2:22">
      <c r="B416" s="176" t="s">
        <v>50</v>
      </c>
      <c r="C416" s="176"/>
      <c r="D416" s="176"/>
      <c r="E416" s="176"/>
      <c r="F416" s="176"/>
      <c r="G416" s="61">
        <f>IF(G377&gt;0,IF(C396="Ada",G392+R392+G414-R416,G392+R392+G414),G370)</f>
        <v>0</v>
      </c>
      <c r="H416" s="30"/>
      <c r="I416" s="30"/>
      <c r="J416" s="30"/>
      <c r="K416" s="30"/>
      <c r="L416" s="30"/>
      <c r="M416" s="207"/>
      <c r="N416" s="207"/>
      <c r="O416" s="207"/>
      <c r="P416" s="207"/>
      <c r="Q416" s="207"/>
      <c r="R416" s="31">
        <f>IF(C329="Tidak Ada",20/120*(G48+G94+G140+G186+G232+G278+G324+G370),0)</f>
        <v>0</v>
      </c>
      <c r="S416" s="30"/>
      <c r="T416" s="30"/>
      <c r="U416" s="30"/>
      <c r="V416" s="30"/>
    </row>
    <row r="417" ht="16.5"/>
    <row r="418" ht="15.75" spans="2:3">
      <c r="B418" s="167" t="s">
        <v>16</v>
      </c>
      <c r="C418" s="210"/>
    </row>
    <row r="419" ht="15.75" spans="2:22">
      <c r="B419" s="168" t="s">
        <v>20</v>
      </c>
      <c r="C419" s="169"/>
      <c r="D419" s="169"/>
      <c r="E419" s="169"/>
      <c r="F419" s="100"/>
      <c r="G419" s="153"/>
      <c r="H419" s="170"/>
      <c r="I419" s="170"/>
      <c r="J419" s="42"/>
      <c r="K419" s="45"/>
      <c r="L419" s="46"/>
      <c r="M419" s="168" t="s">
        <v>21</v>
      </c>
      <c r="N419" s="169"/>
      <c r="O419" s="169"/>
      <c r="P419" s="169"/>
      <c r="Q419" s="169"/>
      <c r="R419" s="43"/>
      <c r="S419" s="174"/>
      <c r="T419" s="174"/>
      <c r="U419" s="42"/>
      <c r="V419" s="45"/>
    </row>
    <row r="420" spans="2:22">
      <c r="B420" s="7"/>
      <c r="K420" s="47"/>
      <c r="L420" s="46"/>
      <c r="M420" s="7"/>
      <c r="V420" s="47"/>
    </row>
    <row r="421" spans="2:22">
      <c r="B421" s="7" t="s">
        <v>22</v>
      </c>
      <c r="C421" s="171" t="str">
        <f>C375</f>
        <v>Ada</v>
      </c>
      <c r="D421" s="171"/>
      <c r="K421" s="47"/>
      <c r="L421" s="46"/>
      <c r="M421" s="7" t="s">
        <v>22</v>
      </c>
      <c r="N421" s="103" t="str">
        <f>C421</f>
        <v>Ada</v>
      </c>
      <c r="O421" s="103"/>
      <c r="P421" s="90"/>
      <c r="Q421" s="90"/>
      <c r="R421" s="1"/>
      <c r="V421" s="47"/>
    </row>
    <row r="422" spans="2:22">
      <c r="B422" s="7"/>
      <c r="K422" s="47"/>
      <c r="L422" s="46"/>
      <c r="M422" s="7"/>
      <c r="O422" s="90"/>
      <c r="P422" s="90"/>
      <c r="Q422" s="90"/>
      <c r="R422" s="1"/>
      <c r="V422" s="47"/>
    </row>
    <row r="423" spans="2:22">
      <c r="B423" s="7" t="s">
        <v>24</v>
      </c>
      <c r="G423" s="15"/>
      <c r="K423" s="47"/>
      <c r="L423" s="46"/>
      <c r="M423" s="7" t="s">
        <v>24</v>
      </c>
      <c r="O423" s="90"/>
      <c r="P423" s="90"/>
      <c r="Q423" s="90"/>
      <c r="R423" s="58">
        <f>IF(G444&gt;G423,G444,G423)*IF($N$434="Disetahunkan",12,$P$434)</f>
        <v>0</v>
      </c>
      <c r="V423" s="47"/>
    </row>
    <row r="424" spans="2:22">
      <c r="B424" s="7" t="s">
        <v>25</v>
      </c>
      <c r="G424" s="15"/>
      <c r="K424" s="47"/>
      <c r="L424" s="46"/>
      <c r="M424" s="7" t="s">
        <v>25</v>
      </c>
      <c r="O424" s="90"/>
      <c r="P424" s="90"/>
      <c r="Q424" s="90"/>
      <c r="R424" s="58">
        <f>IF(G445&gt;G424,G445,G424)*IF($N$434="Disetahunkan",12,$P$434)</f>
        <v>0</v>
      </c>
      <c r="V424" s="47"/>
    </row>
    <row r="425" spans="2:22">
      <c r="B425" s="7" t="s">
        <v>26</v>
      </c>
      <c r="G425" s="15"/>
      <c r="J425" s="184" t="s">
        <v>27</v>
      </c>
      <c r="K425" s="185" t="s">
        <v>28</v>
      </c>
      <c r="L425" s="46"/>
      <c r="M425" s="7" t="s">
        <v>26</v>
      </c>
      <c r="O425" s="90"/>
      <c r="P425" s="90"/>
      <c r="Q425" s="90"/>
      <c r="R425" s="58">
        <f>G425*IF($N$434="Disetahunkan",12,$P$434)</f>
        <v>0</v>
      </c>
      <c r="U425" s="200"/>
      <c r="V425" s="201"/>
    </row>
    <row r="426" spans="2:22">
      <c r="B426" s="7" t="s">
        <v>29</v>
      </c>
      <c r="G426" s="58">
        <f>(K426*G423)+J426</f>
        <v>0</v>
      </c>
      <c r="J426" s="186"/>
      <c r="K426" s="187"/>
      <c r="L426" s="188"/>
      <c r="M426" s="7" t="s">
        <v>29</v>
      </c>
      <c r="O426" s="90"/>
      <c r="P426" s="90"/>
      <c r="Q426" s="90"/>
      <c r="R426" s="58">
        <f>(V426*R423)+(U426*P434)</f>
        <v>0</v>
      </c>
      <c r="U426" s="192">
        <f t="shared" ref="T426:V426" si="74">J426</f>
        <v>0</v>
      </c>
      <c r="V426" s="193">
        <f t="shared" si="74"/>
        <v>0</v>
      </c>
    </row>
    <row r="427" spans="2:22">
      <c r="B427" s="7" t="s">
        <v>30</v>
      </c>
      <c r="G427" s="15"/>
      <c r="K427" s="47"/>
      <c r="L427" s="189"/>
      <c r="M427" s="7" t="s">
        <v>30</v>
      </c>
      <c r="O427" s="90"/>
      <c r="P427" s="90"/>
      <c r="Q427" s="90"/>
      <c r="R427" s="58">
        <f>G427*IF($N$434="Disetahunkan",12,$P$434)</f>
        <v>0</v>
      </c>
      <c r="V427" s="47"/>
    </row>
    <row r="428" spans="2:22">
      <c r="B428" s="7" t="s">
        <v>31</v>
      </c>
      <c r="G428" s="15"/>
      <c r="K428" s="47"/>
      <c r="L428" s="189"/>
      <c r="M428" s="7" t="s">
        <v>31</v>
      </c>
      <c r="O428" s="90"/>
      <c r="P428" s="90"/>
      <c r="Q428" s="90"/>
      <c r="R428" s="58">
        <f>G428*IF($N$434="Disetahunkan",12,$P$434)</f>
        <v>0</v>
      </c>
      <c r="V428" s="47"/>
    </row>
    <row r="429" spans="2:22">
      <c r="B429" s="7" t="s">
        <v>32</v>
      </c>
      <c r="G429" s="58">
        <f>SUM(G423:G428)</f>
        <v>0</v>
      </c>
      <c r="K429" s="47"/>
      <c r="L429" s="189"/>
      <c r="M429" s="7" t="s">
        <v>33</v>
      </c>
      <c r="O429" s="90"/>
      <c r="P429" s="90"/>
      <c r="Q429" s="90"/>
      <c r="R429" s="15"/>
      <c r="V429" s="47"/>
    </row>
    <row r="430" spans="2:22">
      <c r="B430" s="7" t="s">
        <v>34</v>
      </c>
      <c r="G430" s="58">
        <f>IF(G429*0.05&lt;=500000,G429*0.05,500000)</f>
        <v>0</v>
      </c>
      <c r="K430" s="47"/>
      <c r="L430" s="189"/>
      <c r="M430" s="7" t="s">
        <v>32</v>
      </c>
      <c r="O430" s="90"/>
      <c r="P430" s="90"/>
      <c r="Q430" s="90"/>
      <c r="R430" s="58">
        <f>SUM(R423:R429)</f>
        <v>0</v>
      </c>
      <c r="V430" s="47"/>
    </row>
    <row r="431" spans="2:22">
      <c r="B431" s="7" t="s">
        <v>35</v>
      </c>
      <c r="G431" s="58">
        <f>(K431*G423)+J431</f>
        <v>0</v>
      </c>
      <c r="J431" s="186"/>
      <c r="K431" s="187"/>
      <c r="L431" s="188"/>
      <c r="M431" s="7" t="s">
        <v>34</v>
      </c>
      <c r="O431" s="90"/>
      <c r="P431" s="90"/>
      <c r="Q431" s="90"/>
      <c r="R431" s="58">
        <f>IF(R430*0.05&lt;=500000*IF(N434="Disetahunkan",12,P434),R430*0.05,500000*P434)</f>
        <v>0</v>
      </c>
      <c r="V431" s="47"/>
    </row>
    <row r="432" spans="2:22">
      <c r="B432" s="7" t="s">
        <v>36</v>
      </c>
      <c r="G432" s="58">
        <f>(K432*G429)+J432</f>
        <v>0</v>
      </c>
      <c r="J432" s="186"/>
      <c r="K432" s="187"/>
      <c r="L432" s="188"/>
      <c r="M432" s="7" t="s">
        <v>35</v>
      </c>
      <c r="O432" s="90"/>
      <c r="P432" s="90"/>
      <c r="Q432" s="90"/>
      <c r="R432" s="58">
        <f>(V432*R423)+(U432*P434)</f>
        <v>0</v>
      </c>
      <c r="U432" s="192">
        <f t="shared" ref="T432:V432" si="75">J431</f>
        <v>0</v>
      </c>
      <c r="V432" s="193">
        <f t="shared" si="75"/>
        <v>0</v>
      </c>
    </row>
    <row r="433" spans="2:22">
      <c r="B433" s="7" t="s">
        <v>3</v>
      </c>
      <c r="G433" s="58">
        <f>G429-G430-G431-G432</f>
        <v>0</v>
      </c>
      <c r="K433" s="47"/>
      <c r="L433" s="46"/>
      <c r="M433" s="7" t="s">
        <v>36</v>
      </c>
      <c r="O433" s="90"/>
      <c r="P433" s="90"/>
      <c r="Q433" s="90"/>
      <c r="R433" s="58">
        <f>(V433*R430)+(U433*P434)</f>
        <v>0</v>
      </c>
      <c r="U433" s="192">
        <f t="shared" ref="T433:V433" si="76">J432</f>
        <v>0</v>
      </c>
      <c r="V433" s="193">
        <f t="shared" si="76"/>
        <v>0</v>
      </c>
    </row>
    <row r="434" spans="2:22">
      <c r="B434" s="7" t="s">
        <v>3</v>
      </c>
      <c r="C434" s="204" t="str">
        <f>C388</f>
        <v>Disetahunkan</v>
      </c>
      <c r="D434" s="204"/>
      <c r="E434" s="205">
        <f>E388</f>
        <v>12</v>
      </c>
      <c r="G434" s="58">
        <f>IF(C434="Disetahunkan",G433*12,G433*E434)</f>
        <v>0</v>
      </c>
      <c r="K434" s="47"/>
      <c r="L434" s="46"/>
      <c r="M434" s="7" t="s">
        <v>3</v>
      </c>
      <c r="N434" s="103" t="str">
        <f>C434</f>
        <v>Disetahunkan</v>
      </c>
      <c r="O434" s="103"/>
      <c r="P434" s="104">
        <f>E434</f>
        <v>12</v>
      </c>
      <c r="Q434" s="90"/>
      <c r="R434" s="58">
        <f>R430-R431-R432-R433</f>
        <v>0</v>
      </c>
      <c r="V434" s="47"/>
    </row>
    <row r="435" spans="2:22">
      <c r="B435" s="7" t="s">
        <v>1</v>
      </c>
      <c r="C435" s="172" t="str">
        <f>J1</f>
        <v>TK/0</v>
      </c>
      <c r="D435" s="172"/>
      <c r="E435" s="105"/>
      <c r="G435" s="58">
        <f>VLOOKUP(C435,P443:Q450,2,FALSE)</f>
        <v>54000000</v>
      </c>
      <c r="K435" s="47"/>
      <c r="L435" s="46"/>
      <c r="M435" s="7" t="s">
        <v>1</v>
      </c>
      <c r="N435" s="103" t="str">
        <f>C435</f>
        <v>TK/0</v>
      </c>
      <c r="O435" s="103"/>
      <c r="P435" s="105"/>
      <c r="Q435" s="90"/>
      <c r="R435" s="58">
        <f>G435</f>
        <v>54000000</v>
      </c>
      <c r="V435" s="47"/>
    </row>
    <row r="436" spans="2:22">
      <c r="B436" s="7" t="s">
        <v>37</v>
      </c>
      <c r="D436" s="105"/>
      <c r="E436" s="105"/>
      <c r="G436" s="58">
        <f>IF(G434&gt;G435,ROUNDDOWN(G434-G435,-3),0)</f>
        <v>0</v>
      </c>
      <c r="K436" s="47"/>
      <c r="L436" s="46"/>
      <c r="M436" s="7" t="s">
        <v>37</v>
      </c>
      <c r="O436" s="105"/>
      <c r="P436" s="105"/>
      <c r="Q436" s="90"/>
      <c r="R436" s="58">
        <f>IF(R434&gt;R435,ROUNDDOWN(R434-R435,-3),0)</f>
        <v>0</v>
      </c>
      <c r="V436" s="47"/>
    </row>
    <row r="437" spans="2:22">
      <c r="B437" s="7" t="s">
        <v>38</v>
      </c>
      <c r="C437" s="59" t="str">
        <f>C434</f>
        <v>Disetahunkan</v>
      </c>
      <c r="D437" s="106"/>
      <c r="G437" s="58">
        <f>IF(G436&lt;=50000000,G436*0.05,IF(G436&lt;=250000000,(G436-50000000)*0.15+2500000,IF(G436&lt;=500000000,(G436-250000000)*0.25+32500000,IF(G436&gt;500000000,(G436-500000000)*0.3+95000000,"no"))))*IF(C421="Ada",1,1.2)</f>
        <v>0</v>
      </c>
      <c r="K437" s="47"/>
      <c r="L437" s="46"/>
      <c r="M437" s="7" t="s">
        <v>38</v>
      </c>
      <c r="N437" s="59" t="str">
        <f>N434</f>
        <v>Disetahunkan</v>
      </c>
      <c r="O437" s="106"/>
      <c r="P437" s="90"/>
      <c r="Q437" s="90"/>
      <c r="R437" s="58">
        <f>IF(R436&lt;=50000000,R436*0.05,IF(R436&lt;=250000000,(R436-50000000)*0.15+2500000,IF(R436&lt;=500000000,(R436-250000000)*0.25+32500000,IF(R436&gt;500000000,(R436-500000000)*0.3+95000000,"no"))))*IF(N421="Ada",1,1.2)</f>
        <v>0</v>
      </c>
      <c r="V437" s="47"/>
    </row>
    <row r="438" ht="15.75" spans="2:22">
      <c r="B438" s="29" t="s">
        <v>39</v>
      </c>
      <c r="C438" s="30"/>
      <c r="D438" s="107"/>
      <c r="E438" s="107"/>
      <c r="F438" s="107"/>
      <c r="G438" s="61">
        <f>ROUNDUP(IF(C434="Disetahunkan",G437/12,G437/E434),0)</f>
        <v>0</v>
      </c>
      <c r="H438" s="30"/>
      <c r="I438" s="30"/>
      <c r="J438" s="30"/>
      <c r="K438" s="166"/>
      <c r="L438" s="46"/>
      <c r="M438" s="29" t="s">
        <v>40</v>
      </c>
      <c r="N438" s="30"/>
      <c r="O438" s="107"/>
      <c r="P438" s="107"/>
      <c r="Q438" s="107"/>
      <c r="R438" s="61">
        <f>R437-IF(G458&gt;G437,G458,G437)</f>
        <v>0</v>
      </c>
      <c r="S438" s="30"/>
      <c r="T438" s="202"/>
      <c r="U438" s="202"/>
      <c r="V438" s="203"/>
    </row>
    <row r="439" ht="16.5" spans="2:22">
      <c r="B439" s="46"/>
      <c r="C439" s="46"/>
      <c r="D439" s="155"/>
      <c r="E439" s="155"/>
      <c r="F439" s="155"/>
      <c r="G439" s="10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</row>
    <row r="440" ht="15.75" spans="2:22">
      <c r="B440" s="168" t="s">
        <v>41</v>
      </c>
      <c r="C440" s="169"/>
      <c r="D440" s="169"/>
      <c r="E440" s="100"/>
      <c r="F440" s="100"/>
      <c r="G440" s="153"/>
      <c r="H440" s="174"/>
      <c r="I440" s="174"/>
      <c r="J440" s="42"/>
      <c r="K440" s="45"/>
      <c r="V440" s="46"/>
    </row>
    <row r="441" ht="15.75" spans="2:22">
      <c r="B441" s="7"/>
      <c r="K441" s="47"/>
      <c r="V441" s="46"/>
    </row>
    <row r="442" ht="15.75" spans="2:17">
      <c r="B442" s="7" t="s">
        <v>22</v>
      </c>
      <c r="C442" s="103" t="str">
        <f>C421</f>
        <v>Ada</v>
      </c>
      <c r="D442" s="103"/>
      <c r="E442" s="90" t="s">
        <v>42</v>
      </c>
      <c r="G442" s="175">
        <v>4</v>
      </c>
      <c r="K442" s="33"/>
      <c r="L442" s="1"/>
      <c r="N442" s="141"/>
      <c r="O442" s="141"/>
      <c r="P442" s="142" t="s">
        <v>43</v>
      </c>
      <c r="Q442" s="149"/>
    </row>
    <row r="443" spans="2:17">
      <c r="B443" s="7"/>
      <c r="K443" s="33"/>
      <c r="L443" s="1"/>
      <c r="N443" s="143" t="s">
        <v>44</v>
      </c>
      <c r="O443" s="144">
        <v>0</v>
      </c>
      <c r="P443" s="7" t="str">
        <f t="shared" ref="P443:P450" si="77">N443&amp;O443</f>
        <v>TK/0</v>
      </c>
      <c r="Q443" s="150">
        <f t="shared" ref="Q443:Q450" si="78">54000000+IF(N443="K/",4500000,0)+(O443*4500000)</f>
        <v>54000000</v>
      </c>
    </row>
    <row r="444" spans="2:17">
      <c r="B444" s="7" t="s">
        <v>45</v>
      </c>
      <c r="G444" s="58">
        <f>G423+(J444/G442)</f>
        <v>0</v>
      </c>
      <c r="I444" t="s">
        <v>46</v>
      </c>
      <c r="J444" s="11"/>
      <c r="K444" s="190"/>
      <c r="L444" s="191"/>
      <c r="N444" s="143" t="s">
        <v>44</v>
      </c>
      <c r="O444" s="144">
        <v>1</v>
      </c>
      <c r="P444" s="7" t="str">
        <f t="shared" si="77"/>
        <v>TK/1</v>
      </c>
      <c r="Q444" s="150">
        <f t="shared" si="78"/>
        <v>58500000</v>
      </c>
    </row>
    <row r="445" spans="2:17">
      <c r="B445" s="7" t="s">
        <v>47</v>
      </c>
      <c r="G445" s="58">
        <f>G424+(J445/G442)</f>
        <v>0</v>
      </c>
      <c r="I445" t="s">
        <v>46</v>
      </c>
      <c r="J445" s="11"/>
      <c r="K445" s="190"/>
      <c r="L445" s="191"/>
      <c r="N445" s="143" t="s">
        <v>44</v>
      </c>
      <c r="O445" s="144">
        <v>2</v>
      </c>
      <c r="P445" s="7" t="str">
        <f t="shared" si="77"/>
        <v>TK/2</v>
      </c>
      <c r="Q445" s="150">
        <f t="shared" si="78"/>
        <v>63000000</v>
      </c>
    </row>
    <row r="446" spans="2:17">
      <c r="B446" s="7" t="s">
        <v>26</v>
      </c>
      <c r="G446" s="58">
        <f t="shared" ref="G446:G449" si="79">G425</f>
        <v>0</v>
      </c>
      <c r="K446" s="33"/>
      <c r="L446" s="34"/>
      <c r="N446" s="143" t="s">
        <v>44</v>
      </c>
      <c r="O446" s="144">
        <v>3</v>
      </c>
      <c r="P446" s="7" t="str">
        <f t="shared" si="77"/>
        <v>TK/3</v>
      </c>
      <c r="Q446" s="150">
        <f t="shared" si="78"/>
        <v>67500000</v>
      </c>
    </row>
    <row r="447" spans="2:17">
      <c r="B447" s="7" t="s">
        <v>29</v>
      </c>
      <c r="G447" s="58">
        <f>(K447*G444)+J447</f>
        <v>0</v>
      </c>
      <c r="J447" s="192">
        <f t="shared" ref="I447:K447" si="80">J426</f>
        <v>0</v>
      </c>
      <c r="K447" s="193">
        <f t="shared" si="80"/>
        <v>0</v>
      </c>
      <c r="L447" s="194"/>
      <c r="N447" s="143" t="s">
        <v>48</v>
      </c>
      <c r="O447" s="144">
        <v>0</v>
      </c>
      <c r="P447" s="7" t="str">
        <f t="shared" si="77"/>
        <v>K/0</v>
      </c>
      <c r="Q447" s="150">
        <f t="shared" si="78"/>
        <v>58500000</v>
      </c>
    </row>
    <row r="448" spans="2:17">
      <c r="B448" s="7" t="s">
        <v>30</v>
      </c>
      <c r="G448" s="58">
        <f t="shared" si="79"/>
        <v>0</v>
      </c>
      <c r="K448" s="33"/>
      <c r="L448" s="34"/>
      <c r="N448" s="143" t="s">
        <v>48</v>
      </c>
      <c r="O448" s="144">
        <v>1</v>
      </c>
      <c r="P448" s="7" t="str">
        <f t="shared" si="77"/>
        <v>K/1</v>
      </c>
      <c r="Q448" s="150">
        <f t="shared" si="78"/>
        <v>63000000</v>
      </c>
    </row>
    <row r="449" spans="2:17">
      <c r="B449" s="7" t="s">
        <v>31</v>
      </c>
      <c r="G449" s="58">
        <f t="shared" si="79"/>
        <v>0</v>
      </c>
      <c r="K449" s="33"/>
      <c r="L449" s="34"/>
      <c r="N449" s="143" t="s">
        <v>48</v>
      </c>
      <c r="O449" s="144">
        <v>2</v>
      </c>
      <c r="P449" s="7" t="str">
        <f t="shared" si="77"/>
        <v>K/2</v>
      </c>
      <c r="Q449" s="150">
        <f t="shared" si="78"/>
        <v>67500000</v>
      </c>
    </row>
    <row r="450" ht="15.75" spans="2:17">
      <c r="B450" s="7" t="s">
        <v>32</v>
      </c>
      <c r="G450" s="58">
        <f>SUM(G444:G449)</f>
        <v>0</v>
      </c>
      <c r="K450" s="33"/>
      <c r="L450" s="34"/>
      <c r="N450" s="143" t="s">
        <v>48</v>
      </c>
      <c r="O450" s="144">
        <v>3</v>
      </c>
      <c r="P450" s="29" t="str">
        <f t="shared" si="77"/>
        <v>K/3</v>
      </c>
      <c r="Q450" s="151">
        <f t="shared" si="78"/>
        <v>72000000</v>
      </c>
    </row>
    <row r="451" ht="15.75" spans="2:22">
      <c r="B451" s="7" t="s">
        <v>34</v>
      </c>
      <c r="G451" s="58">
        <f>IF(G450*0.05&lt;=500000,G450*0.05,500000)</f>
        <v>0</v>
      </c>
      <c r="K451" s="33"/>
      <c r="L451" s="34"/>
      <c r="V451" s="46"/>
    </row>
    <row r="452" spans="2:22">
      <c r="B452" s="7" t="s">
        <v>35</v>
      </c>
      <c r="G452" s="58">
        <f>(K452*G444)+J452</f>
        <v>0</v>
      </c>
      <c r="J452" s="192">
        <f t="shared" ref="I452:K452" si="81">J431</f>
        <v>0</v>
      </c>
      <c r="K452" s="193">
        <f t="shared" si="81"/>
        <v>0</v>
      </c>
      <c r="L452" s="194"/>
      <c r="V452" s="46"/>
    </row>
    <row r="453" spans="2:22">
      <c r="B453" s="7" t="s">
        <v>36</v>
      </c>
      <c r="G453" s="58">
        <f>(K453*G450)+J453</f>
        <v>0</v>
      </c>
      <c r="J453" s="192">
        <f t="shared" ref="I453:K453" si="82">J432</f>
        <v>0</v>
      </c>
      <c r="K453" s="193">
        <f t="shared" si="82"/>
        <v>0</v>
      </c>
      <c r="L453" s="194"/>
      <c r="V453" s="46"/>
    </row>
    <row r="454" spans="2:22">
      <c r="B454" s="7" t="s">
        <v>3</v>
      </c>
      <c r="G454" s="58">
        <f>G450-G451-G452-G453</f>
        <v>0</v>
      </c>
      <c r="K454" s="33"/>
      <c r="L454" s="1"/>
      <c r="V454" s="46"/>
    </row>
    <row r="455" spans="2:22">
      <c r="B455" s="7" t="s">
        <v>3</v>
      </c>
      <c r="C455" s="103" t="str">
        <f>C434</f>
        <v>Disetahunkan</v>
      </c>
      <c r="D455" s="103"/>
      <c r="E455" s="104">
        <f>E434</f>
        <v>12</v>
      </c>
      <c r="G455" s="58">
        <f>IF(C455="Disetahunkan",G454*12,G454*E455)</f>
        <v>0</v>
      </c>
      <c r="K455" s="33"/>
      <c r="L455" s="1"/>
      <c r="V455" s="46"/>
    </row>
    <row r="456" spans="2:22">
      <c r="B456" s="7" t="s">
        <v>1</v>
      </c>
      <c r="C456" s="103" t="str">
        <f>C435</f>
        <v>TK/0</v>
      </c>
      <c r="D456" s="103"/>
      <c r="E456" s="105"/>
      <c r="G456" s="58">
        <f>G435</f>
        <v>54000000</v>
      </c>
      <c r="K456" s="33"/>
      <c r="L456" s="1"/>
      <c r="V456" s="46"/>
    </row>
    <row r="457" spans="2:22">
      <c r="B457" s="7" t="s">
        <v>37</v>
      </c>
      <c r="D457" s="105"/>
      <c r="E457" s="105"/>
      <c r="G457" s="58">
        <f>IF(G455&gt;G456,ROUNDDOWN(G455-G456,-3),0)</f>
        <v>0</v>
      </c>
      <c r="K457" s="33"/>
      <c r="L457" s="1"/>
      <c r="V457" s="46"/>
    </row>
    <row r="458" spans="2:22">
      <c r="B458" s="7" t="s">
        <v>38</v>
      </c>
      <c r="C458" s="59" t="str">
        <f>C455</f>
        <v>Disetahunkan</v>
      </c>
      <c r="D458" s="106"/>
      <c r="G458" s="58">
        <f>IF(G457&lt;=50000000,G457*0.05,IF(G457&lt;=250000000,(G457-50000000)*0.15+2500000,IF(G457&lt;=500000000,(G457-250000000)*0.25+32500000,IF(G457&gt;500000000,(G457-500000000)*0.3+95000000,"no"))))*IF(C442="Ada",1,1.2)</f>
        <v>0</v>
      </c>
      <c r="K458" s="33"/>
      <c r="L458" s="1"/>
      <c r="V458" s="46"/>
    </row>
    <row r="459" spans="2:22">
      <c r="B459" s="7" t="s">
        <v>49</v>
      </c>
      <c r="G459" s="58">
        <f>ROUNDUP(IF(C455="Disetahunkan",G458/12,G458/E455),0)</f>
        <v>0</v>
      </c>
      <c r="K459" s="33"/>
      <c r="L459" s="1"/>
      <c r="V459" s="46"/>
    </row>
    <row r="460" ht="15.75" spans="2:22">
      <c r="B460" s="29" t="s">
        <v>41</v>
      </c>
      <c r="C460" s="30"/>
      <c r="D460" s="107"/>
      <c r="E460" s="107"/>
      <c r="F460" s="107"/>
      <c r="G460" s="61">
        <f>(G459-G438)*G442</f>
        <v>0</v>
      </c>
      <c r="H460" s="30"/>
      <c r="I460" s="30"/>
      <c r="J460" s="30"/>
      <c r="K460" s="195"/>
      <c r="L460" s="10"/>
      <c r="M460" s="46"/>
      <c r="N460" s="46"/>
      <c r="O460" s="46"/>
      <c r="P460" s="46"/>
      <c r="Q460" s="46"/>
      <c r="R460" s="46"/>
      <c r="S460" s="46"/>
      <c r="T460" s="46"/>
      <c r="U460" s="46"/>
      <c r="V460" s="46"/>
    </row>
    <row r="461" ht="15.75" spans="13:17">
      <c r="M461" s="206" t="s">
        <v>51</v>
      </c>
      <c r="N461" s="206"/>
      <c r="O461" s="206"/>
      <c r="P461" s="206"/>
      <c r="Q461" s="206"/>
    </row>
    <row r="462" ht="15.75" spans="2:22">
      <c r="B462" s="176" t="s">
        <v>50</v>
      </c>
      <c r="C462" s="176"/>
      <c r="D462" s="176"/>
      <c r="E462" s="176"/>
      <c r="F462" s="176"/>
      <c r="G462" s="61">
        <f>IF(G423&gt;0,IF(C442="Ada",G438+R438+G460-R462,G438+R438+G460),G416)</f>
        <v>0</v>
      </c>
      <c r="H462" s="30"/>
      <c r="I462" s="30"/>
      <c r="J462" s="30"/>
      <c r="K462" s="30"/>
      <c r="L462" s="30"/>
      <c r="M462" s="207"/>
      <c r="N462" s="207"/>
      <c r="O462" s="207"/>
      <c r="P462" s="207"/>
      <c r="Q462" s="207"/>
      <c r="R462" s="31">
        <f>IF(C375="Tidak Ada",20/120*(G48+G94+G140+G186+G232+G278+G324+G370+G416),0)</f>
        <v>0</v>
      </c>
      <c r="S462" s="30"/>
      <c r="T462" s="30"/>
      <c r="U462" s="30"/>
      <c r="V462" s="30"/>
    </row>
    <row r="463" ht="16.5"/>
    <row r="464" ht="15.75" spans="2:3">
      <c r="B464" s="208" t="s">
        <v>17</v>
      </c>
      <c r="C464" s="209"/>
    </row>
    <row r="465" ht="15.75" spans="2:22">
      <c r="B465" s="168" t="s">
        <v>20</v>
      </c>
      <c r="C465" s="169"/>
      <c r="D465" s="169"/>
      <c r="E465" s="169"/>
      <c r="F465" s="100"/>
      <c r="G465" s="153"/>
      <c r="H465" s="170"/>
      <c r="I465" s="170"/>
      <c r="J465" s="42"/>
      <c r="K465" s="45"/>
      <c r="L465" s="46"/>
      <c r="M465" s="168" t="s">
        <v>21</v>
      </c>
      <c r="N465" s="169"/>
      <c r="O465" s="169"/>
      <c r="P465" s="169"/>
      <c r="Q465" s="169"/>
      <c r="R465" s="43"/>
      <c r="S465" s="174"/>
      <c r="T465" s="174"/>
      <c r="U465" s="42"/>
      <c r="V465" s="45"/>
    </row>
    <row r="466" spans="2:22">
      <c r="B466" s="7"/>
      <c r="K466" s="47"/>
      <c r="L466" s="46"/>
      <c r="M466" s="7"/>
      <c r="V466" s="47"/>
    </row>
    <row r="467" spans="2:22">
      <c r="B467" s="7" t="s">
        <v>22</v>
      </c>
      <c r="C467" s="171" t="str">
        <f>C421</f>
        <v>Ada</v>
      </c>
      <c r="D467" s="171"/>
      <c r="K467" s="47"/>
      <c r="L467" s="46"/>
      <c r="M467" s="7" t="s">
        <v>22</v>
      </c>
      <c r="N467" s="103" t="str">
        <f>C467</f>
        <v>Ada</v>
      </c>
      <c r="O467" s="103"/>
      <c r="P467" s="90"/>
      <c r="Q467" s="90"/>
      <c r="R467" s="1"/>
      <c r="V467" s="47"/>
    </row>
    <row r="468" spans="2:22">
      <c r="B468" s="7"/>
      <c r="K468" s="47"/>
      <c r="L468" s="46"/>
      <c r="M468" s="7"/>
      <c r="O468" s="90"/>
      <c r="P468" s="90"/>
      <c r="Q468" s="90"/>
      <c r="R468" s="1"/>
      <c r="V468" s="47"/>
    </row>
    <row r="469" spans="2:22">
      <c r="B469" s="7" t="s">
        <v>24</v>
      </c>
      <c r="G469" s="15"/>
      <c r="K469" s="47"/>
      <c r="L469" s="46"/>
      <c r="M469" s="7" t="s">
        <v>24</v>
      </c>
      <c r="O469" s="90"/>
      <c r="P469" s="90"/>
      <c r="Q469" s="90"/>
      <c r="R469" s="58">
        <f>IF(G490&gt;G469,G490,G469)*IF($N$480="Disetahunkan",12,$P$480)</f>
        <v>0</v>
      </c>
      <c r="V469" s="47"/>
    </row>
    <row r="470" spans="2:22">
      <c r="B470" s="7" t="s">
        <v>25</v>
      </c>
      <c r="G470" s="15"/>
      <c r="K470" s="47"/>
      <c r="L470" s="46"/>
      <c r="M470" s="7" t="s">
        <v>25</v>
      </c>
      <c r="O470" s="90"/>
      <c r="P470" s="90"/>
      <c r="Q470" s="90"/>
      <c r="R470" s="58">
        <f>IF(G491&gt;G470,G491,G470)*IF($N$480="Disetahunkan",12,$P$480)</f>
        <v>0</v>
      </c>
      <c r="V470" s="47"/>
    </row>
    <row r="471" spans="2:22">
      <c r="B471" s="7" t="s">
        <v>26</v>
      </c>
      <c r="G471" s="15"/>
      <c r="J471" s="184" t="s">
        <v>27</v>
      </c>
      <c r="K471" s="185" t="s">
        <v>28</v>
      </c>
      <c r="L471" s="46"/>
      <c r="M471" s="7" t="s">
        <v>26</v>
      </c>
      <c r="O471" s="90"/>
      <c r="P471" s="90"/>
      <c r="Q471" s="90"/>
      <c r="R471" s="58">
        <f>G471*IF($N$480="Disetahunkan",12,$P$480)</f>
        <v>0</v>
      </c>
      <c r="U471" s="200"/>
      <c r="V471" s="201"/>
    </row>
    <row r="472" spans="2:22">
      <c r="B472" s="7" t="s">
        <v>29</v>
      </c>
      <c r="G472" s="58">
        <f>(K472*G469)+J472</f>
        <v>0</v>
      </c>
      <c r="J472" s="186"/>
      <c r="K472" s="187"/>
      <c r="L472" s="188"/>
      <c r="M472" s="7" t="s">
        <v>29</v>
      </c>
      <c r="O472" s="90"/>
      <c r="P472" s="90"/>
      <c r="Q472" s="90"/>
      <c r="R472" s="58">
        <f>(V472*R469)+(U472*P480)</f>
        <v>0</v>
      </c>
      <c r="U472" s="192">
        <f t="shared" ref="T472:V472" si="83">J472</f>
        <v>0</v>
      </c>
      <c r="V472" s="193">
        <f t="shared" si="83"/>
        <v>0</v>
      </c>
    </row>
    <row r="473" spans="2:22">
      <c r="B473" s="7" t="s">
        <v>30</v>
      </c>
      <c r="G473" s="15"/>
      <c r="K473" s="47"/>
      <c r="L473" s="189"/>
      <c r="M473" s="7" t="s">
        <v>30</v>
      </c>
      <c r="O473" s="90"/>
      <c r="P473" s="90"/>
      <c r="Q473" s="90"/>
      <c r="R473" s="58">
        <f>G473*IF($N$480="Disetahunkan",12,$P$480)</f>
        <v>0</v>
      </c>
      <c r="V473" s="47"/>
    </row>
    <row r="474" spans="2:22">
      <c r="B474" s="7" t="s">
        <v>31</v>
      </c>
      <c r="G474" s="15"/>
      <c r="K474" s="47"/>
      <c r="L474" s="189"/>
      <c r="M474" s="7" t="s">
        <v>31</v>
      </c>
      <c r="O474" s="90"/>
      <c r="P474" s="90"/>
      <c r="Q474" s="90"/>
      <c r="R474" s="58">
        <f>G474*IF($N$480="Disetahunkan",12,$P$480)</f>
        <v>0</v>
      </c>
      <c r="V474" s="47"/>
    </row>
    <row r="475" spans="2:22">
      <c r="B475" s="7" t="s">
        <v>32</v>
      </c>
      <c r="G475" s="58">
        <f>SUM(G469:G474)</f>
        <v>0</v>
      </c>
      <c r="K475" s="47"/>
      <c r="L475" s="189"/>
      <c r="M475" s="7" t="s">
        <v>33</v>
      </c>
      <c r="O475" s="90"/>
      <c r="P475" s="90"/>
      <c r="Q475" s="90"/>
      <c r="R475" s="15"/>
      <c r="V475" s="47"/>
    </row>
    <row r="476" spans="2:22">
      <c r="B476" s="7" t="s">
        <v>34</v>
      </c>
      <c r="G476" s="58">
        <f>IF(G475*0.05&lt;=500000,G475*0.05,500000)</f>
        <v>0</v>
      </c>
      <c r="K476" s="47"/>
      <c r="L476" s="189"/>
      <c r="M476" s="7" t="s">
        <v>32</v>
      </c>
      <c r="O476" s="90"/>
      <c r="P476" s="90"/>
      <c r="Q476" s="90"/>
      <c r="R476" s="58">
        <f>SUM(R469:R475)</f>
        <v>0</v>
      </c>
      <c r="V476" s="47"/>
    </row>
    <row r="477" spans="2:22">
      <c r="B477" s="7" t="s">
        <v>35</v>
      </c>
      <c r="G477" s="58">
        <f>(K477*G469)+J477</f>
        <v>0</v>
      </c>
      <c r="J477" s="186"/>
      <c r="K477" s="187"/>
      <c r="L477" s="188"/>
      <c r="M477" s="7" t="s">
        <v>34</v>
      </c>
      <c r="O477" s="90"/>
      <c r="P477" s="90"/>
      <c r="Q477" s="90"/>
      <c r="R477" s="58">
        <f>IF(R476*0.05&lt;=500000*IF(N480="Disetahunkan",12,P480),R476*0.05,500000*P480)</f>
        <v>0</v>
      </c>
      <c r="V477" s="47"/>
    </row>
    <row r="478" spans="2:22">
      <c r="B478" s="7" t="s">
        <v>36</v>
      </c>
      <c r="G478" s="58">
        <f>(K478*G475)+J478</f>
        <v>0</v>
      </c>
      <c r="J478" s="186"/>
      <c r="K478" s="187"/>
      <c r="L478" s="188"/>
      <c r="M478" s="7" t="s">
        <v>35</v>
      </c>
      <c r="O478" s="90"/>
      <c r="P478" s="90"/>
      <c r="Q478" s="90"/>
      <c r="R478" s="58">
        <f>(V478*R469)+(U478*P480)</f>
        <v>0</v>
      </c>
      <c r="U478" s="192">
        <f t="shared" ref="T478:V478" si="84">J477</f>
        <v>0</v>
      </c>
      <c r="V478" s="193">
        <f t="shared" si="84"/>
        <v>0</v>
      </c>
    </row>
    <row r="479" spans="2:22">
      <c r="B479" s="7" t="s">
        <v>3</v>
      </c>
      <c r="G479" s="58">
        <f>G475-G476-G477-G478</f>
        <v>0</v>
      </c>
      <c r="K479" s="47"/>
      <c r="L479" s="46"/>
      <c r="M479" s="7" t="s">
        <v>36</v>
      </c>
      <c r="O479" s="90"/>
      <c r="P479" s="90"/>
      <c r="Q479" s="90"/>
      <c r="R479" s="58">
        <f>(V479*R476)+(U479*P480)</f>
        <v>0</v>
      </c>
      <c r="U479" s="192">
        <f t="shared" ref="T479:V479" si="85">J478</f>
        <v>0</v>
      </c>
      <c r="V479" s="193">
        <f t="shared" si="85"/>
        <v>0</v>
      </c>
    </row>
    <row r="480" spans="2:22">
      <c r="B480" s="7" t="s">
        <v>3</v>
      </c>
      <c r="C480" s="204" t="str">
        <f>C434</f>
        <v>Disetahunkan</v>
      </c>
      <c r="D480" s="204"/>
      <c r="E480" s="205">
        <f>E434</f>
        <v>12</v>
      </c>
      <c r="G480" s="58">
        <f>IF(C480="Disetahunkan",G479*12,G479*E480)</f>
        <v>0</v>
      </c>
      <c r="K480" s="47"/>
      <c r="L480" s="46"/>
      <c r="M480" s="7" t="s">
        <v>3</v>
      </c>
      <c r="N480" s="103" t="str">
        <f>C480</f>
        <v>Disetahunkan</v>
      </c>
      <c r="O480" s="103"/>
      <c r="P480" s="104">
        <f>E480</f>
        <v>12</v>
      </c>
      <c r="Q480" s="90"/>
      <c r="R480" s="58">
        <f>R476-R477-R478-R479</f>
        <v>0</v>
      </c>
      <c r="V480" s="47"/>
    </row>
    <row r="481" spans="2:22">
      <c r="B481" s="7" t="s">
        <v>1</v>
      </c>
      <c r="C481" s="172" t="str">
        <f>J1</f>
        <v>TK/0</v>
      </c>
      <c r="D481" s="172"/>
      <c r="E481" s="105"/>
      <c r="G481" s="58">
        <f>VLOOKUP(C481,P489:Q496,2,FALSE)</f>
        <v>54000000</v>
      </c>
      <c r="K481" s="47"/>
      <c r="L481" s="46"/>
      <c r="M481" s="7" t="s">
        <v>1</v>
      </c>
      <c r="N481" s="103" t="str">
        <f>C481</f>
        <v>TK/0</v>
      </c>
      <c r="O481" s="103"/>
      <c r="P481" s="105"/>
      <c r="Q481" s="90"/>
      <c r="R481" s="58">
        <f>G481</f>
        <v>54000000</v>
      </c>
      <c r="V481" s="47"/>
    </row>
    <row r="482" spans="2:22">
      <c r="B482" s="7" t="s">
        <v>37</v>
      </c>
      <c r="D482" s="105"/>
      <c r="E482" s="105"/>
      <c r="G482" s="58">
        <f>IF(G480&gt;G481,ROUNDDOWN(G480-G481,-3),0)</f>
        <v>0</v>
      </c>
      <c r="K482" s="47"/>
      <c r="L482" s="46"/>
      <c r="M482" s="7" t="s">
        <v>37</v>
      </c>
      <c r="O482" s="105"/>
      <c r="P482" s="105"/>
      <c r="Q482" s="90"/>
      <c r="R482" s="58">
        <f>IF(R480&gt;R481,ROUNDDOWN(R480-R481,-3),0)</f>
        <v>0</v>
      </c>
      <c r="V482" s="47"/>
    </row>
    <row r="483" spans="2:22">
      <c r="B483" s="7" t="s">
        <v>38</v>
      </c>
      <c r="C483" s="59" t="str">
        <f>C480</f>
        <v>Disetahunkan</v>
      </c>
      <c r="D483" s="106"/>
      <c r="G483" s="58">
        <f>IF(G482&lt;=50000000,G482*0.05,IF(G482&lt;=250000000,(G482-50000000)*0.15+2500000,IF(G482&lt;=500000000,(G482-250000000)*0.25+32500000,IF(G482&gt;500000000,(G482-500000000)*0.3+95000000,"no"))))*IF(C467="Ada",1,1.2)</f>
        <v>0</v>
      </c>
      <c r="K483" s="47"/>
      <c r="L483" s="46"/>
      <c r="M483" s="7" t="s">
        <v>38</v>
      </c>
      <c r="N483" s="59" t="str">
        <f>N480</f>
        <v>Disetahunkan</v>
      </c>
      <c r="O483" s="106"/>
      <c r="P483" s="90"/>
      <c r="Q483" s="90"/>
      <c r="R483" s="58">
        <f>IF(R482&lt;=50000000,R482*0.05,IF(R482&lt;=250000000,(R482-50000000)*0.15+2500000,IF(R482&lt;=500000000,(R482-250000000)*0.25+32500000,IF(R482&gt;500000000,(R482-500000000)*0.3+95000000,"no"))))*IF(N467="Ada",1,1.2)</f>
        <v>0</v>
      </c>
      <c r="V483" s="47"/>
    </row>
    <row r="484" ht="15.75" spans="2:22">
      <c r="B484" s="29" t="s">
        <v>39</v>
      </c>
      <c r="C484" s="30"/>
      <c r="D484" s="107"/>
      <c r="E484" s="107"/>
      <c r="F484" s="107"/>
      <c r="G484" s="61">
        <f>ROUNDUP(IF(C480="Disetahunkan",G483/12,G483/E480),0)</f>
        <v>0</v>
      </c>
      <c r="H484" s="30"/>
      <c r="I484" s="30"/>
      <c r="J484" s="30"/>
      <c r="K484" s="166"/>
      <c r="L484" s="46"/>
      <c r="M484" s="29" t="s">
        <v>40</v>
      </c>
      <c r="N484" s="30"/>
      <c r="O484" s="107"/>
      <c r="P484" s="107"/>
      <c r="Q484" s="107"/>
      <c r="R484" s="61">
        <f>R483-IF(G504&gt;G483,G504,G483)</f>
        <v>0</v>
      </c>
      <c r="S484" s="30"/>
      <c r="T484" s="202"/>
      <c r="U484" s="202"/>
      <c r="V484" s="203"/>
    </row>
    <row r="485" ht="16.5" spans="2:22">
      <c r="B485" s="46"/>
      <c r="C485" s="46"/>
      <c r="D485" s="155"/>
      <c r="E485" s="155"/>
      <c r="F485" s="155"/>
      <c r="G485" s="10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</row>
    <row r="486" ht="15.75" spans="2:22">
      <c r="B486" s="168" t="s">
        <v>41</v>
      </c>
      <c r="C486" s="169"/>
      <c r="D486" s="169"/>
      <c r="E486" s="100"/>
      <c r="F486" s="100"/>
      <c r="G486" s="153"/>
      <c r="H486" s="174"/>
      <c r="I486" s="174"/>
      <c r="J486" s="42"/>
      <c r="K486" s="45"/>
      <c r="V486" s="46"/>
    </row>
    <row r="487" ht="15.75" spans="2:22">
      <c r="B487" s="7"/>
      <c r="K487" s="47"/>
      <c r="V487" s="46"/>
    </row>
    <row r="488" ht="15.75" spans="2:17">
      <c r="B488" s="7" t="s">
        <v>22</v>
      </c>
      <c r="C488" s="103" t="str">
        <f>C467</f>
        <v>Ada</v>
      </c>
      <c r="D488" s="103"/>
      <c r="E488" s="90" t="s">
        <v>42</v>
      </c>
      <c r="G488" s="175">
        <v>4</v>
      </c>
      <c r="K488" s="33"/>
      <c r="L488" s="1"/>
      <c r="N488" s="141"/>
      <c r="O488" s="141"/>
      <c r="P488" s="142" t="s">
        <v>43</v>
      </c>
      <c r="Q488" s="149"/>
    </row>
    <row r="489" spans="2:17">
      <c r="B489" s="7"/>
      <c r="K489" s="33"/>
      <c r="L489" s="1"/>
      <c r="N489" s="143" t="s">
        <v>44</v>
      </c>
      <c r="O489" s="144">
        <v>0</v>
      </c>
      <c r="P489" s="7" t="str">
        <f t="shared" ref="P489:P496" si="86">N489&amp;O489</f>
        <v>TK/0</v>
      </c>
      <c r="Q489" s="150">
        <f t="shared" ref="Q489:Q496" si="87">54000000+IF(N489="K/",4500000,0)+(O489*4500000)</f>
        <v>54000000</v>
      </c>
    </row>
    <row r="490" spans="2:17">
      <c r="B490" s="7" t="s">
        <v>45</v>
      </c>
      <c r="G490" s="58">
        <f>G469+(J490/G488)</f>
        <v>0</v>
      </c>
      <c r="I490" t="s">
        <v>46</v>
      </c>
      <c r="J490" s="11"/>
      <c r="K490" s="190"/>
      <c r="L490" s="191"/>
      <c r="N490" s="143" t="s">
        <v>44</v>
      </c>
      <c r="O490" s="144">
        <v>1</v>
      </c>
      <c r="P490" s="7" t="str">
        <f t="shared" si="86"/>
        <v>TK/1</v>
      </c>
      <c r="Q490" s="150">
        <f t="shared" si="87"/>
        <v>58500000</v>
      </c>
    </row>
    <row r="491" spans="2:17">
      <c r="B491" s="7" t="s">
        <v>47</v>
      </c>
      <c r="G491" s="58">
        <f>G470+(J491/G488)</f>
        <v>0</v>
      </c>
      <c r="I491" t="s">
        <v>46</v>
      </c>
      <c r="J491" s="11"/>
      <c r="K491" s="190"/>
      <c r="L491" s="191"/>
      <c r="N491" s="143" t="s">
        <v>44</v>
      </c>
      <c r="O491" s="144">
        <v>2</v>
      </c>
      <c r="P491" s="7" t="str">
        <f t="shared" si="86"/>
        <v>TK/2</v>
      </c>
      <c r="Q491" s="150">
        <f t="shared" si="87"/>
        <v>63000000</v>
      </c>
    </row>
    <row r="492" spans="2:17">
      <c r="B492" s="7" t="s">
        <v>26</v>
      </c>
      <c r="G492" s="58">
        <f t="shared" ref="G492:G495" si="88">G471</f>
        <v>0</v>
      </c>
      <c r="K492" s="33"/>
      <c r="L492" s="34"/>
      <c r="N492" s="143" t="s">
        <v>44</v>
      </c>
      <c r="O492" s="144">
        <v>3</v>
      </c>
      <c r="P492" s="7" t="str">
        <f t="shared" si="86"/>
        <v>TK/3</v>
      </c>
      <c r="Q492" s="150">
        <f t="shared" si="87"/>
        <v>67500000</v>
      </c>
    </row>
    <row r="493" spans="2:17">
      <c r="B493" s="7" t="s">
        <v>29</v>
      </c>
      <c r="G493" s="58">
        <f>(K493*G490)+J493</f>
        <v>0</v>
      </c>
      <c r="J493" s="192">
        <f t="shared" ref="I493:K493" si="89">J472</f>
        <v>0</v>
      </c>
      <c r="K493" s="193">
        <f t="shared" si="89"/>
        <v>0</v>
      </c>
      <c r="L493" s="194"/>
      <c r="N493" s="143" t="s">
        <v>48</v>
      </c>
      <c r="O493" s="144">
        <v>0</v>
      </c>
      <c r="P493" s="7" t="str">
        <f t="shared" si="86"/>
        <v>K/0</v>
      </c>
      <c r="Q493" s="150">
        <f t="shared" si="87"/>
        <v>58500000</v>
      </c>
    </row>
    <row r="494" spans="2:17">
      <c r="B494" s="7" t="s">
        <v>30</v>
      </c>
      <c r="G494" s="58">
        <f t="shared" si="88"/>
        <v>0</v>
      </c>
      <c r="K494" s="33"/>
      <c r="L494" s="34"/>
      <c r="N494" s="143" t="s">
        <v>48</v>
      </c>
      <c r="O494" s="144">
        <v>1</v>
      </c>
      <c r="P494" s="7" t="str">
        <f t="shared" si="86"/>
        <v>K/1</v>
      </c>
      <c r="Q494" s="150">
        <f t="shared" si="87"/>
        <v>63000000</v>
      </c>
    </row>
    <row r="495" spans="2:17">
      <c r="B495" s="7" t="s">
        <v>31</v>
      </c>
      <c r="G495" s="58">
        <f t="shared" si="88"/>
        <v>0</v>
      </c>
      <c r="K495" s="33"/>
      <c r="L495" s="34"/>
      <c r="N495" s="143" t="s">
        <v>48</v>
      </c>
      <c r="O495" s="144">
        <v>2</v>
      </c>
      <c r="P495" s="7" t="str">
        <f t="shared" si="86"/>
        <v>K/2</v>
      </c>
      <c r="Q495" s="150">
        <f t="shared" si="87"/>
        <v>67500000</v>
      </c>
    </row>
    <row r="496" ht="15.75" spans="2:17">
      <c r="B496" s="7" t="s">
        <v>32</v>
      </c>
      <c r="G496" s="58">
        <f>SUM(G490:G495)</f>
        <v>0</v>
      </c>
      <c r="K496" s="33"/>
      <c r="L496" s="34"/>
      <c r="N496" s="143" t="s">
        <v>48</v>
      </c>
      <c r="O496" s="144">
        <v>3</v>
      </c>
      <c r="P496" s="29" t="str">
        <f t="shared" si="86"/>
        <v>K/3</v>
      </c>
      <c r="Q496" s="151">
        <f t="shared" si="87"/>
        <v>72000000</v>
      </c>
    </row>
    <row r="497" ht="15.75" spans="2:22">
      <c r="B497" s="7" t="s">
        <v>34</v>
      </c>
      <c r="G497" s="58">
        <f>IF(G496*0.05&lt;=500000,G496*0.05,500000)</f>
        <v>0</v>
      </c>
      <c r="K497" s="33"/>
      <c r="L497" s="34"/>
      <c r="V497" s="46"/>
    </row>
    <row r="498" spans="2:22">
      <c r="B498" s="7" t="s">
        <v>35</v>
      </c>
      <c r="G498" s="58">
        <f>(K498*G490)+J498</f>
        <v>0</v>
      </c>
      <c r="J498" s="192">
        <f t="shared" ref="I498:K498" si="90">J477</f>
        <v>0</v>
      </c>
      <c r="K498" s="193">
        <f t="shared" si="90"/>
        <v>0</v>
      </c>
      <c r="L498" s="194"/>
      <c r="V498" s="46"/>
    </row>
    <row r="499" spans="2:22">
      <c r="B499" s="7" t="s">
        <v>36</v>
      </c>
      <c r="G499" s="58">
        <f>(K499*G496)+J499</f>
        <v>0</v>
      </c>
      <c r="J499" s="192">
        <f t="shared" ref="I499:K499" si="91">J478</f>
        <v>0</v>
      </c>
      <c r="K499" s="193">
        <f t="shared" si="91"/>
        <v>0</v>
      </c>
      <c r="L499" s="194"/>
      <c r="V499" s="46"/>
    </row>
    <row r="500" spans="2:22">
      <c r="B500" s="7" t="s">
        <v>3</v>
      </c>
      <c r="G500" s="58">
        <f>G496-G497-G498-G499</f>
        <v>0</v>
      </c>
      <c r="K500" s="33"/>
      <c r="L500" s="1"/>
      <c r="V500" s="46"/>
    </row>
    <row r="501" spans="2:22">
      <c r="B501" s="7" t="s">
        <v>3</v>
      </c>
      <c r="C501" s="103" t="str">
        <f>C480</f>
        <v>Disetahunkan</v>
      </c>
      <c r="D501" s="103"/>
      <c r="E501" s="104">
        <f>E480</f>
        <v>12</v>
      </c>
      <c r="G501" s="58">
        <f>IF(C501="Disetahunkan",G500*12,G500*E501)</f>
        <v>0</v>
      </c>
      <c r="K501" s="33"/>
      <c r="L501" s="1"/>
      <c r="V501" s="46"/>
    </row>
    <row r="502" spans="2:22">
      <c r="B502" s="7" t="s">
        <v>1</v>
      </c>
      <c r="C502" s="103" t="str">
        <f>C481</f>
        <v>TK/0</v>
      </c>
      <c r="D502" s="103"/>
      <c r="E502" s="105"/>
      <c r="G502" s="58">
        <f>G481</f>
        <v>54000000</v>
      </c>
      <c r="K502" s="33"/>
      <c r="L502" s="1"/>
      <c r="V502" s="46"/>
    </row>
    <row r="503" spans="2:22">
      <c r="B503" s="7" t="s">
        <v>37</v>
      </c>
      <c r="D503" s="105"/>
      <c r="E503" s="105"/>
      <c r="G503" s="58">
        <f>IF(G501&gt;G502,ROUNDDOWN(G501-G502,-3),0)</f>
        <v>0</v>
      </c>
      <c r="K503" s="33"/>
      <c r="L503" s="1"/>
      <c r="V503" s="46"/>
    </row>
    <row r="504" spans="2:22">
      <c r="B504" s="7" t="s">
        <v>38</v>
      </c>
      <c r="C504" s="59" t="str">
        <f>C501</f>
        <v>Disetahunkan</v>
      </c>
      <c r="D504" s="106"/>
      <c r="G504" s="58">
        <f>IF(G503&lt;=50000000,G503*0.05,IF(G503&lt;=250000000,(G503-50000000)*0.15+2500000,IF(G503&lt;=500000000,(G503-250000000)*0.25+32500000,IF(G503&gt;500000000,(G503-500000000)*0.3+95000000,"no"))))*IF(C488="Ada",1,1.2)</f>
        <v>0</v>
      </c>
      <c r="K504" s="33"/>
      <c r="L504" s="1"/>
      <c r="V504" s="46"/>
    </row>
    <row r="505" spans="2:22">
      <c r="B505" s="7" t="s">
        <v>49</v>
      </c>
      <c r="G505" s="58">
        <f>ROUNDUP(IF(C501="Disetahunkan",G504/12,G504/E501),0)</f>
        <v>0</v>
      </c>
      <c r="K505" s="33"/>
      <c r="L505" s="1"/>
      <c r="V505" s="46"/>
    </row>
    <row r="506" ht="15.75" spans="2:22">
      <c r="B506" s="29" t="s">
        <v>41</v>
      </c>
      <c r="C506" s="30"/>
      <c r="D506" s="107"/>
      <c r="E506" s="107"/>
      <c r="F506" s="107"/>
      <c r="G506" s="61">
        <f>(G505-G484)*G488</f>
        <v>0</v>
      </c>
      <c r="H506" s="30"/>
      <c r="I506" s="30"/>
      <c r="J506" s="30"/>
      <c r="K506" s="195"/>
      <c r="L506" s="10"/>
      <c r="M506" s="46"/>
      <c r="N506" s="46"/>
      <c r="O506" s="46"/>
      <c r="P506" s="46"/>
      <c r="Q506" s="46"/>
      <c r="R506" s="46"/>
      <c r="S506" s="46"/>
      <c r="T506" s="46"/>
      <c r="U506" s="46"/>
      <c r="V506" s="46"/>
    </row>
    <row r="507" ht="15.75" spans="13:17">
      <c r="M507" s="206" t="s">
        <v>51</v>
      </c>
      <c r="N507" s="206"/>
      <c r="O507" s="206"/>
      <c r="P507" s="206"/>
      <c r="Q507" s="206"/>
    </row>
    <row r="508" ht="15.75" spans="2:22">
      <c r="B508" s="176" t="s">
        <v>50</v>
      </c>
      <c r="C508" s="176"/>
      <c r="D508" s="176"/>
      <c r="E508" s="176"/>
      <c r="F508" s="176"/>
      <c r="G508" s="61">
        <f>IF(G469&gt;0,IF(C488="Ada",G484+R484+G506-R508,G484+R484+G506),G462)</f>
        <v>0</v>
      </c>
      <c r="H508" s="30"/>
      <c r="I508" s="30"/>
      <c r="J508" s="30"/>
      <c r="K508" s="30"/>
      <c r="L508" s="30"/>
      <c r="M508" s="207"/>
      <c r="N508" s="207"/>
      <c r="O508" s="207"/>
      <c r="P508" s="207"/>
      <c r="Q508" s="207"/>
      <c r="R508" s="31">
        <f>IF(C421="Tidak Ada",20/120*(G48+G94+G140+G186+G232+G278+G324+G370+G416+G462),0)</f>
        <v>0</v>
      </c>
      <c r="S508" s="30"/>
      <c r="T508" s="30"/>
      <c r="U508" s="30"/>
      <c r="V508" s="30"/>
    </row>
    <row r="509" ht="16.5"/>
    <row r="510" ht="15.75" spans="2:3">
      <c r="B510" s="208" t="s">
        <v>18</v>
      </c>
      <c r="C510" s="209"/>
    </row>
    <row r="511" ht="15.75" spans="2:22">
      <c r="B511" s="168" t="s">
        <v>20</v>
      </c>
      <c r="C511" s="169"/>
      <c r="D511" s="169"/>
      <c r="E511" s="169"/>
      <c r="F511" s="100"/>
      <c r="G511" s="153"/>
      <c r="H511" s="170"/>
      <c r="I511" s="170"/>
      <c r="J511" s="42"/>
      <c r="K511" s="45"/>
      <c r="L511" s="46"/>
      <c r="M511" s="168" t="s">
        <v>21</v>
      </c>
      <c r="N511" s="169"/>
      <c r="O511" s="169"/>
      <c r="P511" s="169"/>
      <c r="Q511" s="169"/>
      <c r="R511" s="43"/>
      <c r="S511" s="174"/>
      <c r="T511" s="174"/>
      <c r="U511" s="42"/>
      <c r="V511" s="45"/>
    </row>
    <row r="512" spans="2:22">
      <c r="B512" s="7"/>
      <c r="K512" s="47"/>
      <c r="L512" s="46"/>
      <c r="M512" s="7"/>
      <c r="V512" s="47"/>
    </row>
    <row r="513" spans="2:22">
      <c r="B513" s="7" t="s">
        <v>22</v>
      </c>
      <c r="C513" s="171" t="str">
        <f>C467</f>
        <v>Ada</v>
      </c>
      <c r="D513" s="171"/>
      <c r="K513" s="47"/>
      <c r="L513" s="46"/>
      <c r="M513" s="7" t="s">
        <v>22</v>
      </c>
      <c r="N513" s="103" t="str">
        <f>C513</f>
        <v>Ada</v>
      </c>
      <c r="O513" s="103"/>
      <c r="P513" s="90"/>
      <c r="Q513" s="90"/>
      <c r="R513" s="1"/>
      <c r="V513" s="47"/>
    </row>
    <row r="514" spans="2:22">
      <c r="B514" s="7"/>
      <c r="K514" s="47"/>
      <c r="L514" s="46"/>
      <c r="M514" s="7"/>
      <c r="O514" s="90"/>
      <c r="P514" s="90"/>
      <c r="Q514" s="90"/>
      <c r="R514" s="1"/>
      <c r="V514" s="47"/>
    </row>
    <row r="515" spans="2:22">
      <c r="B515" s="7" t="s">
        <v>24</v>
      </c>
      <c r="G515" s="15"/>
      <c r="K515" s="47"/>
      <c r="L515" s="46"/>
      <c r="M515" s="7" t="s">
        <v>24</v>
      </c>
      <c r="O515" s="90"/>
      <c r="P515" s="90"/>
      <c r="Q515" s="90"/>
      <c r="R515" s="58">
        <f>IF(G536&gt;G515,G536,G515)*IF($N$526="Disetahunkan",12,$P$526)</f>
        <v>0</v>
      </c>
      <c r="V515" s="47"/>
    </row>
    <row r="516" spans="2:22">
      <c r="B516" s="7" t="s">
        <v>25</v>
      </c>
      <c r="G516" s="15"/>
      <c r="K516" s="47"/>
      <c r="L516" s="46"/>
      <c r="M516" s="7" t="s">
        <v>25</v>
      </c>
      <c r="O516" s="90"/>
      <c r="P516" s="90"/>
      <c r="Q516" s="90"/>
      <c r="R516" s="58">
        <f>IF(G537&gt;G516,G537,G516)*IF($N$526="Disetahunkan",12,$P$526)</f>
        <v>0</v>
      </c>
      <c r="V516" s="47"/>
    </row>
    <row r="517" spans="2:22">
      <c r="B517" s="7" t="s">
        <v>26</v>
      </c>
      <c r="G517" s="15"/>
      <c r="J517" s="184" t="s">
        <v>27</v>
      </c>
      <c r="K517" s="185" t="s">
        <v>28</v>
      </c>
      <c r="L517" s="46"/>
      <c r="M517" s="7" t="s">
        <v>26</v>
      </c>
      <c r="O517" s="90"/>
      <c r="P517" s="90"/>
      <c r="Q517" s="90"/>
      <c r="R517" s="58">
        <f>G517*IF($N$526="Disetahunkan",12,$P$526)</f>
        <v>0</v>
      </c>
      <c r="U517" s="200"/>
      <c r="V517" s="201"/>
    </row>
    <row r="518" spans="2:22">
      <c r="B518" s="7" t="s">
        <v>29</v>
      </c>
      <c r="G518" s="58">
        <f>(K518*G515)+J518</f>
        <v>0</v>
      </c>
      <c r="J518" s="186"/>
      <c r="K518" s="187"/>
      <c r="L518" s="188"/>
      <c r="M518" s="7" t="s">
        <v>29</v>
      </c>
      <c r="O518" s="90"/>
      <c r="P518" s="90"/>
      <c r="Q518" s="90"/>
      <c r="R518" s="58">
        <f>(V518*R515)+(U518*P526)</f>
        <v>0</v>
      </c>
      <c r="U518" s="192">
        <f t="shared" ref="T518:V518" si="92">J518</f>
        <v>0</v>
      </c>
      <c r="V518" s="193">
        <f t="shared" si="92"/>
        <v>0</v>
      </c>
    </row>
    <row r="519" spans="2:22">
      <c r="B519" s="7" t="s">
        <v>30</v>
      </c>
      <c r="G519" s="15"/>
      <c r="K519" s="47"/>
      <c r="L519" s="189"/>
      <c r="M519" s="7" t="s">
        <v>30</v>
      </c>
      <c r="O519" s="90"/>
      <c r="P519" s="90"/>
      <c r="Q519" s="90"/>
      <c r="R519" s="58">
        <f>G519*IF($N$526="Disetahunkan",12,$P$526)</f>
        <v>0</v>
      </c>
      <c r="V519" s="47"/>
    </row>
    <row r="520" spans="2:22">
      <c r="B520" s="7" t="s">
        <v>31</v>
      </c>
      <c r="G520" s="15"/>
      <c r="K520" s="47"/>
      <c r="L520" s="189"/>
      <c r="M520" s="7" t="s">
        <v>31</v>
      </c>
      <c r="O520" s="90"/>
      <c r="P520" s="90"/>
      <c r="Q520" s="90"/>
      <c r="R520" s="58">
        <f>G520*IF($N$526="Disetahunkan",12,$P$526)</f>
        <v>0</v>
      </c>
      <c r="V520" s="47"/>
    </row>
    <row r="521" spans="2:22">
      <c r="B521" s="7" t="s">
        <v>32</v>
      </c>
      <c r="G521" s="58">
        <f>SUM(G515:G520)</f>
        <v>0</v>
      </c>
      <c r="K521" s="47"/>
      <c r="L521" s="189"/>
      <c r="M521" s="7" t="s">
        <v>33</v>
      </c>
      <c r="O521" s="90"/>
      <c r="P521" s="90"/>
      <c r="Q521" s="90"/>
      <c r="R521" s="15"/>
      <c r="V521" s="47"/>
    </row>
    <row r="522" spans="2:22">
      <c r="B522" s="7" t="s">
        <v>34</v>
      </c>
      <c r="G522" s="58">
        <f>IF(G521*0.05&lt;=500000,G521*0.05,500000)</f>
        <v>0</v>
      </c>
      <c r="K522" s="47"/>
      <c r="L522" s="189"/>
      <c r="M522" s="7" t="s">
        <v>32</v>
      </c>
      <c r="O522" s="90"/>
      <c r="P522" s="90"/>
      <c r="Q522" s="90"/>
      <c r="R522" s="58">
        <f>SUM(R515:R521)</f>
        <v>0</v>
      </c>
      <c r="V522" s="47"/>
    </row>
    <row r="523" spans="2:22">
      <c r="B523" s="7" t="s">
        <v>35</v>
      </c>
      <c r="G523" s="58">
        <f>(K523*G515)+J523</f>
        <v>0</v>
      </c>
      <c r="J523" s="186"/>
      <c r="K523" s="187"/>
      <c r="L523" s="188"/>
      <c r="M523" s="7" t="s">
        <v>34</v>
      </c>
      <c r="O523" s="90"/>
      <c r="P523" s="90"/>
      <c r="Q523" s="90"/>
      <c r="R523" s="58">
        <f>IF(R522*0.05&lt;=500000*IF(N526="Disetahunkan",12,P526),R522*0.05,500000*P526)</f>
        <v>0</v>
      </c>
      <c r="V523" s="47"/>
    </row>
    <row r="524" spans="2:22">
      <c r="B524" s="7" t="s">
        <v>36</v>
      </c>
      <c r="G524" s="58">
        <f>(K524*G521)+J524</f>
        <v>0</v>
      </c>
      <c r="J524" s="186"/>
      <c r="K524" s="187"/>
      <c r="L524" s="188"/>
      <c r="M524" s="7" t="s">
        <v>35</v>
      </c>
      <c r="O524" s="90"/>
      <c r="P524" s="90"/>
      <c r="Q524" s="90"/>
      <c r="R524" s="58">
        <f>(V524*R515)+(U524*P526)</f>
        <v>0</v>
      </c>
      <c r="U524" s="192">
        <f t="shared" ref="T524:V524" si="93">J523</f>
        <v>0</v>
      </c>
      <c r="V524" s="193">
        <f t="shared" si="93"/>
        <v>0</v>
      </c>
    </row>
    <row r="525" spans="2:22">
      <c r="B525" s="7" t="s">
        <v>3</v>
      </c>
      <c r="G525" s="58">
        <f>G521-G522-G523-G524</f>
        <v>0</v>
      </c>
      <c r="K525" s="47"/>
      <c r="L525" s="46"/>
      <c r="M525" s="7" t="s">
        <v>36</v>
      </c>
      <c r="O525" s="90"/>
      <c r="P525" s="90"/>
      <c r="Q525" s="90"/>
      <c r="R525" s="58">
        <f>(V525*R522)+(U525*P526)</f>
        <v>0</v>
      </c>
      <c r="U525" s="192">
        <f t="shared" ref="T525:V525" si="94">J524</f>
        <v>0</v>
      </c>
      <c r="V525" s="193">
        <f t="shared" si="94"/>
        <v>0</v>
      </c>
    </row>
    <row r="526" spans="2:22">
      <c r="B526" s="7" t="s">
        <v>3</v>
      </c>
      <c r="C526" s="204" t="str">
        <f>C480</f>
        <v>Disetahunkan</v>
      </c>
      <c r="D526" s="204"/>
      <c r="E526" s="205">
        <f>E480</f>
        <v>12</v>
      </c>
      <c r="G526" s="58">
        <f>IF(C526="Disetahunkan",G525*12,G525*E526)</f>
        <v>0</v>
      </c>
      <c r="K526" s="47"/>
      <c r="L526" s="46"/>
      <c r="M526" s="7" t="s">
        <v>3</v>
      </c>
      <c r="N526" s="103" t="str">
        <f>C526</f>
        <v>Disetahunkan</v>
      </c>
      <c r="O526" s="103"/>
      <c r="P526" s="104">
        <f>E526</f>
        <v>12</v>
      </c>
      <c r="Q526" s="90"/>
      <c r="R526" s="58">
        <f>R522-R523-R524-R525</f>
        <v>0</v>
      </c>
      <c r="V526" s="47"/>
    </row>
    <row r="527" spans="2:22">
      <c r="B527" s="7" t="s">
        <v>1</v>
      </c>
      <c r="C527" s="172" t="str">
        <f>J1</f>
        <v>TK/0</v>
      </c>
      <c r="D527" s="172"/>
      <c r="E527" s="105"/>
      <c r="G527" s="58">
        <f>VLOOKUP(C527,P535:Q542,2,FALSE)</f>
        <v>54000000</v>
      </c>
      <c r="K527" s="47"/>
      <c r="L527" s="46"/>
      <c r="M527" s="7" t="s">
        <v>1</v>
      </c>
      <c r="N527" s="103" t="str">
        <f>C527</f>
        <v>TK/0</v>
      </c>
      <c r="O527" s="103"/>
      <c r="P527" s="105"/>
      <c r="Q527" s="90"/>
      <c r="R527" s="58">
        <f>G527</f>
        <v>54000000</v>
      </c>
      <c r="V527" s="47"/>
    </row>
    <row r="528" spans="2:22">
      <c r="B528" s="7" t="s">
        <v>37</v>
      </c>
      <c r="D528" s="105"/>
      <c r="E528" s="105"/>
      <c r="G528" s="58">
        <f>IF(G526&gt;G527,ROUNDDOWN(G526-G527,-3),0)</f>
        <v>0</v>
      </c>
      <c r="K528" s="47"/>
      <c r="L528" s="46"/>
      <c r="M528" s="7" t="s">
        <v>37</v>
      </c>
      <c r="O528" s="105"/>
      <c r="P528" s="105"/>
      <c r="Q528" s="90"/>
      <c r="R528" s="58">
        <f>IF(R526&gt;R527,ROUNDDOWN(R526-R527,-3),0)</f>
        <v>0</v>
      </c>
      <c r="V528" s="47"/>
    </row>
    <row r="529" spans="2:22">
      <c r="B529" s="7" t="s">
        <v>38</v>
      </c>
      <c r="C529" s="59" t="str">
        <f>C526</f>
        <v>Disetahunkan</v>
      </c>
      <c r="D529" s="106"/>
      <c r="G529" s="58">
        <f>IF(G528&lt;=50000000,G528*0.05,IF(G528&lt;=250000000,(G528-50000000)*0.15+2500000,IF(G528&lt;=500000000,(G528-250000000)*0.25+32500000,IF(G528&gt;500000000,(G528-500000000)*0.3+95000000,"no"))))*IF(C513="Ada",1,1.2)</f>
        <v>0</v>
      </c>
      <c r="K529" s="47"/>
      <c r="L529" s="46"/>
      <c r="M529" s="7" t="s">
        <v>38</v>
      </c>
      <c r="N529" s="59" t="str">
        <f>N526</f>
        <v>Disetahunkan</v>
      </c>
      <c r="O529" s="106"/>
      <c r="P529" s="90"/>
      <c r="Q529" s="90"/>
      <c r="R529" s="58">
        <f>IF(R528&lt;=50000000,R528*0.05,IF(R528&lt;=250000000,(R528-50000000)*0.15+2500000,IF(R528&lt;=500000000,(R528-250000000)*0.25+32500000,IF(R528&gt;500000000,(R528-500000000)*0.3+95000000,"no"))))*IF(N513="Ada",1,1.2)</f>
        <v>0</v>
      </c>
      <c r="V529" s="47"/>
    </row>
    <row r="530" ht="15.75" spans="2:22">
      <c r="B530" s="29" t="s">
        <v>39</v>
      </c>
      <c r="C530" s="30"/>
      <c r="D530" s="107"/>
      <c r="E530" s="107"/>
      <c r="F530" s="107"/>
      <c r="G530" s="61">
        <f>ROUNDUP(IF(C526="Disetahunkan",G529/12,G529/E526),0)</f>
        <v>0</v>
      </c>
      <c r="H530" s="30"/>
      <c r="I530" s="30"/>
      <c r="J530" s="30"/>
      <c r="K530" s="166"/>
      <c r="L530" s="46"/>
      <c r="M530" s="29" t="s">
        <v>40</v>
      </c>
      <c r="N530" s="30"/>
      <c r="O530" s="107"/>
      <c r="P530" s="107"/>
      <c r="Q530" s="107"/>
      <c r="R530" s="61">
        <f>R529-IF(G550&gt;G529,G550,G529)</f>
        <v>0</v>
      </c>
      <c r="S530" s="30"/>
      <c r="T530" s="202"/>
      <c r="U530" s="202"/>
      <c r="V530" s="203"/>
    </row>
    <row r="531" ht="16.5" spans="2:22">
      <c r="B531" s="46"/>
      <c r="C531" s="46"/>
      <c r="D531" s="155"/>
      <c r="E531" s="155"/>
      <c r="F531" s="155"/>
      <c r="G531" s="10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</row>
    <row r="532" ht="15.75" spans="2:22">
      <c r="B532" s="168" t="s">
        <v>41</v>
      </c>
      <c r="C532" s="169"/>
      <c r="D532" s="169"/>
      <c r="E532" s="100"/>
      <c r="F532" s="100"/>
      <c r="G532" s="153"/>
      <c r="H532" s="174"/>
      <c r="I532" s="174"/>
      <c r="J532" s="42"/>
      <c r="K532" s="45"/>
      <c r="V532" s="46"/>
    </row>
    <row r="533" ht="15.75" spans="2:22">
      <c r="B533" s="7"/>
      <c r="K533" s="47"/>
      <c r="V533" s="46"/>
    </row>
    <row r="534" ht="15.75" spans="2:17">
      <c r="B534" s="7" t="s">
        <v>22</v>
      </c>
      <c r="C534" s="103" t="str">
        <f>C513</f>
        <v>Ada</v>
      </c>
      <c r="D534" s="103"/>
      <c r="E534" s="90" t="s">
        <v>42</v>
      </c>
      <c r="G534" s="175">
        <v>4</v>
      </c>
      <c r="K534" s="33"/>
      <c r="L534" s="1"/>
      <c r="N534" s="141"/>
      <c r="O534" s="141"/>
      <c r="P534" s="142" t="s">
        <v>43</v>
      </c>
      <c r="Q534" s="149"/>
    </row>
    <row r="535" spans="2:17">
      <c r="B535" s="7"/>
      <c r="K535" s="33"/>
      <c r="L535" s="1"/>
      <c r="N535" s="143" t="s">
        <v>44</v>
      </c>
      <c r="O535" s="144">
        <v>0</v>
      </c>
      <c r="P535" s="7" t="str">
        <f t="shared" ref="P535:P542" si="95">N535&amp;O535</f>
        <v>TK/0</v>
      </c>
      <c r="Q535" s="150">
        <f t="shared" ref="Q535:Q542" si="96">54000000+IF(N535="K/",4500000,0)+(O535*4500000)</f>
        <v>54000000</v>
      </c>
    </row>
    <row r="536" spans="2:17">
      <c r="B536" s="7" t="s">
        <v>45</v>
      </c>
      <c r="G536" s="58">
        <f>G515+(J536/G534)</f>
        <v>0</v>
      </c>
      <c r="I536" t="s">
        <v>46</v>
      </c>
      <c r="J536" s="11"/>
      <c r="K536" s="190"/>
      <c r="L536" s="191"/>
      <c r="N536" s="143" t="s">
        <v>44</v>
      </c>
      <c r="O536" s="144">
        <v>1</v>
      </c>
      <c r="P536" s="7" t="str">
        <f t="shared" si="95"/>
        <v>TK/1</v>
      </c>
      <c r="Q536" s="150">
        <f t="shared" si="96"/>
        <v>58500000</v>
      </c>
    </row>
    <row r="537" spans="2:17">
      <c r="B537" s="7" t="s">
        <v>47</v>
      </c>
      <c r="G537" s="58">
        <f>G516+(J537/G534)</f>
        <v>0</v>
      </c>
      <c r="I537" t="s">
        <v>46</v>
      </c>
      <c r="J537" s="11"/>
      <c r="K537" s="190"/>
      <c r="L537" s="191"/>
      <c r="N537" s="143" t="s">
        <v>44</v>
      </c>
      <c r="O537" s="144">
        <v>2</v>
      </c>
      <c r="P537" s="7" t="str">
        <f t="shared" si="95"/>
        <v>TK/2</v>
      </c>
      <c r="Q537" s="150">
        <f t="shared" si="96"/>
        <v>63000000</v>
      </c>
    </row>
    <row r="538" spans="2:17">
      <c r="B538" s="7" t="s">
        <v>26</v>
      </c>
      <c r="G538" s="58">
        <f t="shared" ref="G538:G541" si="97">G517</f>
        <v>0</v>
      </c>
      <c r="K538" s="33"/>
      <c r="L538" s="34"/>
      <c r="N538" s="143" t="s">
        <v>44</v>
      </c>
      <c r="O538" s="144">
        <v>3</v>
      </c>
      <c r="P538" s="7" t="str">
        <f t="shared" si="95"/>
        <v>TK/3</v>
      </c>
      <c r="Q538" s="150">
        <f t="shared" si="96"/>
        <v>67500000</v>
      </c>
    </row>
    <row r="539" spans="2:17">
      <c r="B539" s="7" t="s">
        <v>29</v>
      </c>
      <c r="G539" s="58">
        <f>(K539*G536)+J539</f>
        <v>0</v>
      </c>
      <c r="J539" s="192">
        <f t="shared" ref="I539:K539" si="98">J518</f>
        <v>0</v>
      </c>
      <c r="K539" s="193">
        <f t="shared" si="98"/>
        <v>0</v>
      </c>
      <c r="L539" s="194"/>
      <c r="N539" s="143" t="s">
        <v>48</v>
      </c>
      <c r="O539" s="144">
        <v>0</v>
      </c>
      <c r="P539" s="7" t="str">
        <f t="shared" si="95"/>
        <v>K/0</v>
      </c>
      <c r="Q539" s="150">
        <f t="shared" si="96"/>
        <v>58500000</v>
      </c>
    </row>
    <row r="540" spans="2:17">
      <c r="B540" s="7" t="s">
        <v>30</v>
      </c>
      <c r="G540" s="58">
        <f t="shared" si="97"/>
        <v>0</v>
      </c>
      <c r="K540" s="33"/>
      <c r="L540" s="34"/>
      <c r="N540" s="143" t="s">
        <v>48</v>
      </c>
      <c r="O540" s="144">
        <v>1</v>
      </c>
      <c r="P540" s="7" t="str">
        <f t="shared" si="95"/>
        <v>K/1</v>
      </c>
      <c r="Q540" s="150">
        <f t="shared" si="96"/>
        <v>63000000</v>
      </c>
    </row>
    <row r="541" spans="2:17">
      <c r="B541" s="7" t="s">
        <v>31</v>
      </c>
      <c r="G541" s="58">
        <f t="shared" si="97"/>
        <v>0</v>
      </c>
      <c r="K541" s="33"/>
      <c r="L541" s="34"/>
      <c r="N541" s="143" t="s">
        <v>48</v>
      </c>
      <c r="O541" s="144">
        <v>2</v>
      </c>
      <c r="P541" s="7" t="str">
        <f t="shared" si="95"/>
        <v>K/2</v>
      </c>
      <c r="Q541" s="150">
        <f t="shared" si="96"/>
        <v>67500000</v>
      </c>
    </row>
    <row r="542" ht="15.75" spans="2:17">
      <c r="B542" s="7" t="s">
        <v>32</v>
      </c>
      <c r="G542" s="58">
        <f>SUM(G536:G541)</f>
        <v>0</v>
      </c>
      <c r="K542" s="33"/>
      <c r="L542" s="34"/>
      <c r="N542" s="143" t="s">
        <v>48</v>
      </c>
      <c r="O542" s="144">
        <v>3</v>
      </c>
      <c r="P542" s="29" t="str">
        <f t="shared" si="95"/>
        <v>K/3</v>
      </c>
      <c r="Q542" s="151">
        <f t="shared" si="96"/>
        <v>72000000</v>
      </c>
    </row>
    <row r="543" ht="15.75" spans="2:22">
      <c r="B543" s="7" t="s">
        <v>34</v>
      </c>
      <c r="G543" s="58">
        <f>IF(G542*0.05&lt;=500000,G542*0.05,500000)</f>
        <v>0</v>
      </c>
      <c r="K543" s="33"/>
      <c r="L543" s="34"/>
      <c r="V543" s="46"/>
    </row>
    <row r="544" spans="2:22">
      <c r="B544" s="7" t="s">
        <v>35</v>
      </c>
      <c r="G544" s="58">
        <f>(K544*G536)+J544</f>
        <v>0</v>
      </c>
      <c r="J544" s="192">
        <f t="shared" ref="I544:K544" si="99">J523</f>
        <v>0</v>
      </c>
      <c r="K544" s="193">
        <f t="shared" si="99"/>
        <v>0</v>
      </c>
      <c r="L544" s="194"/>
      <c r="V544" s="46"/>
    </row>
    <row r="545" spans="2:22">
      <c r="B545" s="7" t="s">
        <v>36</v>
      </c>
      <c r="G545" s="58">
        <f>(K545*G542)+J545</f>
        <v>0</v>
      </c>
      <c r="J545" s="192">
        <f t="shared" ref="I545:K545" si="100">J524</f>
        <v>0</v>
      </c>
      <c r="K545" s="193">
        <f t="shared" si="100"/>
        <v>0</v>
      </c>
      <c r="L545" s="194"/>
      <c r="V545" s="46"/>
    </row>
    <row r="546" spans="2:22">
      <c r="B546" s="7" t="s">
        <v>3</v>
      </c>
      <c r="G546" s="58">
        <f>G542-G543-G544-G545</f>
        <v>0</v>
      </c>
      <c r="K546" s="33"/>
      <c r="L546" s="1"/>
      <c r="V546" s="46"/>
    </row>
    <row r="547" spans="2:22">
      <c r="B547" s="7" t="s">
        <v>3</v>
      </c>
      <c r="C547" s="103" t="str">
        <f>C526</f>
        <v>Disetahunkan</v>
      </c>
      <c r="D547" s="103"/>
      <c r="E547" s="104">
        <f>E526</f>
        <v>12</v>
      </c>
      <c r="G547" s="58">
        <f>IF(C547="Disetahunkan",G546*12,G546*E547)</f>
        <v>0</v>
      </c>
      <c r="K547" s="33"/>
      <c r="L547" s="1"/>
      <c r="V547" s="46"/>
    </row>
    <row r="548" spans="2:22">
      <c r="B548" s="7" t="s">
        <v>1</v>
      </c>
      <c r="C548" s="103" t="str">
        <f>C527</f>
        <v>TK/0</v>
      </c>
      <c r="D548" s="103"/>
      <c r="E548" s="105"/>
      <c r="G548" s="58">
        <f>G527</f>
        <v>54000000</v>
      </c>
      <c r="K548" s="33"/>
      <c r="L548" s="1"/>
      <c r="V548" s="46"/>
    </row>
    <row r="549" spans="2:22">
      <c r="B549" s="7" t="s">
        <v>37</v>
      </c>
      <c r="D549" s="105"/>
      <c r="E549" s="105"/>
      <c r="G549" s="58">
        <f>IF(G547&gt;G548,ROUNDDOWN(G547-G548,-3),0)</f>
        <v>0</v>
      </c>
      <c r="K549" s="33"/>
      <c r="L549" s="1"/>
      <c r="V549" s="46"/>
    </row>
    <row r="550" spans="2:22">
      <c r="B550" s="7" t="s">
        <v>38</v>
      </c>
      <c r="C550" s="59" t="str">
        <f>C547</f>
        <v>Disetahunkan</v>
      </c>
      <c r="D550" s="106"/>
      <c r="G550" s="58">
        <f>IF(G549&lt;=50000000,G549*0.05,IF(G549&lt;=250000000,(G549-50000000)*0.15+2500000,IF(G549&lt;=500000000,(G549-250000000)*0.25+32500000,IF(G549&gt;500000000,(G549-500000000)*0.3+95000000,"no"))))*IF(C534="Ada",1,1.2)</f>
        <v>0</v>
      </c>
      <c r="K550" s="33"/>
      <c r="L550" s="1"/>
      <c r="V550" s="46"/>
    </row>
    <row r="551" spans="2:22">
      <c r="B551" s="7" t="s">
        <v>49</v>
      </c>
      <c r="G551" s="58">
        <f>ROUNDUP(IF(C547="Disetahunkan",G550/12,G550/E547),0)</f>
        <v>0</v>
      </c>
      <c r="K551" s="33"/>
      <c r="L551" s="1"/>
      <c r="V551" s="46"/>
    </row>
    <row r="552" ht="15.75" spans="2:22">
      <c r="B552" s="29" t="s">
        <v>41</v>
      </c>
      <c r="C552" s="30"/>
      <c r="D552" s="107"/>
      <c r="E552" s="107"/>
      <c r="F552" s="107"/>
      <c r="G552" s="61">
        <f>(G551-G530)*G534</f>
        <v>0</v>
      </c>
      <c r="H552" s="30"/>
      <c r="I552" s="30"/>
      <c r="J552" s="30"/>
      <c r="K552" s="195"/>
      <c r="L552" s="10"/>
      <c r="M552" s="46"/>
      <c r="N552" s="46"/>
      <c r="O552" s="46"/>
      <c r="P552" s="46"/>
      <c r="Q552" s="46"/>
      <c r="R552" s="46"/>
      <c r="S552" s="46"/>
      <c r="T552" s="46"/>
      <c r="U552" s="46"/>
      <c r="V552" s="46"/>
    </row>
    <row r="553" ht="15.75" spans="13:17">
      <c r="M553" s="206" t="s">
        <v>51</v>
      </c>
      <c r="N553" s="206"/>
      <c r="O553" s="206"/>
      <c r="P553" s="206"/>
      <c r="Q553" s="206"/>
    </row>
    <row r="554" ht="15.75" spans="2:22">
      <c r="B554" s="176" t="s">
        <v>50</v>
      </c>
      <c r="C554" s="176"/>
      <c r="D554" s="176"/>
      <c r="E554" s="176"/>
      <c r="F554" s="176"/>
      <c r="G554" s="211" t="s">
        <v>52</v>
      </c>
      <c r="H554" s="30"/>
      <c r="I554" s="30"/>
      <c r="J554" s="30"/>
      <c r="K554" s="30"/>
      <c r="L554" s="30"/>
      <c r="M554" s="207"/>
      <c r="N554" s="207"/>
      <c r="O554" s="207"/>
      <c r="P554" s="207"/>
      <c r="Q554" s="207"/>
      <c r="R554" s="31">
        <f>IF(C467="Tidak Ada",20/120*(G94+G140+G186+G232+G278+G324+G370+G416+G462+G508),0)</f>
        <v>0</v>
      </c>
      <c r="S554" s="30"/>
      <c r="T554" s="30"/>
      <c r="U554" s="30"/>
      <c r="V554" s="30"/>
    </row>
    <row r="555" ht="15.75"/>
  </sheetData>
  <sheetProtection selectLockedCells="1"/>
  <mergeCells count="236">
    <mergeCell ref="B1:C1"/>
    <mergeCell ref="D1:E1"/>
    <mergeCell ref="N1:O1"/>
    <mergeCell ref="B2:C2"/>
    <mergeCell ref="H3:I3"/>
    <mergeCell ref="B5:E5"/>
    <mergeCell ref="H5:I5"/>
    <mergeCell ref="M5:Q5"/>
    <mergeCell ref="S5:T5"/>
    <mergeCell ref="C7:D7"/>
    <mergeCell ref="N7:O7"/>
    <mergeCell ref="C20:D20"/>
    <mergeCell ref="N20:O20"/>
    <mergeCell ref="C21:D21"/>
    <mergeCell ref="N21:O21"/>
    <mergeCell ref="T24:V24"/>
    <mergeCell ref="B26:D26"/>
    <mergeCell ref="H26:I26"/>
    <mergeCell ref="C28:D28"/>
    <mergeCell ref="P28:Q28"/>
    <mergeCell ref="C41:D41"/>
    <mergeCell ref="C42:D42"/>
    <mergeCell ref="B48:F48"/>
    <mergeCell ref="B51:E51"/>
    <mergeCell ref="H51:I51"/>
    <mergeCell ref="M51:Q51"/>
    <mergeCell ref="S51:T51"/>
    <mergeCell ref="C53:D53"/>
    <mergeCell ref="N53:O53"/>
    <mergeCell ref="C66:D66"/>
    <mergeCell ref="N66:O66"/>
    <mergeCell ref="C67:D67"/>
    <mergeCell ref="N67:O67"/>
    <mergeCell ref="T70:V70"/>
    <mergeCell ref="B72:D72"/>
    <mergeCell ref="H72:I72"/>
    <mergeCell ref="C74:D74"/>
    <mergeCell ref="P74:Q74"/>
    <mergeCell ref="C87:D87"/>
    <mergeCell ref="C88:D88"/>
    <mergeCell ref="B94:F94"/>
    <mergeCell ref="B97:E97"/>
    <mergeCell ref="H97:I97"/>
    <mergeCell ref="M97:Q97"/>
    <mergeCell ref="S97:T97"/>
    <mergeCell ref="C99:D99"/>
    <mergeCell ref="N99:O99"/>
    <mergeCell ref="C112:D112"/>
    <mergeCell ref="N112:O112"/>
    <mergeCell ref="C113:D113"/>
    <mergeCell ref="N113:O113"/>
    <mergeCell ref="T116:V116"/>
    <mergeCell ref="B118:D118"/>
    <mergeCell ref="H118:I118"/>
    <mergeCell ref="C120:D120"/>
    <mergeCell ref="P120:Q120"/>
    <mergeCell ref="C133:D133"/>
    <mergeCell ref="C134:D134"/>
    <mergeCell ref="B140:F140"/>
    <mergeCell ref="B143:E143"/>
    <mergeCell ref="H143:I143"/>
    <mergeCell ref="M143:Q143"/>
    <mergeCell ref="S143:T143"/>
    <mergeCell ref="C145:D145"/>
    <mergeCell ref="N145:O145"/>
    <mergeCell ref="C158:D158"/>
    <mergeCell ref="N158:O158"/>
    <mergeCell ref="C159:D159"/>
    <mergeCell ref="N159:O159"/>
    <mergeCell ref="T162:V162"/>
    <mergeCell ref="B164:D164"/>
    <mergeCell ref="H164:I164"/>
    <mergeCell ref="C166:D166"/>
    <mergeCell ref="P166:Q166"/>
    <mergeCell ref="C179:D179"/>
    <mergeCell ref="C180:D180"/>
    <mergeCell ref="B186:F186"/>
    <mergeCell ref="B189:E189"/>
    <mergeCell ref="H189:I189"/>
    <mergeCell ref="M189:Q189"/>
    <mergeCell ref="S189:T189"/>
    <mergeCell ref="C191:D191"/>
    <mergeCell ref="N191:O191"/>
    <mergeCell ref="C204:D204"/>
    <mergeCell ref="N204:O204"/>
    <mergeCell ref="C205:D205"/>
    <mergeCell ref="N205:O205"/>
    <mergeCell ref="T208:V208"/>
    <mergeCell ref="B210:D210"/>
    <mergeCell ref="H210:I210"/>
    <mergeCell ref="C212:D212"/>
    <mergeCell ref="P212:Q212"/>
    <mergeCell ref="C225:D225"/>
    <mergeCell ref="C226:D226"/>
    <mergeCell ref="B232:F232"/>
    <mergeCell ref="B235:E235"/>
    <mergeCell ref="H235:I235"/>
    <mergeCell ref="M235:Q235"/>
    <mergeCell ref="S235:T235"/>
    <mergeCell ref="C237:D237"/>
    <mergeCell ref="N237:O237"/>
    <mergeCell ref="C250:D250"/>
    <mergeCell ref="N250:O250"/>
    <mergeCell ref="C251:D251"/>
    <mergeCell ref="N251:O251"/>
    <mergeCell ref="T254:V254"/>
    <mergeCell ref="B256:D256"/>
    <mergeCell ref="H256:I256"/>
    <mergeCell ref="C258:D258"/>
    <mergeCell ref="P258:Q258"/>
    <mergeCell ref="C271:D271"/>
    <mergeCell ref="C272:D272"/>
    <mergeCell ref="B278:F278"/>
    <mergeCell ref="B281:E281"/>
    <mergeCell ref="H281:I281"/>
    <mergeCell ref="M281:Q281"/>
    <mergeCell ref="S281:T281"/>
    <mergeCell ref="C283:D283"/>
    <mergeCell ref="N283:O283"/>
    <mergeCell ref="C296:D296"/>
    <mergeCell ref="N296:O296"/>
    <mergeCell ref="C297:D297"/>
    <mergeCell ref="N297:O297"/>
    <mergeCell ref="T300:V300"/>
    <mergeCell ref="B302:D302"/>
    <mergeCell ref="H302:I302"/>
    <mergeCell ref="C304:D304"/>
    <mergeCell ref="P304:Q304"/>
    <mergeCell ref="C317:D317"/>
    <mergeCell ref="C318:D318"/>
    <mergeCell ref="B324:F324"/>
    <mergeCell ref="B327:E327"/>
    <mergeCell ref="H327:I327"/>
    <mergeCell ref="M327:Q327"/>
    <mergeCell ref="S327:T327"/>
    <mergeCell ref="C329:D329"/>
    <mergeCell ref="N329:O329"/>
    <mergeCell ref="C342:D342"/>
    <mergeCell ref="N342:O342"/>
    <mergeCell ref="C343:D343"/>
    <mergeCell ref="N343:O343"/>
    <mergeCell ref="T346:V346"/>
    <mergeCell ref="B348:D348"/>
    <mergeCell ref="H348:I348"/>
    <mergeCell ref="C350:D350"/>
    <mergeCell ref="P350:Q350"/>
    <mergeCell ref="C363:D363"/>
    <mergeCell ref="C364:D364"/>
    <mergeCell ref="B370:F370"/>
    <mergeCell ref="B372:C372"/>
    <mergeCell ref="B373:E373"/>
    <mergeCell ref="H373:I373"/>
    <mergeCell ref="M373:Q373"/>
    <mergeCell ref="S373:T373"/>
    <mergeCell ref="C375:D375"/>
    <mergeCell ref="N375:O375"/>
    <mergeCell ref="C388:D388"/>
    <mergeCell ref="N388:O388"/>
    <mergeCell ref="C389:D389"/>
    <mergeCell ref="N389:O389"/>
    <mergeCell ref="T392:V392"/>
    <mergeCell ref="B394:D394"/>
    <mergeCell ref="H394:I394"/>
    <mergeCell ref="C396:D396"/>
    <mergeCell ref="P396:Q396"/>
    <mergeCell ref="C409:D409"/>
    <mergeCell ref="C410:D410"/>
    <mergeCell ref="B416:F416"/>
    <mergeCell ref="B419:E419"/>
    <mergeCell ref="H419:I419"/>
    <mergeCell ref="M419:Q419"/>
    <mergeCell ref="S419:T419"/>
    <mergeCell ref="C421:D421"/>
    <mergeCell ref="N421:O421"/>
    <mergeCell ref="C434:D434"/>
    <mergeCell ref="N434:O434"/>
    <mergeCell ref="C435:D435"/>
    <mergeCell ref="N435:O435"/>
    <mergeCell ref="T438:V438"/>
    <mergeCell ref="B440:D440"/>
    <mergeCell ref="H440:I440"/>
    <mergeCell ref="C442:D442"/>
    <mergeCell ref="P442:Q442"/>
    <mergeCell ref="C455:D455"/>
    <mergeCell ref="C456:D456"/>
    <mergeCell ref="B462:F462"/>
    <mergeCell ref="B464:C464"/>
    <mergeCell ref="B465:E465"/>
    <mergeCell ref="H465:I465"/>
    <mergeCell ref="M465:Q465"/>
    <mergeCell ref="S465:T465"/>
    <mergeCell ref="C467:D467"/>
    <mergeCell ref="N467:O467"/>
    <mergeCell ref="C480:D480"/>
    <mergeCell ref="N480:O480"/>
    <mergeCell ref="C481:D481"/>
    <mergeCell ref="N481:O481"/>
    <mergeCell ref="T484:V484"/>
    <mergeCell ref="B486:D486"/>
    <mergeCell ref="H486:I486"/>
    <mergeCell ref="C488:D488"/>
    <mergeCell ref="P488:Q488"/>
    <mergeCell ref="C501:D501"/>
    <mergeCell ref="C502:D502"/>
    <mergeCell ref="B508:F508"/>
    <mergeCell ref="B510:C510"/>
    <mergeCell ref="B511:E511"/>
    <mergeCell ref="H511:I511"/>
    <mergeCell ref="M511:Q511"/>
    <mergeCell ref="S511:T511"/>
    <mergeCell ref="C513:D513"/>
    <mergeCell ref="N513:O513"/>
    <mergeCell ref="C526:D526"/>
    <mergeCell ref="N526:O526"/>
    <mergeCell ref="C527:D527"/>
    <mergeCell ref="N527:O527"/>
    <mergeCell ref="T530:V530"/>
    <mergeCell ref="B532:D532"/>
    <mergeCell ref="H532:I532"/>
    <mergeCell ref="C534:D534"/>
    <mergeCell ref="P534:Q534"/>
    <mergeCell ref="C547:D547"/>
    <mergeCell ref="C548:D548"/>
    <mergeCell ref="B554:F554"/>
    <mergeCell ref="M2:V3"/>
    <mergeCell ref="M93:Q94"/>
    <mergeCell ref="M139:Q140"/>
    <mergeCell ref="M185:Q186"/>
    <mergeCell ref="M231:Q232"/>
    <mergeCell ref="M277:Q278"/>
    <mergeCell ref="M323:Q324"/>
    <mergeCell ref="M369:Q370"/>
    <mergeCell ref="M415:Q416"/>
    <mergeCell ref="M461:Q462"/>
    <mergeCell ref="M507:Q508"/>
    <mergeCell ref="M553:Q554"/>
  </mergeCells>
  <dataValidations count="4">
    <dataValidation type="list" allowBlank="1" showInputMessage="1" showErrorMessage="1" sqref="J1">
      <formula1>Status_PTKP</formula1>
    </dataValidation>
    <dataValidation type="list" allowBlank="1" showInputMessage="1" showErrorMessage="1" sqref="N1:O1 C66:D66 C112:D112 C158:D158 C204:D204 C250:D250 C296:D296 C342:D342 C388:D388 C434:D434 C480:D480 C526:D526">
      <formula1>$R$1:$S$1</formula1>
    </dataValidation>
    <dataValidation type="list" allowBlank="1" showInputMessage="1" showErrorMessage="1" sqref="C7:D7 C53:D53 C99:D99 C145:D145 C191:D191 C237:D237 C283:D283 C329:D329 C375:D375 C421:D421 C467:D467 C513:D513">
      <formula1>"Ada,Tidak Ada"</formula1>
    </dataValidation>
    <dataValidation allowBlank="1" showInputMessage="1" showErrorMessage="1" sqref="T12 T58 T104 T150 T196 T242 T288 T334 T380 T426 T472 T518 T18:T19 T64:T65 T110:T111 T156:T157 T202:T203 T248:T249 T294:T295 T340:T341 T386:T387 T432:T433 T478:T479 T524:T525"/>
  </dataValidations>
  <hyperlinks>
    <hyperlink ref="D2" location="'PPh 21 Pegawai Tetap'!A4:A25" display="Januari"/>
    <hyperlink ref="E2" location="'PPh 21 Pegawai Tetap'!A50:A71" display="Februari"/>
    <hyperlink ref="F2" location="'PPh 21 Pegawai Tetap'!A96:A117" display="Maret"/>
    <hyperlink ref="G2" location="'PPh 21 Pegawai Tetap'!A142:A163" display="April"/>
    <hyperlink ref="H2" location="'PPh 21 Pegawai Tetap'!A188:A209" display="Mei"/>
    <hyperlink ref="I2" location="'PPh 21 Pegawai Tetap'!A234:A255" display="Juni"/>
    <hyperlink ref="J2" location="'PPh 21 Pegawai Tetap'!A280:A301" display="Juli"/>
    <hyperlink ref="D3" location="'PPh 21 Pegawai Tetap'!A326:A347" display="Agustus"/>
    <hyperlink ref="E3" location="'PPh 21 Pegawai Tetap'!A372:A393" display="September"/>
    <hyperlink ref="F3" location="'PPh 21 Pegawai Tetap'!A418:A439" display="Oktober"/>
    <hyperlink ref="G3" location="'PPh 21 Pegawai Tetap'!A464:A485" display="November"/>
    <hyperlink ref="H3:K3" location="'PPh 21 Masa Pajak Terakhir'!A1" display="Desember"/>
    <hyperlink ref="G554" location="'PPh 21 Masa Pajak Terakhir'!A1" display="Hitung"/>
    <hyperlink ref="H3:I3" location="'PPh 21 Pegawai Tetap'!A510:A531" display="Desember"/>
  </hyperlink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4"/>
  <sheetViews>
    <sheetView showGridLines="0" workbookViewId="0">
      <selection activeCell="A1" sqref="A1"/>
    </sheetView>
  </sheetViews>
  <sheetFormatPr defaultColWidth="9.14285714285714" defaultRowHeight="15"/>
  <cols>
    <col min="1" max="1" width="3.28571428571429" customWidth="1"/>
    <col min="3" max="3" width="3.42857142857143" customWidth="1"/>
    <col min="4" max="6" width="9.14285714285714" style="90"/>
    <col min="7" max="7" width="12.4285714285714" style="1"/>
  </cols>
  <sheetData>
    <row r="1" ht="15.75"/>
    <row r="2" ht="15.75" spans="2:14">
      <c r="B2" s="2" t="s">
        <v>22</v>
      </c>
      <c r="C2" s="152" t="s">
        <v>23</v>
      </c>
      <c r="D2" s="152"/>
      <c r="E2" s="100"/>
      <c r="F2" s="100"/>
      <c r="G2" s="153" t="s">
        <v>53</v>
      </c>
      <c r="H2" s="154">
        <f>'PPh 21 Pegawai Tetap'!D1</f>
        <v>0</v>
      </c>
      <c r="I2" s="154"/>
      <c r="J2" s="161"/>
      <c r="K2" s="42"/>
      <c r="L2" s="45"/>
      <c r="N2" s="143" t="s">
        <v>23</v>
      </c>
    </row>
    <row r="3" spans="2:14">
      <c r="B3" s="7"/>
      <c r="C3" s="46"/>
      <c r="D3" s="155"/>
      <c r="E3" s="155"/>
      <c r="F3" s="155"/>
      <c r="G3" s="10"/>
      <c r="H3" s="46"/>
      <c r="I3" s="46"/>
      <c r="J3" s="46"/>
      <c r="K3" s="46"/>
      <c r="L3" s="47"/>
      <c r="N3" s="143" t="s">
        <v>54</v>
      </c>
    </row>
    <row r="4" spans="2:12">
      <c r="B4" s="7" t="s">
        <v>24</v>
      </c>
      <c r="C4" s="46"/>
      <c r="D4" s="155"/>
      <c r="E4" s="155"/>
      <c r="F4" s="155"/>
      <c r="G4" s="156"/>
      <c r="H4" s="46"/>
      <c r="I4" s="46"/>
      <c r="J4" s="46"/>
      <c r="K4" s="46"/>
      <c r="L4" s="47"/>
    </row>
    <row r="5" spans="2:12">
      <c r="B5" s="7" t="s">
        <v>25</v>
      </c>
      <c r="C5" s="46"/>
      <c r="D5" s="155"/>
      <c r="E5" s="155"/>
      <c r="F5" s="155"/>
      <c r="G5" s="156"/>
      <c r="H5" s="46"/>
      <c r="I5" s="46"/>
      <c r="J5" s="46"/>
      <c r="K5" s="46"/>
      <c r="L5" s="47"/>
    </row>
    <row r="6" spans="2:12">
      <c r="B6" s="7" t="s">
        <v>26</v>
      </c>
      <c r="C6" s="46"/>
      <c r="D6" s="155"/>
      <c r="E6" s="155"/>
      <c r="F6" s="155"/>
      <c r="G6" s="156"/>
      <c r="H6" s="46"/>
      <c r="I6" s="46"/>
      <c r="J6" s="162" t="s">
        <v>27</v>
      </c>
      <c r="K6" s="162" t="s">
        <v>28</v>
      </c>
      <c r="L6" s="47"/>
    </row>
    <row r="7" spans="2:12">
      <c r="B7" s="7" t="s">
        <v>29</v>
      </c>
      <c r="C7" s="46"/>
      <c r="D7" s="155"/>
      <c r="E7" s="155"/>
      <c r="F7" s="155"/>
      <c r="G7" s="157">
        <f>(K7*G4)+J7</f>
        <v>0</v>
      </c>
      <c r="H7" s="46"/>
      <c r="I7" s="46"/>
      <c r="J7" s="163"/>
      <c r="K7" s="164"/>
      <c r="L7" s="47"/>
    </row>
    <row r="8" spans="2:12">
      <c r="B8" s="7" t="s">
        <v>30</v>
      </c>
      <c r="C8" s="46"/>
      <c r="D8" s="155"/>
      <c r="E8" s="155"/>
      <c r="F8" s="155"/>
      <c r="G8" s="156"/>
      <c r="H8" s="46"/>
      <c r="I8" s="46"/>
      <c r="J8" s="165"/>
      <c r="K8" s="165"/>
      <c r="L8" s="47"/>
    </row>
    <row r="9" spans="2:12">
      <c r="B9" s="7" t="s">
        <v>31</v>
      </c>
      <c r="C9" s="46"/>
      <c r="D9" s="155"/>
      <c r="E9" s="155"/>
      <c r="F9" s="155"/>
      <c r="G9" s="156"/>
      <c r="H9" s="46"/>
      <c r="I9" s="46"/>
      <c r="J9" s="165"/>
      <c r="K9" s="165"/>
      <c r="L9" s="47"/>
    </row>
    <row r="10" spans="2:12">
      <c r="B10" s="7" t="s">
        <v>32</v>
      </c>
      <c r="C10" s="46"/>
      <c r="D10" s="155"/>
      <c r="E10" s="155"/>
      <c r="F10" s="155"/>
      <c r="G10" s="157">
        <f>SUM(G4:G9)</f>
        <v>0</v>
      </c>
      <c r="H10" s="46"/>
      <c r="I10" s="46"/>
      <c r="J10" s="165"/>
      <c r="K10" s="165"/>
      <c r="L10" s="47"/>
    </row>
    <row r="11" spans="2:12">
      <c r="B11" s="7" t="s">
        <v>34</v>
      </c>
      <c r="C11" s="46"/>
      <c r="D11" s="155"/>
      <c r="E11" s="155"/>
      <c r="F11" s="155"/>
      <c r="G11" s="157">
        <f>IF(G10*0.05&lt;=500000,G10*0.05,500000)</f>
        <v>0</v>
      </c>
      <c r="H11" s="46"/>
      <c r="I11" s="46"/>
      <c r="J11" s="165"/>
      <c r="K11" s="165"/>
      <c r="L11" s="47"/>
    </row>
    <row r="12" spans="2:12">
      <c r="B12" s="7" t="s">
        <v>35</v>
      </c>
      <c r="C12" s="46"/>
      <c r="D12" s="155"/>
      <c r="E12" s="155"/>
      <c r="F12" s="155"/>
      <c r="G12" s="58">
        <f>(K12*G4)+J12</f>
        <v>0</v>
      </c>
      <c r="H12" s="46"/>
      <c r="I12" s="46"/>
      <c r="J12" s="163"/>
      <c r="K12" s="164"/>
      <c r="L12" s="47"/>
    </row>
    <row r="13" spans="2:12">
      <c r="B13" s="7" t="s">
        <v>36</v>
      </c>
      <c r="C13" s="46"/>
      <c r="D13" s="155"/>
      <c r="E13" s="155"/>
      <c r="F13" s="155"/>
      <c r="G13" s="58">
        <f>(K13*G10)+J13</f>
        <v>0</v>
      </c>
      <c r="H13" s="46"/>
      <c r="I13" s="46"/>
      <c r="J13" s="163"/>
      <c r="K13" s="164"/>
      <c r="L13" s="47"/>
    </row>
    <row r="14" spans="2:12">
      <c r="B14" s="7" t="s">
        <v>3</v>
      </c>
      <c r="C14" s="46"/>
      <c r="D14" s="155"/>
      <c r="E14" s="155"/>
      <c r="F14" s="155"/>
      <c r="G14" s="157">
        <f>G10-G11-G12-G13</f>
        <v>0</v>
      </c>
      <c r="H14" s="46"/>
      <c r="I14" s="46"/>
      <c r="J14" s="46"/>
      <c r="K14" s="46"/>
      <c r="L14" s="47"/>
    </row>
    <row r="15" spans="2:12">
      <c r="B15" s="7" t="s">
        <v>3</v>
      </c>
      <c r="C15" s="46" t="s">
        <v>55</v>
      </c>
      <c r="D15" s="158"/>
      <c r="E15" s="159">
        <v>8</v>
      </c>
      <c r="F15" s="155"/>
      <c r="G15" s="157">
        <f>G14*E15</f>
        <v>0</v>
      </c>
      <c r="H15" s="46"/>
      <c r="I15" s="46"/>
      <c r="J15" s="46"/>
      <c r="K15" s="46"/>
      <c r="L15" s="47"/>
    </row>
    <row r="16" spans="2:12">
      <c r="B16" s="7" t="s">
        <v>3</v>
      </c>
      <c r="C16" s="46" t="s">
        <v>56</v>
      </c>
      <c r="D16" s="158"/>
      <c r="E16" s="160">
        <f>12-E15</f>
        <v>4</v>
      </c>
      <c r="F16" s="155"/>
      <c r="G16" s="11"/>
      <c r="H16" s="46"/>
      <c r="I16" s="46"/>
      <c r="J16" s="46"/>
      <c r="K16" s="46"/>
      <c r="L16" s="47"/>
    </row>
    <row r="17" spans="2:12">
      <c r="B17" s="7" t="s">
        <v>3</v>
      </c>
      <c r="C17" s="46" t="s">
        <v>57</v>
      </c>
      <c r="D17" s="158"/>
      <c r="E17" s="158"/>
      <c r="F17" s="155"/>
      <c r="G17" s="157">
        <f>G15+G16</f>
        <v>0</v>
      </c>
      <c r="H17" s="46"/>
      <c r="I17" s="46"/>
      <c r="J17" s="46"/>
      <c r="K17" s="46"/>
      <c r="L17" s="47"/>
    </row>
    <row r="18" spans="2:12">
      <c r="B18" s="7" t="s">
        <v>1</v>
      </c>
      <c r="C18" s="103" t="str">
        <f>'PPh 21 Pegawai Tetap'!C21</f>
        <v>TK/0</v>
      </c>
      <c r="D18" s="103"/>
      <c r="E18" s="158"/>
      <c r="F18" s="155"/>
      <c r="G18" s="157">
        <f>'PPh 21 Pegawai Tetap'!G21</f>
        <v>54000000</v>
      </c>
      <c r="H18" s="46"/>
      <c r="I18" s="46"/>
      <c r="J18" s="46"/>
      <c r="K18" s="46"/>
      <c r="L18" s="47"/>
    </row>
    <row r="19" spans="2:12">
      <c r="B19" s="7" t="s">
        <v>37</v>
      </c>
      <c r="C19" s="46"/>
      <c r="D19" s="158"/>
      <c r="E19" s="158"/>
      <c r="F19" s="155"/>
      <c r="G19" s="157">
        <f>IF(G17&gt;G18,ROUNDDOWN(G17-G18,-3),0)</f>
        <v>0</v>
      </c>
      <c r="H19" s="46"/>
      <c r="I19" s="46"/>
      <c r="J19" s="46"/>
      <c r="K19" s="46"/>
      <c r="L19" s="47"/>
    </row>
    <row r="20" spans="2:12">
      <c r="B20" s="7" t="s">
        <v>38</v>
      </c>
      <c r="C20" s="46" t="s">
        <v>58</v>
      </c>
      <c r="D20" s="155"/>
      <c r="E20" s="155"/>
      <c r="F20" s="155"/>
      <c r="G20" s="157">
        <f>IF(G19&lt;=50000000,G19*0.05,IF(G19&lt;=250000000,(G19-50000000)*0.15+2500000,IF(G19&lt;=500000000,(G19-250000000)*0.25+32500000,IF(G19&gt;500000000,(G19-500000000)*0.3+95000000,"no"))))*IF(C2="Ada",1,1.2)</f>
        <v>0</v>
      </c>
      <c r="H20" s="46"/>
      <c r="I20" s="46"/>
      <c r="J20" s="46"/>
      <c r="K20" s="46"/>
      <c r="L20" s="47"/>
    </row>
    <row r="21" spans="2:12">
      <c r="B21" s="7" t="s">
        <v>38</v>
      </c>
      <c r="C21" s="46" t="s">
        <v>59</v>
      </c>
      <c r="D21" s="155"/>
      <c r="E21" s="155"/>
      <c r="F21" s="155"/>
      <c r="G21" s="11"/>
      <c r="H21" s="46"/>
      <c r="I21" s="46"/>
      <c r="J21" s="46"/>
      <c r="K21" s="46"/>
      <c r="L21" s="47"/>
    </row>
    <row r="22" spans="2:12">
      <c r="B22" s="7" t="s">
        <v>38</v>
      </c>
      <c r="C22" s="46" t="s">
        <v>60</v>
      </c>
      <c r="D22" s="155"/>
      <c r="E22" s="155"/>
      <c r="F22" s="155"/>
      <c r="G22" s="157">
        <f>G20-G21</f>
        <v>0</v>
      </c>
      <c r="H22" s="46"/>
      <c r="I22" s="46"/>
      <c r="J22" s="46"/>
      <c r="K22" s="46"/>
      <c r="L22" s="47"/>
    </row>
    <row r="23" ht="15.75" spans="2:12">
      <c r="B23" s="29" t="s">
        <v>39</v>
      </c>
      <c r="C23" s="30"/>
      <c r="D23" s="107"/>
      <c r="E23" s="107"/>
      <c r="F23" s="107"/>
      <c r="G23" s="61">
        <f>G22/E15</f>
        <v>0</v>
      </c>
      <c r="H23" s="30"/>
      <c r="I23" s="30"/>
      <c r="J23" s="30"/>
      <c r="K23" s="30"/>
      <c r="L23" s="166"/>
    </row>
    <row r="24" ht="15.75"/>
  </sheetData>
  <mergeCells count="3">
    <mergeCell ref="C2:D2"/>
    <mergeCell ref="H2:I2"/>
    <mergeCell ref="C18:D18"/>
  </mergeCells>
  <dataValidations count="1">
    <dataValidation type="list" allowBlank="1" showInputMessage="1" showErrorMessage="1" sqref="C2:D2">
      <formula1>$N$2:$N$3</formula1>
    </dataValidation>
  </dataValidations>
  <pageMargins left="0.75" right="0.75" top="1" bottom="1" header="0.5" footer="0.5"/>
  <pageSetup paperSize="1" orientation="portrait"/>
  <headerFooter/>
  <ignoredErrors>
    <ignoredError sqref="E16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47"/>
  <sheetViews>
    <sheetView showGridLines="0" workbookViewId="0">
      <selection activeCell="D2" sqref="D2"/>
    </sheetView>
  </sheetViews>
  <sheetFormatPr defaultColWidth="9.14285714285714" defaultRowHeight="15"/>
  <cols>
    <col min="1" max="1" width="1.41904761904762" customWidth="1"/>
    <col min="3" max="3" width="6" customWidth="1"/>
    <col min="4" max="4" width="9.14285714285714" style="90"/>
    <col min="5" max="5" width="10.7142857142857" style="90" customWidth="1"/>
    <col min="6" max="6" width="9.14285714285714" style="90"/>
    <col min="7" max="7" width="12.4285714285714" style="1"/>
    <col min="10" max="10" width="9.71428571428571" customWidth="1"/>
    <col min="11" max="13" width="10.1428571428571"/>
    <col min="14" max="14" width="12.1428571428571" customWidth="1"/>
    <col min="15" max="15" width="12.7142857142857" customWidth="1"/>
    <col min="16" max="16" width="15.7142857142857" customWidth="1"/>
    <col min="17" max="17" width="10.7142857142857" customWidth="1"/>
    <col min="21" max="21" width="12.1428571428571" customWidth="1"/>
    <col min="22" max="22" width="19.8571428571429" customWidth="1"/>
  </cols>
  <sheetData>
    <row r="1" spans="2:22">
      <c r="B1" s="91" t="s">
        <v>0</v>
      </c>
      <c r="C1" s="91"/>
      <c r="D1" s="92">
        <f>'PPh 21 Pegawai Tetap'!D1</f>
        <v>0</v>
      </c>
      <c r="E1" s="92"/>
      <c r="F1" s="93"/>
      <c r="G1" s="94" t="s">
        <v>1</v>
      </c>
      <c r="H1" s="92" t="str">
        <f>'PPh 21 Pegawai Tetap'!J1</f>
        <v>TK/0</v>
      </c>
      <c r="I1" s="119"/>
      <c r="J1" s="91" t="s">
        <v>3</v>
      </c>
      <c r="K1" s="120" t="s">
        <v>4</v>
      </c>
      <c r="L1" s="120"/>
      <c r="M1" s="121" t="s">
        <v>4</v>
      </c>
      <c r="N1" s="122"/>
      <c r="O1" s="122"/>
      <c r="P1" s="123" t="s">
        <v>61</v>
      </c>
      <c r="R1" s="143"/>
      <c r="S1" s="143"/>
      <c r="T1" s="17"/>
      <c r="U1" s="147"/>
      <c r="V1" s="147"/>
    </row>
    <row r="2" spans="2:22">
      <c r="B2" s="91" t="s">
        <v>6</v>
      </c>
      <c r="C2" s="91"/>
      <c r="D2" s="95" t="s">
        <v>7</v>
      </c>
      <c r="E2" s="95" t="s">
        <v>8</v>
      </c>
      <c r="F2" s="95" t="s">
        <v>9</v>
      </c>
      <c r="G2" s="96" t="s">
        <v>10</v>
      </c>
      <c r="H2" s="97" t="s">
        <v>11</v>
      </c>
      <c r="I2" s="97" t="s">
        <v>12</v>
      </c>
      <c r="J2" s="97" t="s">
        <v>13</v>
      </c>
      <c r="K2" s="124"/>
      <c r="L2" s="125">
        <v>12</v>
      </c>
      <c r="M2" s="126" t="s">
        <v>5</v>
      </c>
      <c r="N2" s="127"/>
      <c r="O2" s="127"/>
      <c r="P2" s="126" t="s">
        <v>62</v>
      </c>
      <c r="Q2" s="127"/>
      <c r="R2" s="127"/>
      <c r="S2" s="127"/>
      <c r="T2" s="127"/>
      <c r="U2" s="127"/>
      <c r="V2" s="127"/>
    </row>
    <row r="3" spans="3:22">
      <c r="C3" s="98"/>
      <c r="D3" s="95" t="s">
        <v>14</v>
      </c>
      <c r="E3" s="95" t="s">
        <v>15</v>
      </c>
      <c r="F3" s="95" t="s">
        <v>16</v>
      </c>
      <c r="G3" s="96" t="s">
        <v>17</v>
      </c>
      <c r="H3" s="97" t="s">
        <v>18</v>
      </c>
      <c r="I3" s="97"/>
      <c r="J3" s="97"/>
      <c r="K3" s="128"/>
      <c r="M3" s="127"/>
      <c r="N3" s="127"/>
      <c r="O3" s="127"/>
      <c r="P3" s="127"/>
      <c r="Q3" s="127"/>
      <c r="R3" s="127"/>
      <c r="S3" s="127"/>
      <c r="T3" s="127"/>
      <c r="U3" s="127"/>
      <c r="V3" s="127"/>
    </row>
    <row r="4" ht="15.75" spans="14:21">
      <c r="N4" s="129" t="s">
        <v>63</v>
      </c>
      <c r="O4" s="129"/>
      <c r="P4" s="130" t="s">
        <v>7</v>
      </c>
      <c r="R4" s="148"/>
      <c r="S4" s="148"/>
      <c r="T4" s="148"/>
      <c r="U4" s="148"/>
    </row>
    <row r="5" ht="15.75" spans="2:21">
      <c r="B5" s="2" t="s">
        <v>22</v>
      </c>
      <c r="C5" s="99" t="str">
        <f>'PPh 21 Pegawai Tetap'!C7</f>
        <v>Ada</v>
      </c>
      <c r="D5" s="99"/>
      <c r="E5" s="100" t="s">
        <v>64</v>
      </c>
      <c r="F5" s="100"/>
      <c r="G5" s="101">
        <f>MATCH(P5,N7:N18,FALSE)-MATCH(P4,N7:N18,FALSE)+1</f>
        <v>12</v>
      </c>
      <c r="H5" s="42"/>
      <c r="I5" s="42"/>
      <c r="J5" s="131"/>
      <c r="K5" s="131"/>
      <c r="L5" s="45"/>
      <c r="N5" s="129" t="s">
        <v>65</v>
      </c>
      <c r="O5" s="129"/>
      <c r="P5" s="130" t="s">
        <v>18</v>
      </c>
      <c r="R5" s="148"/>
      <c r="S5" s="148"/>
      <c r="T5" s="148"/>
      <c r="U5" s="148"/>
    </row>
    <row r="6" spans="2:21">
      <c r="B6" s="7"/>
      <c r="K6" s="132"/>
      <c r="L6" s="47"/>
      <c r="N6" s="133" t="s">
        <v>66</v>
      </c>
      <c r="O6" s="133"/>
      <c r="R6" s="143" t="s">
        <v>67</v>
      </c>
      <c r="S6" s="143"/>
      <c r="T6" s="148"/>
      <c r="U6" s="148"/>
    </row>
    <row r="7" spans="2:21">
      <c r="B7" s="7" t="s">
        <v>24</v>
      </c>
      <c r="G7" s="58">
        <f>P39+P46</f>
        <v>0</v>
      </c>
      <c r="I7" s="132"/>
      <c r="J7" s="134"/>
      <c r="K7" s="134"/>
      <c r="L7" s="47"/>
      <c r="N7" t="s">
        <v>7</v>
      </c>
      <c r="O7" s="1">
        <f>'PPh 21 Pegawai Tetap'!G48</f>
        <v>0</v>
      </c>
      <c r="P7" s="135" t="str">
        <f>IF(N7=$P$4,"Hitung baru",IF(N7=$P$5,"Masa pajak terakhir","Sama dengan bulan sebelumnya"))</f>
        <v>Hitung baru</v>
      </c>
      <c r="R7" s="143" t="str">
        <f>IF(N7=$P$4,"Ya",IF(N7=$P$5,"Yes","Tidak"))</f>
        <v>Ya</v>
      </c>
      <c r="S7" s="143" t="s">
        <v>62</v>
      </c>
      <c r="T7" s="148"/>
      <c r="U7" s="148"/>
    </row>
    <row r="8" spans="2:21">
      <c r="B8" s="7" t="s">
        <v>25</v>
      </c>
      <c r="G8" s="58">
        <f>P40+P47</f>
        <v>0</v>
      </c>
      <c r="I8" s="132"/>
      <c r="J8" s="134"/>
      <c r="K8" s="134"/>
      <c r="L8" s="47"/>
      <c r="N8" t="s">
        <v>8</v>
      </c>
      <c r="O8" s="1">
        <f>IF(MATCH(N8,$N$7:$N$18,FALSE)&gt;MATCH($P$5,$N$7:$N$18,FALSE),0,IF(P8="Masa pajak terakhir",$G$25,'PPh 21 Pegawai Tetap'!G94))</f>
        <v>0</v>
      </c>
      <c r="P8" s="135" t="str">
        <f t="shared" ref="P8:P18" si="0">IF(N8=$P$4,"Hitung baru",IF(N8=$P$5,"Masa pajak terakhir","Sama dengan bulan sebelumnya"))</f>
        <v>Sama dengan bulan sebelumnya</v>
      </c>
      <c r="R8" s="143" t="str">
        <f t="shared" ref="R8:R18" si="1">IF(N8=$P$4,"Ya",IF(N8=$P$5,"Yes","Tidak"))</f>
        <v>Tidak</v>
      </c>
      <c r="S8" s="143" t="s">
        <v>65</v>
      </c>
      <c r="T8" s="148"/>
      <c r="U8" s="148"/>
    </row>
    <row r="9" spans="2:21">
      <c r="B9" s="7" t="s">
        <v>26</v>
      </c>
      <c r="G9" s="58">
        <f>P41</f>
        <v>0</v>
      </c>
      <c r="J9" t="s">
        <v>27</v>
      </c>
      <c r="K9" t="s">
        <v>28</v>
      </c>
      <c r="L9" s="47"/>
      <c r="N9" t="s">
        <v>9</v>
      </c>
      <c r="O9" s="1">
        <f>IF(MATCH(N9,$N$7:$N$18,FALSE)&gt;MATCH($P$5,$N$7:$N$18,FALSE),0,IF(P9="Masa pajak terakhir",$G$25,'PPh 21 Pegawai Tetap'!G140))</f>
        <v>0</v>
      </c>
      <c r="P9" s="135" t="str">
        <f t="shared" si="0"/>
        <v>Sama dengan bulan sebelumnya</v>
      </c>
      <c r="R9" s="143" t="str">
        <f t="shared" si="1"/>
        <v>Tidak</v>
      </c>
      <c r="S9" s="143" t="s">
        <v>62</v>
      </c>
      <c r="T9" s="148"/>
      <c r="U9" s="148"/>
    </row>
    <row r="10" spans="2:21">
      <c r="B10" s="7" t="s">
        <v>29</v>
      </c>
      <c r="G10" s="58">
        <f>(K10*G7)+(J10*G5)</f>
        <v>0</v>
      </c>
      <c r="J10" s="136"/>
      <c r="K10" s="137"/>
      <c r="L10" s="47"/>
      <c r="N10" t="s">
        <v>10</v>
      </c>
      <c r="O10" s="1">
        <f>IF(MATCH(N10,$N$7:$N$18,FALSE)&gt;MATCH($P$5,$N$7:$N$18,FALSE),0,IF(P10="Masa pajak terakhir",$G$25,'PPh 21 Pegawai Tetap'!G186))</f>
        <v>0</v>
      </c>
      <c r="P10" s="135" t="str">
        <f t="shared" si="0"/>
        <v>Sama dengan bulan sebelumnya</v>
      </c>
      <c r="R10" s="143" t="str">
        <f t="shared" si="1"/>
        <v>Tidak</v>
      </c>
      <c r="S10" s="143" t="s">
        <v>61</v>
      </c>
      <c r="T10" s="148"/>
      <c r="U10" s="148"/>
    </row>
    <row r="11" spans="2:21">
      <c r="B11" s="7" t="s">
        <v>30</v>
      </c>
      <c r="G11" s="102">
        <f>P43</f>
        <v>0</v>
      </c>
      <c r="L11" s="47"/>
      <c r="N11" t="s">
        <v>11</v>
      </c>
      <c r="O11" s="1">
        <f>IF(MATCH(N11,$N$7:$N$18,FALSE)&gt;MATCH($P$5,$N$7:$N$18,FALSE),0,IF(P11="Masa pajak terakhir",$G$25,'PPh 21 Pegawai Tetap'!G232))</f>
        <v>0</v>
      </c>
      <c r="P11" s="135" t="str">
        <f t="shared" si="0"/>
        <v>Sama dengan bulan sebelumnya</v>
      </c>
      <c r="R11" s="143" t="str">
        <f t="shared" si="1"/>
        <v>Tidak</v>
      </c>
      <c r="S11" s="143"/>
      <c r="T11" s="148"/>
      <c r="U11" s="148"/>
    </row>
    <row r="12" spans="2:21">
      <c r="B12" s="7" t="s">
        <v>31</v>
      </c>
      <c r="G12" s="102">
        <f>P44</f>
        <v>0</v>
      </c>
      <c r="L12" s="47"/>
      <c r="N12" t="s">
        <v>12</v>
      </c>
      <c r="O12" s="1">
        <f>IF(MATCH(N12,$N$7:$N$18,FALSE)&gt;MATCH($P$5,$N$7:$N$18,FALSE),0,IF(P12="Masa pajak terakhir",$G$25,'PPh 21 Pegawai Tetap'!G278))</f>
        <v>0</v>
      </c>
      <c r="P12" s="135" t="str">
        <f t="shared" si="0"/>
        <v>Sama dengan bulan sebelumnya</v>
      </c>
      <c r="R12" s="143" t="str">
        <f t="shared" si="1"/>
        <v>Tidak</v>
      </c>
      <c r="S12" s="143"/>
      <c r="T12" s="148"/>
      <c r="U12" s="148"/>
    </row>
    <row r="13" spans="2:21">
      <c r="B13" s="7" t="s">
        <v>68</v>
      </c>
      <c r="G13" s="102">
        <f>P45</f>
        <v>0</v>
      </c>
      <c r="L13" s="47"/>
      <c r="N13" t="s">
        <v>13</v>
      </c>
      <c r="O13" s="1">
        <f>IF(MATCH(N13,$N$7:$N$18,FALSE)&gt;MATCH($P$5,$N$7:$N$18,FALSE),0,IF(P13="Masa pajak terakhir",$G$25,'PPh 21 Pegawai Tetap'!G324))</f>
        <v>0</v>
      </c>
      <c r="P13" s="135" t="str">
        <f t="shared" si="0"/>
        <v>Sama dengan bulan sebelumnya</v>
      </c>
      <c r="R13" s="143" t="str">
        <f t="shared" si="1"/>
        <v>Tidak</v>
      </c>
      <c r="S13" s="143"/>
      <c r="T13" s="148"/>
      <c r="U13" s="148"/>
    </row>
    <row r="14" spans="2:21">
      <c r="B14" s="7" t="s">
        <v>32</v>
      </c>
      <c r="G14" s="58">
        <f>SUM(G7:G13)</f>
        <v>0</v>
      </c>
      <c r="L14" s="47"/>
      <c r="N14" t="s">
        <v>14</v>
      </c>
      <c r="O14" s="1">
        <f>IF(MATCH(N14,$N$7:$N$18,FALSE)&gt;MATCH($P$5,$N$7:$N$18,FALSE),0,IF(P14="Masa pajak terakhir",$G$25,'PPh 21 Pegawai Tetap'!G370))</f>
        <v>0</v>
      </c>
      <c r="P14" s="135" t="str">
        <f t="shared" si="0"/>
        <v>Sama dengan bulan sebelumnya</v>
      </c>
      <c r="R14" s="143" t="str">
        <f t="shared" si="1"/>
        <v>Tidak</v>
      </c>
      <c r="S14" s="143"/>
      <c r="T14" s="148"/>
      <c r="U14" s="148"/>
    </row>
    <row r="15" spans="2:21">
      <c r="B15" s="7" t="s">
        <v>34</v>
      </c>
      <c r="G15" s="58">
        <f>IF(G14*0.05&lt;=500000*G5,G14*0.05,500000*G5)</f>
        <v>0</v>
      </c>
      <c r="L15" s="47"/>
      <c r="N15" t="s">
        <v>15</v>
      </c>
      <c r="O15" s="1">
        <f>IF(MATCH(N15,$N$7:$N$18,FALSE)&gt;MATCH($P$5,$N$7:$N$18,FALSE),0,IF(P15="Masa pajak terakhir",$G$25,'PPh 21 Pegawai Tetap'!G416))</f>
        <v>0</v>
      </c>
      <c r="P15" s="135" t="str">
        <f t="shared" si="0"/>
        <v>Sama dengan bulan sebelumnya</v>
      </c>
      <c r="R15" s="143" t="str">
        <f t="shared" si="1"/>
        <v>Tidak</v>
      </c>
      <c r="S15" s="143"/>
      <c r="T15" s="148"/>
      <c r="U15" s="148"/>
    </row>
    <row r="16" spans="2:21">
      <c r="B16" s="7" t="s">
        <v>35</v>
      </c>
      <c r="G16" s="58">
        <f>(K16*G7)+(J16*G5)</f>
        <v>0</v>
      </c>
      <c r="J16" s="136"/>
      <c r="K16" s="137"/>
      <c r="L16" s="47"/>
      <c r="N16" t="s">
        <v>16</v>
      </c>
      <c r="O16" s="1">
        <f>IF(MATCH(N16,$N$7:$N$18,FALSE)&gt;MATCH($P$5,$N$7:$N$18,FALSE),0,IF(P16="Masa pajak terakhir",$G$25,'PPh 21 Pegawai Tetap'!G462))</f>
        <v>0</v>
      </c>
      <c r="P16" s="135" t="str">
        <f t="shared" si="0"/>
        <v>Sama dengan bulan sebelumnya</v>
      </c>
      <c r="R16" s="143" t="str">
        <f t="shared" si="1"/>
        <v>Tidak</v>
      </c>
      <c r="S16" s="143"/>
      <c r="T16" s="148"/>
      <c r="U16" s="148"/>
    </row>
    <row r="17" spans="2:21">
      <c r="B17" s="7" t="s">
        <v>36</v>
      </c>
      <c r="G17" s="58">
        <f>(K17*G14)+(J17*G5)</f>
        <v>0</v>
      </c>
      <c r="J17" s="136"/>
      <c r="K17" s="137"/>
      <c r="L17" s="47"/>
      <c r="N17" t="s">
        <v>17</v>
      </c>
      <c r="O17" s="1">
        <f>IF(MATCH(N17,$N$7:$N$18,FALSE)&gt;MATCH($P$5,$N$7:$N$18,FALSE),0,IF(P17="Masa pajak terakhir",$G$25,'PPh 21 Pegawai Tetap'!G508))</f>
        <v>0</v>
      </c>
      <c r="P17" s="135" t="str">
        <f t="shared" si="0"/>
        <v>Sama dengan bulan sebelumnya</v>
      </c>
      <c r="R17" s="143" t="str">
        <f t="shared" si="1"/>
        <v>Tidak</v>
      </c>
      <c r="S17" s="143"/>
      <c r="T17" s="148"/>
      <c r="U17" s="148"/>
    </row>
    <row r="18" spans="2:21">
      <c r="B18" s="7" t="s">
        <v>3</v>
      </c>
      <c r="G18" s="58">
        <f>G14-G15-G16-G17</f>
        <v>0</v>
      </c>
      <c r="L18" s="47"/>
      <c r="N18" t="s">
        <v>18</v>
      </c>
      <c r="O18" s="1">
        <f>IF(MATCH(N18,$N$7:$N$18,FALSE)&gt;MATCH($P$5,$N$7:$N$18,FALSE),0,IF(P18="Masa pajak terakhir",$G$25,IF(P18="Sama dengan bulan sebelumnya",O17,0)))</f>
        <v>0</v>
      </c>
      <c r="P18" s="135" t="str">
        <f t="shared" si="0"/>
        <v>Masa pajak terakhir</v>
      </c>
      <c r="R18" s="143" t="str">
        <f t="shared" si="1"/>
        <v>Yes</v>
      </c>
      <c r="S18" s="143"/>
      <c r="T18" s="148"/>
      <c r="U18" s="148"/>
    </row>
    <row r="19" spans="2:21">
      <c r="B19" s="7" t="s">
        <v>3</v>
      </c>
      <c r="C19" s="103" t="str">
        <f>K1</f>
        <v>Disetahunkan</v>
      </c>
      <c r="D19" s="103"/>
      <c r="E19" s="104">
        <f>L2</f>
        <v>12</v>
      </c>
      <c r="G19" s="58">
        <f>IF(C19="Setahun",G18,G18*12/G5)</f>
        <v>0</v>
      </c>
      <c r="L19" s="47"/>
      <c r="N19" t="s">
        <v>57</v>
      </c>
      <c r="O19" s="1">
        <f>SUM(O7:O18)</f>
        <v>0</v>
      </c>
      <c r="R19" s="148"/>
      <c r="S19" s="148"/>
      <c r="T19" s="148"/>
      <c r="U19" s="148"/>
    </row>
    <row r="20" spans="2:21">
      <c r="B20" s="7" t="s">
        <v>1</v>
      </c>
      <c r="C20" s="103" t="str">
        <f>H1</f>
        <v>TK/0</v>
      </c>
      <c r="D20" s="103"/>
      <c r="E20" s="105"/>
      <c r="G20" s="58">
        <f>VLOOKUP(C20,$P$29:$Q$36,2,FALSE)</f>
        <v>54000000</v>
      </c>
      <c r="L20" s="47"/>
      <c r="R20" s="148"/>
      <c r="S20" s="148"/>
      <c r="T20" s="148"/>
      <c r="U20" s="148"/>
    </row>
    <row r="21" spans="2:12">
      <c r="B21" s="7" t="s">
        <v>37</v>
      </c>
      <c r="D21" s="105"/>
      <c r="E21" s="105"/>
      <c r="G21" s="58">
        <f>IF(G19&gt;G20,ROUNDDOWN(G19-G20,-3),0)</f>
        <v>0</v>
      </c>
      <c r="I21" s="138"/>
      <c r="J21" s="138"/>
      <c r="K21" s="132"/>
      <c r="L21" s="47"/>
    </row>
    <row r="22" spans="2:12">
      <c r="B22" s="7" t="s">
        <v>38</v>
      </c>
      <c r="C22" s="59" t="str">
        <f>C19</f>
        <v>Disetahunkan</v>
      </c>
      <c r="D22" s="106"/>
      <c r="G22" s="58">
        <f>IF(G21&lt;=50000000,G21*0.05,IF(G21&lt;=250000000,(G21-50000000)*0.15+2500000,IF(G21&lt;=500000000,(G21-250000000)*0.25+32500000,IF(G21&gt;500000000,(G21-500000000)*0.3+95000000,"no"))))*IF(C5="Ada",1,1.2)</f>
        <v>0</v>
      </c>
      <c r="L22" s="47"/>
    </row>
    <row r="23" spans="2:12">
      <c r="B23" s="7" t="s">
        <v>38</v>
      </c>
      <c r="C23" t="s">
        <v>69</v>
      </c>
      <c r="G23" s="58">
        <f>IF(C22="Setahun",G22,G22*G5/12)</f>
        <v>0</v>
      </c>
      <c r="L23" s="47"/>
    </row>
    <row r="24" spans="2:12">
      <c r="B24" s="7" t="s">
        <v>70</v>
      </c>
      <c r="G24" s="58">
        <f>SUMIF(P7:P17,"&lt;&gt;"&amp;"Masa pajak terakhir",O7:O17)</f>
        <v>0</v>
      </c>
      <c r="L24" s="47"/>
    </row>
    <row r="25" ht="15.75" spans="2:12">
      <c r="B25" s="29" t="s">
        <v>71</v>
      </c>
      <c r="C25" s="30"/>
      <c r="D25" s="107"/>
      <c r="E25" s="107"/>
      <c r="F25" s="107"/>
      <c r="G25" s="61">
        <f>G23-G24</f>
        <v>0</v>
      </c>
      <c r="H25" s="30"/>
      <c r="I25" s="62"/>
      <c r="J25" s="139"/>
      <c r="K25" s="139"/>
      <c r="L25" s="140"/>
    </row>
    <row r="26" ht="15.75"/>
    <row r="27" ht="15.75"/>
    <row r="28" ht="15.75" spans="15:17">
      <c r="O28" s="141"/>
      <c r="P28" s="142" t="s">
        <v>43</v>
      </c>
      <c r="Q28" s="149"/>
    </row>
    <row r="29" spans="14:17">
      <c r="N29" s="143" t="s">
        <v>44</v>
      </c>
      <c r="O29" s="144">
        <v>0</v>
      </c>
      <c r="P29" s="7" t="str">
        <f t="shared" ref="P29:P36" si="2">N29&amp;O29</f>
        <v>TK/0</v>
      </c>
      <c r="Q29" s="150">
        <f t="shared" ref="Q29:Q36" si="3">54000000+IF(N29="K/",4500000,0)+(O29*4500000)</f>
        <v>54000000</v>
      </c>
    </row>
    <row r="30" spans="14:17">
      <c r="N30" s="143" t="s">
        <v>44</v>
      </c>
      <c r="O30" s="144">
        <v>1</v>
      </c>
      <c r="P30" s="7" t="str">
        <f t="shared" si="2"/>
        <v>TK/1</v>
      </c>
      <c r="Q30" s="150">
        <f t="shared" si="3"/>
        <v>58500000</v>
      </c>
    </row>
    <row r="31" spans="14:17">
      <c r="N31" s="143" t="s">
        <v>44</v>
      </c>
      <c r="O31" s="144">
        <v>2</v>
      </c>
      <c r="P31" s="7" t="str">
        <f t="shared" si="2"/>
        <v>TK/2</v>
      </c>
      <c r="Q31" s="150">
        <f t="shared" si="3"/>
        <v>63000000</v>
      </c>
    </row>
    <row r="32" spans="14:17">
      <c r="N32" s="143" t="s">
        <v>44</v>
      </c>
      <c r="O32" s="144">
        <v>3</v>
      </c>
      <c r="P32" s="7" t="str">
        <f t="shared" si="2"/>
        <v>TK/3</v>
      </c>
      <c r="Q32" s="150">
        <f t="shared" si="3"/>
        <v>67500000</v>
      </c>
    </row>
    <row r="33" spans="14:17">
      <c r="N33" s="143" t="s">
        <v>48</v>
      </c>
      <c r="O33" s="144">
        <v>0</v>
      </c>
      <c r="P33" s="7" t="str">
        <f t="shared" si="2"/>
        <v>K/0</v>
      </c>
      <c r="Q33" s="150">
        <f t="shared" si="3"/>
        <v>58500000</v>
      </c>
    </row>
    <row r="34" spans="14:17">
      <c r="N34" s="143" t="s">
        <v>48</v>
      </c>
      <c r="O34" s="144">
        <v>1</v>
      </c>
      <c r="P34" s="7" t="str">
        <f t="shared" si="2"/>
        <v>K/1</v>
      </c>
      <c r="Q34" s="150">
        <f t="shared" si="3"/>
        <v>63000000</v>
      </c>
    </row>
    <row r="35" spans="14:17">
      <c r="N35" s="143" t="s">
        <v>48</v>
      </c>
      <c r="O35" s="144">
        <v>2</v>
      </c>
      <c r="P35" s="7" t="str">
        <f t="shared" si="2"/>
        <v>K/2</v>
      </c>
      <c r="Q35" s="150">
        <f t="shared" si="3"/>
        <v>67500000</v>
      </c>
    </row>
    <row r="36" ht="15.75" spans="14:17">
      <c r="N36" s="143" t="s">
        <v>48</v>
      </c>
      <c r="O36" s="144">
        <v>3</v>
      </c>
      <c r="P36" s="29" t="str">
        <f t="shared" si="2"/>
        <v>K/3</v>
      </c>
      <c r="Q36" s="151">
        <f t="shared" si="3"/>
        <v>72000000</v>
      </c>
    </row>
    <row r="37" ht="15.75"/>
    <row r="38" ht="15.75" spans="2:16">
      <c r="B38" s="108" t="s">
        <v>72</v>
      </c>
      <c r="C38" s="109"/>
      <c r="D38" s="110" t="s">
        <v>7</v>
      </c>
      <c r="E38" s="110" t="s">
        <v>8</v>
      </c>
      <c r="F38" s="110" t="s">
        <v>9</v>
      </c>
      <c r="G38" s="110" t="s">
        <v>10</v>
      </c>
      <c r="H38" s="110" t="s">
        <v>11</v>
      </c>
      <c r="I38" s="110" t="s">
        <v>12</v>
      </c>
      <c r="J38" s="110" t="s">
        <v>13</v>
      </c>
      <c r="K38" s="110" t="s">
        <v>14</v>
      </c>
      <c r="L38" s="110" t="s">
        <v>15</v>
      </c>
      <c r="M38" s="110" t="s">
        <v>16</v>
      </c>
      <c r="N38" s="110" t="s">
        <v>17</v>
      </c>
      <c r="O38" s="145" t="s">
        <v>18</v>
      </c>
      <c r="P38" s="146" t="s">
        <v>57</v>
      </c>
    </row>
    <row r="39" ht="15.75" spans="2:16">
      <c r="B39" s="111" t="s">
        <v>24</v>
      </c>
      <c r="C39" s="112"/>
      <c r="D39" s="113">
        <f>'PPh 21 Pegawai Tetap'!G9</f>
        <v>0</v>
      </c>
      <c r="E39" s="113">
        <f>IF(MATCH($E$38,$D$38:$O$38,FALSE)&gt;MATCH($P$5,$N$7:$N$18,FALSE),0,(IF('PPh 21 Pegawai Tetap'!$G$55=0,D39,'PPh 21 Pegawai Tetap'!G55)))</f>
        <v>0</v>
      </c>
      <c r="F39" s="113">
        <f>IF(MATCH($F$38,$D$38:$O$38,FALSE)&gt;MATCH($P$5,$N$7:$N$18,FALSE),0,IF('PPh 21 Pegawai Tetap'!$G$101=0,E39,'PPh 21 Pegawai Tetap'!G101))</f>
        <v>0</v>
      </c>
      <c r="G39" s="113">
        <f>IF(MATCH($G$38,$D$38:$O$38,FALSE)&gt;MATCH($P$5,$N$7:$N$18,FALSE),0,IF('PPh 21 Pegawai Tetap'!$G$147=0,F39,'PPh 21 Pegawai Tetap'!G147))</f>
        <v>0</v>
      </c>
      <c r="H39" s="113">
        <f>IF(MATCH($H$38,$D$38:$O$38,FALSE)&gt;MATCH($P$5,$N$7:$N$18,FALSE),0,IF('PPh 21 Pegawai Tetap'!$G$193=0,G39,'PPh 21 Pegawai Tetap'!G193))</f>
        <v>0</v>
      </c>
      <c r="I39" s="113">
        <f>IF(MATCH($I$38,$D$38:$O$38,FALSE)&gt;MATCH($P$5,$N$7:$N$18,FALSE),0,IF('PPh 21 Pegawai Tetap'!$G$239=0,H39,'PPh 21 Pegawai Tetap'!G239))</f>
        <v>0</v>
      </c>
      <c r="J39" s="113">
        <f>IF(MATCH($J$38,$D$38:$O$38,FALSE)&gt;MATCH($P$5,$N$7:$N$18,FALSE),0,IF('PPh 21 Pegawai Tetap'!$G$285=0,I39,'PPh 21 Pegawai Tetap'!G285))</f>
        <v>0</v>
      </c>
      <c r="K39" s="113">
        <f>IF(MATCH($K$38,$D$38:$O$38,FALSE)&gt;MATCH($P$5,$N$7:$N$18,FALSE),0,IF('PPh 21 Pegawai Tetap'!$G$331=0,J39,'PPh 21 Pegawai Tetap'!G331))</f>
        <v>0</v>
      </c>
      <c r="L39" s="113">
        <f>IF(MATCH($L$38,$D$38:$O$38,FALSE)&gt;MATCH($P$5,$N$7:$N$18,FALSE),0,IF('PPh 21 Pegawai Tetap'!$G$377=0,K39,'PPh 21 Pegawai Tetap'!G377))</f>
        <v>0</v>
      </c>
      <c r="M39" s="113">
        <f>IF(MATCH($M$38,$D$38:$O$38,FALSE)&gt;MATCH($P$5,$N$7:$N$18,FALSE),0,IF('PPh 21 Pegawai Tetap'!$G$423=0,L39,'PPh 21 Pegawai Tetap'!G423))</f>
        <v>0</v>
      </c>
      <c r="N39" s="113">
        <f>IF(MATCH($N$38,$D$38:$O$38,FALSE)&gt;MATCH($P$5,$N$7:$N$18,FALSE),0,IF('PPh 21 Pegawai Tetap'!$G$469=0,M39,'PPh 21 Pegawai Tetap'!G469))</f>
        <v>0</v>
      </c>
      <c r="O39" s="113">
        <f>IF(MATCH($O$38,$D$38:$O$38,FALSE)&gt;MATCH($P$5,$N$7:$N$18,FALSE),0,IF('PPh 21 Pegawai Tetap'!$G$515=0,N39,'PPh 21 Pegawai Tetap'!G515))</f>
        <v>0</v>
      </c>
      <c r="P39" s="113">
        <f>SUM(D39:O39)</f>
        <v>0</v>
      </c>
    </row>
    <row r="40" spans="2:16">
      <c r="B40" s="114" t="s">
        <v>25</v>
      </c>
      <c r="C40" s="115"/>
      <c r="D40" s="116">
        <f>'PPh 21 Pegawai Tetap'!G10</f>
        <v>0</v>
      </c>
      <c r="E40" s="116">
        <f>IF(MATCH($E$38,$D$38:$O$38,FALSE)&gt;MATCH($P$5,$N$7:$N$18,FALSE),0,(IF('PPh 21 Pegawai Tetap'!$G$55=0,D40,'PPh 21 Pegawai Tetap'!G56)))</f>
        <v>0</v>
      </c>
      <c r="F40" s="116">
        <f>IF(MATCH($F$38,$D$38:$O$38,FALSE)&gt;MATCH($P$5,$N$7:$N$18,FALSE),0,IF('PPh 21 Pegawai Tetap'!$G$101=0,E40,'PPh 21 Pegawai Tetap'!G102))</f>
        <v>0</v>
      </c>
      <c r="G40" s="116">
        <f>IF(MATCH($G$38,$D$38:$O$38,FALSE)&gt;MATCH($P$5,$N$7:$N$18,FALSE),0,IF('PPh 21 Pegawai Tetap'!$G$147=0,F40,'PPh 21 Pegawai Tetap'!G148))</f>
        <v>0</v>
      </c>
      <c r="H40" s="116">
        <f>IF(MATCH($H$38,$D$38:$O$38,FALSE)&gt;MATCH($P$5,$N$7:$N$18,FALSE),0,IF('PPh 21 Pegawai Tetap'!$G$193=0,G40,'PPh 21 Pegawai Tetap'!G194))</f>
        <v>0</v>
      </c>
      <c r="I40" s="116">
        <f>IF(MATCH($I$38,$D$38:$O$38,FALSE)&gt;MATCH($P$5,$N$7:$N$18,FALSE),0,IF('PPh 21 Pegawai Tetap'!$G$239=0,H40,'PPh 21 Pegawai Tetap'!G240))</f>
        <v>0</v>
      </c>
      <c r="J40" s="116">
        <f>IF(MATCH($J$38,$D$38:$O$38,FALSE)&gt;MATCH($P$5,$N$7:$N$18,FALSE),0,IF('PPh 21 Pegawai Tetap'!$G$285=0,I40,'PPh 21 Pegawai Tetap'!G286))</f>
        <v>0</v>
      </c>
      <c r="K40" s="116">
        <f>IF(MATCH($K$38,$D$38:$O$38,FALSE)&gt;MATCH($P$5,$N$7:$N$18,FALSE),0,IF('PPh 21 Pegawai Tetap'!$G$331=0,J40,'PPh 21 Pegawai Tetap'!G332))</f>
        <v>0</v>
      </c>
      <c r="L40" s="116">
        <f>IF(MATCH($L$38,$D$38:$O$38,FALSE)&gt;MATCH($P$5,$N$7:$N$18,FALSE),0,IF('PPh 21 Pegawai Tetap'!$G$377=0,K40,'PPh 21 Pegawai Tetap'!G378))</f>
        <v>0</v>
      </c>
      <c r="M40" s="116">
        <f>IF(MATCH($M$38,$D$38:$O$38,FALSE)&gt;MATCH($P$5,$N$7:$N$18,FALSE),0,IF('PPh 21 Pegawai Tetap'!$G$423=0,L40,'PPh 21 Pegawai Tetap'!G424))</f>
        <v>0</v>
      </c>
      <c r="N40" s="116">
        <f>IF(MATCH($N$38,$D$38:$O$38,FALSE)&gt;MATCH($P$5,$N$7:$N$18,FALSE),0,IF('PPh 21 Pegawai Tetap'!$G$469=0,M40,'PPh 21 Pegawai Tetap'!G470))</f>
        <v>0</v>
      </c>
      <c r="O40" s="116">
        <f>IF(MATCH($O$38,$D$38:$O$38,FALSE)&gt;MATCH($P$5,$N$7:$N$18,FALSE),0,IF('PPh 21 Pegawai Tetap'!$G$515=0,N40,'PPh 21 Pegawai Tetap'!G516))</f>
        <v>0</v>
      </c>
      <c r="P40" s="116">
        <f t="shared" ref="P40:P47" si="4">SUM(D40:O40)</f>
        <v>0</v>
      </c>
    </row>
    <row r="41" spans="2:16">
      <c r="B41" s="114" t="s">
        <v>26</v>
      </c>
      <c r="C41" s="115"/>
      <c r="D41" s="113">
        <f>'PPh 21 Pegawai Tetap'!G11</f>
        <v>0</v>
      </c>
      <c r="E41" s="113">
        <f>IF(MATCH($E$38,$D$38:$O$38,FALSE)&gt;MATCH($P$5,$N$7:$N$18,FALSE),0,(IF('PPh 21 Pegawai Tetap'!$G$55=0,D41,'PPh 21 Pegawai Tetap'!G57)))</f>
        <v>0</v>
      </c>
      <c r="F41" s="113">
        <f>IF(MATCH($F$38,$D$38:$O$38,FALSE)&gt;MATCH($P$5,$N$7:$N$18,FALSE),0,IF('PPh 21 Pegawai Tetap'!$G$101=0,E41,'PPh 21 Pegawai Tetap'!G103))</f>
        <v>0</v>
      </c>
      <c r="G41" s="113">
        <f>IF(MATCH($G$38,$D$38:$O$38,FALSE)&gt;MATCH($P$5,$N$7:$N$18,FALSE),0,IF('PPh 21 Pegawai Tetap'!$G$147=0,F41,'PPh 21 Pegawai Tetap'!G149))</f>
        <v>0</v>
      </c>
      <c r="H41" s="113">
        <f>IF(MATCH($H$38,$D$38:$O$38,FALSE)&gt;MATCH($P$5,$N$7:$N$18,FALSE),0,IF('PPh 21 Pegawai Tetap'!$G$193=0,G41,'PPh 21 Pegawai Tetap'!G195))</f>
        <v>0</v>
      </c>
      <c r="I41" s="113">
        <f>IF(MATCH($I$38,$D$38:$O$38,FALSE)&gt;MATCH($P$5,$N$7:$N$18,FALSE),0,IF('PPh 21 Pegawai Tetap'!$G$239=0,H41,'PPh 21 Pegawai Tetap'!G241))</f>
        <v>0</v>
      </c>
      <c r="J41" s="113">
        <f>IF(MATCH($J$38,$D$38:$O$38,FALSE)&gt;MATCH($P$5,$N$7:$N$18,FALSE),0,IF('PPh 21 Pegawai Tetap'!$G$285=0,I41,'PPh 21 Pegawai Tetap'!G287))</f>
        <v>0</v>
      </c>
      <c r="K41" s="113">
        <f>IF(MATCH($K$38,$D$38:$O$38,FALSE)&gt;MATCH($P$5,$N$7:$N$18,FALSE),0,IF('PPh 21 Pegawai Tetap'!$G$331=0,J41,'PPh 21 Pegawai Tetap'!G333))</f>
        <v>0</v>
      </c>
      <c r="L41" s="113">
        <f>IF(MATCH($L$38,$D$38:$O$38,FALSE)&gt;MATCH($P$5,$N$7:$N$18,FALSE),0,IF('PPh 21 Pegawai Tetap'!$G$377=0,K41,'PPh 21 Pegawai Tetap'!G379))</f>
        <v>0</v>
      </c>
      <c r="M41" s="113">
        <f>IF(MATCH($M$38,$D$38:$O$38,FALSE)&gt;MATCH($P$5,$N$7:$N$18,FALSE),0,IF('PPh 21 Pegawai Tetap'!$G$423=0,L41,'PPh 21 Pegawai Tetap'!G425))</f>
        <v>0</v>
      </c>
      <c r="N41" s="113">
        <f>IF(MATCH($N$38,$D$38:$O$38,FALSE)&gt;MATCH($P$5,$N$7:$N$18,FALSE),0,IF('PPh 21 Pegawai Tetap'!$G$469=0,M41,'PPh 21 Pegawai Tetap'!G471))</f>
        <v>0</v>
      </c>
      <c r="O41" s="113">
        <f>IF(MATCH($O$38,$D$38:$O$38,FALSE)&gt;MATCH($P$5,$N$7:$N$18,FALSE),0,IF('PPh 21 Pegawai Tetap'!$G$515=0,N41,'PPh 21 Pegawai Tetap'!G517))</f>
        <v>0</v>
      </c>
      <c r="P41" s="113">
        <f t="shared" si="4"/>
        <v>0</v>
      </c>
    </row>
    <row r="42" spans="2:16">
      <c r="B42" s="114"/>
      <c r="C42" s="115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</row>
    <row r="43" spans="2:16">
      <c r="B43" s="114" t="s">
        <v>30</v>
      </c>
      <c r="C43" s="115"/>
      <c r="D43" s="113">
        <f>'PPh 21 Pegawai Tetap'!G13</f>
        <v>0</v>
      </c>
      <c r="E43" s="113">
        <f>IF(MATCH($E$38,$D$38:$O$38,FALSE)&gt;MATCH($P$5,$N$7:$N$18,FALSE),0,(IF('PPh 21 Pegawai Tetap'!$G$55=0,D43,'PPh 21 Pegawai Tetap'!G59)))</f>
        <v>0</v>
      </c>
      <c r="F43" s="113">
        <f>IF(MATCH($F$38,$D$38:$O$38,FALSE)&gt;MATCH($P$5,$N$7:$N$18,FALSE),0,IF('PPh 21 Pegawai Tetap'!$G$101=0,E43,'PPh 21 Pegawai Tetap'!G105))</f>
        <v>0</v>
      </c>
      <c r="G43" s="113">
        <f>IF(MATCH($G$38,$D$38:$O$38,FALSE)&gt;MATCH($P$5,$N$7:$N$18,FALSE),0,IF('PPh 21 Pegawai Tetap'!$G$147=0,F43,'PPh 21 Pegawai Tetap'!G151))</f>
        <v>0</v>
      </c>
      <c r="H43" s="113">
        <f>IF(MATCH($H$38,$D$38:$O$38,FALSE)&gt;MATCH($P$5,$N$7:$N$18,FALSE),0,IF('PPh 21 Pegawai Tetap'!$G$193=0,G43,'PPh 21 Pegawai Tetap'!G197))</f>
        <v>0</v>
      </c>
      <c r="I43" s="113">
        <f>IF(MATCH($I$38,$D$38:$O$38,FALSE)&gt;MATCH($P$5,$N$7:$N$18,FALSE),0,IF('PPh 21 Pegawai Tetap'!$G$239=0,H43,'PPh 21 Pegawai Tetap'!G243))</f>
        <v>0</v>
      </c>
      <c r="J43" s="113">
        <f>IF(MATCH($J$38,$D$38:$O$38,FALSE)&gt;MATCH($P$5,$N$7:$N$18,FALSE),0,IF('PPh 21 Pegawai Tetap'!$G$285=0,I43,'PPh 21 Pegawai Tetap'!G289))</f>
        <v>0</v>
      </c>
      <c r="K43" s="113">
        <f>IF(MATCH($K$38,$D$38:$O$38,FALSE)&gt;MATCH($P$5,$N$7:$N$18,FALSE),0,IF('PPh 21 Pegawai Tetap'!$G$331=0,J43,'PPh 21 Pegawai Tetap'!G335))</f>
        <v>0</v>
      </c>
      <c r="L43" s="113">
        <f>IF(MATCH($L$38,$D$38:$O$38,FALSE)&gt;MATCH($P$5,$N$7:$N$18,FALSE),0,IF('PPh 21 Pegawai Tetap'!$G$377=0,K43,'PPh 21 Pegawai Tetap'!G381))</f>
        <v>0</v>
      </c>
      <c r="M43" s="113">
        <f>IF(MATCH($M$38,$D$38:$O$38,FALSE)&gt;MATCH($P$5,$N$7:$N$18,FALSE),0,IF('PPh 21 Pegawai Tetap'!$G$423=0,L43,'PPh 21 Pegawai Tetap'!G427))</f>
        <v>0</v>
      </c>
      <c r="N43" s="113">
        <f>IF(MATCH($N$38,$D$38:$O$38,FALSE)&gt;MATCH($P$5,$N$7:$N$18,FALSE),0,IF('PPh 21 Pegawai Tetap'!$G$469=0,M43,'PPh 21 Pegawai Tetap'!G473))</f>
        <v>0</v>
      </c>
      <c r="O43" s="113">
        <f>IF(MATCH($O$38,$D$38:$O$38,FALSE)&gt;MATCH($P$5,$N$7:$N$18,FALSE),0,IF('PPh 21 Pegawai Tetap'!$G$515=0,N43,'PPh 21 Pegawai Tetap'!G519))</f>
        <v>0</v>
      </c>
      <c r="P43" s="113">
        <f t="shared" si="4"/>
        <v>0</v>
      </c>
    </row>
    <row r="44" spans="2:16">
      <c r="B44" s="114" t="s">
        <v>31</v>
      </c>
      <c r="C44" s="115"/>
      <c r="D44" s="116">
        <f>'PPh 21 Pegawai Tetap'!G14</f>
        <v>0</v>
      </c>
      <c r="E44" s="116">
        <f>IF(MATCH($E$38,$D$38:$O$38,FALSE)&gt;MATCH($P$5,$N$7:$N$18,FALSE),0,(IF('PPh 21 Pegawai Tetap'!$G$55=0,D44,'PPh 21 Pegawai Tetap'!G60)))</f>
        <v>0</v>
      </c>
      <c r="F44" s="116">
        <f>IF(MATCH($F$38,$D$38:$O$38,FALSE)&gt;MATCH($P$5,$N$7:$N$18,FALSE),0,IF('PPh 21 Pegawai Tetap'!$G$101=0,E44,'PPh 21 Pegawai Tetap'!G106))</f>
        <v>0</v>
      </c>
      <c r="G44" s="116">
        <f>IF(MATCH($G$38,$D$38:$O$38,FALSE)&gt;MATCH($P$5,$N$7:$N$18,FALSE),0,IF('PPh 21 Pegawai Tetap'!$G$147=0,F44,'PPh 21 Pegawai Tetap'!G152))</f>
        <v>0</v>
      </c>
      <c r="H44" s="116">
        <f>IF(MATCH($H$38,$D$38:$O$38,FALSE)&gt;MATCH($P$5,$N$7:$N$18,FALSE),0,IF('PPh 21 Pegawai Tetap'!$G$193=0,G44,'PPh 21 Pegawai Tetap'!G198))</f>
        <v>0</v>
      </c>
      <c r="I44" s="116">
        <f>IF(MATCH($I$38,$D$38:$O$38,FALSE)&gt;MATCH($P$5,$N$7:$N$18,FALSE),0,IF('PPh 21 Pegawai Tetap'!$G$239=0,H44,'PPh 21 Pegawai Tetap'!G244))</f>
        <v>0</v>
      </c>
      <c r="J44" s="116">
        <f>IF(MATCH($J$38,$D$38:$O$38,FALSE)&gt;MATCH($P$5,$N$7:$N$18,FALSE),0,IF('PPh 21 Pegawai Tetap'!$G$285=0,I44,'PPh 21 Pegawai Tetap'!G290))</f>
        <v>0</v>
      </c>
      <c r="K44" s="116">
        <f>IF(MATCH($K$38,$D$38:$O$38,FALSE)&gt;MATCH($P$5,$N$7:$N$18,FALSE),0,IF('PPh 21 Pegawai Tetap'!$G$331=0,J44,'PPh 21 Pegawai Tetap'!G336))</f>
        <v>0</v>
      </c>
      <c r="L44" s="116">
        <f>IF(MATCH($L$38,$D$38:$O$38,FALSE)&gt;MATCH($P$5,$N$7:$N$18,FALSE),0,IF('PPh 21 Pegawai Tetap'!$G$377=0,K44,'PPh 21 Pegawai Tetap'!G382))</f>
        <v>0</v>
      </c>
      <c r="M44" s="116">
        <f>IF(MATCH($M$38,$D$38:$O$38,FALSE)&gt;MATCH($P$5,$N$7:$N$18,FALSE),0,IF('PPh 21 Pegawai Tetap'!$G$423=0,L44,'PPh 21 Pegawai Tetap'!G428))</f>
        <v>0</v>
      </c>
      <c r="N44" s="116">
        <f>IF(MATCH($N$38,$D$38:$O$38,FALSE)&gt;MATCH($P$5,$N$7:$N$18,FALSE),0,IF('PPh 21 Pegawai Tetap'!$G$469=0,M44,'PPh 21 Pegawai Tetap'!G474))</f>
        <v>0</v>
      </c>
      <c r="O44" s="116">
        <f>IF(MATCH($O$38,$D$38:$O$38,FALSE)&gt;MATCH($P$5,$N$7:$N$18,FALSE),0,IF('PPh 21 Pegawai Tetap'!$G$515=0,N44,'PPh 21 Pegawai Tetap'!G520))</f>
        <v>0</v>
      </c>
      <c r="P44" s="116">
        <f t="shared" si="4"/>
        <v>0</v>
      </c>
    </row>
    <row r="45" spans="2:16">
      <c r="B45" s="114" t="s">
        <v>68</v>
      </c>
      <c r="C45" s="115"/>
      <c r="D45" s="113">
        <f>'PPh 21 Pegawai Tetap'!R15</f>
        <v>0</v>
      </c>
      <c r="E45" s="113">
        <f>IF(MATCH($E$38,$D$38:$O$38,FALSE)&gt;MATCH($P$5,$N$7:$N$18,FALSE),0,IF('PPh 21 Pegawai Tetap'!G55=0,D45,'PPh 21 Pegawai Tetap'!R61))</f>
        <v>0</v>
      </c>
      <c r="F45" s="113">
        <f>IF(MATCH($F$38,$D$38:$O$38,FALSE)&gt;MATCH($P$5,$N$7:$N$18,FALSE),0,IF('PPh 21 Pegawai Tetap'!G101=0,E45,'PPh 21 Pegawai Tetap'!R107))</f>
        <v>0</v>
      </c>
      <c r="G45" s="113">
        <f>IF(MATCH($G$38,$D$38:$O$38,FALSE)&gt;MATCH($P$5,$N$7:$N$18,FALSE),0,IF('PPh 21 Pegawai Tetap'!G147=0,F45,'PPh 21 Pegawai Tetap'!R153))</f>
        <v>0</v>
      </c>
      <c r="H45" s="113">
        <f>IF(MATCH($H$38,$D$38:$O$38,FALSE)&gt;MATCH($P$5,$N$7:$N$18,FALSE),0,IF('PPh 21 Pegawai Tetap'!G193=0,G45,'PPh 21 Pegawai Tetap'!R199))</f>
        <v>0</v>
      </c>
      <c r="I45" s="113">
        <f>IF(MATCH($I$38,$D$38:$O$38,FALSE)&gt;MATCH($P$5,$N$7:$N$18,FALSE),0,IF('PPh 21 Pegawai Tetap'!G239=0,H45,'PPh 21 Pegawai Tetap'!R245))</f>
        <v>0</v>
      </c>
      <c r="J45" s="113">
        <f>IF(MATCH($J$38,$D$38:$O$38,FALSE)&gt;MATCH($P$5,$N$7:$N$18,FALSE),0,IF('PPh 21 Pegawai Tetap'!G285=0,I45,'PPh 21 Pegawai Tetap'!R291))</f>
        <v>0</v>
      </c>
      <c r="K45" s="113">
        <f>IF(MATCH($K$38,$D$38:$O$38,FALSE)&gt;MATCH($P$5,$N$7:$N$18,FALSE),0,IF('PPh 21 Pegawai Tetap'!G331=0,J45,'PPh 21 Pegawai Tetap'!R337))</f>
        <v>0</v>
      </c>
      <c r="L45" s="113">
        <f>IF(MATCH($L$38,$D$38:$O$38,FALSE)&gt;MATCH($P$5,$N$7:$N$18,FALSE),0,IF('PPh 21 Pegawai Tetap'!G377=0,K45,'PPh 21 Pegawai Tetap'!R383))</f>
        <v>0</v>
      </c>
      <c r="M45" s="113">
        <f>IF(MATCH($M$38,$D$38:$O$38,FALSE)&gt;MATCH($P$5,$N$7:$N$18,FALSE),0,IF('PPh 21 Pegawai Tetap'!G423=0,L45,'PPh 21 Pegawai Tetap'!R429))</f>
        <v>0</v>
      </c>
      <c r="N45" s="113">
        <f>IF(MATCH($N$38,$D$38:$O$38,FALSE)&gt;MATCH($P$5,$N$7:$N$18,FALSE),0,IF('PPh 21 Pegawai Tetap'!G469=0,M45,'PPh 21 Pegawai Tetap'!R475))</f>
        <v>0</v>
      </c>
      <c r="O45" s="113">
        <f>IF(MATCH($O$38,$D$38:$O$38,FALSE)&gt;MATCH($P$5,$N$7:$N$18,FALSE),0,IF('PPh 21 Pegawai Tetap'!$G$515=0,N45,'PPh 21 Pegawai Tetap'!R521))</f>
        <v>0</v>
      </c>
      <c r="P45" s="113">
        <f t="shared" si="4"/>
        <v>0</v>
      </c>
    </row>
    <row r="46" spans="2:16">
      <c r="B46" s="114" t="s">
        <v>73</v>
      </c>
      <c r="C46" s="115"/>
      <c r="D46" s="116">
        <f>'PPh 21 Pegawai Tetap'!J30</f>
        <v>0</v>
      </c>
      <c r="E46" s="116">
        <f>'PPh 21 Pegawai Tetap'!J76</f>
        <v>0</v>
      </c>
      <c r="F46" s="116">
        <f>'PPh 21 Pegawai Tetap'!J122</f>
        <v>0</v>
      </c>
      <c r="G46" s="116">
        <f>'PPh 21 Pegawai Tetap'!J168</f>
        <v>0</v>
      </c>
      <c r="H46" s="116">
        <f>'PPh 21 Pegawai Tetap'!J214</f>
        <v>0</v>
      </c>
      <c r="I46" s="116">
        <f>'PPh 21 Pegawai Tetap'!J260</f>
        <v>0</v>
      </c>
      <c r="J46" s="116">
        <f>'PPh 21 Pegawai Tetap'!J306</f>
        <v>0</v>
      </c>
      <c r="K46" s="116">
        <f>'PPh 21 Pegawai Tetap'!J352</f>
        <v>0</v>
      </c>
      <c r="L46" s="116">
        <f>'PPh 21 Pegawai Tetap'!J398</f>
        <v>0</v>
      </c>
      <c r="M46" s="116">
        <f>'PPh 21 Pegawai Tetap'!J444</f>
        <v>0</v>
      </c>
      <c r="N46" s="116">
        <f>'PPh 21 Pegawai Tetap'!J490</f>
        <v>0</v>
      </c>
      <c r="O46" s="116">
        <f>'PPh 21 Pegawai Tetap'!J536</f>
        <v>0</v>
      </c>
      <c r="P46" s="116">
        <f t="shared" si="4"/>
        <v>0</v>
      </c>
    </row>
    <row r="47" spans="2:16">
      <c r="B47" s="117" t="s">
        <v>74</v>
      </c>
      <c r="C47" s="118"/>
      <c r="D47" s="113">
        <f>'PPh 21 Pegawai Tetap'!J31</f>
        <v>0</v>
      </c>
      <c r="E47" s="113">
        <f>'PPh 21 Pegawai Tetap'!J77</f>
        <v>0</v>
      </c>
      <c r="F47" s="113">
        <f>'PPh 21 Pegawai Tetap'!J123</f>
        <v>0</v>
      </c>
      <c r="G47" s="113">
        <f>'PPh 21 Pegawai Tetap'!J169</f>
        <v>0</v>
      </c>
      <c r="H47" s="113">
        <f>'PPh 21 Pegawai Tetap'!J215</f>
        <v>0</v>
      </c>
      <c r="I47" s="113">
        <f>'PPh 21 Pegawai Tetap'!J261</f>
        <v>0</v>
      </c>
      <c r="J47" s="113">
        <f>'PPh 21 Pegawai Tetap'!J307</f>
        <v>0</v>
      </c>
      <c r="K47" s="113">
        <f>'PPh 21 Pegawai Tetap'!J353</f>
        <v>0</v>
      </c>
      <c r="L47" s="113">
        <f>'PPh 21 Pegawai Tetap'!J399</f>
        <v>0</v>
      </c>
      <c r="M47" s="113">
        <f>'PPh 21 Pegawai Tetap'!J445</f>
        <v>0</v>
      </c>
      <c r="N47" s="113">
        <f>'PPh 21 Pegawai Tetap'!J491</f>
        <v>0</v>
      </c>
      <c r="O47" s="113">
        <f>'PPh 21 Pegawai Tetap'!J537</f>
        <v>0</v>
      </c>
      <c r="P47" s="113">
        <f t="shared" si="4"/>
        <v>0</v>
      </c>
    </row>
  </sheetData>
  <mergeCells count="23">
    <mergeCell ref="B1:C1"/>
    <mergeCell ref="D1:E1"/>
    <mergeCell ref="K1:L1"/>
    <mergeCell ref="B2:C2"/>
    <mergeCell ref="H3:J3"/>
    <mergeCell ref="N4:O4"/>
    <mergeCell ref="C5:D5"/>
    <mergeCell ref="N5:O5"/>
    <mergeCell ref="N6:O6"/>
    <mergeCell ref="C19:D19"/>
    <mergeCell ref="C20:D20"/>
    <mergeCell ref="J25:K25"/>
    <mergeCell ref="P28:Q28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</mergeCells>
  <dataValidations count="16">
    <dataValidation type="list" allowBlank="1" showInputMessage="1" showErrorMessage="1" sqref="P10">
      <formula1>INDIRECT($R$10)</formula1>
    </dataValidation>
    <dataValidation type="list" allowBlank="1" showInputMessage="1" showErrorMessage="1" sqref="K1:L1">
      <formula1>$M$1:$M$2</formula1>
    </dataValidation>
    <dataValidation type="list" allowBlank="1" showInputMessage="1" showErrorMessage="1" sqref="H1">
      <formula1>Status_PTKP</formula1>
    </dataValidation>
    <dataValidation type="list" allowBlank="1" showInputMessage="1" showErrorMessage="1" sqref="P8">
      <formula1>INDIRECT($R$8)</formula1>
    </dataValidation>
    <dataValidation type="list" allowBlank="1" showInputMessage="1" showErrorMessage="1" sqref="P4 P5">
      <formula1>$N$7:$N$18</formula1>
    </dataValidation>
    <dataValidation allowBlank="1" showInputMessage="1" showErrorMessage="1" sqref="K5"/>
    <dataValidation type="list" allowBlank="1" showInputMessage="1" showErrorMessage="1" sqref="P9">
      <formula1>INDIRECT($R$9)</formula1>
    </dataValidation>
    <dataValidation type="list" allowBlank="1" showInputMessage="1" showErrorMessage="1" sqref="P7">
      <formula1>INDIRECT($R$7)</formula1>
    </dataValidation>
    <dataValidation type="list" allowBlank="1" showInputMessage="1" showErrorMessage="1" sqref="P11">
      <formula1>INDIRECT($R$11)</formula1>
    </dataValidation>
    <dataValidation type="list" allowBlank="1" showInputMessage="1" showErrorMessage="1" sqref="P12">
      <formula1>INDIRECT($R$12)</formula1>
    </dataValidation>
    <dataValidation type="list" allowBlank="1" showInputMessage="1" showErrorMessage="1" sqref="P13">
      <formula1>INDIRECT($R$13)</formula1>
    </dataValidation>
    <dataValidation type="list" allowBlank="1" showInputMessage="1" showErrorMessage="1" sqref="P14">
      <formula1>INDIRECT($R$14)</formula1>
    </dataValidation>
    <dataValidation type="list" allowBlank="1" showInputMessage="1" showErrorMessage="1" sqref="P15">
      <formula1>INDIRECT($R$15)</formula1>
    </dataValidation>
    <dataValidation type="list" allowBlank="1" showInputMessage="1" showErrorMessage="1" sqref="P16">
      <formula1>INDIRECT($R$16)</formula1>
    </dataValidation>
    <dataValidation type="list" allowBlank="1" showInputMessage="1" showErrorMessage="1" sqref="P17">
      <formula1>INDIRECT($R$17)</formula1>
    </dataValidation>
    <dataValidation type="list" allowBlank="1" showInputMessage="1" showErrorMessage="1" sqref="P18">
      <formula1>INDIRECT($R$18)</formula1>
    </dataValidation>
  </dataValidations>
  <hyperlinks>
    <hyperlink ref="D2" location="'PPh 21 Pegawai Tetap'!A4:A25" display="Januari"/>
    <hyperlink ref="E2" location="'PPh 21 Pegawai Tetap'!A50:A71" display="Februari"/>
    <hyperlink ref="F2" location="'PPh 21 Pegawai Tetap'!A96:A117" display="Maret"/>
    <hyperlink ref="G2" location="'PPh 21 Pegawai Tetap'!A142:A163" display="April"/>
    <hyperlink ref="H2" location="'PPh 21 Pegawai Tetap'!A188:A209" display="Mei"/>
    <hyperlink ref="I2" location="'PPh 21 Pegawai Tetap'!A234:A255" display="Juni"/>
    <hyperlink ref="J2" location="'PPh 21 Pegawai Tetap'!A280:A301" display="Juli"/>
    <hyperlink ref="D3" location="'PPh 21 Pegawai Tetap'!A326:A347" display="Agustus"/>
    <hyperlink ref="E3" location="'PPh 21 Pegawai Tetap'!A372:A393" display="September"/>
    <hyperlink ref="F3" location="'PPh 21 Pegawai Tetap'!A418:A439" display="Oktober"/>
    <hyperlink ref="G3" location="'PPh 21 Pegawai Tetap'!A464:A485" display="November"/>
    <hyperlink ref="H3:K3" location="'PPh 21 Masa Pajak Terakhir'!A1" display="Desember"/>
    <hyperlink ref="H3:J3" location="'PPh 21 Pegawai Tetap'!A510:A531" display="Desember"/>
  </hyperlinks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86"/>
  <sheetViews>
    <sheetView showGridLines="0" workbookViewId="0">
      <selection activeCell="A1" sqref="A1"/>
    </sheetView>
  </sheetViews>
  <sheetFormatPr defaultColWidth="9.14285714285714" defaultRowHeight="15"/>
  <cols>
    <col min="1" max="1" width="3.14285714285714" customWidth="1"/>
    <col min="2" max="2" width="8.85714285714286" customWidth="1"/>
    <col min="3" max="3" width="12.4285714285714" customWidth="1"/>
    <col min="4" max="4" width="16" customWidth="1"/>
    <col min="5" max="5" width="11.4285714285714" customWidth="1"/>
    <col min="6" max="7" width="14.8571428571429" customWidth="1"/>
    <col min="8" max="8" width="3.57142857142857" customWidth="1"/>
    <col min="9" max="9" width="11.5714285714286" customWidth="1"/>
    <col min="10" max="10" width="10.1428571428571" customWidth="1"/>
    <col min="11" max="11" width="14.7142857142857" customWidth="1"/>
    <col min="12" max="12" width="16.1428571428571" customWidth="1"/>
    <col min="13" max="13" width="14.8571428571429" customWidth="1"/>
    <col min="14" max="15" width="14" customWidth="1"/>
    <col min="16" max="16" width="15" customWidth="1"/>
  </cols>
  <sheetData>
    <row r="1" ht="15.75"/>
    <row r="2" ht="15.75" spans="2:14">
      <c r="B2" s="40" t="s">
        <v>75</v>
      </c>
      <c r="C2" s="41"/>
      <c r="D2" s="42"/>
      <c r="E2" s="43" t="s">
        <v>53</v>
      </c>
      <c r="F2" s="44"/>
      <c r="G2" s="45"/>
      <c r="H2" s="46"/>
      <c r="I2" s="40" t="s">
        <v>76</v>
      </c>
      <c r="J2" s="41"/>
      <c r="K2" s="42"/>
      <c r="L2" s="42" t="s">
        <v>77</v>
      </c>
      <c r="M2" s="42"/>
      <c r="N2" s="66">
        <v>5</v>
      </c>
    </row>
    <row r="3" spans="2:14">
      <c r="B3" s="7"/>
      <c r="E3" t="s">
        <v>1</v>
      </c>
      <c r="G3" s="47"/>
      <c r="H3" s="46"/>
      <c r="I3" s="7"/>
      <c r="L3" t="s">
        <v>1</v>
      </c>
      <c r="N3" s="47"/>
    </row>
    <row r="4" spans="2:14">
      <c r="B4" s="7" t="s">
        <v>22</v>
      </c>
      <c r="C4" s="48" t="s">
        <v>23</v>
      </c>
      <c r="E4" s="49" t="s">
        <v>2</v>
      </c>
      <c r="F4" s="50">
        <f>VLOOKUP(E4,'PPh 21 Pegawai Tetap'!P29:Q36,2,FALSE)</f>
        <v>54000000</v>
      </c>
      <c r="G4" s="51"/>
      <c r="H4" s="46"/>
      <c r="I4" s="7" t="s">
        <v>22</v>
      </c>
      <c r="J4" s="48" t="s">
        <v>23</v>
      </c>
      <c r="L4" s="49" t="s">
        <v>2</v>
      </c>
      <c r="M4" s="50">
        <f>VLOOKUP(L4,'PPh 21 Pegawai Tetap'!P29:Q36,2,FALSE)</f>
        <v>54000000</v>
      </c>
      <c r="N4" s="51"/>
    </row>
    <row r="5" spans="2:14">
      <c r="B5" s="7"/>
      <c r="G5" s="47"/>
      <c r="H5" s="46"/>
      <c r="I5" s="7"/>
      <c r="N5" s="47"/>
    </row>
    <row r="6" ht="30" spans="2:14">
      <c r="B6" s="52" t="s">
        <v>78</v>
      </c>
      <c r="C6" s="19" t="s">
        <v>79</v>
      </c>
      <c r="D6" s="19" t="s">
        <v>80</v>
      </c>
      <c r="E6" s="53" t="s">
        <v>81</v>
      </c>
      <c r="F6" s="53" t="s">
        <v>82</v>
      </c>
      <c r="G6" s="54" t="s">
        <v>83</v>
      </c>
      <c r="H6" s="46"/>
      <c r="I6" s="67" t="s">
        <v>84</v>
      </c>
      <c r="J6" s="53" t="s">
        <v>85</v>
      </c>
      <c r="K6" s="53" t="s">
        <v>86</v>
      </c>
      <c r="L6" s="53" t="s">
        <v>87</v>
      </c>
      <c r="M6" s="53" t="s">
        <v>82</v>
      </c>
      <c r="N6" s="54" t="s">
        <v>83</v>
      </c>
    </row>
    <row r="7" spans="2:14">
      <c r="B7" s="55"/>
      <c r="C7" s="21"/>
      <c r="D7" s="21"/>
      <c r="E7" s="21"/>
      <c r="F7" s="21"/>
      <c r="G7" s="36"/>
      <c r="H7" s="46"/>
      <c r="I7" s="68"/>
      <c r="J7" s="69"/>
      <c r="K7" s="69"/>
      <c r="L7" s="69"/>
      <c r="M7" s="69"/>
      <c r="N7" s="70"/>
    </row>
    <row r="8" spans="2:14">
      <c r="B8" s="56">
        <v>1</v>
      </c>
      <c r="C8" s="24"/>
      <c r="D8" s="25">
        <f t="shared" ref="D8:D32" si="0">D7+C8</f>
        <v>0</v>
      </c>
      <c r="E8" s="25">
        <f>IF(AND(F8=0,C8&gt;450000),0.05*(C8-450000),0)*IF($C$4="Ada",1,1.2)</f>
        <v>0</v>
      </c>
      <c r="F8" s="25">
        <f>IF(D8&gt;10200000,"hitung manual",IF(AND(D8&gt;4500000,C8&gt;0),0.05*(D8-B8*($F$4/360))*IF($C$4="Ada",1,1.2)-G7,0))</f>
        <v>0</v>
      </c>
      <c r="G8" s="37">
        <f t="shared" ref="G8:G32" si="1">IF(F8="hitung manual","hitung manual",G7+E8+F8)</f>
        <v>0</v>
      </c>
      <c r="H8" s="46"/>
      <c r="I8" s="71">
        <v>1</v>
      </c>
      <c r="J8" s="72"/>
      <c r="K8" s="73">
        <f t="shared" ref="K8:K11" si="2">K7+J8</f>
        <v>0</v>
      </c>
      <c r="L8" s="73">
        <f>IF(AND(M8=0,J8/$N$2&gt;450000),0.05*(J8-$N$2*450000)*IF($J$4="Ada",1,1.2),0)</f>
        <v>0</v>
      </c>
      <c r="M8" s="73">
        <f>IF(K8&gt;10200000,"hitung manual",IF(AND(K8&gt;4500000,J8&gt;0),0.05*(K8-(I8*$N$2*$M$4/360))*IF($J$4="Ada",1,1.2)-N7,0))</f>
        <v>0</v>
      </c>
      <c r="N8" s="74">
        <f>IF(M8="hitung manual","hitung manual",N7+L8+M8)</f>
        <v>0</v>
      </c>
    </row>
    <row r="9" spans="2:14">
      <c r="B9" s="56">
        <v>2</v>
      </c>
      <c r="C9" s="24"/>
      <c r="D9" s="25">
        <f t="shared" si="0"/>
        <v>0</v>
      </c>
      <c r="E9" s="25">
        <f t="shared" ref="E9:E32" si="3">IF(AND(F9=0,C9&gt;450000),0.05*(C9-450000),0)*IF($C$4="Ada",1,1.2)</f>
        <v>0</v>
      </c>
      <c r="F9" s="25">
        <f>IF(D9&gt;10200000,"hitung manual",IF(AND(D9&gt;4500000,C9&gt;0),0.05*(D9-B9*($F$4/360))*IF($C$4="Ada",1,1.2)-G8,0))</f>
        <v>0</v>
      </c>
      <c r="G9" s="37">
        <f t="shared" si="1"/>
        <v>0</v>
      </c>
      <c r="H9" s="46"/>
      <c r="I9" s="71">
        <v>2</v>
      </c>
      <c r="J9" s="72"/>
      <c r="K9" s="73">
        <f t="shared" si="2"/>
        <v>0</v>
      </c>
      <c r="L9" s="73">
        <f>IF(AND(M9=0,J9/$N$2&gt;450000),0.05*(J9-$N$2*450000)*IF($J$4="Ada",1,1.2),0)</f>
        <v>0</v>
      </c>
      <c r="M9" s="73">
        <f>IF(K9&gt;10200000,"hitung manual",IF(AND(K9&gt;4500000,J9&gt;0),0.05*(K9-(I9*$N$2*$M$4/360))*IF($J$4="Ada",1,1.2)-N8,0))</f>
        <v>0</v>
      </c>
      <c r="N9" s="74">
        <f>IF(M9="hitung manual","hitung manual",N8+L9+M9)</f>
        <v>0</v>
      </c>
    </row>
    <row r="10" spans="2:14">
      <c r="B10" s="56">
        <v>3</v>
      </c>
      <c r="C10" s="24"/>
      <c r="D10" s="25">
        <f t="shared" si="0"/>
        <v>0</v>
      </c>
      <c r="E10" s="25">
        <f t="shared" si="3"/>
        <v>0</v>
      </c>
      <c r="F10" s="25">
        <f t="shared" ref="F8:F17" si="4">IF(D10&gt;10200000,"hitung manual",IF(AND(D10&gt;4500000,C10&gt;0),0.05*(D10-B10*($F$4/360))*IF($C$4="Ada",1,1.2)-G9,0))</f>
        <v>0</v>
      </c>
      <c r="G10" s="37">
        <f t="shared" si="1"/>
        <v>0</v>
      </c>
      <c r="H10" s="46"/>
      <c r="I10" s="71">
        <v>3</v>
      </c>
      <c r="J10" s="72"/>
      <c r="K10" s="73">
        <f t="shared" si="2"/>
        <v>0</v>
      </c>
      <c r="L10" s="73">
        <f>IF(AND(M10=0,J10/$N$2&gt;450000),0.05*(J10-$N$2*450000)*IF($J$4="Ada",1,1.2),0)</f>
        <v>0</v>
      </c>
      <c r="M10" s="73">
        <f>IF(K10&gt;10200000,"hitung manual",IF(AND(K10&gt;4500000,J10&gt;0),0.05*(K10-(I10*$N$2*$M$4/360))*IF($J$4="Ada",1,1.2)-N9,0))</f>
        <v>0</v>
      </c>
      <c r="N10" s="74">
        <f>IF(M10="hitung manual","hitung manual",N9+L10+M10)</f>
        <v>0</v>
      </c>
    </row>
    <row r="11" spans="2:14">
      <c r="B11" s="56">
        <v>4</v>
      </c>
      <c r="C11" s="24"/>
      <c r="D11" s="25">
        <f t="shared" si="0"/>
        <v>0</v>
      </c>
      <c r="E11" s="25">
        <f t="shared" si="3"/>
        <v>0</v>
      </c>
      <c r="F11" s="25">
        <f t="shared" si="4"/>
        <v>0</v>
      </c>
      <c r="G11" s="37">
        <f t="shared" si="1"/>
        <v>0</v>
      </c>
      <c r="H11" s="46"/>
      <c r="I11" s="75">
        <v>4</v>
      </c>
      <c r="J11" s="76"/>
      <c r="K11" s="77">
        <f t="shared" si="2"/>
        <v>0</v>
      </c>
      <c r="L11" s="77">
        <f>IF(AND(M11=0,J11/$N$2&gt;450000),0.05*(J11-$N$2*450000)*IF($J$4="Ada",1,1.2),0)</f>
        <v>0</v>
      </c>
      <c r="M11" s="77">
        <f>IF(K11&gt;10200000,"hitung manual",IF(AND(K11&gt;4500000,J11&gt;0),0.05*(K11-(I11*$N$2*$M$4/360))*IF($J$4="Ada",1,1.2)-N10,0))</f>
        <v>0</v>
      </c>
      <c r="N11" s="78">
        <f>IF(M11="hitung manual","hitung manual",N10+L11+M11)</f>
        <v>0</v>
      </c>
    </row>
    <row r="12" spans="2:14">
      <c r="B12" s="56">
        <v>5</v>
      </c>
      <c r="C12" s="24"/>
      <c r="D12" s="25">
        <f t="shared" si="0"/>
        <v>0</v>
      </c>
      <c r="E12" s="25">
        <f t="shared" si="3"/>
        <v>0</v>
      </c>
      <c r="F12" s="25">
        <f t="shared" si="4"/>
        <v>0</v>
      </c>
      <c r="G12" s="37">
        <f t="shared" si="1"/>
        <v>0</v>
      </c>
      <c r="H12" s="46"/>
      <c r="I12" s="7"/>
      <c r="N12" s="47"/>
    </row>
    <row r="13" spans="2:14">
      <c r="B13" s="56">
        <v>6</v>
      </c>
      <c r="C13" s="24"/>
      <c r="D13" s="25">
        <f t="shared" si="0"/>
        <v>0</v>
      </c>
      <c r="E13" s="25">
        <f t="shared" si="3"/>
        <v>0</v>
      </c>
      <c r="F13" s="25">
        <f t="shared" si="4"/>
        <v>0</v>
      </c>
      <c r="G13" s="37">
        <f t="shared" si="1"/>
        <v>0</v>
      </c>
      <c r="H13" s="46"/>
      <c r="I13" s="7" t="s">
        <v>88</v>
      </c>
      <c r="N13" s="47"/>
    </row>
    <row r="14" spans="2:14">
      <c r="B14" s="56">
        <v>7</v>
      </c>
      <c r="C14" s="24"/>
      <c r="D14" s="25">
        <f t="shared" si="0"/>
        <v>0</v>
      </c>
      <c r="E14" s="25">
        <f t="shared" si="3"/>
        <v>0</v>
      </c>
      <c r="F14" s="25">
        <f t="shared" si="4"/>
        <v>0</v>
      </c>
      <c r="G14" s="37">
        <f t="shared" si="1"/>
        <v>0</v>
      </c>
      <c r="H14" s="46"/>
      <c r="I14" s="7"/>
      <c r="N14" s="47"/>
    </row>
    <row r="15" spans="2:14">
      <c r="B15" s="56">
        <v>8</v>
      </c>
      <c r="C15" s="24"/>
      <c r="D15" s="25">
        <f t="shared" si="0"/>
        <v>0</v>
      </c>
      <c r="E15" s="25">
        <f t="shared" si="3"/>
        <v>0</v>
      </c>
      <c r="F15" s="25">
        <f t="shared" si="4"/>
        <v>0</v>
      </c>
      <c r="G15" s="37">
        <f t="shared" si="1"/>
        <v>0</v>
      </c>
      <c r="H15" s="46"/>
      <c r="I15" s="7" t="s">
        <v>80</v>
      </c>
      <c r="L15" s="15"/>
      <c r="N15" s="47"/>
    </row>
    <row r="16" spans="2:14">
      <c r="B16" s="56">
        <v>9</v>
      </c>
      <c r="C16" s="24"/>
      <c r="D16" s="25">
        <f t="shared" si="0"/>
        <v>0</v>
      </c>
      <c r="E16" s="25">
        <f t="shared" si="3"/>
        <v>0</v>
      </c>
      <c r="F16" s="25">
        <f t="shared" si="4"/>
        <v>0</v>
      </c>
      <c r="G16" s="37">
        <f t="shared" si="1"/>
        <v>0</v>
      </c>
      <c r="H16" s="46"/>
      <c r="I16" s="7" t="s">
        <v>89</v>
      </c>
      <c r="L16" s="58">
        <f>12*L15</f>
        <v>0</v>
      </c>
      <c r="N16" s="47"/>
    </row>
    <row r="17" spans="2:14">
      <c r="B17" s="56">
        <v>10</v>
      </c>
      <c r="C17" s="24"/>
      <c r="D17" s="25">
        <f t="shared" si="0"/>
        <v>0</v>
      </c>
      <c r="E17" s="25">
        <f t="shared" si="3"/>
        <v>0</v>
      </c>
      <c r="F17" s="25">
        <f t="shared" si="4"/>
        <v>0</v>
      </c>
      <c r="G17" s="37">
        <f t="shared" si="1"/>
        <v>0</v>
      </c>
      <c r="H17" s="46"/>
      <c r="I17" s="7" t="s">
        <v>1</v>
      </c>
      <c r="J17" s="59" t="str">
        <f>L4</f>
        <v>TK/0</v>
      </c>
      <c r="K17" s="60"/>
      <c r="L17" s="58">
        <f>M4</f>
        <v>54000000</v>
      </c>
      <c r="N17" s="47"/>
    </row>
    <row r="18" spans="2:14">
      <c r="B18" s="56">
        <v>11</v>
      </c>
      <c r="C18" s="24"/>
      <c r="D18" s="25">
        <f t="shared" si="0"/>
        <v>0</v>
      </c>
      <c r="E18" s="25">
        <f t="shared" si="3"/>
        <v>0</v>
      </c>
      <c r="F18" s="25">
        <f t="shared" ref="F18:F32" si="5">IF(D18&gt;10200000,"hitung manual",IF(AND(D18&gt;4500000,C18&gt;0),0.05*(D18-B18*($F$4/360))*IF($C$4="Ada",1,1.2)-G17,0))</f>
        <v>0</v>
      </c>
      <c r="G18" s="37">
        <f t="shared" si="1"/>
        <v>0</v>
      </c>
      <c r="H18" s="46"/>
      <c r="I18" s="7" t="s">
        <v>37</v>
      </c>
      <c r="L18" s="58">
        <f>IF(L16&gt;L17,ROUNDDOWN(L16-L17,-3),0)</f>
        <v>0</v>
      </c>
      <c r="N18" s="47"/>
    </row>
    <row r="19" spans="2:14">
      <c r="B19" s="56">
        <v>12</v>
      </c>
      <c r="C19" s="24"/>
      <c r="D19" s="25">
        <f t="shared" si="0"/>
        <v>0</v>
      </c>
      <c r="E19" s="25">
        <f t="shared" si="3"/>
        <v>0</v>
      </c>
      <c r="F19" s="25">
        <f t="shared" si="5"/>
        <v>0</v>
      </c>
      <c r="G19" s="37">
        <f t="shared" si="1"/>
        <v>0</v>
      </c>
      <c r="H19" s="46"/>
      <c r="I19" s="7" t="s">
        <v>90</v>
      </c>
      <c r="L19" s="58">
        <f>IF(L18&lt;=50000000,L18*0.05,IF(L18&lt;=250000000,(L18-50000000)*0.15+2500000,IF(L18&lt;=500000000,(L18-250000000)*0.25+32500000,IF(L18&gt;500000000,(L18-500000000)*0.3+95000000,"no"))))*IF(J4="Ada",1,1.2)</f>
        <v>0</v>
      </c>
      <c r="N19" s="47"/>
    </row>
    <row r="20" ht="15.75" spans="2:14">
      <c r="B20" s="56">
        <v>13</v>
      </c>
      <c r="C20" s="24"/>
      <c r="D20" s="25">
        <f t="shared" si="0"/>
        <v>0</v>
      </c>
      <c r="E20" s="25">
        <f t="shared" si="3"/>
        <v>0</v>
      </c>
      <c r="F20" s="25">
        <f t="shared" si="5"/>
        <v>0</v>
      </c>
      <c r="G20" s="37">
        <f t="shared" si="1"/>
        <v>0</v>
      </c>
      <c r="H20" s="46"/>
      <c r="I20" s="29" t="s">
        <v>91</v>
      </c>
      <c r="J20" s="30"/>
      <c r="K20" s="30"/>
      <c r="L20" s="61">
        <f>L19/12</f>
        <v>0</v>
      </c>
      <c r="M20" s="62" t="s">
        <v>53</v>
      </c>
      <c r="N20" s="63"/>
    </row>
    <row r="21" ht="16.5" spans="2:14">
      <c r="B21" s="56">
        <v>14</v>
      </c>
      <c r="C21" s="24"/>
      <c r="D21" s="25">
        <f t="shared" si="0"/>
        <v>0</v>
      </c>
      <c r="E21" s="25">
        <f t="shared" si="3"/>
        <v>0</v>
      </c>
      <c r="F21" s="25">
        <f t="shared" si="5"/>
        <v>0</v>
      </c>
      <c r="G21" s="37">
        <f t="shared" si="1"/>
        <v>0</v>
      </c>
      <c r="H21" s="46"/>
      <c r="N21" s="46"/>
    </row>
    <row r="22" ht="15.75" spans="2:14">
      <c r="B22" s="56">
        <v>15</v>
      </c>
      <c r="C22" s="24"/>
      <c r="D22" s="25">
        <f t="shared" si="0"/>
        <v>0</v>
      </c>
      <c r="E22" s="25">
        <f t="shared" si="3"/>
        <v>0</v>
      </c>
      <c r="F22" s="25">
        <f t="shared" si="5"/>
        <v>0</v>
      </c>
      <c r="G22" s="37">
        <f t="shared" si="1"/>
        <v>0</v>
      </c>
      <c r="H22" s="46"/>
      <c r="I22" s="40" t="s">
        <v>92</v>
      </c>
      <c r="J22" s="41"/>
      <c r="K22" s="42"/>
      <c r="L22" s="43" t="s">
        <v>53</v>
      </c>
      <c r="M22" s="79"/>
      <c r="N22" s="80"/>
    </row>
    <row r="23" spans="2:14">
      <c r="B23" s="56">
        <v>16</v>
      </c>
      <c r="C23" s="24"/>
      <c r="D23" s="25">
        <f t="shared" si="0"/>
        <v>0</v>
      </c>
      <c r="E23" s="25">
        <f t="shared" si="3"/>
        <v>0</v>
      </c>
      <c r="F23" s="25">
        <f t="shared" si="5"/>
        <v>0</v>
      </c>
      <c r="G23" s="37">
        <f t="shared" si="1"/>
        <v>0</v>
      </c>
      <c r="H23" s="46"/>
      <c r="I23" s="7"/>
      <c r="L23" t="s">
        <v>1</v>
      </c>
      <c r="N23" s="47"/>
    </row>
    <row r="24" spans="2:14">
      <c r="B24" s="56">
        <v>17</v>
      </c>
      <c r="C24" s="24"/>
      <c r="D24" s="25">
        <f t="shared" si="0"/>
        <v>0</v>
      </c>
      <c r="E24" s="25">
        <f t="shared" si="3"/>
        <v>0</v>
      </c>
      <c r="F24" s="25">
        <f t="shared" si="5"/>
        <v>0</v>
      </c>
      <c r="G24" s="37">
        <f t="shared" si="1"/>
        <v>0</v>
      </c>
      <c r="H24" s="46"/>
      <c r="I24" s="7" t="s">
        <v>22</v>
      </c>
      <c r="J24" s="48" t="s">
        <v>23</v>
      </c>
      <c r="L24" s="49" t="s">
        <v>2</v>
      </c>
      <c r="M24" s="50">
        <f>VLOOKUP(L24,'PPh 21 Pegawai Tetap'!P29:Q36,2,FALSE)</f>
        <v>54000000</v>
      </c>
      <c r="N24" s="51"/>
    </row>
    <row r="25" spans="2:14">
      <c r="B25" s="56">
        <v>18</v>
      </c>
      <c r="C25" s="24"/>
      <c r="D25" s="25">
        <f t="shared" si="0"/>
        <v>0</v>
      </c>
      <c r="E25" s="25">
        <f t="shared" si="3"/>
        <v>0</v>
      </c>
      <c r="F25" s="25">
        <f t="shared" si="5"/>
        <v>0</v>
      </c>
      <c r="G25" s="37">
        <f t="shared" si="1"/>
        <v>0</v>
      </c>
      <c r="H25" s="46"/>
      <c r="I25" s="7"/>
      <c r="N25" s="47"/>
    </row>
    <row r="26" ht="30" spans="2:14">
      <c r="B26" s="56">
        <v>19</v>
      </c>
      <c r="C26" s="24"/>
      <c r="D26" s="25">
        <f t="shared" si="0"/>
        <v>0</v>
      </c>
      <c r="E26" s="25">
        <f t="shared" si="3"/>
        <v>0</v>
      </c>
      <c r="F26" s="25">
        <f t="shared" si="5"/>
        <v>0</v>
      </c>
      <c r="G26" s="37">
        <f t="shared" si="1"/>
        <v>0</v>
      </c>
      <c r="H26" s="46"/>
      <c r="I26" s="81" t="s">
        <v>93</v>
      </c>
      <c r="J26" s="82" t="s">
        <v>94</v>
      </c>
      <c r="K26" s="83" t="s">
        <v>86</v>
      </c>
      <c r="L26" s="82" t="s">
        <v>87</v>
      </c>
      <c r="M26" s="82" t="s">
        <v>82</v>
      </c>
      <c r="N26" s="84" t="s">
        <v>83</v>
      </c>
    </row>
    <row r="27" spans="2:14">
      <c r="B27" s="56">
        <v>20</v>
      </c>
      <c r="C27" s="24"/>
      <c r="D27" s="25">
        <f t="shared" si="0"/>
        <v>0</v>
      </c>
      <c r="E27" s="25">
        <f t="shared" si="3"/>
        <v>0</v>
      </c>
      <c r="F27" s="25">
        <f t="shared" si="5"/>
        <v>0</v>
      </c>
      <c r="G27" s="37">
        <f t="shared" si="1"/>
        <v>0</v>
      </c>
      <c r="H27" s="46"/>
      <c r="I27" s="85"/>
      <c r="J27" s="86"/>
      <c r="K27" s="86"/>
      <c r="L27" s="86"/>
      <c r="M27" s="86"/>
      <c r="N27" s="87"/>
    </row>
    <row r="28" spans="2:14">
      <c r="B28" s="56">
        <v>21</v>
      </c>
      <c r="C28" s="24"/>
      <c r="D28" s="25">
        <f t="shared" si="0"/>
        <v>0</v>
      </c>
      <c r="E28" s="25">
        <f t="shared" si="3"/>
        <v>0</v>
      </c>
      <c r="F28" s="25">
        <f t="shared" si="5"/>
        <v>0</v>
      </c>
      <c r="G28" s="37">
        <f t="shared" si="1"/>
        <v>0</v>
      </c>
      <c r="H28" s="46"/>
      <c r="I28" s="88"/>
      <c r="J28" s="24">
        <v>5</v>
      </c>
      <c r="K28" s="25">
        <f>K27+I28</f>
        <v>0</v>
      </c>
      <c r="L28" s="25">
        <f>IF(AND(M28=0,I28/J28&gt;450000),0.05*(I28-J28*450000)*IF($J$24="Ada",1,1.2),0)</f>
        <v>0</v>
      </c>
      <c r="M28" s="25">
        <f>IF(K28&gt;10200000,"hitung manual",IF(AND(K28&gt;4500000,I28&gt;0),0.05*(K28-(J34*$M$24/360))*IF($J$24="Ada",1,1.2)-N27,0))</f>
        <v>0</v>
      </c>
      <c r="N28" s="37">
        <f t="shared" ref="N28:N31" si="6">IF(M28="hitung manual","hitung manual",N27+L28+M28)</f>
        <v>0</v>
      </c>
    </row>
    <row r="29" spans="2:14">
      <c r="B29" s="56">
        <v>22</v>
      </c>
      <c r="C29" s="24"/>
      <c r="D29" s="25">
        <f t="shared" si="0"/>
        <v>0</v>
      </c>
      <c r="E29" s="25">
        <f t="shared" si="3"/>
        <v>0</v>
      </c>
      <c r="F29" s="25">
        <f t="shared" si="5"/>
        <v>0</v>
      </c>
      <c r="G29" s="37">
        <f t="shared" si="1"/>
        <v>0</v>
      </c>
      <c r="H29" s="46"/>
      <c r="I29" s="88"/>
      <c r="J29" s="24">
        <v>5</v>
      </c>
      <c r="K29" s="25">
        <f>K28+I29</f>
        <v>0</v>
      </c>
      <c r="L29" s="25">
        <f>IF(AND(M29=0,I29/J29&gt;450000),0.05*(I29-J29*450000)*IF($J$24="Ada",1,1.2),0)</f>
        <v>0</v>
      </c>
      <c r="M29" s="25">
        <f>IF(K29&gt;10200000,"hitung manual",IF(AND(K29&gt;4500000,I29&gt;0),0.05*(K29-(J35*$M$24/360))*IF($J$24="Ada",1,1.2)-N28,0))</f>
        <v>0</v>
      </c>
      <c r="N29" s="37">
        <f t="shared" si="6"/>
        <v>0</v>
      </c>
    </row>
    <row r="30" spans="2:14">
      <c r="B30" s="56">
        <v>23</v>
      </c>
      <c r="C30" s="24"/>
      <c r="D30" s="25">
        <f t="shared" si="0"/>
        <v>0</v>
      </c>
      <c r="E30" s="25">
        <f t="shared" si="3"/>
        <v>0</v>
      </c>
      <c r="F30" s="25">
        <f t="shared" si="5"/>
        <v>0</v>
      </c>
      <c r="G30" s="37">
        <f t="shared" si="1"/>
        <v>0</v>
      </c>
      <c r="H30" s="46"/>
      <c r="I30" s="89"/>
      <c r="J30" s="27">
        <v>5</v>
      </c>
      <c r="K30" s="28">
        <f>K29+I30</f>
        <v>0</v>
      </c>
      <c r="L30" s="28">
        <f>IF(AND(M30=0,I30/J30&gt;450000),0.05*(I30-J30*450000)*IF($J$24="Ada",1,1.2),0)</f>
        <v>0</v>
      </c>
      <c r="M30" s="28">
        <f>IF(K30&gt;10200000,"hitung manual",IF(AND(K30&gt;4500000,I30&gt;0),0.05*(K30-(J36*$M$24/360))*IF($J$24="Ada",1,1.2)-N29,0))</f>
        <v>0</v>
      </c>
      <c r="N30" s="38">
        <f t="shared" si="6"/>
        <v>0</v>
      </c>
    </row>
    <row r="31" spans="2:14">
      <c r="B31" s="56">
        <v>24</v>
      </c>
      <c r="C31" s="24"/>
      <c r="D31" s="25">
        <f t="shared" si="0"/>
        <v>0</v>
      </c>
      <c r="E31" s="25">
        <f t="shared" si="3"/>
        <v>0</v>
      </c>
      <c r="F31" s="25">
        <f t="shared" si="5"/>
        <v>0</v>
      </c>
      <c r="G31" s="37">
        <f t="shared" si="1"/>
        <v>0</v>
      </c>
      <c r="H31" s="46"/>
      <c r="I31" s="7"/>
      <c r="N31" s="47"/>
    </row>
    <row r="32" spans="2:14">
      <c r="B32" s="57">
        <v>25</v>
      </c>
      <c r="C32" s="27"/>
      <c r="D32" s="28">
        <f t="shared" si="0"/>
        <v>0</v>
      </c>
      <c r="E32" s="28">
        <f t="shared" si="3"/>
        <v>0</v>
      </c>
      <c r="F32" s="28">
        <f t="shared" si="5"/>
        <v>0</v>
      </c>
      <c r="G32" s="38">
        <f t="shared" si="1"/>
        <v>0</v>
      </c>
      <c r="H32" s="46"/>
      <c r="I32" s="7"/>
      <c r="N32" s="47"/>
    </row>
    <row r="33" spans="2:14">
      <c r="B33" s="7"/>
      <c r="G33" s="47"/>
      <c r="H33" s="46"/>
      <c r="I33" s="7"/>
      <c r="J33" t="s">
        <v>95</v>
      </c>
      <c r="N33" s="47"/>
    </row>
    <row r="34" spans="2:14">
      <c r="B34" s="7" t="s">
        <v>88</v>
      </c>
      <c r="G34" s="47"/>
      <c r="H34" s="46"/>
      <c r="I34" s="7"/>
      <c r="J34" s="59">
        <f>J28</f>
        <v>5</v>
      </c>
      <c r="N34" s="47"/>
    </row>
    <row r="35" spans="2:14">
      <c r="B35" s="7"/>
      <c r="G35" s="47"/>
      <c r="H35" s="46"/>
      <c r="I35" s="7"/>
      <c r="J35" s="59">
        <f>J34+J29</f>
        <v>10</v>
      </c>
      <c r="N35" s="47"/>
    </row>
    <row r="36" spans="2:14">
      <c r="B36" s="7" t="s">
        <v>80</v>
      </c>
      <c r="E36" s="15"/>
      <c r="G36" s="47"/>
      <c r="H36" s="46"/>
      <c r="I36" s="7"/>
      <c r="J36" s="59">
        <f>J35+J30</f>
        <v>15</v>
      </c>
      <c r="N36" s="47"/>
    </row>
    <row r="37" spans="2:14">
      <c r="B37" s="7" t="s">
        <v>89</v>
      </c>
      <c r="E37" s="58">
        <f>12*E36</f>
        <v>0</v>
      </c>
      <c r="G37" s="47"/>
      <c r="H37" s="46"/>
      <c r="I37" s="7"/>
      <c r="N37" s="47"/>
    </row>
    <row r="38" spans="2:14">
      <c r="B38" s="7" t="s">
        <v>1</v>
      </c>
      <c r="C38" s="59" t="str">
        <f>E4</f>
        <v>TK/0</v>
      </c>
      <c r="D38" s="60"/>
      <c r="E38" s="58">
        <f>F4</f>
        <v>54000000</v>
      </c>
      <c r="G38" s="47"/>
      <c r="H38" s="46"/>
      <c r="I38" s="7"/>
      <c r="N38" s="47"/>
    </row>
    <row r="39" spans="2:14">
      <c r="B39" s="7" t="s">
        <v>37</v>
      </c>
      <c r="E39" s="58">
        <f>IF(E37&gt;E38,ROUNDDOWN(E37-E38,-3),0)</f>
        <v>0</v>
      </c>
      <c r="G39" s="47"/>
      <c r="H39" s="46"/>
      <c r="I39" s="7" t="s">
        <v>88</v>
      </c>
      <c r="N39" s="47"/>
    </row>
    <row r="40" spans="2:14">
      <c r="B40" s="7" t="s">
        <v>90</v>
      </c>
      <c r="E40" s="58">
        <f>IF(E39&lt;=50000000,E39*0.05,IF(E39&lt;=250000000,(E39-50000000)*0.15+2500000,IF(E39&lt;=500000000,(E39-250000000)*0.25+32500000,IF(E39&gt;500000000,(E39-500000000)*0.3+95000000,"no"))))*IF(C4="Ada",1,1.2)</f>
        <v>0</v>
      </c>
      <c r="G40" s="47"/>
      <c r="H40" s="46"/>
      <c r="I40" s="7"/>
      <c r="N40" s="47"/>
    </row>
    <row r="41" ht="15.75" spans="2:14">
      <c r="B41" s="29" t="s">
        <v>91</v>
      </c>
      <c r="C41" s="30"/>
      <c r="D41" s="30"/>
      <c r="E41" s="61">
        <f>E40/12</f>
        <v>0</v>
      </c>
      <c r="F41" s="62" t="s">
        <v>53</v>
      </c>
      <c r="G41" s="63"/>
      <c r="H41" s="46"/>
      <c r="I41" s="7" t="s">
        <v>80</v>
      </c>
      <c r="L41" s="15"/>
      <c r="N41" s="47"/>
    </row>
    <row r="42" ht="16.5" spans="2:14">
      <c r="B42" s="46"/>
      <c r="G42" s="46"/>
      <c r="H42" s="46"/>
      <c r="I42" s="7" t="s">
        <v>89</v>
      </c>
      <c r="L42" s="58">
        <f>12*L41</f>
        <v>0</v>
      </c>
      <c r="N42" s="47"/>
    </row>
    <row r="43" ht="15.75" spans="2:14">
      <c r="B43" s="40" t="s">
        <v>96</v>
      </c>
      <c r="C43" s="41"/>
      <c r="D43" s="42"/>
      <c r="E43" s="42" t="s">
        <v>22</v>
      </c>
      <c r="F43" s="64" t="s">
        <v>23</v>
      </c>
      <c r="G43" s="45"/>
      <c r="I43" s="7" t="s">
        <v>1</v>
      </c>
      <c r="J43" s="59" t="str">
        <f>L24</f>
        <v>TK/0</v>
      </c>
      <c r="K43" s="60"/>
      <c r="L43" s="58">
        <f>M24</f>
        <v>54000000</v>
      </c>
      <c r="N43" s="47"/>
    </row>
    <row r="44" spans="2:14">
      <c r="B44" s="7"/>
      <c r="G44" s="47"/>
      <c r="I44" s="7" t="s">
        <v>37</v>
      </c>
      <c r="L44" s="58">
        <f>IF(L42&gt;L43,ROUNDDOWN(L42-L43,-3),0)</f>
        <v>0</v>
      </c>
      <c r="N44" s="47"/>
    </row>
    <row r="45" spans="2:14">
      <c r="B45" s="7" t="s">
        <v>80</v>
      </c>
      <c r="E45" s="15"/>
      <c r="G45" s="47"/>
      <c r="I45" s="7" t="s">
        <v>90</v>
      </c>
      <c r="L45" s="58">
        <f>IF(L44&lt;=50000000,L44*0.05,IF(L44&lt;=250000000,(L44-50000000)*0.15+2500000,IF(L44&lt;=500000000,(L44-250000000)*0.25+32500000,IF(L44&gt;500000000,(L44-500000000)*0.3+95000000,"no"))))*IF(J24="Ada",1,1.2)</f>
        <v>0</v>
      </c>
      <c r="N45" s="47"/>
    </row>
    <row r="46" ht="15.75" spans="2:14">
      <c r="B46" s="7" t="s">
        <v>89</v>
      </c>
      <c r="E46" s="58">
        <f>12*E45</f>
        <v>0</v>
      </c>
      <c r="G46" s="47"/>
      <c r="I46" s="29" t="s">
        <v>91</v>
      </c>
      <c r="J46" s="30"/>
      <c r="K46" s="30"/>
      <c r="L46" s="61">
        <f>L45/12</f>
        <v>0</v>
      </c>
      <c r="M46" s="62" t="s">
        <v>53</v>
      </c>
      <c r="N46" s="63"/>
    </row>
    <row r="47" ht="15.75" spans="2:14">
      <c r="B47" s="7" t="s">
        <v>1</v>
      </c>
      <c r="C47" s="65" t="s">
        <v>2</v>
      </c>
      <c r="D47" s="60"/>
      <c r="E47" s="58">
        <f>VLOOKUP(C47,'PPh 21 Pegawai Tetap'!P29:Q36,2,FALSE)</f>
        <v>54000000</v>
      </c>
      <c r="G47" s="47"/>
      <c r="I47" s="46"/>
      <c r="N47" s="46"/>
    </row>
    <row r="48" spans="2:14">
      <c r="B48" s="7" t="s">
        <v>37</v>
      </c>
      <c r="E48" s="58">
        <f>IF(E46&gt;E47,ROUNDDOWN(E46-E47,-3),0)</f>
        <v>0</v>
      </c>
      <c r="G48" s="47"/>
      <c r="I48" s="46"/>
      <c r="N48" s="46"/>
    </row>
    <row r="49" spans="2:14">
      <c r="B49" s="7" t="s">
        <v>90</v>
      </c>
      <c r="E49" s="58">
        <f>IF(E48&lt;=50000000,E48*0.05,IF(E48&lt;=250000000,(E48-50000000)*0.15+2500000,IF(E48&lt;=500000000,(E48-250000000)*0.25+32500000,IF(E48&gt;500000000,(E48-500000000)*0.3+95000000,"no"))))*IF(F43="Ada",1,1.2)</f>
        <v>0</v>
      </c>
      <c r="G49" s="47"/>
      <c r="I49" s="46"/>
      <c r="N49" s="46"/>
    </row>
    <row r="50" ht="15.75" spans="2:14">
      <c r="B50" s="29" t="s">
        <v>91</v>
      </c>
      <c r="C50" s="30"/>
      <c r="D50" s="30"/>
      <c r="E50" s="61">
        <f>E49/12</f>
        <v>0</v>
      </c>
      <c r="F50" s="62" t="s">
        <v>53</v>
      </c>
      <c r="G50" s="63"/>
      <c r="I50" s="46"/>
      <c r="N50" s="46"/>
    </row>
    <row r="51" ht="15.75" spans="2:14">
      <c r="B51" s="46"/>
      <c r="I51" s="46"/>
      <c r="N51" s="46"/>
    </row>
    <row r="52" spans="2:14">
      <c r="B52" s="46"/>
      <c r="I52" s="46"/>
      <c r="N52" s="46"/>
    </row>
    <row r="53" spans="2:14">
      <c r="B53" s="46"/>
      <c r="I53" s="46"/>
      <c r="N53" s="46"/>
    </row>
    <row r="54" spans="2:14">
      <c r="B54" s="46"/>
      <c r="I54" s="46"/>
      <c r="N54" s="46"/>
    </row>
    <row r="55" spans="2:14">
      <c r="B55" s="46"/>
      <c r="I55" s="46"/>
      <c r="N55" s="46"/>
    </row>
    <row r="56" spans="2:14">
      <c r="B56" s="46"/>
      <c r="I56" s="46"/>
      <c r="N56" s="46"/>
    </row>
    <row r="57" spans="2:14">
      <c r="B57" s="46"/>
      <c r="I57" s="46"/>
      <c r="N57" s="46"/>
    </row>
    <row r="58" spans="2:14">
      <c r="B58" s="46"/>
      <c r="I58" s="46"/>
      <c r="N58" s="46"/>
    </row>
    <row r="59" spans="2:14">
      <c r="B59" s="46"/>
      <c r="I59" s="46"/>
      <c r="N59" s="46"/>
    </row>
    <row r="60" spans="2:14">
      <c r="B60" s="46"/>
      <c r="I60" s="46"/>
      <c r="N60" s="46"/>
    </row>
    <row r="61" spans="2:14">
      <c r="B61" s="46"/>
      <c r="I61" s="46"/>
      <c r="N61" s="46"/>
    </row>
    <row r="62" spans="2:14">
      <c r="B62" s="46"/>
      <c r="I62" s="46"/>
      <c r="N62" s="46"/>
    </row>
    <row r="63" spans="2:14">
      <c r="B63" s="46"/>
      <c r="I63" s="46"/>
      <c r="N63" s="46"/>
    </row>
    <row r="64" spans="2:14">
      <c r="B64" s="46"/>
      <c r="I64" s="46"/>
      <c r="J64" s="46"/>
      <c r="K64" s="46"/>
      <c r="L64" s="46"/>
      <c r="M64" s="46"/>
      <c r="N64" s="46"/>
    </row>
    <row r="65" spans="2:2">
      <c r="B65" s="46"/>
    </row>
    <row r="66" spans="2:2">
      <c r="B66" s="46"/>
    </row>
    <row r="67" spans="2:2">
      <c r="B67" s="46"/>
    </row>
    <row r="68" spans="2:2">
      <c r="B68" s="46"/>
    </row>
    <row r="69" spans="2:2">
      <c r="B69" s="46"/>
    </row>
    <row r="70" spans="2:2">
      <c r="B70" s="46"/>
    </row>
    <row r="71" spans="2:2">
      <c r="B71" s="46"/>
    </row>
    <row r="72" spans="2:2">
      <c r="B72" s="46"/>
    </row>
    <row r="73" spans="2:2">
      <c r="B73" s="46"/>
    </row>
    <row r="74" spans="2:2">
      <c r="B74" s="46"/>
    </row>
    <row r="75" spans="2:2">
      <c r="B75" s="46"/>
    </row>
    <row r="76" spans="2:2">
      <c r="B76" s="46"/>
    </row>
    <row r="77" spans="2:2">
      <c r="B77" s="46"/>
    </row>
    <row r="78" spans="2:2">
      <c r="B78" s="46"/>
    </row>
    <row r="79" spans="2:2">
      <c r="B79" s="46"/>
    </row>
    <row r="80" spans="2:2">
      <c r="B80" s="46"/>
    </row>
    <row r="81" spans="2:2">
      <c r="B81" s="46"/>
    </row>
    <row r="82" spans="2:2">
      <c r="B82" s="46"/>
    </row>
    <row r="83" spans="2:2">
      <c r="B83" s="46"/>
    </row>
    <row r="84" spans="2:2">
      <c r="B84" s="46"/>
    </row>
    <row r="85" ht="15.75" spans="2:8">
      <c r="B85" s="46"/>
      <c r="C85" s="46"/>
      <c r="D85" s="46"/>
      <c r="E85" s="46"/>
      <c r="F85" s="46"/>
      <c r="G85" s="46"/>
      <c r="H85" s="30"/>
    </row>
    <row r="86" ht="15.75"/>
  </sheetData>
  <dataValidations count="3">
    <dataValidation type="list" allowBlank="1" showInputMessage="1" showErrorMessage="1" sqref="E4 L4 L24 C47">
      <formula1>Status_PTKP</formula1>
    </dataValidation>
    <dataValidation type="list" allowBlank="1" showInputMessage="1" showErrorMessage="1" sqref="C4">
      <formula1>"Ada, Tidak Ada"</formula1>
    </dataValidation>
    <dataValidation type="list" allowBlank="1" showInputMessage="1" showErrorMessage="1" sqref="J4 J24 F43">
      <formula1>"Ada,Tidak Ada"</formula1>
    </dataValidation>
  </dataValidations>
  <pageMargins left="0.75" right="0.75" top="1" bottom="1" header="0.5" footer="0.5"/>
  <pageSetup paperSize="1" orientation="portrait"/>
  <headerFooter/>
  <ignoredErrors>
    <ignoredError sqref="M22:M24 M4 F4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1"/>
  <sheetViews>
    <sheetView showGridLines="0" workbookViewId="0">
      <selection activeCell="A1" sqref="A1"/>
    </sheetView>
  </sheetViews>
  <sheetFormatPr defaultColWidth="9.14285714285714" defaultRowHeight="15"/>
  <cols>
    <col min="1" max="1" width="3.14285714285714" customWidth="1"/>
    <col min="2" max="2" width="3.57142857142857" customWidth="1"/>
    <col min="3" max="3" width="11.8571428571429" customWidth="1"/>
    <col min="4" max="4" width="11.2857142857143" style="1" customWidth="1"/>
    <col min="5" max="5" width="13.2857142857143" style="1" customWidth="1"/>
    <col min="6" max="6" width="12.5714285714286" style="1" customWidth="1"/>
    <col min="7" max="7" width="12.2857142857143" style="1" customWidth="1"/>
    <col min="8" max="8" width="11.8571428571429" style="1" customWidth="1"/>
    <col min="9" max="9" width="11.7142857142857" style="1" customWidth="1"/>
    <col min="10" max="10" width="12.1428571428571" style="1" customWidth="1"/>
    <col min="11" max="11" width="14.8571428571429" style="1" customWidth="1"/>
    <col min="12" max="12" width="11.8571428571429" style="1" customWidth="1"/>
  </cols>
  <sheetData>
    <row r="1" ht="15.75"/>
    <row r="2" ht="15.75" spans="2:12">
      <c r="B2" s="2"/>
      <c r="C2" s="3" t="s">
        <v>53</v>
      </c>
      <c r="D2" s="4"/>
      <c r="E2" s="4"/>
      <c r="F2" s="5"/>
      <c r="G2" s="5"/>
      <c r="H2" s="6">
        <f>MATCH(H3,$C$8:$C$19,0)</f>
        <v>1</v>
      </c>
      <c r="I2" s="6"/>
      <c r="J2" s="6">
        <f>MATCH(J3,$C$8:$C$19,0)</f>
        <v>12</v>
      </c>
      <c r="K2" s="5"/>
      <c r="L2" s="32"/>
    </row>
    <row r="3" spans="2:12">
      <c r="B3" s="7"/>
      <c r="C3" s="8" t="s">
        <v>22</v>
      </c>
      <c r="D3" s="9" t="s">
        <v>23</v>
      </c>
      <c r="E3" s="10"/>
      <c r="F3" s="10" t="s">
        <v>97</v>
      </c>
      <c r="G3" s="11" t="s">
        <v>98</v>
      </c>
      <c r="H3" s="12" t="s">
        <v>7</v>
      </c>
      <c r="I3" s="12" t="s">
        <v>99</v>
      </c>
      <c r="J3" s="12" t="s">
        <v>18</v>
      </c>
      <c r="K3" s="10"/>
      <c r="L3" s="33"/>
    </row>
    <row r="4" spans="2:12">
      <c r="B4" s="7"/>
      <c r="C4" s="13" t="s">
        <v>7</v>
      </c>
      <c r="D4" s="14" t="s">
        <v>99</v>
      </c>
      <c r="E4" s="14" t="s">
        <v>18</v>
      </c>
      <c r="G4" s="15" t="s">
        <v>2</v>
      </c>
      <c r="H4" s="16">
        <f>VLOOKUP(G4,'PPh 21 Pegawai Tetap'!P29:Q36,2,FALSE)</f>
        <v>54000000</v>
      </c>
      <c r="I4" s="34"/>
      <c r="L4" s="33"/>
    </row>
    <row r="5" spans="2:12">
      <c r="B5" s="7"/>
      <c r="C5" s="17">
        <f>MATCH(C4,$C$8:$C$19,0)</f>
        <v>1</v>
      </c>
      <c r="D5" s="17"/>
      <c r="E5" s="17">
        <f>MATCH(E4,$C$8:$C$19,0)</f>
        <v>12</v>
      </c>
      <c r="L5" s="33"/>
    </row>
    <row r="6" spans="2:12">
      <c r="B6" s="7"/>
      <c r="C6" s="18" t="s">
        <v>100</v>
      </c>
      <c r="D6" s="19" t="s">
        <v>101</v>
      </c>
      <c r="E6" s="19" t="s">
        <v>102</v>
      </c>
      <c r="F6" s="19" t="s">
        <v>103</v>
      </c>
      <c r="G6" s="19" t="s">
        <v>104</v>
      </c>
      <c r="H6" s="19" t="s">
        <v>105</v>
      </c>
      <c r="I6" s="19" t="s">
        <v>1</v>
      </c>
      <c r="J6" s="19" t="s">
        <v>106</v>
      </c>
      <c r="K6" s="19" t="s">
        <v>107</v>
      </c>
      <c r="L6" s="35" t="s">
        <v>38</v>
      </c>
    </row>
    <row r="7" spans="2:12">
      <c r="B7" s="7"/>
      <c r="C7" s="20"/>
      <c r="D7" s="21"/>
      <c r="E7" s="21"/>
      <c r="F7" s="21"/>
      <c r="G7" s="21"/>
      <c r="H7" s="21"/>
      <c r="I7" s="21"/>
      <c r="J7" s="21"/>
      <c r="K7" s="21"/>
      <c r="L7" s="36"/>
    </row>
    <row r="8" spans="2:12">
      <c r="B8" s="22">
        <v>1</v>
      </c>
      <c r="C8" s="23" t="s">
        <v>7</v>
      </c>
      <c r="D8" s="24"/>
      <c r="E8" s="24"/>
      <c r="F8" s="24"/>
      <c r="G8" s="25">
        <f>D8-E8-F8</f>
        <v>0</v>
      </c>
      <c r="H8" s="25">
        <f>0.5*G8</f>
        <v>0</v>
      </c>
      <c r="I8" s="25">
        <f>IF(AND($G$3="Ya",AND(B8&gt;=$H$2,B8&lt;=$J$2)),$H$4/12,0)</f>
        <v>4500000</v>
      </c>
      <c r="J8" s="25">
        <f>IF(H8&gt;I8,ROUNDDOWN(H8-I8,-3),0)</f>
        <v>0</v>
      </c>
      <c r="K8" s="25">
        <f>J8+K7</f>
        <v>0</v>
      </c>
      <c r="L8" s="37">
        <f>IF(K8&lt;=50000000,0.05*J8,IF(AND(K8&lt;=250000000,K7&lt;=50000000),(50000000-K7)*0.05+(K8-50000000)*0.15,IF(K8&lt;=250000000,J8*0.15,IF(AND(K8&lt;=500000000,K7&lt;=250000000),(250000000-K7)*0.15+(K8-250000000)*0.25,IF(K8&lt;=500000000,J8*0.25,IF(AND(K8&gt;500000000,K7&lt;=500000000),(500000000-K7)*0.25+(K8-500000000)*0.3,J8*0.3))))))*IF(AND($D$3="Ada",AND(B8&gt;=$C$5,B8&lt;=$E$5)),1,1.2)</f>
        <v>0</v>
      </c>
    </row>
    <row r="9" spans="2:12">
      <c r="B9" s="22">
        <v>2</v>
      </c>
      <c r="C9" s="23" t="s">
        <v>8</v>
      </c>
      <c r="D9" s="24"/>
      <c r="E9" s="24"/>
      <c r="F9" s="24"/>
      <c r="G9" s="25">
        <f t="shared" ref="G9:G19" si="0">D9-E9-F9</f>
        <v>0</v>
      </c>
      <c r="H9" s="25">
        <f>0.5*G9</f>
        <v>0</v>
      </c>
      <c r="I9" s="25">
        <f t="shared" ref="I9:I19" si="1">IF(AND($G$3="Ya",AND(B9&gt;=$H$2,B9&lt;=$J$2)),$H$4/12,0)</f>
        <v>4500000</v>
      </c>
      <c r="J9" s="25">
        <f>IF(H9&gt;I9,ROUNDDOWN(H9-I9,-3),0)</f>
        <v>0</v>
      </c>
      <c r="K9" s="25">
        <f t="shared" ref="K9:K19" si="2">J9+K8</f>
        <v>0</v>
      </c>
      <c r="L9" s="37">
        <f t="shared" ref="L9:L19" si="3">IF(K9&lt;=50000000,0.05*J9,IF(AND(K9&lt;=250000000,K8&lt;=50000000),(50000000-K8)*0.05+(K9-50000000)*0.15,IF(K9&lt;=250000000,J9*0.15,IF(AND(K9&lt;=500000000,K8&lt;=250000000),(250000000-K8)*0.15+(K9-250000000)*0.25,IF(K9&lt;=500000000,J9*0.25,IF(AND(K9&gt;500000000,K8&lt;=500000000),(500000000-K8)*0.25+(K9-500000000)*0.3,J9*0.3))))))*IF(AND($D$3="Ada",AND(B9&gt;=$C$5,B9&lt;=$E$5)),1,1.2)</f>
        <v>0</v>
      </c>
    </row>
    <row r="10" spans="2:12">
      <c r="B10" s="22">
        <v>3</v>
      </c>
      <c r="C10" s="23" t="s">
        <v>9</v>
      </c>
      <c r="D10" s="24"/>
      <c r="E10" s="24"/>
      <c r="F10" s="24"/>
      <c r="G10" s="25">
        <f t="shared" si="0"/>
        <v>0</v>
      </c>
      <c r="H10" s="25">
        <f t="shared" ref="H9:H19" si="4">0.5*G10</f>
        <v>0</v>
      </c>
      <c r="I10" s="25">
        <f t="shared" si="1"/>
        <v>4500000</v>
      </c>
      <c r="J10" s="25">
        <f>IF(H10&gt;I10,ROUNDDOWN(H10-I10,-3),0)</f>
        <v>0</v>
      </c>
      <c r="K10" s="25">
        <f t="shared" si="2"/>
        <v>0</v>
      </c>
      <c r="L10" s="37">
        <f t="shared" si="3"/>
        <v>0</v>
      </c>
    </row>
    <row r="11" spans="2:12">
      <c r="B11" s="22">
        <v>4</v>
      </c>
      <c r="C11" s="23" t="s">
        <v>10</v>
      </c>
      <c r="D11" s="24"/>
      <c r="E11" s="24"/>
      <c r="F11" s="24"/>
      <c r="G11" s="25">
        <f t="shared" si="0"/>
        <v>0</v>
      </c>
      <c r="H11" s="25">
        <f t="shared" si="4"/>
        <v>0</v>
      </c>
      <c r="I11" s="25">
        <f t="shared" si="1"/>
        <v>4500000</v>
      </c>
      <c r="J11" s="25">
        <f>IF(H11&gt;I11,ROUNDDOWN(H11-I11,-3),0)</f>
        <v>0</v>
      </c>
      <c r="K11" s="25">
        <f t="shared" si="2"/>
        <v>0</v>
      </c>
      <c r="L11" s="37">
        <f t="shared" si="3"/>
        <v>0</v>
      </c>
    </row>
    <row r="12" spans="2:12">
      <c r="B12" s="22">
        <v>5</v>
      </c>
      <c r="C12" s="23" t="s">
        <v>11</v>
      </c>
      <c r="D12" s="24"/>
      <c r="E12" s="24"/>
      <c r="F12" s="24"/>
      <c r="G12" s="25">
        <f t="shared" si="0"/>
        <v>0</v>
      </c>
      <c r="H12" s="25">
        <f t="shared" si="4"/>
        <v>0</v>
      </c>
      <c r="I12" s="25">
        <f t="shared" si="1"/>
        <v>4500000</v>
      </c>
      <c r="J12" s="25">
        <f t="shared" ref="J9:J19" si="5">IF(H12&gt;I12,ROUNDDOWN(H12-I12,-3),0)</f>
        <v>0</v>
      </c>
      <c r="K12" s="25">
        <f t="shared" si="2"/>
        <v>0</v>
      </c>
      <c r="L12" s="37">
        <f t="shared" si="3"/>
        <v>0</v>
      </c>
    </row>
    <row r="13" spans="2:12">
      <c r="B13" s="22">
        <v>6</v>
      </c>
      <c r="C13" s="23" t="s">
        <v>12</v>
      </c>
      <c r="D13" s="24"/>
      <c r="E13" s="24"/>
      <c r="F13" s="24"/>
      <c r="G13" s="25">
        <f t="shared" si="0"/>
        <v>0</v>
      </c>
      <c r="H13" s="25">
        <f t="shared" si="4"/>
        <v>0</v>
      </c>
      <c r="I13" s="25">
        <f t="shared" si="1"/>
        <v>4500000</v>
      </c>
      <c r="J13" s="25">
        <f t="shared" si="5"/>
        <v>0</v>
      </c>
      <c r="K13" s="25">
        <f t="shared" si="2"/>
        <v>0</v>
      </c>
      <c r="L13" s="37">
        <f t="shared" si="3"/>
        <v>0</v>
      </c>
    </row>
    <row r="14" spans="2:12">
      <c r="B14" s="22">
        <v>7</v>
      </c>
      <c r="C14" s="23" t="s">
        <v>13</v>
      </c>
      <c r="D14" s="24"/>
      <c r="E14" s="24"/>
      <c r="F14" s="24"/>
      <c r="G14" s="25">
        <f t="shared" si="0"/>
        <v>0</v>
      </c>
      <c r="H14" s="25">
        <f t="shared" si="4"/>
        <v>0</v>
      </c>
      <c r="I14" s="25">
        <f t="shared" si="1"/>
        <v>4500000</v>
      </c>
      <c r="J14" s="25">
        <f t="shared" si="5"/>
        <v>0</v>
      </c>
      <c r="K14" s="25">
        <f t="shared" si="2"/>
        <v>0</v>
      </c>
      <c r="L14" s="37">
        <f t="shared" si="3"/>
        <v>0</v>
      </c>
    </row>
    <row r="15" spans="2:12">
      <c r="B15" s="22">
        <v>8</v>
      </c>
      <c r="C15" s="23" t="s">
        <v>14</v>
      </c>
      <c r="D15" s="24"/>
      <c r="E15" s="24"/>
      <c r="F15" s="24"/>
      <c r="G15" s="25">
        <f t="shared" si="0"/>
        <v>0</v>
      </c>
      <c r="H15" s="25">
        <f t="shared" si="4"/>
        <v>0</v>
      </c>
      <c r="I15" s="25">
        <f t="shared" si="1"/>
        <v>4500000</v>
      </c>
      <c r="J15" s="25">
        <f t="shared" si="5"/>
        <v>0</v>
      </c>
      <c r="K15" s="25">
        <f t="shared" si="2"/>
        <v>0</v>
      </c>
      <c r="L15" s="37">
        <f t="shared" si="3"/>
        <v>0</v>
      </c>
    </row>
    <row r="16" spans="2:12">
      <c r="B16" s="22">
        <v>9</v>
      </c>
      <c r="C16" s="23" t="s">
        <v>15</v>
      </c>
      <c r="D16" s="24"/>
      <c r="E16" s="24"/>
      <c r="F16" s="24"/>
      <c r="G16" s="25">
        <f t="shared" si="0"/>
        <v>0</v>
      </c>
      <c r="H16" s="25">
        <f t="shared" si="4"/>
        <v>0</v>
      </c>
      <c r="I16" s="25">
        <f t="shared" si="1"/>
        <v>4500000</v>
      </c>
      <c r="J16" s="25">
        <f t="shared" si="5"/>
        <v>0</v>
      </c>
      <c r="K16" s="25">
        <f t="shared" si="2"/>
        <v>0</v>
      </c>
      <c r="L16" s="37">
        <f t="shared" si="3"/>
        <v>0</v>
      </c>
    </row>
    <row r="17" spans="2:12">
      <c r="B17" s="22">
        <v>10</v>
      </c>
      <c r="C17" s="23" t="s">
        <v>16</v>
      </c>
      <c r="D17" s="24"/>
      <c r="E17" s="24"/>
      <c r="F17" s="24"/>
      <c r="G17" s="25">
        <f t="shared" si="0"/>
        <v>0</v>
      </c>
      <c r="H17" s="25">
        <f t="shared" si="4"/>
        <v>0</v>
      </c>
      <c r="I17" s="25">
        <f t="shared" si="1"/>
        <v>4500000</v>
      </c>
      <c r="J17" s="25">
        <f t="shared" si="5"/>
        <v>0</v>
      </c>
      <c r="K17" s="25">
        <f t="shared" si="2"/>
        <v>0</v>
      </c>
      <c r="L17" s="37">
        <f t="shared" si="3"/>
        <v>0</v>
      </c>
    </row>
    <row r="18" spans="2:12">
      <c r="B18" s="22">
        <v>11</v>
      </c>
      <c r="C18" s="23" t="s">
        <v>17</v>
      </c>
      <c r="D18" s="24"/>
      <c r="E18" s="24"/>
      <c r="F18" s="24"/>
      <c r="G18" s="25">
        <f t="shared" si="0"/>
        <v>0</v>
      </c>
      <c r="H18" s="25">
        <f t="shared" si="4"/>
        <v>0</v>
      </c>
      <c r="I18" s="25">
        <f t="shared" si="1"/>
        <v>4500000</v>
      </c>
      <c r="J18" s="25">
        <f t="shared" si="5"/>
        <v>0</v>
      </c>
      <c r="K18" s="25">
        <f t="shared" si="2"/>
        <v>0</v>
      </c>
      <c r="L18" s="37">
        <f t="shared" si="3"/>
        <v>0</v>
      </c>
    </row>
    <row r="19" spans="2:12">
      <c r="B19" s="22">
        <v>12</v>
      </c>
      <c r="C19" s="26" t="s">
        <v>18</v>
      </c>
      <c r="D19" s="27"/>
      <c r="E19" s="27"/>
      <c r="F19" s="27"/>
      <c r="G19" s="28">
        <f t="shared" si="0"/>
        <v>0</v>
      </c>
      <c r="H19" s="28">
        <f t="shared" si="4"/>
        <v>0</v>
      </c>
      <c r="I19" s="28">
        <f t="shared" si="1"/>
        <v>4500000</v>
      </c>
      <c r="J19" s="28">
        <f t="shared" si="5"/>
        <v>0</v>
      </c>
      <c r="K19" s="28">
        <f t="shared" si="2"/>
        <v>0</v>
      </c>
      <c r="L19" s="38">
        <f t="shared" si="3"/>
        <v>0</v>
      </c>
    </row>
    <row r="20" ht="15.75" spans="2:12">
      <c r="B20" s="29"/>
      <c r="C20" s="30"/>
      <c r="D20" s="31"/>
      <c r="E20" s="31"/>
      <c r="F20" s="31"/>
      <c r="G20" s="31"/>
      <c r="H20" s="31"/>
      <c r="I20" s="31"/>
      <c r="J20" s="31"/>
      <c r="K20" s="31"/>
      <c r="L20" s="39">
        <f>SUM(L8:L19)</f>
        <v>0</v>
      </c>
    </row>
    <row r="21" ht="15.75"/>
  </sheetData>
  <mergeCells count="1">
    <mergeCell ref="D2:E2"/>
  </mergeCells>
  <dataValidations count="5">
    <dataValidation type="list" allowBlank="1" showInputMessage="1" showErrorMessage="1" sqref="D3">
      <formula1>"Ada,Tidak Ada"</formula1>
    </dataValidation>
    <dataValidation type="list" allowBlank="1" showInputMessage="1" showErrorMessage="1" sqref="C4 E4">
      <formula1>Nama_Bulan</formula1>
    </dataValidation>
    <dataValidation type="list" allowBlank="1" showInputMessage="1" showErrorMessage="1" sqref="G3">
      <formula1>"Ya,Tidak"</formula1>
    </dataValidation>
    <dataValidation type="list" allowBlank="1" showInputMessage="1" showErrorMessage="1" sqref="H3 J3">
      <formula1>IF($G$3="Ya",Nama_Bulan,$C$20)</formula1>
    </dataValidation>
    <dataValidation type="list" allowBlank="1" showInputMessage="1" showErrorMessage="1" sqref="G4">
      <formula1>Status_PTKP</formula1>
    </dataValidation>
  </dataValidations>
  <pageMargins left="0.75" right="0.75" top="1" bottom="1" header="0.5" footer="0.5"/>
  <pageSetup paperSize="1" orientation="landscape"/>
  <headerFooter/>
  <ignoredErrors>
    <ignoredError sqref="H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 WPS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PPh 21 Pegawai Tetap</vt:lpstr>
      <vt:lpstr>PPh 21 Pegawai Mutasi</vt:lpstr>
      <vt:lpstr>PPh 21 Masa Pajak Terakhir</vt:lpstr>
      <vt:lpstr>PPh 21 Pegawai Tidak Tetap</vt:lpstr>
      <vt:lpstr>PPh 21 Bukan Pegawai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w8</dc:creator>
  <cp:lastModifiedBy>w8</cp:lastModifiedBy>
  <dcterms:created xsi:type="dcterms:W3CDTF">2019-11-27T14:11:00Z</dcterms:created>
  <dcterms:modified xsi:type="dcterms:W3CDTF">2020-10-07T10:23:01Z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1057-11.2.0.9684</vt:lpwstr>
  </property>
</Properties>
</file>