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23250" windowHeight="9150" activeTab="3"/>
  </bookViews>
  <sheets>
    <sheet name="Resumo Tables" sheetId="1" r:id="rId1"/>
    <sheet name="AES" sheetId="2" r:id="rId2"/>
    <sheet name="MxM" sheetId="3" r:id="rId3"/>
    <sheet name="QuickSort" sheetId="5" r:id="rId4"/>
    <sheet name="MWBF" sheetId="6" r:id="rId5"/>
    <sheet name="OptimizationsBeamResults" sheetId="7" r:id="rId6"/>
    <sheet name="FFT" sheetId="8" r:id="rId7"/>
  </sheets>
  <calcPr calcId="125725"/>
</workbook>
</file>

<file path=xl/calcChain.xml><?xml version="1.0" encoding="utf-8"?>
<calcChain xmlns="http://schemas.openxmlformats.org/spreadsheetml/2006/main">
  <c r="B33" i="5"/>
  <c r="D22"/>
  <c r="G22" s="1"/>
  <c r="D27"/>
  <c r="G27" s="1"/>
  <c r="D26"/>
  <c r="G26" s="1"/>
  <c r="D29"/>
  <c r="E33"/>
  <c r="C33"/>
  <c r="H32"/>
  <c r="G32"/>
  <c r="F32"/>
  <c r="H31"/>
  <c r="G31"/>
  <c r="F31"/>
  <c r="H30"/>
  <c r="G30"/>
  <c r="F30"/>
  <c r="H29"/>
  <c r="F29"/>
  <c r="H28"/>
  <c r="G28"/>
  <c r="F28"/>
  <c r="H27"/>
  <c r="F27"/>
  <c r="H26"/>
  <c r="F26"/>
  <c r="H25"/>
  <c r="G25"/>
  <c r="F25"/>
  <c r="H24"/>
  <c r="G24"/>
  <c r="F24"/>
  <c r="H23"/>
  <c r="G23"/>
  <c r="F23"/>
  <c r="H22"/>
  <c r="F22"/>
  <c r="H21"/>
  <c r="G21"/>
  <c r="F21"/>
  <c r="H20"/>
  <c r="G20"/>
  <c r="F20"/>
  <c r="H19"/>
  <c r="G19"/>
  <c r="F19"/>
  <c r="AC49" i="2"/>
  <c r="AC50"/>
  <c r="AC51"/>
  <c r="AC52"/>
  <c r="AC53"/>
  <c r="AC54"/>
  <c r="AC55"/>
  <c r="AC56"/>
  <c r="AC57"/>
  <c r="AC58"/>
  <c r="AC59"/>
  <c r="AC60"/>
  <c r="AB49"/>
  <c r="AB50"/>
  <c r="AB51"/>
  <c r="AB52"/>
  <c r="AB53"/>
  <c r="AB54"/>
  <c r="AB55"/>
  <c r="AB56"/>
  <c r="AB57"/>
  <c r="AB58"/>
  <c r="AB59"/>
  <c r="AB60"/>
  <c r="AA49"/>
  <c r="AA50"/>
  <c r="AA51"/>
  <c r="AA52"/>
  <c r="AA53"/>
  <c r="AA54"/>
  <c r="AA55"/>
  <c r="AA56"/>
  <c r="AA57"/>
  <c r="AA58"/>
  <c r="AA59"/>
  <c r="AA60"/>
  <c r="AC48"/>
  <c r="AB48"/>
  <c r="AA48"/>
  <c r="X49"/>
  <c r="X50"/>
  <c r="X51"/>
  <c r="X52"/>
  <c r="X53"/>
  <c r="X54"/>
  <c r="X55"/>
  <c r="X56"/>
  <c r="X57"/>
  <c r="X58"/>
  <c r="X59"/>
  <c r="X60"/>
  <c r="X48"/>
  <c r="W60"/>
  <c r="W49"/>
  <c r="W50"/>
  <c r="W51"/>
  <c r="W52"/>
  <c r="W53"/>
  <c r="W54"/>
  <c r="W55"/>
  <c r="W56"/>
  <c r="W57"/>
  <c r="W58"/>
  <c r="W59"/>
  <c r="W48"/>
  <c r="V49"/>
  <c r="V50"/>
  <c r="V51"/>
  <c r="V52"/>
  <c r="V53"/>
  <c r="V54"/>
  <c r="V55"/>
  <c r="V56"/>
  <c r="V57"/>
  <c r="V58"/>
  <c r="V59"/>
  <c r="V60"/>
  <c r="V48"/>
  <c r="AA52" i="3"/>
  <c r="AA53"/>
  <c r="AA54"/>
  <c r="AA55"/>
  <c r="AA56"/>
  <c r="AA57"/>
  <c r="AA58"/>
  <c r="AA59"/>
  <c r="AA60"/>
  <c r="AA61"/>
  <c r="AA62"/>
  <c r="AA63"/>
  <c r="AA51"/>
  <c r="Z52"/>
  <c r="Z53"/>
  <c r="Z54"/>
  <c r="Z55"/>
  <c r="Z56"/>
  <c r="Z57"/>
  <c r="Z58"/>
  <c r="Z59"/>
  <c r="Z60"/>
  <c r="Z61"/>
  <c r="Z62"/>
  <c r="Z63"/>
  <c r="Z51"/>
  <c r="Y52"/>
  <c r="Y53"/>
  <c r="Y54"/>
  <c r="Y55"/>
  <c r="Y56"/>
  <c r="Y57"/>
  <c r="Y58"/>
  <c r="Y59"/>
  <c r="Y60"/>
  <c r="Y61"/>
  <c r="Y62"/>
  <c r="Y63"/>
  <c r="Y51"/>
  <c r="V63"/>
  <c r="V52"/>
  <c r="V53"/>
  <c r="V54"/>
  <c r="V55"/>
  <c r="V56"/>
  <c r="V57"/>
  <c r="V58"/>
  <c r="V59"/>
  <c r="V60"/>
  <c r="V61"/>
  <c r="V62"/>
  <c r="V51"/>
  <c r="U52"/>
  <c r="U53"/>
  <c r="U54"/>
  <c r="U55"/>
  <c r="U56"/>
  <c r="U57"/>
  <c r="U58"/>
  <c r="U59"/>
  <c r="U60"/>
  <c r="U61"/>
  <c r="U62"/>
  <c r="U63"/>
  <c r="U51"/>
  <c r="T52"/>
  <c r="T53"/>
  <c r="T54"/>
  <c r="T55"/>
  <c r="T56"/>
  <c r="T57"/>
  <c r="T58"/>
  <c r="T59"/>
  <c r="T60"/>
  <c r="T61"/>
  <c r="T62"/>
  <c r="T63"/>
  <c r="T51"/>
  <c r="C11" i="7"/>
  <c r="C17"/>
  <c r="L11" i="6"/>
  <c r="L9"/>
  <c r="L7"/>
  <c r="L5"/>
  <c r="J9"/>
  <c r="J11"/>
  <c r="J5"/>
  <c r="J7"/>
  <c r="H9"/>
  <c r="H7"/>
  <c r="H5"/>
  <c r="H11"/>
  <c r="O17" i="7"/>
  <c r="G17"/>
  <c r="K17"/>
  <c r="D33" i="5" l="1"/>
  <c r="G29"/>
  <c r="O3" i="7"/>
  <c r="O4" s="1"/>
  <c r="O6" s="1"/>
  <c r="K3"/>
  <c r="K4" s="1"/>
  <c r="K6" s="1"/>
  <c r="G3"/>
  <c r="G4" s="1"/>
  <c r="G6" s="1"/>
  <c r="C3"/>
  <c r="C4" s="1"/>
  <c r="C6" s="1"/>
  <c r="C5" i="6"/>
  <c r="C6"/>
  <c r="C7"/>
  <c r="F7" s="1"/>
  <c r="C9"/>
  <c r="G9" s="1"/>
  <c r="C11"/>
  <c r="F11" s="1"/>
  <c r="C10"/>
  <c r="F10" s="1"/>
  <c r="F6" l="1"/>
  <c r="G6"/>
  <c r="G11"/>
  <c r="G10"/>
  <c r="F9"/>
  <c r="K10" i="7"/>
  <c r="K15" s="1"/>
  <c r="K18" s="1"/>
  <c r="K19" s="1"/>
  <c r="K20" s="1"/>
  <c r="K21" s="1"/>
  <c r="K11"/>
  <c r="K16" s="1"/>
  <c r="O11"/>
  <c r="O16" s="1"/>
  <c r="O10"/>
  <c r="O15" s="1"/>
  <c r="O18" s="1"/>
  <c r="O19" s="1"/>
  <c r="O20" s="1"/>
  <c r="O21" s="1"/>
  <c r="G11"/>
  <c r="G16" s="1"/>
  <c r="G25" s="1"/>
  <c r="G26" s="1"/>
  <c r="G27" s="1"/>
  <c r="G28" s="1"/>
  <c r="G10"/>
  <c r="G15" s="1"/>
  <c r="G18" s="1"/>
  <c r="G19" s="1"/>
  <c r="G20" s="1"/>
  <c r="G21" s="1"/>
  <c r="C16"/>
  <c r="C25" s="1"/>
  <c r="C26" s="1"/>
  <c r="C27" s="1"/>
  <c r="C28" s="1"/>
  <c r="C10"/>
  <c r="G7" i="6"/>
  <c r="F5"/>
  <c r="C15" i="7" l="1"/>
  <c r="C18" s="1"/>
  <c r="C19" s="1"/>
  <c r="C20" s="1"/>
  <c r="C21" s="1"/>
  <c r="H16" i="3"/>
  <c r="G16"/>
  <c r="C16" i="2"/>
  <c r="F16" s="1"/>
  <c r="E16"/>
  <c r="H16" s="1"/>
  <c r="D16"/>
  <c r="G16" s="1"/>
  <c r="B16"/>
  <c r="E16" i="3"/>
  <c r="D16"/>
  <c r="C16"/>
  <c r="F16" s="1"/>
  <c r="B16"/>
  <c r="C16" i="5"/>
  <c r="D16"/>
  <c r="E16"/>
  <c r="H67" i="2"/>
  <c r="G15" i="3"/>
  <c r="F15"/>
  <c r="E173" i="1"/>
  <c r="D173"/>
  <c r="C173"/>
  <c r="B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E141"/>
  <c r="D141"/>
  <c r="C141"/>
  <c r="B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G67" i="2"/>
  <c r="H100" i="1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D77"/>
  <c r="C77"/>
  <c r="B77"/>
  <c r="D76"/>
  <c r="C76"/>
  <c r="F76" s="1"/>
  <c r="B76"/>
  <c r="H76" s="1"/>
  <c r="D75"/>
  <c r="C75"/>
  <c r="B75"/>
  <c r="E74"/>
  <c r="D74"/>
  <c r="C74"/>
  <c r="B74"/>
  <c r="D73"/>
  <c r="C73"/>
  <c r="B73"/>
  <c r="G73" s="1"/>
  <c r="D72"/>
  <c r="C72"/>
  <c r="B72"/>
  <c r="H72" s="1"/>
  <c r="H71"/>
  <c r="D71"/>
  <c r="C71"/>
  <c r="B71"/>
  <c r="F70"/>
  <c r="D70"/>
  <c r="C70"/>
  <c r="B70"/>
  <c r="H70" s="1"/>
  <c r="E69"/>
  <c r="H69" s="1"/>
  <c r="D69"/>
  <c r="C69"/>
  <c r="B69"/>
  <c r="E68"/>
  <c r="D68"/>
  <c r="C68"/>
  <c r="B68"/>
  <c r="E67"/>
  <c r="D67"/>
  <c r="C67"/>
  <c r="B67"/>
  <c r="F67" s="1"/>
  <c r="E66"/>
  <c r="D66"/>
  <c r="C66"/>
  <c r="B66"/>
  <c r="D65"/>
  <c r="C65"/>
  <c r="B65"/>
  <c r="D64"/>
  <c r="C64"/>
  <c r="C78" s="1"/>
  <c r="B64"/>
  <c r="H64" s="1"/>
  <c r="D58"/>
  <c r="C58"/>
  <c r="B58"/>
  <c r="H58" s="1"/>
  <c r="D57"/>
  <c r="B57"/>
  <c r="H57" s="1"/>
  <c r="H56"/>
  <c r="F56"/>
  <c r="D56"/>
  <c r="G56" s="1"/>
  <c r="H55"/>
  <c r="G55"/>
  <c r="F55"/>
  <c r="D54"/>
  <c r="C54"/>
  <c r="B54"/>
  <c r="H54" s="1"/>
  <c r="E53"/>
  <c r="D53"/>
  <c r="C53"/>
  <c r="B53"/>
  <c r="D52"/>
  <c r="B52"/>
  <c r="H52" s="1"/>
  <c r="D51"/>
  <c r="B51"/>
  <c r="F51" s="1"/>
  <c r="D50"/>
  <c r="C50"/>
  <c r="F50" s="1"/>
  <c r="B50"/>
  <c r="H50" s="1"/>
  <c r="D49"/>
  <c r="C49"/>
  <c r="B49"/>
  <c r="E48"/>
  <c r="D48"/>
  <c r="C48"/>
  <c r="B48"/>
  <c r="D47"/>
  <c r="C47"/>
  <c r="B47"/>
  <c r="H47" s="1"/>
  <c r="D46"/>
  <c r="C46"/>
  <c r="B46"/>
  <c r="F46" s="1"/>
  <c r="H45"/>
  <c r="G45"/>
  <c r="F45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C54" i="3"/>
  <c r="B53"/>
  <c r="D53"/>
  <c r="G53" s="1"/>
  <c r="E53"/>
  <c r="H53" s="1"/>
  <c r="B75"/>
  <c r="E74"/>
  <c r="B73"/>
  <c r="H73" s="1"/>
  <c r="D72"/>
  <c r="G72" s="1"/>
  <c r="D68"/>
  <c r="C67"/>
  <c r="D67"/>
  <c r="E69"/>
  <c r="E78" s="1"/>
  <c r="E68"/>
  <c r="E67"/>
  <c r="D77"/>
  <c r="D76"/>
  <c r="D75"/>
  <c r="D74"/>
  <c r="D73"/>
  <c r="G73" s="1"/>
  <c r="D71"/>
  <c r="D70"/>
  <c r="D69"/>
  <c r="C77"/>
  <c r="C76"/>
  <c r="C74"/>
  <c r="C75"/>
  <c r="C73"/>
  <c r="F73" s="1"/>
  <c r="C72"/>
  <c r="F72" s="1"/>
  <c r="C71"/>
  <c r="C70"/>
  <c r="C69"/>
  <c r="C68"/>
  <c r="F68" s="1"/>
  <c r="B67"/>
  <c r="F67" s="1"/>
  <c r="B68"/>
  <c r="B69"/>
  <c r="G69" s="1"/>
  <c r="B70"/>
  <c r="G70" s="1"/>
  <c r="B71"/>
  <c r="H71" s="1"/>
  <c r="B72"/>
  <c r="B74"/>
  <c r="H74" s="1"/>
  <c r="B76"/>
  <c r="H76" s="1"/>
  <c r="B77"/>
  <c r="D65"/>
  <c r="D66"/>
  <c r="C66"/>
  <c r="B66"/>
  <c r="H66" s="1"/>
  <c r="E66"/>
  <c r="C65"/>
  <c r="B65"/>
  <c r="H65" s="1"/>
  <c r="D64"/>
  <c r="C64"/>
  <c r="B64"/>
  <c r="F64" s="1"/>
  <c r="E37" i="2"/>
  <c r="H37" s="1"/>
  <c r="D37"/>
  <c r="G37" s="1"/>
  <c r="C37"/>
  <c r="F37" s="1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F63"/>
  <c r="G63"/>
  <c r="G55"/>
  <c r="H56"/>
  <c r="H55"/>
  <c r="F55"/>
  <c r="F67"/>
  <c r="E69"/>
  <c r="H69" s="1"/>
  <c r="D69"/>
  <c r="G69" s="1"/>
  <c r="C69"/>
  <c r="F69" s="1"/>
  <c r="B69"/>
  <c r="H68"/>
  <c r="G68"/>
  <c r="F68"/>
  <c r="H66"/>
  <c r="G66"/>
  <c r="F66"/>
  <c r="H65"/>
  <c r="G65"/>
  <c r="F65"/>
  <c r="H64"/>
  <c r="G64"/>
  <c r="F64"/>
  <c r="H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G56"/>
  <c r="F56"/>
  <c r="H15" i="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15" i="2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75" i="3"/>
  <c r="G75"/>
  <c r="F75"/>
  <c r="H72"/>
  <c r="F71"/>
  <c r="H68"/>
  <c r="G68"/>
  <c r="H67"/>
  <c r="D58"/>
  <c r="C58"/>
  <c r="B58"/>
  <c r="H58" s="1"/>
  <c r="D57"/>
  <c r="B57"/>
  <c r="F57" s="1"/>
  <c r="H56"/>
  <c r="F56"/>
  <c r="D56"/>
  <c r="G56" s="1"/>
  <c r="H55"/>
  <c r="G55"/>
  <c r="F55"/>
  <c r="D54"/>
  <c r="B54"/>
  <c r="H54" s="1"/>
  <c r="C53"/>
  <c r="F53" s="1"/>
  <c r="D52"/>
  <c r="G52" s="1"/>
  <c r="B52"/>
  <c r="H52" s="1"/>
  <c r="D51"/>
  <c r="B51"/>
  <c r="H51" s="1"/>
  <c r="D50"/>
  <c r="C50"/>
  <c r="B50"/>
  <c r="H50" s="1"/>
  <c r="D49"/>
  <c r="C49"/>
  <c r="B49"/>
  <c r="H49" s="1"/>
  <c r="E48"/>
  <c r="D48"/>
  <c r="C48"/>
  <c r="B48"/>
  <c r="D47"/>
  <c r="C47"/>
  <c r="B47"/>
  <c r="H47" s="1"/>
  <c r="D46"/>
  <c r="C46"/>
  <c r="B46"/>
  <c r="H45"/>
  <c r="G45"/>
  <c r="F45"/>
  <c r="H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F54" l="1"/>
  <c r="F52"/>
  <c r="H64"/>
  <c r="F74"/>
  <c r="H69"/>
  <c r="G74"/>
  <c r="G77"/>
  <c r="F49" i="1"/>
  <c r="H48" i="3"/>
  <c r="H77"/>
  <c r="F53" i="1"/>
  <c r="F54"/>
  <c r="G51" i="3"/>
  <c r="C78"/>
  <c r="F69"/>
  <c r="F77"/>
  <c r="G67"/>
  <c r="F58" i="1"/>
  <c r="G68"/>
  <c r="G77"/>
  <c r="B59" i="3"/>
  <c r="G49"/>
  <c r="G64"/>
  <c r="F52" i="1"/>
  <c r="H53"/>
  <c r="G70"/>
  <c r="G72"/>
  <c r="G75"/>
  <c r="D78" i="3"/>
  <c r="F50"/>
  <c r="F51"/>
  <c r="G57"/>
  <c r="G48" i="1"/>
  <c r="G52"/>
  <c r="G53"/>
  <c r="F71"/>
  <c r="F72"/>
  <c r="F49" i="3"/>
  <c r="F76"/>
  <c r="G76"/>
  <c r="G47"/>
  <c r="H70"/>
  <c r="F46"/>
  <c r="F48"/>
  <c r="G54"/>
  <c r="F65"/>
  <c r="F70"/>
  <c r="G71"/>
  <c r="B59" i="1"/>
  <c r="H46"/>
  <c r="H48"/>
  <c r="G57"/>
  <c r="D78"/>
  <c r="F65"/>
  <c r="F66"/>
  <c r="F68"/>
  <c r="F73"/>
  <c r="F74"/>
  <c r="G76"/>
  <c r="B78"/>
  <c r="B78" i="3"/>
  <c r="H78" s="1"/>
  <c r="D59" i="1"/>
  <c r="F47"/>
  <c r="F48"/>
  <c r="G50"/>
  <c r="G58"/>
  <c r="H65"/>
  <c r="H66"/>
  <c r="H67"/>
  <c r="H68"/>
  <c r="G69"/>
  <c r="G71"/>
  <c r="H73"/>
  <c r="H74"/>
  <c r="F77"/>
  <c r="H46" i="3"/>
  <c r="E59"/>
  <c r="H59" s="1"/>
  <c r="G46"/>
  <c r="G48"/>
  <c r="G50"/>
  <c r="G65"/>
  <c r="C59" i="1"/>
  <c r="G47"/>
  <c r="G54"/>
  <c r="F57"/>
  <c r="F64"/>
  <c r="G66"/>
  <c r="G67"/>
  <c r="F69"/>
  <c r="G74"/>
  <c r="G49"/>
  <c r="E59"/>
  <c r="G46"/>
  <c r="H49"/>
  <c r="G64"/>
  <c r="H75"/>
  <c r="H77"/>
  <c r="E78"/>
  <c r="G65"/>
  <c r="F75"/>
  <c r="H51"/>
  <c r="G51"/>
  <c r="G66" i="3"/>
  <c r="F66"/>
  <c r="G58"/>
  <c r="D59"/>
  <c r="F47"/>
  <c r="H57"/>
  <c r="F58"/>
  <c r="C59"/>
  <c r="G78" l="1"/>
  <c r="F59"/>
  <c r="G59"/>
  <c r="F78"/>
</calcChain>
</file>

<file path=xl/sharedStrings.xml><?xml version="1.0" encoding="utf-8"?>
<sst xmlns="http://schemas.openxmlformats.org/spreadsheetml/2006/main" count="916" uniqueCount="97">
  <si>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</si>
  <si>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</si>
  <si>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</si>
  <si>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</si>
  <si>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</si>
  <si>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</si>
  <si>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</si>
  <si>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</si>
  <si>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</si>
  <si>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</si>
  <si>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</si>
  <si>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</si>
  <si>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</si>
  <si>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</si>
  <si>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</si>
  <si>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</si>
  <si>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</si>
  <si>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</si>
  <si>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</si>
  <si>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</si>
  <si>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QuickSort RESUME</t>
  </si>
  <si>
    <t>Errors per Register</t>
  </si>
  <si>
    <t>Number of Registers Used O0</t>
  </si>
  <si>
    <t>STR</t>
  </si>
  <si>
    <t>LDR</t>
  </si>
  <si>
    <t>sl</t>
  </si>
  <si>
    <t>fp</t>
  </si>
  <si>
    <t>ip</t>
  </si>
  <si>
    <t>Multiplicação O1</t>
  </si>
  <si>
    <t>Multiplicação O2</t>
  </si>
  <si>
    <t>Number of Registers Used O2</t>
  </si>
  <si>
    <t>Multiplicação O3</t>
  </si>
  <si>
    <t>Number of Registers Used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</si>
  <si>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</si>
  <si>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</si>
  <si>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</si>
  <si>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</si>
  <si>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</si>
  <si>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</si>
  <si>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</si>
  <si>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</si>
  <si>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</si>
  <si>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</si>
  <si>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</si>
  <si>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</si>
  <si>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</si>
  <si>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</si>
  <si>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Number of Registers Used O1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</si>
  <si>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</si>
  <si>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</si>
  <si>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</si>
  <si>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</si>
  <si>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</si>
  <si>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</si>
  <si>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</si>
  <si>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</si>
  <si>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</si>
  <si>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</si>
  <si>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</si>
  <si>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</si>
  <si>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</si>
  <si>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</si>
  <si>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</si>
  <si>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</si>
  <si>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</si>
  <si>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</si>
  <si>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</si>
  <si>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</si>
  <si>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</si>
  <si>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</si>
  <si>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</si>
  <si>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</si>
  <si>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</si>
  <si>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</si>
  <si>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</si>
  <si>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</si>
  <si>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</si>
  <si>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</si>
  <si>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</si>
  <si>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</si>
  <si>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</si>
  <si>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</si>
  <si>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REGISTRADORES CRITICOS </t>
  </si>
  <si>
    <t>7 se considerar com 0.3 avf mais</t>
  </si>
  <si>
    <t>7 se considerar com 0.2 avf mais</t>
  </si>
  <si>
    <t>Analise de AVF SDCs para registradores Criticos</t>
  </si>
  <si>
    <t>o0</t>
  </si>
  <si>
    <t>o2</t>
  </si>
  <si>
    <t>o3</t>
  </si>
  <si>
    <t>Analise de AVF SEFIs para registradores Criticos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</si>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</sst>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0" fillId="0" borderId="1" xfId="0" applyBorder="1" applyAlignment="1"/>
    <xf numFmtId="0" fontId="0" fillId="0" borderId="2" xfId="0" applyFont="1" applyBorder="1" applyAlignment="1"/>
    <xf numFmtId="0" fontId="2" fillId="0" borderId="0" xfId="0" applyFont="1" applyBorder="1" applyAlignment="1"/>
    <xf numFmtId="2" fontId="1" fillId="0" borderId="1" xfId="1" applyNumberFormat="1" applyFont="1" applyBorder="1" applyAlignment="1"/>
    <xf numFmtId="2" fontId="1" fillId="0" borderId="0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1" fillId="0" borderId="3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 applyAlignment="1"/>
    <xf numFmtId="164" fontId="6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8" fillId="0" borderId="0" xfId="0" applyFont="1"/>
    <xf numFmtId="0" fontId="0" fillId="2" borderId="0" xfId="0" applyFill="1"/>
    <xf numFmtId="164" fontId="6" fillId="2" borderId="0" xfId="0" applyNumberFormat="1" applyFont="1" applyFill="1" applyAlignment="1"/>
    <xf numFmtId="0" fontId="6" fillId="0" borderId="0" xfId="0" applyFont="1" applyBorder="1" applyAlignment="1"/>
    <xf numFmtId="0" fontId="0" fillId="0" borderId="0" xfId="0" applyBorder="1" applyAlignment="1"/>
    <xf numFmtId="11" fontId="6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6" fillId="2" borderId="0" xfId="0" applyNumberFormat="1" applyFont="1" applyFill="1" applyAlignment="1"/>
    <xf numFmtId="11" fontId="0" fillId="0" borderId="0" xfId="0" applyNumberFormat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2" fontId="1" fillId="3" borderId="1" xfId="1" applyNumberFormat="1" applyFont="1" applyFill="1" applyBorder="1" applyAlignment="1"/>
    <xf numFmtId="2" fontId="0" fillId="3" borderId="1" xfId="0" applyNumberFormat="1" applyFill="1" applyBorder="1" applyAlignment="1"/>
    <xf numFmtId="2" fontId="0" fillId="3" borderId="1" xfId="0" applyNumberFormat="1" applyFont="1" applyFill="1" applyBorder="1" applyAlignment="1"/>
    <xf numFmtId="0" fontId="0" fillId="3" borderId="1" xfId="0" applyFill="1" applyBorder="1" applyAlignment="1"/>
    <xf numFmtId="2" fontId="0" fillId="2" borderId="1" xfId="0" applyNumberFormat="1" applyFill="1" applyBorder="1" applyAlignment="1"/>
    <xf numFmtId="2" fontId="0" fillId="2" borderId="1" xfId="0" applyNumberFormat="1" applyFont="1" applyFill="1" applyBorder="1" applyAlignment="1"/>
    <xf numFmtId="0" fontId="0" fillId="2" borderId="1" xfId="0" applyFill="1" applyBorder="1" applyAlignment="1"/>
    <xf numFmtId="0" fontId="0" fillId="2" borderId="0" xfId="0" applyFont="1" applyFill="1" applyAlignment="1"/>
    <xf numFmtId="0" fontId="0" fillId="0" borderId="4" xfId="0" applyBorder="1" applyAlignment="1"/>
    <xf numFmtId="0" fontId="0" fillId="0" borderId="4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82899712"/>
        <c:axId val="82902016"/>
      </c:barChart>
      <c:catAx>
        <c:axId val="828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82902016"/>
        <c:crosses val="autoZero"/>
        <c:auto val="1"/>
        <c:lblAlgn val="ctr"/>
        <c:lblOffset val="100"/>
      </c:catAx>
      <c:valAx>
        <c:axId val="829020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2899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(MWBF!$J$9,MWBF!$J$11)</c:f>
              <c:numCache>
                <c:formatCode>0.00E+00</c:formatCode>
                <c:ptCount val="2"/>
                <c:pt idx="0">
                  <c:v>1.3397249999999999E-6</c:v>
                </c:pt>
                <c:pt idx="1">
                  <c:v>1.0850345999999999E-5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(MWBF!$P$9,MWBF!$P$11)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2.1964299999999998E-6</c:v>
                </c:pt>
              </c:numCache>
            </c:numRef>
          </c:val>
        </c:ser>
        <c:axId val="85962112"/>
        <c:axId val="85976576"/>
      </c:barChart>
      <c:catAx>
        <c:axId val="8596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  <c:layout/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5976576"/>
        <c:crosses val="autoZero"/>
        <c:auto val="1"/>
        <c:lblAlgn val="ctr"/>
        <c:lblOffset val="100"/>
      </c:catAx>
      <c:valAx>
        <c:axId val="859765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  SEFI</a:t>
                </a:r>
              </a:p>
            </c:rich>
          </c:tx>
          <c:layout/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85962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84210048"/>
        <c:axId val="84211968"/>
      </c:barChart>
      <c:catAx>
        <c:axId val="8421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84211968"/>
        <c:crosses val="autoZero"/>
        <c:auto val="1"/>
        <c:lblAlgn val="ctr"/>
        <c:lblOffset val="100"/>
      </c:catAx>
      <c:valAx>
        <c:axId val="842119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421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MxM!$F$64:$F$76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84860928"/>
        <c:axId val="84862848"/>
      </c:barChart>
      <c:catAx>
        <c:axId val="8486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84862848"/>
        <c:crosses val="autoZero"/>
        <c:auto val="1"/>
        <c:lblAlgn val="ctr"/>
        <c:lblOffset val="100"/>
      </c:catAx>
      <c:valAx>
        <c:axId val="8486284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8486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MxM!$H$64:$H$76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85167104"/>
        <c:axId val="85169280"/>
      </c:barChart>
      <c:catAx>
        <c:axId val="8516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85169280"/>
        <c:crosses val="autoZero"/>
        <c:auto val="1"/>
        <c:lblAlgn val="ctr"/>
        <c:lblOffset val="100"/>
      </c:catAx>
      <c:valAx>
        <c:axId val="8516928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5167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/>
            </a:solidFill>
          </c:spPr>
          <c:cat>
            <c:strRef>
              <c:f>QuickSort!$A$2:$A$15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QuickSort!$C$2:$C$15</c:f>
              <c:numCache>
                <c:formatCode>General</c:formatCode>
                <c:ptCount val="14"/>
                <c:pt idx="0">
                  <c:v>144</c:v>
                </c:pt>
                <c:pt idx="1">
                  <c:v>327</c:v>
                </c:pt>
                <c:pt idx="2">
                  <c:v>726</c:v>
                </c:pt>
                <c:pt idx="3">
                  <c:v>440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2200</c:v>
                </c:pt>
              </c:numCache>
            </c:numRef>
          </c:val>
        </c:ser>
        <c:axId val="85247104"/>
        <c:axId val="85249024"/>
      </c:barChart>
      <c:catAx>
        <c:axId val="8524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Registradores</a:t>
                </a:r>
              </a:p>
            </c:rich>
          </c:tx>
          <c:layout/>
        </c:title>
        <c:tickLblPos val="nextTo"/>
        <c:crossAx val="85249024"/>
        <c:crosses val="autoZero"/>
        <c:auto val="1"/>
        <c:lblAlgn val="ctr"/>
        <c:lblOffset val="100"/>
      </c:catAx>
      <c:valAx>
        <c:axId val="8524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 de SDCs</a:t>
                </a:r>
                <a:r>
                  <a:rPr lang="pt-BR" baseline="0"/>
                  <a:t> por Registrador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52471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QuickSort!$A$2:$A$15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QuickSort!$E$2:$E$15</c:f>
              <c:numCache>
                <c:formatCode>General</c:formatCode>
                <c:ptCount val="14"/>
                <c:pt idx="0">
                  <c:v>0</c:v>
                </c:pt>
                <c:pt idx="1">
                  <c:v>113</c:v>
                </c:pt>
                <c:pt idx="2">
                  <c:v>83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2193</c:v>
                </c:pt>
              </c:numCache>
            </c:numRef>
          </c:val>
        </c:ser>
        <c:axId val="85260544"/>
        <c:axId val="85340544"/>
      </c:barChart>
      <c:catAx>
        <c:axId val="8526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Registradores</a:t>
                </a:r>
              </a:p>
            </c:rich>
          </c:tx>
          <c:layout/>
        </c:title>
        <c:tickLblPos val="nextTo"/>
        <c:crossAx val="85340544"/>
        <c:crosses val="autoZero"/>
        <c:auto val="1"/>
        <c:lblAlgn val="ctr"/>
        <c:lblOffset val="100"/>
      </c:catAx>
      <c:valAx>
        <c:axId val="8534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 de Hangs </a:t>
                </a:r>
                <a:r>
                  <a:rPr lang="pt-BR" baseline="0"/>
                  <a:t>por Registrador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52605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(MWBF!$I$5,MWBF!$I$7)</c:f>
              <c:numCache>
                <c:formatCode>0.00E+00</c:formatCode>
                <c:ptCount val="2"/>
                <c:pt idx="0">
                  <c:v>1.15516E-5</c:v>
                </c:pt>
                <c:pt idx="1">
                  <c:v>2.6189500000000001E-5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(MWBF!$O$5,MWBF!$O$7)</c:f>
              <c:numCache>
                <c:formatCode>General</c:formatCode>
                <c:ptCount val="2"/>
                <c:pt idx="0">
                  <c:v>1.1551620299261002E-5</c:v>
                </c:pt>
                <c:pt idx="1">
                  <c:v>2.61895054166029E-5</c:v>
                </c:pt>
              </c:numCache>
            </c:numRef>
          </c:val>
        </c:ser>
        <c:axId val="85524864"/>
        <c:axId val="85526784"/>
      </c:barChart>
      <c:catAx>
        <c:axId val="8552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  <c:layout/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5526784"/>
        <c:crosses val="autoZero"/>
        <c:auto val="1"/>
        <c:lblAlgn val="ctr"/>
        <c:lblOffset val="100"/>
      </c:catAx>
      <c:valAx>
        <c:axId val="85526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Section</a:t>
                </a:r>
                <a:r>
                  <a:rPr lang="en-US" b="1" baseline="0"/>
                  <a:t> </a:t>
                </a:r>
                <a:r>
                  <a:rPr lang="en-US" b="1"/>
                  <a:t> SDC</a:t>
                </a:r>
              </a:p>
            </c:rich>
          </c:tx>
          <c:layout/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85524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(MWBF!$J$5,MWBF!$J$7)</c:f>
              <c:numCache>
                <c:formatCode>0.00E+00</c:formatCode>
                <c:ptCount val="2"/>
                <c:pt idx="0">
                  <c:v>1.5017079999999999E-5</c:v>
                </c:pt>
                <c:pt idx="1">
                  <c:v>3.1427400000000003E-5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(MWBF!$P$5,MWBF!$P$7)</c:f>
              <c:numCache>
                <c:formatCode>0.00E+00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5539456"/>
        <c:axId val="85574400"/>
      </c:barChart>
      <c:catAx>
        <c:axId val="8553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  <c:layout/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5574400"/>
        <c:crosses val="autoZero"/>
        <c:auto val="1"/>
        <c:lblAlgn val="ctr"/>
        <c:lblOffset val="100"/>
      </c:catAx>
      <c:valAx>
        <c:axId val="85574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Setion</a:t>
                </a:r>
                <a:r>
                  <a:rPr lang="en-US" b="1" baseline="0"/>
                  <a:t> SEFI</a:t>
                </a:r>
                <a:endParaRPr lang="en-US" b="1"/>
              </a:p>
            </c:rich>
          </c:tx>
          <c:layout/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8553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MWBF!$E$3</c:f>
              <c:strCache>
                <c:ptCount val="1"/>
                <c:pt idx="0">
                  <c:v>Fault Injection 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(MWBF!$I$9,MWBF!$I$11)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8.34642E-6</c:v>
                </c:pt>
              </c:numCache>
            </c:numRef>
          </c:val>
        </c:ser>
        <c:ser>
          <c:idx val="2"/>
          <c:order val="1"/>
          <c:tx>
            <c:strRef>
              <c:f>MWBF!$K$3</c:f>
              <c:strCache>
                <c:ptCount val="1"/>
                <c:pt idx="0">
                  <c:v>Radiation Experiments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cat>
            <c:strRef>
              <c:f>(MWBF!$B$5,MWBF!$B$7)</c:f>
              <c:strCache>
                <c:ptCount val="2"/>
                <c:pt idx="0">
                  <c:v>O0</c:v>
                </c:pt>
                <c:pt idx="1">
                  <c:v>O3</c:v>
                </c:pt>
              </c:strCache>
            </c:strRef>
          </c:cat>
          <c:val>
            <c:numRef>
              <c:f>(MWBF!$O$9,MWBF!$O$11)</c:f>
              <c:numCache>
                <c:formatCode>0.00E+00</c:formatCode>
                <c:ptCount val="2"/>
                <c:pt idx="0">
                  <c:v>8.9314999999999997E-7</c:v>
                </c:pt>
                <c:pt idx="1">
                  <c:v>8.34642E-6</c:v>
                </c:pt>
              </c:numCache>
            </c:numRef>
          </c:val>
        </c:ser>
        <c:axId val="85922944"/>
        <c:axId val="85924864"/>
      </c:barChart>
      <c:catAx>
        <c:axId val="8592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Optimization</a:t>
                </a:r>
              </a:p>
            </c:rich>
          </c:tx>
          <c:layout/>
        </c:title>
        <c:numFmt formatCode="0.00E+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85924864"/>
        <c:crosses val="autoZero"/>
        <c:auto val="1"/>
        <c:lblAlgn val="ctr"/>
        <c:lblOffset val="100"/>
      </c:catAx>
      <c:valAx>
        <c:axId val="859248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Cross Section SDC</a:t>
                </a:r>
              </a:p>
            </c:rich>
          </c:tx>
          <c:layout/>
        </c:title>
        <c:numFmt formatCode="0.00E+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8592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27</xdr:col>
      <xdr:colOff>493058</xdr:colOff>
      <xdr:row>33</xdr:row>
      <xdr:rowOff>185551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561562</xdr:colOff>
      <xdr:row>16</xdr:row>
      <xdr:rowOff>158122</xdr:rowOff>
    </xdr:from>
    <xdr:to>
      <xdr:col>39</xdr:col>
      <xdr:colOff>599662</xdr:colOff>
      <xdr:row>34</xdr:row>
      <xdr:rowOff>153173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346363</xdr:colOff>
      <xdr:row>21</xdr:row>
      <xdr:rowOff>173182</xdr:rowOff>
    </xdr:from>
    <xdr:to>
      <xdr:col>24</xdr:col>
      <xdr:colOff>346363</xdr:colOff>
      <xdr:row>39</xdr:row>
      <xdr:rowOff>64324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256761</xdr:colOff>
      <xdr:row>22</xdr:row>
      <xdr:rowOff>140804</xdr:rowOff>
    </xdr:from>
    <xdr:to>
      <xdr:col>37</xdr:col>
      <xdr:colOff>256761</xdr:colOff>
      <xdr:row>40</xdr:row>
      <xdr:rowOff>31946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495299</xdr:colOff>
      <xdr:row>10</xdr:row>
      <xdr:rowOff>40821</xdr:rowOff>
    </xdr:from>
    <xdr:to>
      <xdr:col>31</xdr:col>
      <xdr:colOff>242207</xdr:colOff>
      <xdr:row>32</xdr:row>
      <xdr:rowOff>12246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1224643</xdr:colOff>
      <xdr:row>37</xdr:row>
      <xdr:rowOff>40821</xdr:rowOff>
    </xdr:from>
    <xdr:to>
      <xdr:col>27</xdr:col>
      <xdr:colOff>389164</xdr:colOff>
      <xdr:row>60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123264</xdr:colOff>
      <xdr:row>15</xdr:row>
      <xdr:rowOff>134472</xdr:rowOff>
    </xdr:from>
    <xdr:to>
      <xdr:col>15</xdr:col>
      <xdr:colOff>627528</xdr:colOff>
      <xdr:row>43</xdr:row>
      <xdr:rowOff>85540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15</xdr:row>
      <xdr:rowOff>136072</xdr:rowOff>
    </xdr:from>
    <xdr:to>
      <xdr:col>33</xdr:col>
      <xdr:colOff>381800</xdr:colOff>
      <xdr:row>43</xdr:row>
      <xdr:rowOff>87140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76039</xdr:colOff>
      <xdr:row>46</xdr:row>
      <xdr:rowOff>52028</xdr:rowOff>
    </xdr:from>
    <xdr:to>
      <xdr:col>15</xdr:col>
      <xdr:colOff>580303</xdr:colOff>
      <xdr:row>74</xdr:row>
      <xdr:rowOff>3096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551489</xdr:colOff>
      <xdr:row>46</xdr:row>
      <xdr:rowOff>53628</xdr:rowOff>
    </xdr:from>
    <xdr:to>
      <xdr:col>33</xdr:col>
      <xdr:colOff>334575</xdr:colOff>
      <xdr:row>74</xdr:row>
      <xdr:rowOff>4696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3"/>
  <sheetViews>
    <sheetView topLeftCell="A49" zoomScale="70" zoomScaleNormal="70" workbookViewId="0">
      <selection activeCell="B93" sqref="B93"/>
    </sheetView>
  </sheetViews>
  <sheetFormatPr defaultColWidth="14.42578125" defaultRowHeight="15.75" customHeight="1"/>
  <cols>
    <col min="1" max="1" width="28.42578125" customWidth="1"/>
    <col min="3" max="3" width="27.5703125" customWidth="1"/>
    <col min="5" max="5" width="29.7109375" customWidth="1"/>
    <col min="9" max="9" width="40.42578125" customWidth="1"/>
    <col min="10" max="10" width="29.28515625" customWidth="1"/>
    <col min="11" max="11" width="32.7109375" customWidth="1"/>
  </cols>
  <sheetData>
    <row r="1" spans="1:16" ht="15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6" ht="15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5" si="0">C2/B2</f>
        <v>0</v>
      </c>
      <c r="G2" s="16">
        <f t="shared" ref="G2:G15" si="1">D2/B2</f>
        <v>0.99954696466324378</v>
      </c>
      <c r="H2" s="16">
        <f t="shared" ref="H2:H15" si="2">E2/B2</f>
        <v>4.5303533675626698E-4</v>
      </c>
      <c r="I2" s="2" t="s">
        <v>5</v>
      </c>
      <c r="J2" s="3">
        <v>19764</v>
      </c>
      <c r="K2" s="3">
        <v>1626</v>
      </c>
      <c r="L2" s="3">
        <v>756</v>
      </c>
    </row>
    <row r="3" spans="1:16" ht="15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2" t="s">
        <v>6</v>
      </c>
      <c r="J3" s="3">
        <v>6540</v>
      </c>
      <c r="K3" s="3">
        <v>182</v>
      </c>
      <c r="L3" s="3">
        <v>212</v>
      </c>
      <c r="O3" s="20" t="s">
        <v>46</v>
      </c>
      <c r="P3" s="13" t="s">
        <v>38</v>
      </c>
    </row>
    <row r="4" spans="1:16" ht="15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2" t="s">
        <v>7</v>
      </c>
      <c r="J4" s="3">
        <v>5213</v>
      </c>
      <c r="K4" s="3">
        <v>193</v>
      </c>
      <c r="L4" s="3">
        <v>244</v>
      </c>
      <c r="O4" s="13" t="s">
        <v>39</v>
      </c>
      <c r="P4" s="5">
        <v>40606</v>
      </c>
    </row>
    <row r="5" spans="1:16" ht="15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2" t="s">
        <v>8</v>
      </c>
      <c r="J5" s="3">
        <v>5728</v>
      </c>
      <c r="K5" s="3">
        <v>356</v>
      </c>
      <c r="L5" s="3">
        <v>539</v>
      </c>
      <c r="O5" s="13" t="s">
        <v>42</v>
      </c>
      <c r="P5" s="5">
        <v>11799</v>
      </c>
    </row>
    <row r="6" spans="1:16" ht="15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>
        <v>5780</v>
      </c>
      <c r="K6" s="3">
        <v>550</v>
      </c>
      <c r="L6" s="3">
        <v>250</v>
      </c>
      <c r="O6" s="13" t="s">
        <v>40</v>
      </c>
      <c r="P6" s="5">
        <v>8010</v>
      </c>
    </row>
    <row r="7" spans="1:16" ht="15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2" t="s">
        <v>10</v>
      </c>
      <c r="J7" s="3">
        <v>5491</v>
      </c>
      <c r="K7" s="3">
        <v>452</v>
      </c>
      <c r="L7" s="3">
        <v>492</v>
      </c>
      <c r="O7" s="13" t="s">
        <v>41</v>
      </c>
      <c r="P7" s="5">
        <v>7550</v>
      </c>
    </row>
    <row r="8" spans="1:16" ht="15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2" t="s">
        <v>11</v>
      </c>
      <c r="J8" s="3">
        <v>3906</v>
      </c>
      <c r="K8" s="3">
        <v>275</v>
      </c>
      <c r="L8" s="3">
        <v>129</v>
      </c>
    </row>
    <row r="9" spans="1:16" ht="15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1878</v>
      </c>
      <c r="K9" s="3">
        <v>88</v>
      </c>
      <c r="L9" s="3">
        <v>76</v>
      </c>
    </row>
    <row r="10" spans="1:16" ht="15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>
        <v>3650</v>
      </c>
      <c r="K10" s="3">
        <v>123</v>
      </c>
      <c r="L10" s="3">
        <v>48</v>
      </c>
    </row>
    <row r="11" spans="1:16" ht="15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2286</v>
      </c>
      <c r="K11" s="3">
        <v>37</v>
      </c>
      <c r="L11" s="3">
        <v>30</v>
      </c>
    </row>
    <row r="12" spans="1:16" ht="15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1974</v>
      </c>
      <c r="K12" s="3">
        <v>28</v>
      </c>
      <c r="L12" s="3">
        <v>20</v>
      </c>
    </row>
    <row r="13" spans="1:16" ht="15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1985</v>
      </c>
      <c r="K13" s="3">
        <v>21</v>
      </c>
      <c r="L13" s="3">
        <v>6</v>
      </c>
    </row>
    <row r="14" spans="1:16" ht="15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3874</v>
      </c>
      <c r="K14" s="3">
        <v>222</v>
      </c>
      <c r="L14" s="3">
        <v>321</v>
      </c>
    </row>
    <row r="15" spans="1:16" ht="15">
      <c r="A15" s="2" t="s">
        <v>18</v>
      </c>
      <c r="B15" s="3">
        <v>6108</v>
      </c>
      <c r="C15" s="3">
        <v>0</v>
      </c>
      <c r="D15" s="3">
        <v>6105</v>
      </c>
      <c r="E15" s="3">
        <v>3</v>
      </c>
      <c r="F15" s="16">
        <f t="shared" si="0"/>
        <v>0</v>
      </c>
      <c r="G15" s="16">
        <f t="shared" si="1"/>
        <v>0.99950884086444003</v>
      </c>
      <c r="H15" s="16">
        <f t="shared" si="2"/>
        <v>4.9115913555992138E-4</v>
      </c>
      <c r="I15" s="2" t="s">
        <v>18</v>
      </c>
      <c r="J15" s="3">
        <v>2505</v>
      </c>
      <c r="K15" s="3">
        <v>18</v>
      </c>
      <c r="L15" s="3">
        <v>14</v>
      </c>
    </row>
    <row r="16" spans="1:16" ht="15">
      <c r="A16" s="2" t="s">
        <v>19</v>
      </c>
      <c r="B16" s="3">
        <v>89899</v>
      </c>
      <c r="C16" s="3">
        <v>4730</v>
      </c>
      <c r="D16" s="3">
        <v>85243</v>
      </c>
      <c r="E16" s="3">
        <v>21</v>
      </c>
      <c r="F16" s="2"/>
      <c r="G16" s="2"/>
      <c r="H16" s="2"/>
      <c r="I16" s="2"/>
      <c r="J16" s="2"/>
      <c r="K16" s="2"/>
      <c r="L16" s="2"/>
      <c r="M16" s="14"/>
    </row>
    <row r="17" spans="1:12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5">
      <c r="A23" s="6" t="s">
        <v>28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22</v>
      </c>
      <c r="K23" s="2" t="s">
        <v>23</v>
      </c>
      <c r="L23" s="2" t="s">
        <v>24</v>
      </c>
    </row>
    <row r="24" spans="1:12" ht="15">
      <c r="A24" s="2" t="s">
        <v>5</v>
      </c>
      <c r="B24" s="3"/>
      <c r="C24" s="3"/>
      <c r="D24" s="3"/>
      <c r="E24" s="3"/>
      <c r="F24" s="4"/>
      <c r="G24" s="4"/>
      <c r="H24" s="4"/>
      <c r="I24" s="2" t="s">
        <v>5</v>
      </c>
      <c r="J24" s="3"/>
      <c r="K24" s="3"/>
      <c r="L24" s="3"/>
    </row>
    <row r="25" spans="1:12" ht="15">
      <c r="A25" s="2" t="s">
        <v>6</v>
      </c>
      <c r="B25" s="3"/>
      <c r="C25" s="3"/>
      <c r="D25" s="3"/>
      <c r="E25" s="3"/>
      <c r="F25" s="4"/>
      <c r="G25" s="4"/>
      <c r="H25" s="4"/>
      <c r="I25" s="2" t="s">
        <v>6</v>
      </c>
      <c r="J25" s="3"/>
      <c r="K25" s="3"/>
      <c r="L25" s="3"/>
    </row>
    <row r="26" spans="1:12" ht="15">
      <c r="A26" s="2" t="s">
        <v>7</v>
      </c>
      <c r="B26" s="3"/>
      <c r="C26" s="3"/>
      <c r="D26" s="3"/>
      <c r="E26" s="3"/>
      <c r="F26" s="4"/>
      <c r="G26" s="4"/>
      <c r="H26" s="4"/>
      <c r="I26" s="2" t="s">
        <v>7</v>
      </c>
      <c r="J26" s="3"/>
      <c r="K26" s="3"/>
      <c r="L26" s="3"/>
    </row>
    <row r="27" spans="1:12" ht="15">
      <c r="A27" s="2" t="s">
        <v>8</v>
      </c>
      <c r="B27" s="3"/>
      <c r="C27" s="3"/>
      <c r="D27" s="3"/>
      <c r="E27" s="3"/>
      <c r="F27" s="4"/>
      <c r="G27" s="4"/>
      <c r="H27" s="4"/>
      <c r="I27" s="2" t="s">
        <v>8</v>
      </c>
      <c r="J27" s="3"/>
      <c r="K27" s="3"/>
      <c r="L27" s="3"/>
    </row>
    <row r="28" spans="1:12" ht="15">
      <c r="A28" s="2" t="s">
        <v>9</v>
      </c>
      <c r="B28" s="3"/>
      <c r="C28" s="3"/>
      <c r="D28" s="3"/>
      <c r="E28" s="3"/>
      <c r="F28" s="4"/>
      <c r="G28" s="4"/>
      <c r="H28" s="4"/>
      <c r="I28" s="2" t="s">
        <v>9</v>
      </c>
      <c r="J28" s="3"/>
      <c r="K28" s="3"/>
      <c r="L28" s="3"/>
    </row>
    <row r="29" spans="1:12" ht="15">
      <c r="A29" s="2" t="s">
        <v>10</v>
      </c>
      <c r="B29" s="3"/>
      <c r="C29" s="3"/>
      <c r="D29" s="3"/>
      <c r="E29" s="3"/>
      <c r="F29" s="4"/>
      <c r="G29" s="4"/>
      <c r="H29" s="4"/>
      <c r="I29" s="2" t="s">
        <v>10</v>
      </c>
      <c r="J29" s="3"/>
      <c r="K29" s="3"/>
      <c r="L29" s="3"/>
    </row>
    <row r="30" spans="1:12" ht="15">
      <c r="A30" s="2" t="s">
        <v>11</v>
      </c>
      <c r="B30" s="3"/>
      <c r="C30" s="3"/>
      <c r="D30" s="3"/>
      <c r="E30" s="3"/>
      <c r="F30" s="4"/>
      <c r="G30" s="4"/>
      <c r="H30" s="4"/>
      <c r="I30" s="2" t="s">
        <v>11</v>
      </c>
      <c r="J30" s="3"/>
      <c r="K30" s="3"/>
      <c r="L30" s="3"/>
    </row>
    <row r="31" spans="1:12" ht="15">
      <c r="A31" s="2" t="s">
        <v>12</v>
      </c>
      <c r="B31" s="3"/>
      <c r="C31" s="3"/>
      <c r="D31" s="3"/>
      <c r="E31" s="3"/>
      <c r="F31" s="4"/>
      <c r="G31" s="4"/>
      <c r="H31" s="4"/>
      <c r="I31" s="2" t="s">
        <v>12</v>
      </c>
      <c r="J31" s="3"/>
      <c r="K31" s="3"/>
      <c r="L31" s="3"/>
    </row>
    <row r="32" spans="1:12" ht="15">
      <c r="A32" s="2" t="s">
        <v>13</v>
      </c>
      <c r="B32" s="3"/>
      <c r="C32" s="3"/>
      <c r="D32" s="3"/>
      <c r="E32" s="3"/>
      <c r="F32" s="4"/>
      <c r="G32" s="4"/>
      <c r="H32" s="4"/>
      <c r="I32" s="2" t="s">
        <v>13</v>
      </c>
      <c r="J32" s="3"/>
      <c r="K32" s="3"/>
      <c r="L32" s="3"/>
    </row>
    <row r="33" spans="1:12" ht="15">
      <c r="A33" s="2" t="s">
        <v>14</v>
      </c>
      <c r="B33" s="3"/>
      <c r="C33" s="3"/>
      <c r="D33" s="3"/>
      <c r="E33" s="3"/>
      <c r="F33" s="4"/>
      <c r="G33" s="4"/>
      <c r="H33" s="4"/>
      <c r="I33" s="2" t="s">
        <v>14</v>
      </c>
      <c r="J33" s="3"/>
      <c r="K33" s="3"/>
      <c r="L33" s="3"/>
    </row>
    <row r="34" spans="1:12" ht="15">
      <c r="A34" s="2" t="s">
        <v>15</v>
      </c>
      <c r="B34" s="3"/>
      <c r="C34" s="3"/>
      <c r="D34" s="3"/>
      <c r="E34" s="3"/>
      <c r="F34" s="4"/>
      <c r="G34" s="4"/>
      <c r="H34" s="4"/>
      <c r="I34" s="2" t="s">
        <v>25</v>
      </c>
      <c r="J34" s="3"/>
      <c r="K34" s="3"/>
      <c r="L34" s="3"/>
    </row>
    <row r="35" spans="1:12" ht="15">
      <c r="A35" s="2" t="s">
        <v>16</v>
      </c>
      <c r="B35" s="3"/>
      <c r="C35" s="3"/>
      <c r="D35" s="3"/>
      <c r="E35" s="3"/>
      <c r="F35" s="4"/>
      <c r="G35" s="4"/>
      <c r="H35" s="4"/>
      <c r="I35" s="2" t="s">
        <v>26</v>
      </c>
      <c r="J35" s="3"/>
      <c r="K35" s="3"/>
      <c r="L35" s="3"/>
    </row>
    <row r="36" spans="1:12" ht="15">
      <c r="A36" s="2" t="s">
        <v>17</v>
      </c>
      <c r="B36" s="3"/>
      <c r="C36" s="3"/>
      <c r="D36" s="3"/>
      <c r="E36" s="3"/>
      <c r="F36" s="4"/>
      <c r="G36" s="4"/>
      <c r="H36" s="4"/>
      <c r="I36" s="2" t="s">
        <v>27</v>
      </c>
      <c r="J36" s="3"/>
      <c r="K36" s="3"/>
      <c r="L36" s="3"/>
    </row>
    <row r="37" spans="1:12" ht="15">
      <c r="A37" s="2" t="s">
        <v>18</v>
      </c>
      <c r="B37" s="3"/>
      <c r="C37" s="3"/>
      <c r="D37" s="3"/>
      <c r="E37" s="3"/>
      <c r="F37" s="4"/>
      <c r="G37" s="4"/>
      <c r="H37" s="4"/>
      <c r="I37" s="2" t="s">
        <v>18</v>
      </c>
      <c r="J37" s="3"/>
      <c r="K37" s="3"/>
      <c r="L37" s="3"/>
    </row>
    <row r="38" spans="1:12" ht="15">
      <c r="A38" s="2" t="s">
        <v>19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</row>
    <row r="39" spans="1:12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2" ht="15">
      <c r="A44" s="2" t="s">
        <v>29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30</v>
      </c>
      <c r="K44" s="2" t="s">
        <v>23</v>
      </c>
      <c r="L44" s="2" t="s">
        <v>24</v>
      </c>
    </row>
    <row r="45" spans="1:12" ht="15">
      <c r="A45" s="2" t="s">
        <v>5</v>
      </c>
      <c r="B45" s="3">
        <v>85</v>
      </c>
      <c r="C45" s="3">
        <v>69</v>
      </c>
      <c r="D45" s="2">
        <v>16</v>
      </c>
      <c r="E45" s="2">
        <v>0</v>
      </c>
      <c r="F45" s="16">
        <f t="shared" ref="F45:F58" si="3">C45/B45</f>
        <v>0.81176470588235294</v>
      </c>
      <c r="G45" s="16">
        <f t="shared" ref="G45:G58" si="4">D45/B45</f>
        <v>0.18823529411764706</v>
      </c>
      <c r="H45" s="16">
        <f t="shared" ref="H45:H58" si="5">E45/B45</f>
        <v>0</v>
      </c>
      <c r="I45" s="2" t="s">
        <v>5</v>
      </c>
      <c r="J45" s="3">
        <v>20243</v>
      </c>
      <c r="K45" s="3">
        <v>782</v>
      </c>
      <c r="L45" s="3">
        <v>1581</v>
      </c>
    </row>
    <row r="46" spans="1:12" ht="15">
      <c r="A46" s="2" t="s">
        <v>6</v>
      </c>
      <c r="B46" s="3">
        <f>SUM(35+208)</f>
        <v>243</v>
      </c>
      <c r="C46" s="3">
        <f>SUM(189+32)</f>
        <v>221</v>
      </c>
      <c r="D46" s="3">
        <f>SUM(3+7+9)</f>
        <v>19</v>
      </c>
      <c r="E46" s="3">
        <v>3</v>
      </c>
      <c r="F46" s="16">
        <f t="shared" si="3"/>
        <v>0.90946502057613166</v>
      </c>
      <c r="G46" s="16">
        <f t="shared" si="4"/>
        <v>7.8189300411522639E-2</v>
      </c>
      <c r="H46" s="16">
        <f t="shared" si="5"/>
        <v>1.2345679012345678E-2</v>
      </c>
      <c r="I46" s="2" t="s">
        <v>6</v>
      </c>
      <c r="J46" s="3">
        <v>6599</v>
      </c>
      <c r="K46" s="3">
        <v>208</v>
      </c>
      <c r="L46" s="3">
        <v>186</v>
      </c>
    </row>
    <row r="47" spans="1:12" ht="15">
      <c r="A47" s="2" t="s">
        <v>7</v>
      </c>
      <c r="B47" s="3">
        <f>SUM(205+131)</f>
        <v>336</v>
      </c>
      <c r="C47" s="3">
        <f>SUM(195+129)</f>
        <v>324</v>
      </c>
      <c r="D47" s="3">
        <f>SUM(10+2)</f>
        <v>12</v>
      </c>
      <c r="E47" s="3">
        <v>0</v>
      </c>
      <c r="F47" s="16">
        <f t="shared" si="3"/>
        <v>0.9642857142857143</v>
      </c>
      <c r="G47" s="16">
        <f t="shared" si="4"/>
        <v>3.5714285714285712E-2</v>
      </c>
      <c r="H47" s="16">
        <f t="shared" si="5"/>
        <v>0</v>
      </c>
      <c r="I47" s="2" t="s">
        <v>7</v>
      </c>
      <c r="J47" s="3">
        <v>5166</v>
      </c>
      <c r="K47" s="3">
        <v>240</v>
      </c>
      <c r="L47" s="3">
        <v>200</v>
      </c>
    </row>
    <row r="48" spans="1:12" ht="15">
      <c r="A48" s="2" t="s">
        <v>8</v>
      </c>
      <c r="B48" s="3">
        <f>SUM(202+15+23)</f>
        <v>240</v>
      </c>
      <c r="C48" s="3">
        <f>SUM(11+6)</f>
        <v>17</v>
      </c>
      <c r="D48" s="3">
        <f>SUM(1+40+15)</f>
        <v>56</v>
      </c>
      <c r="E48" s="3">
        <f>SUM(16+137+15)</f>
        <v>168</v>
      </c>
      <c r="F48" s="16">
        <f t="shared" si="3"/>
        <v>7.0833333333333331E-2</v>
      </c>
      <c r="G48" s="16">
        <f t="shared" si="4"/>
        <v>0.23333333333333334</v>
      </c>
      <c r="H48" s="16">
        <f t="shared" si="5"/>
        <v>0.7</v>
      </c>
      <c r="I48" s="2" t="s">
        <v>8</v>
      </c>
      <c r="J48" s="3">
        <v>5682</v>
      </c>
      <c r="K48" s="3">
        <v>529</v>
      </c>
      <c r="L48" s="3">
        <v>354</v>
      </c>
    </row>
    <row r="49" spans="1:12" ht="15">
      <c r="A49" s="2" t="s">
        <v>9</v>
      </c>
      <c r="B49" s="3">
        <f>SUM(24+187+154)</f>
        <v>365</v>
      </c>
      <c r="C49" s="3">
        <f>SUM(132+114)</f>
        <v>246</v>
      </c>
      <c r="D49" s="3">
        <f>SUM(55+40+24)</f>
        <v>119</v>
      </c>
      <c r="E49" s="3">
        <v>0</v>
      </c>
      <c r="F49" s="16">
        <f t="shared" si="3"/>
        <v>0.67397260273972603</v>
      </c>
      <c r="G49" s="16">
        <f t="shared" si="4"/>
        <v>0.32602739726027397</v>
      </c>
      <c r="H49" s="16">
        <f t="shared" si="5"/>
        <v>0</v>
      </c>
      <c r="I49" s="2" t="s">
        <v>9</v>
      </c>
      <c r="J49" s="3">
        <v>5795</v>
      </c>
      <c r="K49" s="3">
        <v>248</v>
      </c>
      <c r="L49" s="3">
        <v>524</v>
      </c>
    </row>
    <row r="50" spans="1:12" ht="15">
      <c r="A50" s="2" t="s">
        <v>10</v>
      </c>
      <c r="B50" s="3">
        <f>SUM(231+19)</f>
        <v>250</v>
      </c>
      <c r="C50" s="3">
        <f>SUM(81+6)</f>
        <v>87</v>
      </c>
      <c r="D50" s="3">
        <f>SUM(85+3+65)</f>
        <v>153</v>
      </c>
      <c r="E50" s="3">
        <v>10</v>
      </c>
      <c r="F50" s="16">
        <f t="shared" si="3"/>
        <v>0.34799999999999998</v>
      </c>
      <c r="G50" s="16">
        <f t="shared" si="4"/>
        <v>0.61199999999999999</v>
      </c>
      <c r="H50" s="16">
        <f t="shared" si="5"/>
        <v>0.04</v>
      </c>
      <c r="I50" s="2" t="s">
        <v>10</v>
      </c>
      <c r="J50" s="3">
        <v>5477</v>
      </c>
      <c r="K50" s="3">
        <v>507</v>
      </c>
      <c r="L50" s="3">
        <v>457</v>
      </c>
    </row>
    <row r="51" spans="1:12" ht="15">
      <c r="A51" s="2" t="s">
        <v>11</v>
      </c>
      <c r="B51" s="3">
        <f>SUM(210+154)</f>
        <v>364</v>
      </c>
      <c r="C51" s="3">
        <v>0</v>
      </c>
      <c r="D51" s="3">
        <f>SUM(138+72+154)</f>
        <v>364</v>
      </c>
      <c r="E51" s="3">
        <v>0</v>
      </c>
      <c r="F51" s="16">
        <f t="shared" si="3"/>
        <v>0</v>
      </c>
      <c r="G51" s="16">
        <f t="shared" si="4"/>
        <v>1</v>
      </c>
      <c r="H51" s="16">
        <f t="shared" si="5"/>
        <v>0</v>
      </c>
      <c r="I51" s="2" t="s">
        <v>11</v>
      </c>
      <c r="J51" s="3">
        <v>3917</v>
      </c>
      <c r="K51" s="3">
        <v>144</v>
      </c>
      <c r="L51" s="3">
        <v>267</v>
      </c>
    </row>
    <row r="52" spans="1:12" ht="15">
      <c r="A52" s="2" t="s">
        <v>12</v>
      </c>
      <c r="B52" s="3">
        <f>SUM(193+34)</f>
        <v>227</v>
      </c>
      <c r="C52" s="3">
        <v>2</v>
      </c>
      <c r="D52" s="3">
        <f>SUM(112+34+79)</f>
        <v>225</v>
      </c>
      <c r="E52" s="3">
        <v>0</v>
      </c>
      <c r="F52" s="16">
        <f t="shared" si="3"/>
        <v>8.8105726872246704E-3</v>
      </c>
      <c r="G52" s="16">
        <f t="shared" si="4"/>
        <v>0.99118942731277537</v>
      </c>
      <c r="H52" s="16">
        <f t="shared" si="5"/>
        <v>0</v>
      </c>
      <c r="I52" s="2" t="s">
        <v>12</v>
      </c>
      <c r="J52" s="3">
        <v>1894</v>
      </c>
      <c r="K52" s="3">
        <v>62</v>
      </c>
      <c r="L52" s="3">
        <v>100</v>
      </c>
    </row>
    <row r="53" spans="1:12" ht="15">
      <c r="A53" s="2" t="s">
        <v>13</v>
      </c>
      <c r="B53" s="3">
        <f>SUM(202+187)</f>
        <v>389</v>
      </c>
      <c r="C53" s="3">
        <f>SUM(46+30)</f>
        <v>76</v>
      </c>
      <c r="D53" s="3">
        <f>SUM(18+3)</f>
        <v>21</v>
      </c>
      <c r="E53" s="3">
        <f>SUM(145+19+123+5)</f>
        <v>292</v>
      </c>
      <c r="F53" s="18">
        <f t="shared" si="3"/>
        <v>0.19537275064267351</v>
      </c>
      <c r="G53" s="18">
        <f t="shared" si="4"/>
        <v>5.3984575835475578E-2</v>
      </c>
      <c r="H53" s="18">
        <f t="shared" si="5"/>
        <v>0.75064267352185088</v>
      </c>
      <c r="I53" s="2" t="s">
        <v>13</v>
      </c>
      <c r="J53" s="3">
        <v>3635</v>
      </c>
      <c r="K53" s="3">
        <v>60</v>
      </c>
      <c r="L53" s="3">
        <v>127</v>
      </c>
    </row>
    <row r="54" spans="1:12" ht="15">
      <c r="A54" s="2" t="s">
        <v>14</v>
      </c>
      <c r="B54" s="3">
        <f>SUM(228+32)</f>
        <v>260</v>
      </c>
      <c r="C54" s="3">
        <f>SUM(202+31)</f>
        <v>233</v>
      </c>
      <c r="D54" s="3">
        <f>SUM(6+8+13)</f>
        <v>27</v>
      </c>
      <c r="E54" s="2">
        <v>0</v>
      </c>
      <c r="F54" s="18">
        <f t="shared" si="3"/>
        <v>0.89615384615384619</v>
      </c>
      <c r="G54" s="18">
        <f t="shared" si="4"/>
        <v>0.10384615384615385</v>
      </c>
      <c r="H54" s="18">
        <f t="shared" si="5"/>
        <v>0</v>
      </c>
      <c r="I54" s="2" t="s">
        <v>14</v>
      </c>
      <c r="J54" s="3">
        <v>2265</v>
      </c>
      <c r="K54" s="3">
        <v>29</v>
      </c>
      <c r="L54" s="3">
        <v>32</v>
      </c>
    </row>
    <row r="55" spans="1:12" ht="15">
      <c r="A55" s="2" t="s">
        <v>15</v>
      </c>
      <c r="B55" s="2">
        <v>98</v>
      </c>
      <c r="C55" s="2">
        <v>91</v>
      </c>
      <c r="D55" s="2">
        <v>7</v>
      </c>
      <c r="E55" s="2">
        <v>0</v>
      </c>
      <c r="F55" s="16">
        <f t="shared" si="3"/>
        <v>0.9285714285714286</v>
      </c>
      <c r="G55" s="16">
        <f t="shared" si="4"/>
        <v>7.1428571428571425E-2</v>
      </c>
      <c r="H55" s="16">
        <f t="shared" si="5"/>
        <v>0</v>
      </c>
      <c r="I55" s="2" t="s">
        <v>25</v>
      </c>
      <c r="J55" s="3">
        <v>2265</v>
      </c>
      <c r="K55" s="3">
        <v>19</v>
      </c>
      <c r="L55" s="3">
        <v>25</v>
      </c>
    </row>
    <row r="56" spans="1:12" ht="15">
      <c r="A56" s="2" t="s">
        <v>16</v>
      </c>
      <c r="B56" s="3">
        <v>223</v>
      </c>
      <c r="C56" s="3">
        <v>0</v>
      </c>
      <c r="D56" s="3">
        <f>SUM(125+74+24)</f>
        <v>223</v>
      </c>
      <c r="E56" s="3">
        <v>0</v>
      </c>
      <c r="F56" s="16">
        <f t="shared" si="3"/>
        <v>0</v>
      </c>
      <c r="G56" s="16">
        <f t="shared" si="4"/>
        <v>1</v>
      </c>
      <c r="H56" s="16">
        <f t="shared" si="5"/>
        <v>0</v>
      </c>
      <c r="I56" s="2" t="s">
        <v>26</v>
      </c>
      <c r="J56" s="3">
        <v>2067</v>
      </c>
      <c r="K56" s="3">
        <v>7</v>
      </c>
      <c r="L56" s="3">
        <v>13</v>
      </c>
    </row>
    <row r="57" spans="1:12" ht="15">
      <c r="A57" s="2" t="s">
        <v>17</v>
      </c>
      <c r="B57" s="3">
        <f>SUM(210+130)</f>
        <v>340</v>
      </c>
      <c r="C57" s="3">
        <v>0</v>
      </c>
      <c r="D57" s="3">
        <f>SUM(210+130)</f>
        <v>340</v>
      </c>
      <c r="E57" s="3">
        <v>0</v>
      </c>
      <c r="F57" s="16">
        <f t="shared" si="3"/>
        <v>0</v>
      </c>
      <c r="G57" s="16">
        <f t="shared" si="4"/>
        <v>1</v>
      </c>
      <c r="H57" s="16">
        <f t="shared" si="5"/>
        <v>0</v>
      </c>
      <c r="I57" s="2" t="s">
        <v>27</v>
      </c>
      <c r="J57" s="3">
        <v>3925</v>
      </c>
      <c r="K57" s="3">
        <v>320</v>
      </c>
      <c r="L57" s="3">
        <v>227</v>
      </c>
    </row>
    <row r="58" spans="1:12" ht="15">
      <c r="A58" s="2" t="s">
        <v>18</v>
      </c>
      <c r="B58" s="3">
        <f>SUM(245+37)</f>
        <v>282</v>
      </c>
      <c r="C58" s="3">
        <f>SUM(217+35)</f>
        <v>252</v>
      </c>
      <c r="D58" s="3">
        <f>SUM(2+20+8)</f>
        <v>30</v>
      </c>
      <c r="E58" s="3">
        <v>0</v>
      </c>
      <c r="F58" s="16">
        <f t="shared" si="3"/>
        <v>0.8936170212765957</v>
      </c>
      <c r="G58" s="16">
        <f t="shared" si="4"/>
        <v>0.10638297872340426</v>
      </c>
      <c r="H58" s="16">
        <f t="shared" si="5"/>
        <v>0</v>
      </c>
      <c r="I58" s="2" t="s">
        <v>18</v>
      </c>
      <c r="J58" s="3">
        <v>2506</v>
      </c>
      <c r="K58" s="3">
        <v>14</v>
      </c>
      <c r="L58" s="3">
        <v>16</v>
      </c>
    </row>
    <row r="59" spans="1:12" ht="15">
      <c r="A59" s="2" t="s">
        <v>19</v>
      </c>
      <c r="B59" s="3">
        <f t="shared" ref="B59:E59" si="6">SUM(B45:B58)</f>
        <v>3702</v>
      </c>
      <c r="C59" s="3">
        <f t="shared" si="6"/>
        <v>1618</v>
      </c>
      <c r="D59" s="3">
        <f t="shared" si="6"/>
        <v>1612</v>
      </c>
      <c r="E59" s="3">
        <f t="shared" si="6"/>
        <v>473</v>
      </c>
      <c r="F59" s="2"/>
      <c r="G59" s="2"/>
      <c r="H59" s="2"/>
      <c r="I59" s="2"/>
      <c r="J59" s="2"/>
      <c r="K59" s="2"/>
      <c r="L59" s="5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5">
      <c r="A63" s="2" t="s">
        <v>31</v>
      </c>
      <c r="B63" s="2" t="s">
        <v>1</v>
      </c>
      <c r="C63" s="2" t="s">
        <v>21</v>
      </c>
      <c r="D63" s="2" t="s">
        <v>3</v>
      </c>
      <c r="E63" s="2" t="s">
        <v>4</v>
      </c>
      <c r="F63" s="2" t="s">
        <v>33</v>
      </c>
      <c r="G63" s="2" t="s">
        <v>34</v>
      </c>
      <c r="H63" s="2" t="s">
        <v>35</v>
      </c>
      <c r="I63" s="2"/>
      <c r="J63" s="2" t="s">
        <v>32</v>
      </c>
      <c r="K63" s="2" t="s">
        <v>23</v>
      </c>
      <c r="L63" s="2" t="s">
        <v>24</v>
      </c>
    </row>
    <row r="64" spans="1:12" ht="15">
      <c r="A64" s="2" t="s">
        <v>5</v>
      </c>
      <c r="B64" s="3">
        <f>196+85+247</f>
        <v>528</v>
      </c>
      <c r="C64" s="3">
        <f>72+32+81</f>
        <v>185</v>
      </c>
      <c r="D64" s="2">
        <f>53+124+166</f>
        <v>343</v>
      </c>
      <c r="E64" s="2">
        <v>0</v>
      </c>
      <c r="F64" s="16">
        <f t="shared" ref="F64:F77" si="7">C64/B64</f>
        <v>0.3503787878787879</v>
      </c>
      <c r="G64" s="16">
        <f t="shared" ref="G64:G77" si="8">D64/B64</f>
        <v>0.64962121212121215</v>
      </c>
      <c r="H64" s="16">
        <f t="shared" ref="H64:H77" si="9">E64/B64</f>
        <v>0</v>
      </c>
      <c r="I64" s="2" t="s">
        <v>5</v>
      </c>
      <c r="J64" s="2"/>
      <c r="K64" s="3"/>
      <c r="L64" s="3"/>
    </row>
    <row r="65" spans="1:12" ht="15">
      <c r="A65" s="2" t="s">
        <v>6</v>
      </c>
      <c r="B65" s="3">
        <f>197+68+235</f>
        <v>500</v>
      </c>
      <c r="C65" s="3">
        <f>126+44+171</f>
        <v>341</v>
      </c>
      <c r="D65" s="3">
        <f>71+24+64</f>
        <v>159</v>
      </c>
      <c r="E65" s="3">
        <v>0</v>
      </c>
      <c r="F65" s="16">
        <f t="shared" si="7"/>
        <v>0.68200000000000005</v>
      </c>
      <c r="G65" s="16">
        <f t="shared" si="8"/>
        <v>0.318</v>
      </c>
      <c r="H65" s="16">
        <f t="shared" si="9"/>
        <v>0</v>
      </c>
      <c r="I65" s="2" t="s">
        <v>6</v>
      </c>
      <c r="J65" s="2"/>
      <c r="K65" s="3"/>
      <c r="L65" s="3"/>
    </row>
    <row r="66" spans="1:12" ht="15">
      <c r="A66" s="2" t="s">
        <v>7</v>
      </c>
      <c r="B66" s="3">
        <f>170+62+253</f>
        <v>485</v>
      </c>
      <c r="C66" s="3">
        <f>129+53+201</f>
        <v>383</v>
      </c>
      <c r="D66" s="3">
        <f>39+9+45</f>
        <v>93</v>
      </c>
      <c r="E66" s="3">
        <f>2+7</f>
        <v>9</v>
      </c>
      <c r="F66" s="16">
        <f t="shared" si="7"/>
        <v>0.78969072164948451</v>
      </c>
      <c r="G66" s="16">
        <f t="shared" si="8"/>
        <v>0.19175257731958764</v>
      </c>
      <c r="H66" s="16">
        <f t="shared" si="9"/>
        <v>1.8556701030927835E-2</v>
      </c>
      <c r="I66" s="2" t="s">
        <v>7</v>
      </c>
      <c r="J66" s="2"/>
      <c r="K66" s="3"/>
      <c r="L66" s="3"/>
    </row>
    <row r="67" spans="1:12" ht="15">
      <c r="A67" s="2" t="s">
        <v>8</v>
      </c>
      <c r="B67" s="3">
        <f>170+63+278</f>
        <v>511</v>
      </c>
      <c r="C67" s="3">
        <f>32+5+19</f>
        <v>56</v>
      </c>
      <c r="D67" s="3">
        <f>85+37+83</f>
        <v>205</v>
      </c>
      <c r="E67" s="3">
        <f>55+24+171</f>
        <v>250</v>
      </c>
      <c r="F67" s="18">
        <f t="shared" si="7"/>
        <v>0.1095890410958904</v>
      </c>
      <c r="G67" s="18">
        <f t="shared" si="8"/>
        <v>0.40117416829745595</v>
      </c>
      <c r="H67" s="18">
        <f t="shared" si="9"/>
        <v>0.48923679060665359</v>
      </c>
      <c r="I67" s="2" t="s">
        <v>8</v>
      </c>
      <c r="J67" s="2"/>
      <c r="K67" s="3"/>
      <c r="L67" s="3"/>
    </row>
    <row r="68" spans="1:12" ht="15">
      <c r="A68" s="2" t="s">
        <v>9</v>
      </c>
      <c r="B68" s="3">
        <f>186+79+227</f>
        <v>492</v>
      </c>
      <c r="C68" s="3">
        <f>60+12+29</f>
        <v>101</v>
      </c>
      <c r="D68" s="3">
        <f>82+47+58+11</f>
        <v>198</v>
      </c>
      <c r="E68" s="3">
        <f>44+20+129</f>
        <v>193</v>
      </c>
      <c r="F68" s="18">
        <f t="shared" si="7"/>
        <v>0.20528455284552846</v>
      </c>
      <c r="G68" s="18">
        <f t="shared" si="8"/>
        <v>0.40243902439024393</v>
      </c>
      <c r="H68" s="18">
        <f t="shared" si="9"/>
        <v>0.39227642276422764</v>
      </c>
      <c r="I68" s="2" t="s">
        <v>9</v>
      </c>
      <c r="J68" s="2"/>
      <c r="K68" s="3"/>
      <c r="L68" s="3"/>
    </row>
    <row r="69" spans="1:12" ht="15">
      <c r="A69" s="2" t="s">
        <v>10</v>
      </c>
      <c r="B69" s="3">
        <f>167+69+239</f>
        <v>475</v>
      </c>
      <c r="C69" s="3">
        <f>110+51+148</f>
        <v>309</v>
      </c>
      <c r="D69" s="3">
        <f>45+18+36</f>
        <v>99</v>
      </c>
      <c r="E69" s="3">
        <f>12+53</f>
        <v>65</v>
      </c>
      <c r="F69" s="16">
        <f t="shared" si="7"/>
        <v>0.65052631578947373</v>
      </c>
      <c r="G69" s="16">
        <f t="shared" si="8"/>
        <v>0.20842105263157895</v>
      </c>
      <c r="H69" s="16">
        <f t="shared" si="9"/>
        <v>0.1368421052631579</v>
      </c>
      <c r="I69" s="2" t="s">
        <v>10</v>
      </c>
      <c r="J69" s="2"/>
      <c r="K69" s="3"/>
      <c r="L69" s="3"/>
    </row>
    <row r="70" spans="1:12" ht="15">
      <c r="A70" s="2" t="s">
        <v>11</v>
      </c>
      <c r="B70" s="3">
        <f>168+75+215</f>
        <v>458</v>
      </c>
      <c r="C70" s="3">
        <f>15+8+13</f>
        <v>36</v>
      </c>
      <c r="D70" s="3">
        <f>153+67+202</f>
        <v>422</v>
      </c>
      <c r="E70" s="3">
        <v>0</v>
      </c>
      <c r="F70" s="16">
        <f t="shared" si="7"/>
        <v>7.8602620087336247E-2</v>
      </c>
      <c r="G70" s="16">
        <f t="shared" si="8"/>
        <v>0.92139737991266379</v>
      </c>
      <c r="H70" s="16">
        <f t="shared" si="9"/>
        <v>0</v>
      </c>
      <c r="I70" s="2" t="s">
        <v>11</v>
      </c>
      <c r="J70" s="2"/>
      <c r="K70" s="3"/>
      <c r="L70" s="3"/>
    </row>
    <row r="71" spans="1:12" ht="15">
      <c r="A71" s="2" t="s">
        <v>12</v>
      </c>
      <c r="B71" s="3">
        <f>204+62+263</f>
        <v>529</v>
      </c>
      <c r="C71" s="7">
        <f>19+10+12</f>
        <v>41</v>
      </c>
      <c r="D71" s="3">
        <f>186+52+251</f>
        <v>489</v>
      </c>
      <c r="E71" s="3">
        <v>0</v>
      </c>
      <c r="F71" s="16">
        <f t="shared" si="7"/>
        <v>7.7504725897920609E-2</v>
      </c>
      <c r="G71" s="16">
        <f t="shared" si="8"/>
        <v>0.92438563327032142</v>
      </c>
      <c r="H71" s="16">
        <f t="shared" si="9"/>
        <v>0</v>
      </c>
      <c r="I71" s="2" t="s">
        <v>12</v>
      </c>
      <c r="J71" s="2"/>
      <c r="K71" s="3"/>
      <c r="L71" s="3"/>
    </row>
    <row r="72" spans="1:12" ht="15">
      <c r="A72" s="2" t="s">
        <v>13</v>
      </c>
      <c r="B72" s="3">
        <f>171+74+220</f>
        <v>465</v>
      </c>
      <c r="C72" s="3">
        <f>159+72+208</f>
        <v>439</v>
      </c>
      <c r="D72" s="3">
        <f>12+2+12</f>
        <v>26</v>
      </c>
      <c r="E72" s="3">
        <v>0</v>
      </c>
      <c r="F72" s="18">
        <f t="shared" si="7"/>
        <v>0.94408602150537635</v>
      </c>
      <c r="G72" s="18">
        <f t="shared" si="8"/>
        <v>5.5913978494623658E-2</v>
      </c>
      <c r="H72" s="18">
        <f t="shared" si="9"/>
        <v>0</v>
      </c>
      <c r="I72" s="2" t="s">
        <v>13</v>
      </c>
      <c r="J72" s="2"/>
      <c r="K72" s="3"/>
      <c r="L72" s="3"/>
    </row>
    <row r="73" spans="1:12" ht="15">
      <c r="A73" s="2" t="s">
        <v>14</v>
      </c>
      <c r="B73" s="3">
        <f>209+77+231+52</f>
        <v>569</v>
      </c>
      <c r="C73" s="3">
        <f>183+60+197</f>
        <v>440</v>
      </c>
      <c r="D73" s="19">
        <f>26+17+34</f>
        <v>77</v>
      </c>
      <c r="E73" s="2">
        <v>52</v>
      </c>
      <c r="F73" s="18">
        <f t="shared" si="7"/>
        <v>0.77328646748681895</v>
      </c>
      <c r="G73" s="18">
        <f t="shared" si="8"/>
        <v>0.13532513181019332</v>
      </c>
      <c r="H73" s="18">
        <f t="shared" si="9"/>
        <v>9.1388400702987704E-2</v>
      </c>
      <c r="I73" s="2" t="s">
        <v>14</v>
      </c>
      <c r="J73" s="2"/>
      <c r="K73" s="3"/>
      <c r="L73" s="3"/>
    </row>
    <row r="74" spans="1:12" ht="15">
      <c r="A74" s="2" t="s">
        <v>15</v>
      </c>
      <c r="B74" s="2">
        <f>171+79+238</f>
        <v>488</v>
      </c>
      <c r="C74" s="2">
        <f>30+1</f>
        <v>31</v>
      </c>
      <c r="D74" s="2">
        <f>89+43+63</f>
        <v>195</v>
      </c>
      <c r="E74" s="2">
        <f>36+157+69</f>
        <v>262</v>
      </c>
      <c r="F74" s="18">
        <f t="shared" si="7"/>
        <v>6.3524590163934427E-2</v>
      </c>
      <c r="G74" s="18">
        <f t="shared" si="8"/>
        <v>0.39959016393442626</v>
      </c>
      <c r="H74" s="18">
        <f t="shared" si="9"/>
        <v>0.53688524590163933</v>
      </c>
      <c r="I74" s="2" t="s">
        <v>25</v>
      </c>
      <c r="J74" s="2"/>
      <c r="K74" s="3"/>
      <c r="L74" s="3"/>
    </row>
    <row r="75" spans="1:12" ht="15">
      <c r="A75" s="2" t="s">
        <v>16</v>
      </c>
      <c r="B75" s="3">
        <f>183+74+201</f>
        <v>458</v>
      </c>
      <c r="C75" s="3">
        <f>29+10+15</f>
        <v>54</v>
      </c>
      <c r="D75" s="3">
        <f>154+64+180</f>
        <v>398</v>
      </c>
      <c r="E75" s="3">
        <v>6</v>
      </c>
      <c r="F75" s="18">
        <f t="shared" si="7"/>
        <v>0.11790393013100436</v>
      </c>
      <c r="G75" s="18">
        <f t="shared" si="8"/>
        <v>0.86899563318777295</v>
      </c>
      <c r="H75" s="18">
        <f t="shared" si="9"/>
        <v>1.3100436681222707E-2</v>
      </c>
      <c r="I75" s="2" t="s">
        <v>26</v>
      </c>
      <c r="J75" s="2"/>
      <c r="K75" s="3"/>
      <c r="L75" s="3"/>
    </row>
    <row r="76" spans="1:12" ht="15">
      <c r="A76" s="2" t="s">
        <v>17</v>
      </c>
      <c r="B76" s="3">
        <f>209+76+218</f>
        <v>503</v>
      </c>
      <c r="C76" s="3">
        <f>29+10+11</f>
        <v>50</v>
      </c>
      <c r="D76" s="3">
        <f>180+66+207</f>
        <v>453</v>
      </c>
      <c r="E76" s="3">
        <v>0</v>
      </c>
      <c r="F76" s="16">
        <f t="shared" si="7"/>
        <v>9.9403578528827044E-2</v>
      </c>
      <c r="G76" s="16">
        <f t="shared" si="8"/>
        <v>0.90059642147117291</v>
      </c>
      <c r="H76" s="16">
        <f t="shared" si="9"/>
        <v>0</v>
      </c>
      <c r="I76" s="2" t="s">
        <v>27</v>
      </c>
      <c r="J76" s="2"/>
      <c r="K76" s="3"/>
      <c r="L76" s="3"/>
    </row>
    <row r="77" spans="1:12" ht="15">
      <c r="A77" s="2" t="s">
        <v>18</v>
      </c>
      <c r="B77" s="3">
        <f>211+72+222</f>
        <v>505</v>
      </c>
      <c r="C77" s="3">
        <f>190+65+198</f>
        <v>453</v>
      </c>
      <c r="D77" s="3">
        <f>21+7+24</f>
        <v>52</v>
      </c>
      <c r="E77" s="3">
        <v>0</v>
      </c>
      <c r="F77" s="16">
        <f t="shared" si="7"/>
        <v>0.89702970297029705</v>
      </c>
      <c r="G77" s="16">
        <f t="shared" si="8"/>
        <v>0.10297029702970296</v>
      </c>
      <c r="H77" s="16">
        <f t="shared" si="9"/>
        <v>0</v>
      </c>
      <c r="I77" s="2" t="s">
        <v>18</v>
      </c>
      <c r="J77" s="2"/>
      <c r="K77" s="3"/>
      <c r="L77" s="3"/>
    </row>
    <row r="78" spans="1:12" ht="15">
      <c r="A78" s="2" t="s">
        <v>19</v>
      </c>
      <c r="B78" s="3">
        <f>SUM(B64,B65,B66,B67,B68,B69,B69:B70,B71,B71,B72,B73,B74,B75,B76,B77)</f>
        <v>7970</v>
      </c>
      <c r="C78" s="3">
        <f>SUM(C64:C77)</f>
        <v>2919</v>
      </c>
      <c r="D78" s="3">
        <f>SUM(D64:D76)</f>
        <v>3157</v>
      </c>
      <c r="E78" s="3">
        <f>SUM(E64:E77)</f>
        <v>837</v>
      </c>
      <c r="F78" s="2"/>
      <c r="G78" s="2"/>
      <c r="H78" s="2"/>
      <c r="I78" s="2"/>
      <c r="J78" s="3"/>
      <c r="K78" s="2"/>
      <c r="L78" s="5"/>
    </row>
    <row r="79" spans="1:12" ht="15">
      <c r="A79" s="2"/>
      <c r="B79" s="3"/>
      <c r="C79" s="3"/>
      <c r="D79" s="3"/>
      <c r="E79" s="3"/>
      <c r="F79" s="4"/>
      <c r="G79" s="4"/>
      <c r="H79" s="4"/>
      <c r="I79" s="2"/>
      <c r="J79" s="3"/>
      <c r="K79" s="3"/>
      <c r="L79" s="3"/>
    </row>
    <row r="80" spans="1:12" ht="15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ht="15">
      <c r="A86" s="2" t="s">
        <v>20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33</v>
      </c>
      <c r="G86" s="2" t="s">
        <v>34</v>
      </c>
      <c r="H86" s="2" t="s">
        <v>35</v>
      </c>
      <c r="I86" s="2"/>
      <c r="J86" s="2" t="s">
        <v>22</v>
      </c>
      <c r="K86" s="2" t="s">
        <v>23</v>
      </c>
      <c r="L86" s="2" t="s">
        <v>24</v>
      </c>
    </row>
    <row r="87" spans="1:12" ht="15">
      <c r="A87" s="2" t="s">
        <v>5</v>
      </c>
      <c r="B87" s="3">
        <v>6816</v>
      </c>
      <c r="C87" s="3">
        <v>144</v>
      </c>
      <c r="D87" s="3">
        <v>6672</v>
      </c>
      <c r="E87" s="3">
        <v>0</v>
      </c>
      <c r="F87" s="16">
        <f t="shared" ref="F87:F100" si="10">C87/B87</f>
        <v>2.1126760563380281E-2</v>
      </c>
      <c r="G87" s="16">
        <f t="shared" ref="G87:G100" si="11">D87/B87</f>
        <v>0.97887323943661975</v>
      </c>
      <c r="H87" s="16">
        <f t="shared" ref="H87:H100" si="12">E87/B87</f>
        <v>0</v>
      </c>
      <c r="I87" s="2" t="s">
        <v>5</v>
      </c>
      <c r="J87" s="3"/>
      <c r="K87" s="3"/>
      <c r="L87" s="3"/>
    </row>
    <row r="88" spans="1:12" ht="15">
      <c r="A88" s="2" t="s">
        <v>6</v>
      </c>
      <c r="B88" s="3">
        <v>6392</v>
      </c>
      <c r="C88" s="3">
        <v>327</v>
      </c>
      <c r="D88" s="3">
        <v>5952</v>
      </c>
      <c r="E88" s="3">
        <v>113</v>
      </c>
      <c r="F88" s="16">
        <f t="shared" si="10"/>
        <v>5.1157697121401752E-2</v>
      </c>
      <c r="G88" s="16">
        <f t="shared" si="11"/>
        <v>0.93116395494367965</v>
      </c>
      <c r="H88" s="16">
        <f t="shared" si="12"/>
        <v>1.767834793491865E-2</v>
      </c>
      <c r="I88" s="2" t="s">
        <v>6</v>
      </c>
      <c r="J88" s="3"/>
      <c r="K88" s="3"/>
      <c r="L88" s="3"/>
    </row>
    <row r="89" spans="1:12" ht="15">
      <c r="A89" s="2" t="s">
        <v>7</v>
      </c>
      <c r="B89" s="3">
        <v>6881</v>
      </c>
      <c r="C89" s="3">
        <v>726</v>
      </c>
      <c r="D89" s="3">
        <v>6072</v>
      </c>
      <c r="E89" s="3">
        <v>83</v>
      </c>
      <c r="F89" s="16">
        <f t="shared" si="10"/>
        <v>0.10550792036041273</v>
      </c>
      <c r="G89" s="16">
        <f t="shared" si="11"/>
        <v>0.88242987937799744</v>
      </c>
      <c r="H89" s="16">
        <f t="shared" si="12"/>
        <v>1.2062200261589886E-2</v>
      </c>
      <c r="I89" s="2" t="s">
        <v>7</v>
      </c>
      <c r="J89" s="3"/>
      <c r="K89" s="3"/>
      <c r="L89" s="3"/>
    </row>
    <row r="90" spans="1:12" ht="15">
      <c r="A90" s="2" t="s">
        <v>8</v>
      </c>
      <c r="B90" s="3">
        <v>6347</v>
      </c>
      <c r="C90" s="3">
        <v>440</v>
      </c>
      <c r="D90" s="3">
        <v>5810</v>
      </c>
      <c r="E90" s="3">
        <v>97</v>
      </c>
      <c r="F90" s="16">
        <f t="shared" si="10"/>
        <v>6.9324090121317156E-2</v>
      </c>
      <c r="G90" s="16">
        <f t="shared" si="11"/>
        <v>0.91539309910193789</v>
      </c>
      <c r="H90" s="16">
        <f t="shared" si="12"/>
        <v>1.5282810776744919E-2</v>
      </c>
      <c r="I90" s="2" t="s">
        <v>8</v>
      </c>
      <c r="J90" s="3"/>
      <c r="K90" s="3"/>
      <c r="L90" s="3"/>
    </row>
    <row r="91" spans="1:12" ht="15">
      <c r="A91" s="2" t="s">
        <v>9</v>
      </c>
      <c r="B91" s="3">
        <v>6865</v>
      </c>
      <c r="C91" s="3">
        <v>0</v>
      </c>
      <c r="D91" s="3">
        <v>6865</v>
      </c>
      <c r="E91" s="3">
        <v>0</v>
      </c>
      <c r="F91" s="16">
        <f t="shared" si="10"/>
        <v>0</v>
      </c>
      <c r="G91" s="16">
        <f t="shared" si="11"/>
        <v>1</v>
      </c>
      <c r="H91" s="16">
        <f t="shared" si="12"/>
        <v>0</v>
      </c>
      <c r="I91" s="2" t="s">
        <v>9</v>
      </c>
      <c r="J91" s="3"/>
      <c r="K91" s="3"/>
      <c r="L91" s="3"/>
    </row>
    <row r="92" spans="1:12" ht="15">
      <c r="A92" s="2" t="s">
        <v>10</v>
      </c>
      <c r="B92" s="3">
        <v>6155</v>
      </c>
      <c r="C92" s="3">
        <v>0</v>
      </c>
      <c r="D92" s="3">
        <v>6155</v>
      </c>
      <c r="E92" s="3">
        <v>0</v>
      </c>
      <c r="F92" s="16">
        <f t="shared" si="10"/>
        <v>0</v>
      </c>
      <c r="G92" s="16">
        <f t="shared" si="11"/>
        <v>1</v>
      </c>
      <c r="H92" s="16">
        <f t="shared" si="12"/>
        <v>0</v>
      </c>
      <c r="I92" s="2" t="s">
        <v>10</v>
      </c>
      <c r="J92" s="3"/>
      <c r="K92" s="3"/>
      <c r="L92" s="3"/>
    </row>
    <row r="93" spans="1:12" ht="15">
      <c r="A93" s="2" t="s">
        <v>11</v>
      </c>
      <c r="B93" s="3">
        <v>6926</v>
      </c>
      <c r="C93" s="3">
        <v>0</v>
      </c>
      <c r="D93" s="3">
        <v>6876</v>
      </c>
      <c r="E93" s="3">
        <v>0</v>
      </c>
      <c r="F93" s="16">
        <f t="shared" si="10"/>
        <v>0</v>
      </c>
      <c r="G93" s="16">
        <f t="shared" si="11"/>
        <v>0.99278082587352012</v>
      </c>
      <c r="H93" s="16">
        <f t="shared" si="12"/>
        <v>0</v>
      </c>
      <c r="I93" s="2" t="s">
        <v>11</v>
      </c>
      <c r="J93" s="3"/>
      <c r="K93" s="3"/>
      <c r="L93" s="3"/>
    </row>
    <row r="94" spans="1:12" ht="15">
      <c r="A94" s="2" t="s">
        <v>12</v>
      </c>
      <c r="B94" s="3">
        <v>6229</v>
      </c>
      <c r="C94" s="3">
        <v>0</v>
      </c>
      <c r="D94" s="3">
        <v>6229</v>
      </c>
      <c r="E94" s="3">
        <v>0</v>
      </c>
      <c r="F94" s="16">
        <f t="shared" si="10"/>
        <v>0</v>
      </c>
      <c r="G94" s="16">
        <f t="shared" si="11"/>
        <v>1</v>
      </c>
      <c r="H94" s="16">
        <f t="shared" si="12"/>
        <v>0</v>
      </c>
      <c r="I94" s="2" t="s">
        <v>12</v>
      </c>
      <c r="J94" s="3"/>
      <c r="K94" s="3"/>
      <c r="L94" s="3"/>
    </row>
    <row r="95" spans="1:12" ht="15">
      <c r="A95" s="2" t="s">
        <v>13</v>
      </c>
      <c r="B95" s="3">
        <v>6933</v>
      </c>
      <c r="C95" s="3">
        <v>0</v>
      </c>
      <c r="D95" s="3">
        <v>6933</v>
      </c>
      <c r="E95" s="3">
        <v>0</v>
      </c>
      <c r="F95" s="16">
        <f t="shared" si="10"/>
        <v>0</v>
      </c>
      <c r="G95" s="16">
        <f t="shared" si="11"/>
        <v>1</v>
      </c>
      <c r="H95" s="16">
        <f t="shared" si="12"/>
        <v>0</v>
      </c>
      <c r="I95" s="2" t="s">
        <v>13</v>
      </c>
      <c r="J95" s="3"/>
      <c r="K95" s="3"/>
      <c r="L95" s="3"/>
    </row>
    <row r="96" spans="1:12" ht="15">
      <c r="A96" s="2" t="s">
        <v>14</v>
      </c>
      <c r="B96" s="3">
        <v>6241</v>
      </c>
      <c r="C96" s="3">
        <v>0</v>
      </c>
      <c r="D96" s="3">
        <v>6241</v>
      </c>
      <c r="E96" s="3">
        <v>0</v>
      </c>
      <c r="F96" s="16">
        <f t="shared" si="10"/>
        <v>0</v>
      </c>
      <c r="G96" s="16">
        <f t="shared" si="11"/>
        <v>1</v>
      </c>
      <c r="H96" s="16">
        <f t="shared" si="12"/>
        <v>0</v>
      </c>
      <c r="I96" s="2" t="s">
        <v>14</v>
      </c>
      <c r="J96" s="3"/>
      <c r="K96" s="3"/>
      <c r="L96" s="3"/>
    </row>
    <row r="97" spans="1:16" ht="15">
      <c r="A97" s="2" t="s">
        <v>15</v>
      </c>
      <c r="B97" s="3">
        <v>7388</v>
      </c>
      <c r="C97" s="3">
        <v>0</v>
      </c>
      <c r="D97" s="3">
        <v>7388</v>
      </c>
      <c r="E97" s="3">
        <v>0</v>
      </c>
      <c r="F97" s="16">
        <f t="shared" si="10"/>
        <v>0</v>
      </c>
      <c r="G97" s="16">
        <f t="shared" si="11"/>
        <v>1</v>
      </c>
      <c r="H97" s="16">
        <f t="shared" si="12"/>
        <v>0</v>
      </c>
      <c r="I97" s="2" t="s">
        <v>25</v>
      </c>
      <c r="J97" s="3"/>
      <c r="K97" s="3"/>
      <c r="L97" s="3"/>
    </row>
    <row r="98" spans="1:16" ht="15">
      <c r="A98" s="2" t="s">
        <v>16</v>
      </c>
      <c r="B98" s="3">
        <v>6304</v>
      </c>
      <c r="C98" s="3">
        <v>0</v>
      </c>
      <c r="D98" s="3">
        <v>6304</v>
      </c>
      <c r="E98" s="3">
        <v>0</v>
      </c>
      <c r="F98" s="16">
        <f t="shared" si="10"/>
        <v>0</v>
      </c>
      <c r="G98" s="16">
        <f t="shared" si="11"/>
        <v>1</v>
      </c>
      <c r="H98" s="16">
        <f t="shared" si="12"/>
        <v>0</v>
      </c>
      <c r="I98" s="2" t="s">
        <v>26</v>
      </c>
      <c r="J98" s="3"/>
      <c r="K98" s="3"/>
      <c r="L98" s="3"/>
    </row>
    <row r="99" spans="1:16" ht="15">
      <c r="A99" s="2" t="s">
        <v>17</v>
      </c>
      <c r="B99" s="3">
        <v>7525</v>
      </c>
      <c r="C99" s="3">
        <v>0</v>
      </c>
      <c r="D99" s="3">
        <v>7525</v>
      </c>
      <c r="E99" s="3">
        <v>0</v>
      </c>
      <c r="F99" s="16">
        <f t="shared" si="10"/>
        <v>0</v>
      </c>
      <c r="G99" s="16">
        <f t="shared" si="11"/>
        <v>1</v>
      </c>
      <c r="H99" s="16">
        <f t="shared" si="12"/>
        <v>0</v>
      </c>
      <c r="I99" s="2" t="s">
        <v>27</v>
      </c>
      <c r="J99" s="3"/>
      <c r="K99" s="3"/>
      <c r="L99" s="3"/>
    </row>
    <row r="100" spans="1:16" ht="15">
      <c r="A100" s="2" t="s">
        <v>18</v>
      </c>
      <c r="B100" s="3">
        <v>6195</v>
      </c>
      <c r="C100" s="3">
        <v>0</v>
      </c>
      <c r="D100" s="3">
        <v>6195</v>
      </c>
      <c r="E100" s="3">
        <v>0</v>
      </c>
      <c r="F100" s="16">
        <f t="shared" si="10"/>
        <v>0</v>
      </c>
      <c r="G100" s="16">
        <f t="shared" si="11"/>
        <v>1</v>
      </c>
      <c r="H100" s="16">
        <f t="shared" si="12"/>
        <v>0</v>
      </c>
      <c r="I100" s="2" t="s">
        <v>18</v>
      </c>
      <c r="J100" s="3"/>
      <c r="K100" s="3"/>
      <c r="L100" s="3"/>
    </row>
    <row r="101" spans="1:16" ht="15">
      <c r="A101" s="2" t="s">
        <v>19</v>
      </c>
      <c r="B101" s="3">
        <v>93197</v>
      </c>
      <c r="C101" s="3">
        <v>1637</v>
      </c>
      <c r="D101" s="3">
        <v>91217</v>
      </c>
      <c r="E101" s="3">
        <v>293</v>
      </c>
      <c r="F101" s="2"/>
      <c r="G101" s="2"/>
      <c r="H101" s="2"/>
      <c r="I101" s="2"/>
      <c r="J101" s="2"/>
      <c r="K101" s="2"/>
      <c r="L101" s="5"/>
    </row>
    <row r="102" spans="1:1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6" ht="15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33</v>
      </c>
      <c r="G105" s="2" t="s">
        <v>34</v>
      </c>
      <c r="H105" s="2" t="s">
        <v>35</v>
      </c>
      <c r="I105" s="2"/>
      <c r="J105" s="2" t="s">
        <v>22</v>
      </c>
      <c r="K105" s="2" t="s">
        <v>23</v>
      </c>
      <c r="L105" s="2" t="s">
        <v>24</v>
      </c>
      <c r="M105" s="2" t="s">
        <v>24</v>
      </c>
    </row>
    <row r="106" spans="1:16" ht="15">
      <c r="A106" s="2" t="s">
        <v>5</v>
      </c>
      <c r="B106" s="3">
        <v>3018</v>
      </c>
      <c r="C106" s="3">
        <v>386</v>
      </c>
      <c r="D106" s="3">
        <v>2580</v>
      </c>
      <c r="E106" s="3">
        <v>52</v>
      </c>
      <c r="F106" s="18">
        <f t="shared" ref="F106:F119" si="13">C106/B106</f>
        <v>0.12789927104042412</v>
      </c>
      <c r="G106" s="18">
        <f t="shared" ref="G106:G119" si="14">D106/B106</f>
        <v>0.85487077534791256</v>
      </c>
      <c r="H106" s="18">
        <f t="shared" ref="H106:H119" si="15">E106/B106</f>
        <v>1.7229953611663355E-2</v>
      </c>
      <c r="I106" s="2" t="s">
        <v>5</v>
      </c>
      <c r="J106" s="3"/>
      <c r="K106" s="3"/>
      <c r="L106" s="3"/>
      <c r="M106" s="3"/>
      <c r="O106" s="20" t="s">
        <v>45</v>
      </c>
      <c r="P106" s="13" t="s">
        <v>38</v>
      </c>
    </row>
    <row r="107" spans="1:16" ht="15">
      <c r="A107" s="2" t="s">
        <v>6</v>
      </c>
      <c r="B107" s="3">
        <v>2325</v>
      </c>
      <c r="C107" s="3">
        <v>550</v>
      </c>
      <c r="D107" s="3">
        <v>1635</v>
      </c>
      <c r="E107" s="3">
        <v>140</v>
      </c>
      <c r="F107" s="16">
        <f t="shared" si="13"/>
        <v>0.23655913978494625</v>
      </c>
      <c r="G107" s="16">
        <f t="shared" si="14"/>
        <v>0.70322580645161292</v>
      </c>
      <c r="H107" s="16">
        <f t="shared" si="15"/>
        <v>6.0215053763440864E-2</v>
      </c>
      <c r="I107" s="2" t="s">
        <v>6</v>
      </c>
      <c r="J107" s="3"/>
      <c r="K107" s="3"/>
      <c r="L107" s="3"/>
      <c r="M107" s="3"/>
      <c r="O107" s="13" t="s">
        <v>39</v>
      </c>
      <c r="P107" s="5">
        <v>17958</v>
      </c>
    </row>
    <row r="108" spans="1:16" ht="15">
      <c r="A108" s="2" t="s">
        <v>7</v>
      </c>
      <c r="B108" s="3">
        <v>3048</v>
      </c>
      <c r="C108" s="3">
        <v>970</v>
      </c>
      <c r="D108" s="3">
        <v>1719</v>
      </c>
      <c r="E108" s="3">
        <v>359</v>
      </c>
      <c r="F108" s="16">
        <f t="shared" si="13"/>
        <v>0.31824146981627299</v>
      </c>
      <c r="G108" s="16">
        <f t="shared" si="14"/>
        <v>0.5639763779527559</v>
      </c>
      <c r="H108" s="16">
        <f t="shared" si="15"/>
        <v>0.11778215223097113</v>
      </c>
      <c r="I108" s="2" t="s">
        <v>7</v>
      </c>
      <c r="J108" s="3"/>
      <c r="K108" s="3"/>
      <c r="L108" s="3"/>
      <c r="M108" s="3"/>
      <c r="O108" s="13" t="s">
        <v>42</v>
      </c>
      <c r="P108" s="5">
        <v>5219</v>
      </c>
    </row>
    <row r="109" spans="1:16" ht="15">
      <c r="A109" s="2" t="s">
        <v>8</v>
      </c>
      <c r="B109" s="3">
        <v>2375</v>
      </c>
      <c r="C109" s="3">
        <v>764</v>
      </c>
      <c r="D109" s="3">
        <v>1122</v>
      </c>
      <c r="E109" s="3">
        <v>489</v>
      </c>
      <c r="F109" s="16">
        <f t="shared" si="13"/>
        <v>0.32168421052631579</v>
      </c>
      <c r="G109" s="16">
        <f t="shared" si="14"/>
        <v>0.47242105263157896</v>
      </c>
      <c r="H109" s="16">
        <f t="shared" si="15"/>
        <v>0.20589473684210527</v>
      </c>
      <c r="I109" s="2" t="s">
        <v>8</v>
      </c>
      <c r="J109" s="3"/>
      <c r="K109" s="3"/>
      <c r="L109" s="3"/>
      <c r="M109" s="3"/>
      <c r="O109" s="13" t="s">
        <v>40</v>
      </c>
      <c r="P109" s="5">
        <v>4402</v>
      </c>
    </row>
    <row r="110" spans="1:16" ht="15">
      <c r="A110" s="2" t="s">
        <v>9</v>
      </c>
      <c r="B110" s="3">
        <v>3070</v>
      </c>
      <c r="C110" s="3">
        <v>940</v>
      </c>
      <c r="D110" s="3">
        <v>2120</v>
      </c>
      <c r="E110" s="3">
        <v>0</v>
      </c>
      <c r="F110" s="18">
        <f t="shared" si="13"/>
        <v>0.30618892508143325</v>
      </c>
      <c r="G110" s="18">
        <f t="shared" si="14"/>
        <v>0.69055374592833874</v>
      </c>
      <c r="H110" s="18">
        <f t="shared" si="15"/>
        <v>0</v>
      </c>
      <c r="I110" s="2" t="s">
        <v>9</v>
      </c>
      <c r="J110" s="3"/>
      <c r="K110" s="3"/>
      <c r="L110" s="3"/>
      <c r="M110" s="3"/>
      <c r="O110" s="13" t="s">
        <v>41</v>
      </c>
      <c r="P110" s="5">
        <v>3823</v>
      </c>
    </row>
    <row r="111" spans="1:16" ht="15">
      <c r="A111" s="2" t="s">
        <v>10</v>
      </c>
      <c r="B111" s="3">
        <v>2312</v>
      </c>
      <c r="C111" s="3">
        <v>0</v>
      </c>
      <c r="D111" s="3">
        <v>2312</v>
      </c>
      <c r="E111" s="3">
        <v>0</v>
      </c>
      <c r="F111" s="16">
        <f t="shared" si="13"/>
        <v>0</v>
      </c>
      <c r="G111" s="16">
        <f t="shared" si="14"/>
        <v>1</v>
      </c>
      <c r="H111" s="16">
        <f t="shared" si="15"/>
        <v>0</v>
      </c>
      <c r="I111" s="2" t="s">
        <v>10</v>
      </c>
      <c r="J111" s="3"/>
      <c r="K111" s="3"/>
      <c r="L111" s="3"/>
      <c r="M111" s="3"/>
    </row>
    <row r="112" spans="1:16" ht="15">
      <c r="A112" s="2" t="s">
        <v>11</v>
      </c>
      <c r="B112" s="3">
        <v>3244</v>
      </c>
      <c r="C112" s="3">
        <v>0</v>
      </c>
      <c r="D112" s="3">
        <v>3241</v>
      </c>
      <c r="E112" s="3">
        <v>3</v>
      </c>
      <c r="F112" s="16">
        <f t="shared" si="13"/>
        <v>0</v>
      </c>
      <c r="G112" s="16">
        <f t="shared" si="14"/>
        <v>0.99907521578298397</v>
      </c>
      <c r="H112" s="16">
        <f t="shared" si="15"/>
        <v>9.2478421701602961E-4</v>
      </c>
      <c r="I112" s="2" t="s">
        <v>11</v>
      </c>
      <c r="J112" s="3"/>
      <c r="K112" s="3"/>
      <c r="L112" s="3"/>
      <c r="M112" s="3"/>
    </row>
    <row r="113" spans="1:13" ht="15">
      <c r="A113" s="2" t="s">
        <v>12</v>
      </c>
      <c r="B113" s="3">
        <v>2334</v>
      </c>
      <c r="C113" s="3">
        <v>0</v>
      </c>
      <c r="D113" s="3">
        <v>2334</v>
      </c>
      <c r="E113" s="3">
        <v>0</v>
      </c>
      <c r="F113" s="16">
        <f t="shared" si="13"/>
        <v>0</v>
      </c>
      <c r="G113" s="16">
        <f t="shared" si="14"/>
        <v>1</v>
      </c>
      <c r="H113" s="16">
        <f t="shared" si="15"/>
        <v>0</v>
      </c>
      <c r="I113" s="2" t="s">
        <v>12</v>
      </c>
      <c r="J113" s="3"/>
      <c r="K113" s="3"/>
      <c r="L113" s="3"/>
      <c r="M113" s="3"/>
    </row>
    <row r="114" spans="1:13" ht="15">
      <c r="A114" s="2" t="s">
        <v>13</v>
      </c>
      <c r="B114" s="3">
        <v>3110</v>
      </c>
      <c r="C114" s="3">
        <v>0</v>
      </c>
      <c r="D114" s="3">
        <v>3096</v>
      </c>
      <c r="E114" s="3">
        <v>14</v>
      </c>
      <c r="F114" s="16">
        <f t="shared" si="13"/>
        <v>0</v>
      </c>
      <c r="G114" s="16">
        <f t="shared" si="14"/>
        <v>0.99549839228295822</v>
      </c>
      <c r="H114" s="16">
        <f t="shared" si="15"/>
        <v>4.5016077170418004E-3</v>
      </c>
      <c r="I114" s="2" t="s">
        <v>13</v>
      </c>
      <c r="J114" s="3"/>
      <c r="K114" s="3"/>
      <c r="L114" s="3"/>
      <c r="M114" s="3"/>
    </row>
    <row r="115" spans="1:13" ht="15">
      <c r="A115" s="2" t="s">
        <v>14</v>
      </c>
      <c r="B115" s="3">
        <v>2287</v>
      </c>
      <c r="C115" s="3">
        <v>0</v>
      </c>
      <c r="D115" s="3">
        <v>2287</v>
      </c>
      <c r="E115" s="3">
        <v>0</v>
      </c>
      <c r="F115" s="16">
        <f t="shared" si="13"/>
        <v>0</v>
      </c>
      <c r="G115" s="16">
        <f t="shared" si="14"/>
        <v>1</v>
      </c>
      <c r="H115" s="16">
        <f t="shared" si="15"/>
        <v>0</v>
      </c>
      <c r="I115" s="2" t="s">
        <v>14</v>
      </c>
      <c r="J115" s="3"/>
      <c r="K115" s="3"/>
      <c r="L115" s="3"/>
      <c r="M115" s="3"/>
    </row>
    <row r="116" spans="1:13" ht="15">
      <c r="A116" s="2" t="s">
        <v>15</v>
      </c>
      <c r="B116" s="3">
        <v>3382</v>
      </c>
      <c r="C116" s="3">
        <v>0</v>
      </c>
      <c r="D116" s="3">
        <v>3382</v>
      </c>
      <c r="E116" s="3">
        <v>0</v>
      </c>
      <c r="F116" s="16">
        <f t="shared" si="13"/>
        <v>0</v>
      </c>
      <c r="G116" s="16">
        <f t="shared" si="14"/>
        <v>1</v>
      </c>
      <c r="H116" s="16">
        <f t="shared" si="15"/>
        <v>0</v>
      </c>
      <c r="I116" s="2" t="s">
        <v>25</v>
      </c>
      <c r="J116" s="3"/>
      <c r="K116" s="3"/>
      <c r="L116" s="3"/>
      <c r="M116" s="3"/>
    </row>
    <row r="117" spans="1:13" ht="15">
      <c r="A117" s="2" t="s">
        <v>16</v>
      </c>
      <c r="B117" s="3">
        <v>2336</v>
      </c>
      <c r="C117" s="3">
        <v>0</v>
      </c>
      <c r="D117" s="3">
        <v>2336</v>
      </c>
      <c r="E117" s="3">
        <v>0</v>
      </c>
      <c r="F117" s="16">
        <f t="shared" si="13"/>
        <v>0</v>
      </c>
      <c r="G117" s="16">
        <f t="shared" si="14"/>
        <v>1</v>
      </c>
      <c r="H117" s="16">
        <f t="shared" si="15"/>
        <v>0</v>
      </c>
      <c r="I117" s="2" t="s">
        <v>26</v>
      </c>
      <c r="J117" s="3"/>
      <c r="K117" s="3"/>
      <c r="L117" s="3"/>
      <c r="M117" s="3"/>
    </row>
    <row r="118" spans="1:13" ht="15">
      <c r="A118" s="2" t="s">
        <v>17</v>
      </c>
      <c r="B118" s="3">
        <v>2976</v>
      </c>
      <c r="C118" s="3">
        <v>0</v>
      </c>
      <c r="D118" s="3">
        <v>2976</v>
      </c>
      <c r="E118" s="3">
        <v>0</v>
      </c>
      <c r="F118" s="16">
        <f t="shared" si="13"/>
        <v>0</v>
      </c>
      <c r="G118" s="16">
        <f t="shared" si="14"/>
        <v>1</v>
      </c>
      <c r="H118" s="16">
        <f t="shared" si="15"/>
        <v>0</v>
      </c>
      <c r="I118" s="2" t="s">
        <v>27</v>
      </c>
      <c r="J118" s="3"/>
      <c r="K118" s="3"/>
      <c r="L118" s="3"/>
      <c r="M118" s="3"/>
    </row>
    <row r="119" spans="1:13" ht="15">
      <c r="A119" s="2" t="s">
        <v>18</v>
      </c>
      <c r="B119" s="3">
        <v>2344</v>
      </c>
      <c r="C119" s="3">
        <v>0</v>
      </c>
      <c r="D119" s="3">
        <v>2344</v>
      </c>
      <c r="E119" s="3">
        <v>0</v>
      </c>
      <c r="F119" s="16">
        <f t="shared" si="13"/>
        <v>0</v>
      </c>
      <c r="G119" s="16">
        <f t="shared" si="14"/>
        <v>1</v>
      </c>
      <c r="H119" s="16">
        <f t="shared" si="15"/>
        <v>0</v>
      </c>
      <c r="I119" s="2" t="s">
        <v>18</v>
      </c>
      <c r="J119" s="3"/>
      <c r="K119" s="3"/>
      <c r="L119" s="3"/>
      <c r="M119" s="3"/>
    </row>
    <row r="120" spans="1:13" ht="15">
      <c r="A120" s="2" t="s">
        <v>36</v>
      </c>
      <c r="B120" s="3">
        <v>38161</v>
      </c>
      <c r="C120" s="3">
        <v>3610</v>
      </c>
      <c r="D120" s="3">
        <v>33484</v>
      </c>
      <c r="E120" s="3">
        <v>1057</v>
      </c>
      <c r="F120" s="2"/>
      <c r="G120" s="2"/>
      <c r="H120" s="2"/>
      <c r="I120" s="2"/>
      <c r="J120" s="2"/>
      <c r="K120" s="2"/>
      <c r="L120" s="5"/>
      <c r="M120" s="2"/>
    </row>
    <row r="121" spans="1:13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6" spans="1:13" ht="15.75" customHeight="1">
      <c r="A126" s="2" t="s">
        <v>44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33</v>
      </c>
      <c r="G126" s="2" t="s">
        <v>34</v>
      </c>
      <c r="H126" s="2" t="s">
        <v>35</v>
      </c>
      <c r="I126" s="2"/>
      <c r="J126" s="2" t="s">
        <v>30</v>
      </c>
      <c r="K126" s="2" t="s">
        <v>23</v>
      </c>
      <c r="L126" s="2" t="s">
        <v>24</v>
      </c>
      <c r="M126" s="2" t="s">
        <v>24</v>
      </c>
    </row>
    <row r="127" spans="1:13" ht="15.75" customHeight="1">
      <c r="A127" s="2" t="s">
        <v>5</v>
      </c>
      <c r="B127" s="3">
        <v>741</v>
      </c>
      <c r="C127" s="3">
        <v>0</v>
      </c>
      <c r="D127" s="3">
        <v>741</v>
      </c>
      <c r="E127" s="3">
        <v>0</v>
      </c>
      <c r="F127" s="16">
        <f>C127/B127</f>
        <v>0</v>
      </c>
      <c r="G127" s="16">
        <f>D127/B127</f>
        <v>1</v>
      </c>
      <c r="H127" s="16">
        <f>E127/B127</f>
        <v>0</v>
      </c>
      <c r="I127" s="2" t="s">
        <v>5</v>
      </c>
      <c r="J127" s="3"/>
      <c r="K127" s="3"/>
      <c r="L127" s="3"/>
      <c r="M127" s="3"/>
    </row>
    <row r="128" spans="1:13" ht="15.75" customHeight="1">
      <c r="A128" s="2" t="s">
        <v>6</v>
      </c>
      <c r="B128" s="3">
        <v>637</v>
      </c>
      <c r="C128" s="3">
        <v>0</v>
      </c>
      <c r="D128" s="3">
        <v>636</v>
      </c>
      <c r="E128" s="3">
        <v>1</v>
      </c>
      <c r="F128" s="16">
        <f t="shared" ref="F128:F134" si="16">C128/B128</f>
        <v>0</v>
      </c>
      <c r="G128" s="16">
        <f t="shared" ref="G128:G134" si="17">D128/B128</f>
        <v>0.99843014128728413</v>
      </c>
      <c r="H128" s="16">
        <f>E128/B128</f>
        <v>1.5698587127158557E-3</v>
      </c>
      <c r="I128" s="2" t="s">
        <v>6</v>
      </c>
      <c r="J128" s="3"/>
      <c r="K128" s="3"/>
      <c r="L128" s="3"/>
      <c r="M128" s="3"/>
    </row>
    <row r="129" spans="1:13" ht="15.75" customHeight="1">
      <c r="A129" s="2" t="s">
        <v>7</v>
      </c>
      <c r="B129" s="3">
        <v>712</v>
      </c>
      <c r="C129" s="3">
        <v>0</v>
      </c>
      <c r="D129" s="3">
        <v>711</v>
      </c>
      <c r="E129" s="3">
        <v>1</v>
      </c>
      <c r="F129" s="16">
        <f t="shared" si="16"/>
        <v>0</v>
      </c>
      <c r="G129" s="16">
        <f t="shared" si="17"/>
        <v>0.9985955056179775</v>
      </c>
      <c r="H129" s="16">
        <f t="shared" ref="H129:H138" si="18">E129/B129</f>
        <v>1.4044943820224719E-3</v>
      </c>
      <c r="I129" s="2" t="s">
        <v>7</v>
      </c>
      <c r="J129" s="3"/>
      <c r="K129" s="3"/>
      <c r="L129" s="3"/>
      <c r="M129" s="3"/>
    </row>
    <row r="130" spans="1:13" ht="15.75" customHeight="1">
      <c r="A130" s="2" t="s">
        <v>8</v>
      </c>
      <c r="B130" s="3">
        <v>812</v>
      </c>
      <c r="C130" s="3">
        <v>0</v>
      </c>
      <c r="D130" s="3">
        <v>812</v>
      </c>
      <c r="E130" s="3">
        <v>0</v>
      </c>
      <c r="F130" s="16">
        <f t="shared" si="16"/>
        <v>0</v>
      </c>
      <c r="G130" s="16">
        <f t="shared" si="17"/>
        <v>1</v>
      </c>
      <c r="H130" s="16">
        <f t="shared" si="18"/>
        <v>0</v>
      </c>
      <c r="I130" s="2" t="s">
        <v>8</v>
      </c>
      <c r="J130" s="3"/>
      <c r="K130" s="3"/>
      <c r="L130" s="3"/>
      <c r="M130" s="3"/>
    </row>
    <row r="131" spans="1:13" ht="15.75" customHeight="1">
      <c r="A131" s="2" t="s">
        <v>9</v>
      </c>
      <c r="B131" s="3">
        <v>688</v>
      </c>
      <c r="C131" s="3">
        <v>0</v>
      </c>
      <c r="D131" s="3">
        <v>688</v>
      </c>
      <c r="E131" s="3">
        <v>0</v>
      </c>
      <c r="F131" s="16">
        <f t="shared" si="16"/>
        <v>0</v>
      </c>
      <c r="G131" s="16">
        <f t="shared" si="17"/>
        <v>1</v>
      </c>
      <c r="H131" s="16">
        <f t="shared" si="18"/>
        <v>0</v>
      </c>
      <c r="I131" s="2" t="s">
        <v>9</v>
      </c>
      <c r="J131" s="3"/>
      <c r="K131" s="3"/>
      <c r="L131" s="3"/>
      <c r="M131" s="3"/>
    </row>
    <row r="132" spans="1:13" ht="15.75" customHeight="1">
      <c r="A132" s="2" t="s">
        <v>10</v>
      </c>
      <c r="B132" s="3">
        <v>717</v>
      </c>
      <c r="C132" s="3">
        <v>0</v>
      </c>
      <c r="D132" s="3">
        <v>716</v>
      </c>
      <c r="E132" s="3">
        <v>1</v>
      </c>
      <c r="F132" s="16">
        <f t="shared" si="16"/>
        <v>0</v>
      </c>
      <c r="G132" s="16">
        <f t="shared" si="17"/>
        <v>0.99860529986053004</v>
      </c>
      <c r="H132" s="16">
        <f t="shared" si="18"/>
        <v>1.3947001394700139E-3</v>
      </c>
      <c r="I132" s="2" t="s">
        <v>10</v>
      </c>
      <c r="J132" s="3"/>
      <c r="K132" s="3"/>
      <c r="L132" s="3"/>
      <c r="M132" s="3"/>
    </row>
    <row r="133" spans="1:13" ht="15.75" customHeight="1">
      <c r="A133" s="2" t="s">
        <v>11</v>
      </c>
      <c r="B133" s="3">
        <v>739</v>
      </c>
      <c r="C133" s="3">
        <v>0</v>
      </c>
      <c r="D133" s="3">
        <v>739</v>
      </c>
      <c r="E133" s="3">
        <v>0</v>
      </c>
      <c r="F133" s="16">
        <f t="shared" si="16"/>
        <v>0</v>
      </c>
      <c r="G133" s="16">
        <f t="shared" si="17"/>
        <v>1</v>
      </c>
      <c r="H133" s="16">
        <f t="shared" si="18"/>
        <v>0</v>
      </c>
      <c r="I133" s="2" t="s">
        <v>11</v>
      </c>
      <c r="J133" s="3"/>
      <c r="K133" s="3"/>
      <c r="L133" s="3"/>
      <c r="M133" s="3"/>
    </row>
    <row r="134" spans="1:13" ht="15.75" customHeight="1">
      <c r="A134" s="2" t="s">
        <v>12</v>
      </c>
      <c r="B134" s="3">
        <v>679</v>
      </c>
      <c r="C134" s="3">
        <v>0</v>
      </c>
      <c r="D134" s="3">
        <v>679</v>
      </c>
      <c r="E134" s="3">
        <v>0</v>
      </c>
      <c r="F134" s="16">
        <f t="shared" si="16"/>
        <v>0</v>
      </c>
      <c r="G134" s="16">
        <f t="shared" si="17"/>
        <v>1</v>
      </c>
      <c r="H134" s="16">
        <f t="shared" si="18"/>
        <v>0</v>
      </c>
      <c r="I134" s="2" t="s">
        <v>12</v>
      </c>
      <c r="J134" s="3"/>
      <c r="K134" s="3"/>
      <c r="L134" s="3"/>
      <c r="M134" s="3"/>
    </row>
    <row r="135" spans="1:13" ht="15.75" customHeight="1">
      <c r="A135" s="2" t="s">
        <v>13</v>
      </c>
      <c r="B135" s="3">
        <v>652</v>
      </c>
      <c r="C135">
        <v>8</v>
      </c>
      <c r="D135" s="3">
        <v>522</v>
      </c>
      <c r="E135" s="3">
        <v>122</v>
      </c>
      <c r="F135" s="18">
        <f>C135/B135</f>
        <v>1.2269938650306749E-2</v>
      </c>
      <c r="G135" s="18">
        <f>D135/B135</f>
        <v>0.80061349693251538</v>
      </c>
      <c r="H135" s="18">
        <f t="shared" si="18"/>
        <v>0.18711656441717792</v>
      </c>
      <c r="I135" s="2" t="s">
        <v>13</v>
      </c>
      <c r="J135" s="3"/>
      <c r="K135" s="3"/>
      <c r="L135" s="3"/>
      <c r="M135" s="3"/>
    </row>
    <row r="136" spans="1:13" ht="15.75" customHeight="1">
      <c r="A136" s="2" t="s">
        <v>14</v>
      </c>
      <c r="B136" s="3">
        <v>789</v>
      </c>
      <c r="C136" s="3">
        <v>105</v>
      </c>
      <c r="D136" s="3">
        <v>455</v>
      </c>
      <c r="E136" s="3">
        <v>229</v>
      </c>
      <c r="F136" s="18">
        <f t="shared" ref="F136:F138" si="19">C136/B136</f>
        <v>0.13307984790874525</v>
      </c>
      <c r="G136" s="18">
        <f t="shared" ref="G136:G138" si="20">D136/B136</f>
        <v>0.57667934093789608</v>
      </c>
      <c r="H136" s="18">
        <f t="shared" si="18"/>
        <v>0.2902408111533587</v>
      </c>
      <c r="I136" s="2" t="s">
        <v>14</v>
      </c>
      <c r="J136" s="3"/>
      <c r="K136" s="3"/>
      <c r="L136" s="3"/>
      <c r="M136" s="3"/>
    </row>
    <row r="137" spans="1:13" ht="15.75" customHeight="1">
      <c r="A137" s="2" t="s">
        <v>15</v>
      </c>
      <c r="B137" s="3">
        <v>695</v>
      </c>
      <c r="C137" s="3">
        <v>16</v>
      </c>
      <c r="D137" s="3">
        <v>244</v>
      </c>
      <c r="E137" s="3">
        <v>435</v>
      </c>
      <c r="F137" s="18">
        <f t="shared" si="19"/>
        <v>2.302158273381295E-2</v>
      </c>
      <c r="G137" s="18">
        <f t="shared" si="20"/>
        <v>0.3510791366906475</v>
      </c>
      <c r="H137" s="18">
        <f t="shared" si="18"/>
        <v>0.62589928057553956</v>
      </c>
      <c r="I137" s="2" t="s">
        <v>25</v>
      </c>
      <c r="J137" s="3"/>
      <c r="K137" s="3"/>
      <c r="L137" s="3"/>
      <c r="M137" s="3"/>
    </row>
    <row r="138" spans="1:13" ht="15.75" customHeight="1">
      <c r="A138" s="2" t="s">
        <v>16</v>
      </c>
      <c r="B138" s="3">
        <v>696</v>
      </c>
      <c r="C138" s="3">
        <v>0</v>
      </c>
      <c r="D138" s="3">
        <v>695</v>
      </c>
      <c r="E138" s="3">
        <v>1</v>
      </c>
      <c r="F138" s="16">
        <f t="shared" si="19"/>
        <v>0</v>
      </c>
      <c r="G138" s="16">
        <f t="shared" si="20"/>
        <v>0.99856321839080464</v>
      </c>
      <c r="H138" s="16">
        <f t="shared" si="18"/>
        <v>1.4367816091954023E-3</v>
      </c>
      <c r="I138" s="2" t="s">
        <v>26</v>
      </c>
      <c r="J138" s="3"/>
      <c r="K138" s="3"/>
      <c r="L138" s="3"/>
      <c r="M138" s="3"/>
    </row>
    <row r="139" spans="1:13" ht="15.75" customHeight="1">
      <c r="A139" s="2" t="s">
        <v>17</v>
      </c>
      <c r="B139" s="3">
        <v>747</v>
      </c>
      <c r="C139" s="3">
        <v>0</v>
      </c>
      <c r="D139" s="3">
        <v>647</v>
      </c>
      <c r="E139" s="3">
        <v>100</v>
      </c>
      <c r="F139" s="18">
        <f>C139/B139</f>
        <v>0</v>
      </c>
      <c r="G139" s="18">
        <f>D139/B127</f>
        <v>0.87314439946018896</v>
      </c>
      <c r="H139" s="18">
        <f>E139/B127</f>
        <v>0.1349527665317139</v>
      </c>
      <c r="I139" s="2" t="s">
        <v>27</v>
      </c>
      <c r="J139" s="3"/>
      <c r="K139" s="3"/>
      <c r="L139" s="3"/>
      <c r="M139" s="3"/>
    </row>
    <row r="140" spans="1:13" ht="15.75" customHeight="1">
      <c r="A140" s="2" t="s">
        <v>18</v>
      </c>
      <c r="B140" s="3">
        <v>764</v>
      </c>
      <c r="C140" s="3">
        <v>220</v>
      </c>
      <c r="D140" s="3">
        <v>345</v>
      </c>
      <c r="E140" s="3">
        <v>200</v>
      </c>
      <c r="F140" s="18">
        <f t="shared" ref="F140" si="21">C140/B140</f>
        <v>0.2879581151832461</v>
      </c>
      <c r="G140" s="18">
        <f t="shared" ref="G140" si="22">D140/B140</f>
        <v>0.45157068062827227</v>
      </c>
      <c r="H140" s="18">
        <f t="shared" ref="H140" si="23">E140/B140</f>
        <v>0.26178010471204188</v>
      </c>
      <c r="I140" s="2" t="s">
        <v>18</v>
      </c>
      <c r="J140" s="3"/>
      <c r="K140" s="3"/>
      <c r="L140" s="3"/>
      <c r="M140" s="3"/>
    </row>
    <row r="141" spans="1:13" ht="15.75" customHeight="1">
      <c r="A141" s="2" t="s">
        <v>36</v>
      </c>
      <c r="B141" s="3">
        <f>SUM(B127:B140)</f>
        <v>10068</v>
      </c>
      <c r="C141" s="3">
        <f>SUM(C127:C140)</f>
        <v>349</v>
      </c>
      <c r="D141" s="3">
        <f>SUM(D127:D140)</f>
        <v>8630</v>
      </c>
      <c r="E141" s="3">
        <f>SUM(E127:E140)</f>
        <v>1090</v>
      </c>
      <c r="F141" s="2"/>
      <c r="G141" s="2"/>
      <c r="H141" s="2"/>
      <c r="I141" s="2"/>
      <c r="J141" s="2"/>
      <c r="K141" s="2"/>
      <c r="L141" s="5"/>
      <c r="M141" s="2"/>
    </row>
    <row r="158" spans="1:13" ht="15.75" customHeight="1">
      <c r="A158" s="2" t="s">
        <v>43</v>
      </c>
      <c r="B158" s="2" t="s">
        <v>1</v>
      </c>
      <c r="C158" s="2" t="s">
        <v>2</v>
      </c>
      <c r="D158" s="2" t="s">
        <v>3</v>
      </c>
      <c r="E158" s="2" t="s">
        <v>4</v>
      </c>
      <c r="F158" s="2" t="s">
        <v>33</v>
      </c>
      <c r="G158" s="2" t="s">
        <v>34</v>
      </c>
      <c r="H158" s="2" t="s">
        <v>35</v>
      </c>
      <c r="I158" s="2"/>
      <c r="J158" s="2" t="s">
        <v>32</v>
      </c>
      <c r="K158" s="2" t="s">
        <v>23</v>
      </c>
      <c r="L158" s="2" t="s">
        <v>24</v>
      </c>
      <c r="M158" s="2" t="s">
        <v>24</v>
      </c>
    </row>
    <row r="159" spans="1:13" ht="15.75" customHeight="1">
      <c r="A159" s="2" t="s">
        <v>5</v>
      </c>
      <c r="B159" s="3">
        <v>771</v>
      </c>
      <c r="C159" s="3">
        <v>0</v>
      </c>
      <c r="D159" s="3">
        <v>771</v>
      </c>
      <c r="E159" s="3">
        <v>0</v>
      </c>
      <c r="F159" s="16">
        <f>C159/B159</f>
        <v>0</v>
      </c>
      <c r="G159" s="16">
        <f>D159/B159</f>
        <v>1</v>
      </c>
      <c r="H159" s="16">
        <f>E159/B159</f>
        <v>0</v>
      </c>
      <c r="I159" s="2" t="s">
        <v>5</v>
      </c>
      <c r="J159" s="3"/>
      <c r="K159" s="3"/>
      <c r="L159" s="3"/>
      <c r="M159" s="3"/>
    </row>
    <row r="160" spans="1:13" ht="15.75" customHeight="1">
      <c r="A160" s="2" t="s">
        <v>6</v>
      </c>
      <c r="B160" s="3">
        <v>1103</v>
      </c>
      <c r="C160" s="3">
        <v>0</v>
      </c>
      <c r="D160" s="3">
        <v>1103</v>
      </c>
      <c r="E160" s="3">
        <v>0</v>
      </c>
      <c r="F160" s="16">
        <f t="shared" ref="F160:F172" si="24">C160/B160</f>
        <v>0</v>
      </c>
      <c r="G160" s="16">
        <f t="shared" ref="G160:G172" si="25">D160/B160</f>
        <v>1</v>
      </c>
      <c r="H160" s="16">
        <f>E160/B160</f>
        <v>0</v>
      </c>
      <c r="I160" s="2" t="s">
        <v>6</v>
      </c>
      <c r="J160" s="3"/>
      <c r="K160" s="3"/>
      <c r="L160" s="3"/>
      <c r="M160" s="3"/>
    </row>
    <row r="161" spans="1:13" ht="15.75" customHeight="1">
      <c r="A161" s="2" t="s">
        <v>7</v>
      </c>
      <c r="B161" s="3">
        <v>745</v>
      </c>
      <c r="C161" s="3">
        <v>0</v>
      </c>
      <c r="D161" s="3">
        <v>745</v>
      </c>
      <c r="E161" s="3">
        <v>0</v>
      </c>
      <c r="F161" s="16">
        <f t="shared" si="24"/>
        <v>0</v>
      </c>
      <c r="G161" s="16">
        <f t="shared" si="25"/>
        <v>1</v>
      </c>
      <c r="H161" s="16">
        <f t="shared" ref="H161:H172" si="26">E161/B161</f>
        <v>0</v>
      </c>
      <c r="I161" s="2" t="s">
        <v>7</v>
      </c>
      <c r="J161" s="3"/>
      <c r="K161" s="3"/>
      <c r="L161" s="3"/>
      <c r="M161" s="3"/>
    </row>
    <row r="162" spans="1:13" ht="15.75" customHeight="1">
      <c r="A162" s="2" t="s">
        <v>8</v>
      </c>
      <c r="B162" s="3">
        <v>1212</v>
      </c>
      <c r="C162" s="3">
        <v>0</v>
      </c>
      <c r="D162" s="3">
        <v>1212</v>
      </c>
      <c r="E162" s="3">
        <v>0</v>
      </c>
      <c r="F162" s="16">
        <f t="shared" si="24"/>
        <v>0</v>
      </c>
      <c r="G162" s="16">
        <f t="shared" si="25"/>
        <v>1</v>
      </c>
      <c r="H162" s="16">
        <f t="shared" si="26"/>
        <v>0</v>
      </c>
      <c r="I162" s="2" t="s">
        <v>8</v>
      </c>
      <c r="J162" s="3"/>
      <c r="K162" s="3"/>
      <c r="L162" s="3"/>
      <c r="M162" s="3"/>
    </row>
    <row r="163" spans="1:13" ht="15.75" customHeight="1">
      <c r="A163" s="2" t="s">
        <v>9</v>
      </c>
      <c r="B163" s="3">
        <v>825</v>
      </c>
      <c r="C163" s="3">
        <v>0</v>
      </c>
      <c r="D163" s="3">
        <v>825</v>
      </c>
      <c r="E163" s="3">
        <v>0</v>
      </c>
      <c r="F163" s="16">
        <f t="shared" si="24"/>
        <v>0</v>
      </c>
      <c r="G163" s="16">
        <f t="shared" si="25"/>
        <v>1</v>
      </c>
      <c r="H163" s="16">
        <f t="shared" si="26"/>
        <v>0</v>
      </c>
      <c r="I163" s="2" t="s">
        <v>9</v>
      </c>
      <c r="J163" s="3"/>
      <c r="K163" s="3"/>
      <c r="L163" s="3"/>
      <c r="M163" s="3"/>
    </row>
    <row r="164" spans="1:13" ht="15.75" customHeight="1">
      <c r="A164" s="2" t="s">
        <v>10</v>
      </c>
      <c r="B164" s="3">
        <v>1106</v>
      </c>
      <c r="C164" s="3">
        <v>0</v>
      </c>
      <c r="D164" s="3">
        <v>1106</v>
      </c>
      <c r="E164" s="3">
        <v>0</v>
      </c>
      <c r="F164" s="16">
        <f t="shared" si="24"/>
        <v>0</v>
      </c>
      <c r="G164" s="16">
        <f t="shared" si="25"/>
        <v>1</v>
      </c>
      <c r="H164" s="16">
        <f t="shared" si="26"/>
        <v>0</v>
      </c>
      <c r="I164" s="2" t="s">
        <v>10</v>
      </c>
      <c r="J164" s="3"/>
      <c r="K164" s="3"/>
      <c r="L164" s="3"/>
      <c r="M164" s="3"/>
    </row>
    <row r="165" spans="1:13" ht="15.75" customHeight="1">
      <c r="A165" s="2" t="s">
        <v>11</v>
      </c>
      <c r="B165" s="3">
        <v>786</v>
      </c>
      <c r="C165" s="3">
        <v>0</v>
      </c>
      <c r="D165" s="3">
        <v>786</v>
      </c>
      <c r="E165" s="3">
        <v>0</v>
      </c>
      <c r="F165" s="16">
        <f t="shared" si="24"/>
        <v>0</v>
      </c>
      <c r="G165" s="16">
        <f t="shared" si="25"/>
        <v>1</v>
      </c>
      <c r="H165" s="16">
        <f t="shared" si="26"/>
        <v>0</v>
      </c>
      <c r="I165" s="2" t="s">
        <v>11</v>
      </c>
      <c r="J165" s="3"/>
      <c r="K165" s="3"/>
      <c r="L165" s="3"/>
      <c r="M165" s="3"/>
    </row>
    <row r="166" spans="1:13" ht="15.75" customHeight="1">
      <c r="A166" s="2" t="s">
        <v>12</v>
      </c>
      <c r="B166" s="3">
        <v>1141</v>
      </c>
      <c r="C166" s="3">
        <v>0</v>
      </c>
      <c r="D166" s="3">
        <v>1141</v>
      </c>
      <c r="E166" s="3">
        <v>0</v>
      </c>
      <c r="F166" s="16">
        <f t="shared" si="24"/>
        <v>0</v>
      </c>
      <c r="G166" s="16">
        <f t="shared" si="25"/>
        <v>1</v>
      </c>
      <c r="H166" s="16">
        <f t="shared" si="26"/>
        <v>0</v>
      </c>
      <c r="I166" s="2" t="s">
        <v>12</v>
      </c>
      <c r="J166" s="3"/>
      <c r="K166" s="3"/>
      <c r="L166" s="3"/>
      <c r="M166" s="3"/>
    </row>
    <row r="167" spans="1:13" ht="15.75" customHeight="1">
      <c r="A167" s="2" t="s">
        <v>13</v>
      </c>
      <c r="B167" s="3">
        <v>791</v>
      </c>
      <c r="C167">
        <v>36</v>
      </c>
      <c r="D167" s="3">
        <v>205</v>
      </c>
      <c r="E167" s="3">
        <v>548</v>
      </c>
      <c r="F167" s="16">
        <f>C167/B167</f>
        <v>4.5512010113780026E-2</v>
      </c>
      <c r="G167" s="16">
        <f>D167/B167</f>
        <v>0.25916561314791403</v>
      </c>
      <c r="H167" s="16">
        <f t="shared" si="26"/>
        <v>0.69279393173198478</v>
      </c>
      <c r="I167" s="2" t="s">
        <v>13</v>
      </c>
      <c r="J167" s="3"/>
      <c r="K167" s="3"/>
      <c r="L167" s="3"/>
      <c r="M167" s="3"/>
    </row>
    <row r="168" spans="1:13" ht="15.75" customHeight="1">
      <c r="A168" s="2" t="s">
        <v>14</v>
      </c>
      <c r="B168" s="3">
        <v>1105</v>
      </c>
      <c r="C168" s="3">
        <v>92</v>
      </c>
      <c r="D168" s="3">
        <v>637</v>
      </c>
      <c r="E168" s="3">
        <v>372</v>
      </c>
      <c r="F168" s="16">
        <f t="shared" si="24"/>
        <v>8.3257918552036195E-2</v>
      </c>
      <c r="G168" s="16">
        <f t="shared" si="25"/>
        <v>0.57647058823529407</v>
      </c>
      <c r="H168" s="16">
        <f t="shared" si="26"/>
        <v>0.33665158371040727</v>
      </c>
      <c r="I168" s="2" t="s">
        <v>14</v>
      </c>
      <c r="J168" s="3"/>
      <c r="K168" s="3"/>
      <c r="L168" s="3"/>
      <c r="M168" s="3"/>
    </row>
    <row r="169" spans="1:13" ht="15.75" customHeight="1">
      <c r="A169" s="2" t="s">
        <v>15</v>
      </c>
      <c r="B169" s="3">
        <v>785</v>
      </c>
      <c r="C169" s="3">
        <v>34</v>
      </c>
      <c r="D169" s="3">
        <v>719</v>
      </c>
      <c r="E169" s="3">
        <v>32</v>
      </c>
      <c r="F169" s="18">
        <f t="shared" si="24"/>
        <v>4.3312101910828023E-2</v>
      </c>
      <c r="G169" s="18">
        <f t="shared" si="25"/>
        <v>0.91592356687898091</v>
      </c>
      <c r="H169" s="18">
        <f t="shared" si="26"/>
        <v>4.0764331210191081E-2</v>
      </c>
      <c r="I169" s="2" t="s">
        <v>25</v>
      </c>
      <c r="J169" s="3"/>
      <c r="K169" s="3"/>
      <c r="L169" s="3"/>
      <c r="M169" s="3"/>
    </row>
    <row r="170" spans="1:13" ht="15.75" customHeight="1">
      <c r="A170" s="2" t="s">
        <v>16</v>
      </c>
      <c r="B170" s="3">
        <v>1141</v>
      </c>
      <c r="C170" s="3">
        <v>0</v>
      </c>
      <c r="D170" s="3">
        <v>0</v>
      </c>
      <c r="E170" s="3">
        <v>1141</v>
      </c>
      <c r="F170" s="16">
        <f t="shared" si="24"/>
        <v>0</v>
      </c>
      <c r="G170" s="16">
        <f t="shared" si="25"/>
        <v>0</v>
      </c>
      <c r="H170" s="16">
        <f t="shared" si="26"/>
        <v>1</v>
      </c>
      <c r="I170" s="2" t="s">
        <v>26</v>
      </c>
      <c r="J170" s="3"/>
      <c r="K170" s="3"/>
      <c r="L170" s="3"/>
      <c r="M170" s="3"/>
    </row>
    <row r="171" spans="1:13" ht="15.75" customHeight="1">
      <c r="A171" s="2" t="s">
        <v>17</v>
      </c>
      <c r="B171" s="3">
        <v>765</v>
      </c>
      <c r="C171" s="3">
        <v>0</v>
      </c>
      <c r="D171" s="3">
        <v>765</v>
      </c>
      <c r="E171" s="3">
        <v>0</v>
      </c>
      <c r="F171" s="18">
        <f>C171/B171</f>
        <v>0</v>
      </c>
      <c r="G171" s="18">
        <f>D171/B171</f>
        <v>1</v>
      </c>
      <c r="H171" s="18">
        <f>E171/B159</f>
        <v>0</v>
      </c>
      <c r="I171" s="2" t="s">
        <v>27</v>
      </c>
      <c r="J171" s="3"/>
      <c r="K171" s="3"/>
      <c r="L171" s="3"/>
      <c r="M171" s="3"/>
    </row>
    <row r="172" spans="1:13" ht="15.75" customHeight="1">
      <c r="A172" s="2" t="s">
        <v>18</v>
      </c>
      <c r="B172" s="3">
        <v>1269</v>
      </c>
      <c r="C172" s="3">
        <v>34</v>
      </c>
      <c r="D172" s="3">
        <v>1001</v>
      </c>
      <c r="E172" s="3">
        <v>231</v>
      </c>
      <c r="F172" s="16">
        <f t="shared" si="24"/>
        <v>2.6792750197005517E-2</v>
      </c>
      <c r="G172" s="16">
        <f t="shared" si="25"/>
        <v>0.78881008668242714</v>
      </c>
      <c r="H172" s="16">
        <f t="shared" si="26"/>
        <v>0.18203309692671396</v>
      </c>
      <c r="I172" s="2" t="s">
        <v>18</v>
      </c>
      <c r="J172" s="3"/>
      <c r="K172" s="3"/>
      <c r="L172" s="3"/>
      <c r="M172" s="3"/>
    </row>
    <row r="173" spans="1:13" ht="15.75" customHeight="1">
      <c r="A173" s="2" t="s">
        <v>36</v>
      </c>
      <c r="B173" s="3">
        <f>SUM(B159:B172)</f>
        <v>13545</v>
      </c>
      <c r="C173" s="3">
        <f>SUM(C159:C172)</f>
        <v>196</v>
      </c>
      <c r="D173" s="3">
        <f>SUM(D159:D172)</f>
        <v>11016</v>
      </c>
      <c r="E173" s="3">
        <f>SUM(E159:E172)</f>
        <v>2324</v>
      </c>
      <c r="F173" s="2"/>
      <c r="G173" s="2"/>
      <c r="H173" s="2"/>
      <c r="I173" s="2"/>
      <c r="J173" s="2"/>
      <c r="K173" s="2"/>
      <c r="L173" s="5"/>
      <c r="M17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9"/>
  <sheetViews>
    <sheetView topLeftCell="L6" zoomScale="55" zoomScaleNormal="55" workbookViewId="0">
      <selection activeCell="AA42" sqref="AA42:AC44"/>
    </sheetView>
  </sheetViews>
  <sheetFormatPr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  <c r="M1" s="2"/>
    </row>
    <row r="2" spans="1:16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8">
        <f t="shared" ref="F2:F16" si="0">C2/B2</f>
        <v>0.12789927104042412</v>
      </c>
      <c r="G2" s="18">
        <f t="shared" ref="G2:G16" si="1">D2/B2</f>
        <v>0.85487077534791256</v>
      </c>
      <c r="H2" s="18">
        <f t="shared" ref="H2:H16" si="2">E2/B2</f>
        <v>1.7229953611663355E-2</v>
      </c>
      <c r="I2" s="2" t="s">
        <v>5</v>
      </c>
      <c r="J2" s="3">
        <v>21159</v>
      </c>
      <c r="K2" s="3">
        <v>1625</v>
      </c>
      <c r="L2" s="3">
        <v>689</v>
      </c>
      <c r="M2" s="3"/>
      <c r="O2" s="20" t="s">
        <v>45</v>
      </c>
      <c r="P2" s="13" t="s">
        <v>38</v>
      </c>
    </row>
    <row r="3" spans="1:16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6">
        <f t="shared" si="0"/>
        <v>0.23655913978494625</v>
      </c>
      <c r="G3" s="16">
        <f t="shared" si="1"/>
        <v>0.70322580645161292</v>
      </c>
      <c r="H3" s="16">
        <f t="shared" si="2"/>
        <v>6.0215053763440864E-2</v>
      </c>
      <c r="I3" s="2" t="s">
        <v>6</v>
      </c>
      <c r="J3" s="3">
        <v>6734</v>
      </c>
      <c r="K3" s="3">
        <v>92</v>
      </c>
      <c r="L3" s="3">
        <v>61</v>
      </c>
      <c r="M3" s="3"/>
      <c r="O3" s="13" t="s">
        <v>39</v>
      </c>
      <c r="P3" s="5">
        <v>17958</v>
      </c>
    </row>
    <row r="4" spans="1:16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6">
        <f t="shared" si="0"/>
        <v>0.31824146981627299</v>
      </c>
      <c r="G4" s="16">
        <f t="shared" si="1"/>
        <v>0.5639763779527559</v>
      </c>
      <c r="H4" s="16">
        <f t="shared" si="2"/>
        <v>0.11778215223097113</v>
      </c>
      <c r="I4" s="2" t="s">
        <v>7</v>
      </c>
      <c r="J4" s="3">
        <v>6783</v>
      </c>
      <c r="K4" s="3">
        <v>215</v>
      </c>
      <c r="L4" s="3">
        <v>228</v>
      </c>
      <c r="M4" s="3"/>
      <c r="O4" s="13" t="s">
        <v>42</v>
      </c>
      <c r="P4" s="5">
        <v>5219</v>
      </c>
    </row>
    <row r="5" spans="1:16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6">
        <f t="shared" si="0"/>
        <v>0.32168421052631579</v>
      </c>
      <c r="G5" s="16">
        <f t="shared" si="1"/>
        <v>0.47242105263157896</v>
      </c>
      <c r="H5" s="16">
        <f t="shared" si="2"/>
        <v>0.20589473684210527</v>
      </c>
      <c r="I5" s="2" t="s">
        <v>8</v>
      </c>
      <c r="J5" s="3">
        <v>9810</v>
      </c>
      <c r="K5" s="3">
        <v>312</v>
      </c>
      <c r="L5" s="3">
        <v>1386</v>
      </c>
      <c r="M5" s="3"/>
      <c r="O5" s="13" t="s">
        <v>40</v>
      </c>
      <c r="P5" s="5">
        <v>4402</v>
      </c>
    </row>
    <row r="6" spans="1:16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8">
        <f t="shared" si="0"/>
        <v>0.30618892508143325</v>
      </c>
      <c r="G6" s="18">
        <f t="shared" si="1"/>
        <v>0.69055374592833874</v>
      </c>
      <c r="H6" s="18">
        <f t="shared" si="2"/>
        <v>0</v>
      </c>
      <c r="I6" s="2" t="s">
        <v>9</v>
      </c>
      <c r="J6" s="3">
        <v>6557</v>
      </c>
      <c r="K6" s="3">
        <v>683</v>
      </c>
      <c r="L6" s="3">
        <v>374</v>
      </c>
      <c r="M6" s="3"/>
      <c r="O6" s="13" t="s">
        <v>41</v>
      </c>
      <c r="P6" s="5">
        <v>3823</v>
      </c>
    </row>
    <row r="7" spans="1:16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>
        <v>7373</v>
      </c>
      <c r="K7" s="3">
        <v>641</v>
      </c>
      <c r="L7" s="3">
        <v>749</v>
      </c>
      <c r="M7" s="3"/>
    </row>
    <row r="8" spans="1:16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6">
        <f t="shared" si="0"/>
        <v>0</v>
      </c>
      <c r="G8" s="16">
        <f t="shared" si="1"/>
        <v>0.99907521578298397</v>
      </c>
      <c r="H8" s="16">
        <f t="shared" si="2"/>
        <v>9.2478421701602961E-4</v>
      </c>
      <c r="I8" s="2" t="s">
        <v>11</v>
      </c>
      <c r="J8" s="3">
        <v>4622</v>
      </c>
      <c r="K8" s="3">
        <v>417</v>
      </c>
      <c r="L8" s="3">
        <v>264</v>
      </c>
      <c r="M8" s="3"/>
    </row>
    <row r="9" spans="1:16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1946</v>
      </c>
      <c r="K9" s="3">
        <v>147</v>
      </c>
      <c r="L9" s="3">
        <v>135</v>
      </c>
      <c r="M9" s="3"/>
    </row>
    <row r="10" spans="1:16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6">
        <f t="shared" si="0"/>
        <v>0</v>
      </c>
      <c r="G10" s="16">
        <f t="shared" si="1"/>
        <v>0.99549839228295822</v>
      </c>
      <c r="H10" s="16">
        <f t="shared" si="2"/>
        <v>4.5016077170418004E-3</v>
      </c>
      <c r="I10" s="2" t="s">
        <v>13</v>
      </c>
      <c r="J10" s="3">
        <v>3987</v>
      </c>
      <c r="K10" s="3">
        <v>37</v>
      </c>
      <c r="L10" s="3">
        <v>7</v>
      </c>
      <c r="M10" s="3"/>
    </row>
    <row r="11" spans="1:16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2754</v>
      </c>
      <c r="K11" s="3">
        <v>15</v>
      </c>
      <c r="L11" s="3">
        <v>1</v>
      </c>
      <c r="M11" s="3"/>
    </row>
    <row r="12" spans="1:16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2478</v>
      </c>
      <c r="K12" s="3">
        <v>16</v>
      </c>
      <c r="L12" s="3">
        <v>2</v>
      </c>
      <c r="M12" s="3"/>
    </row>
    <row r="13" spans="1:16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2290</v>
      </c>
      <c r="K13" s="3">
        <v>15</v>
      </c>
      <c r="L13" s="3">
        <v>4</v>
      </c>
      <c r="M13" s="3"/>
    </row>
    <row r="14" spans="1:16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3400</v>
      </c>
      <c r="K14" s="3">
        <v>12</v>
      </c>
      <c r="L14" s="3">
        <v>10</v>
      </c>
      <c r="M14" s="3"/>
    </row>
    <row r="15" spans="1:16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6">
        <f t="shared" si="0"/>
        <v>0.36134812286689422</v>
      </c>
      <c r="G15" s="16">
        <f t="shared" si="1"/>
        <v>0.53882252559726962</v>
      </c>
      <c r="H15" s="16">
        <f t="shared" si="2"/>
        <v>9.8122866894197955E-2</v>
      </c>
      <c r="I15" s="2" t="s">
        <v>18</v>
      </c>
      <c r="J15" s="3">
        <v>3320</v>
      </c>
      <c r="K15" s="3">
        <v>29</v>
      </c>
      <c r="L15" s="3">
        <v>4</v>
      </c>
      <c r="M15" s="3"/>
    </row>
    <row r="16" spans="1:16" ht="15">
      <c r="A16" s="2" t="s">
        <v>36</v>
      </c>
      <c r="B16" s="3">
        <f>SUM(B2:B15)</f>
        <v>38161</v>
      </c>
      <c r="C16" s="22">
        <f>SUM(C2:C15)</f>
        <v>4457</v>
      </c>
      <c r="D16" s="3">
        <f>SUM(D2:D15)</f>
        <v>32403</v>
      </c>
      <c r="E16" s="3">
        <f>SUM(E2:E15)</f>
        <v>1287</v>
      </c>
      <c r="F16" s="16">
        <f t="shared" si="0"/>
        <v>0.11679463326432746</v>
      </c>
      <c r="G16" s="16">
        <f t="shared" si="1"/>
        <v>0.84911296873771647</v>
      </c>
      <c r="H16" s="16">
        <f t="shared" si="2"/>
        <v>3.3725531301590631E-2</v>
      </c>
      <c r="I16" s="2"/>
      <c r="J16" s="2"/>
      <c r="K16" s="2"/>
      <c r="L16" s="5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44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33</v>
      </c>
      <c r="G22" s="2" t="s">
        <v>34</v>
      </c>
      <c r="H22" s="2" t="s">
        <v>35</v>
      </c>
      <c r="I22" s="2"/>
      <c r="J22" s="2" t="s">
        <v>30</v>
      </c>
      <c r="K22" s="2" t="s">
        <v>23</v>
      </c>
      <c r="L22" s="2" t="s">
        <v>24</v>
      </c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6">
        <f>C23/B23</f>
        <v>0</v>
      </c>
      <c r="G23" s="16">
        <f>D23/B23</f>
        <v>1</v>
      </c>
      <c r="H23" s="16">
        <f>E23/B23</f>
        <v>0</v>
      </c>
      <c r="I23" s="2" t="s">
        <v>5</v>
      </c>
      <c r="J23" s="3">
        <v>22269</v>
      </c>
      <c r="K23" s="3">
        <v>1689</v>
      </c>
      <c r="L23" s="3">
        <v>743</v>
      </c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6">
        <f t="shared" ref="F24:F30" si="3">C24/B24</f>
        <v>0</v>
      </c>
      <c r="G24" s="16">
        <f t="shared" ref="G24:G30" si="4">D24/B24</f>
        <v>0.99843014128728413</v>
      </c>
      <c r="H24" s="16">
        <f>E24/B24</f>
        <v>1.5698587127158557E-3</v>
      </c>
      <c r="I24" s="2" t="s">
        <v>6</v>
      </c>
      <c r="J24" s="3">
        <v>6609</v>
      </c>
      <c r="K24" s="3">
        <v>111</v>
      </c>
      <c r="L24" s="3">
        <v>87</v>
      </c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6">
        <f t="shared" si="3"/>
        <v>0</v>
      </c>
      <c r="G25" s="16">
        <f t="shared" si="4"/>
        <v>0.9985955056179775</v>
      </c>
      <c r="H25" s="16">
        <f t="shared" ref="H25:H34" si="5">E25/B25</f>
        <v>1.4044943820224719E-3</v>
      </c>
      <c r="I25" s="2" t="s">
        <v>7</v>
      </c>
      <c r="J25" s="3">
        <v>6244</v>
      </c>
      <c r="K25" s="3">
        <v>167</v>
      </c>
      <c r="L25" s="3">
        <v>181</v>
      </c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6">
        <f t="shared" si="3"/>
        <v>0</v>
      </c>
      <c r="G26" s="16">
        <f t="shared" si="4"/>
        <v>1</v>
      </c>
      <c r="H26" s="16">
        <f t="shared" si="5"/>
        <v>0</v>
      </c>
      <c r="I26" s="2" t="s">
        <v>8</v>
      </c>
      <c r="J26" s="3">
        <v>6645</v>
      </c>
      <c r="K26" s="3">
        <v>123</v>
      </c>
      <c r="L26" s="3">
        <v>274</v>
      </c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6">
        <f t="shared" si="3"/>
        <v>0</v>
      </c>
      <c r="G27" s="16">
        <f t="shared" si="4"/>
        <v>1</v>
      </c>
      <c r="H27" s="16">
        <f t="shared" si="5"/>
        <v>0</v>
      </c>
      <c r="I27" s="2" t="s">
        <v>9</v>
      </c>
      <c r="J27" s="3">
        <v>6823</v>
      </c>
      <c r="K27" s="3">
        <v>700</v>
      </c>
      <c r="L27" s="3">
        <v>433</v>
      </c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6">
        <f t="shared" si="3"/>
        <v>0</v>
      </c>
      <c r="G28" s="16">
        <f t="shared" si="4"/>
        <v>0.99860529986053004</v>
      </c>
      <c r="H28" s="16">
        <f t="shared" si="5"/>
        <v>1.3947001394700139E-3</v>
      </c>
      <c r="I28" s="2" t="s">
        <v>10</v>
      </c>
      <c r="J28" s="3">
        <v>7634</v>
      </c>
      <c r="K28" s="3">
        <v>658</v>
      </c>
      <c r="L28" s="3">
        <v>747</v>
      </c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6">
        <f t="shared" si="3"/>
        <v>0</v>
      </c>
      <c r="G29" s="16">
        <f t="shared" si="4"/>
        <v>1</v>
      </c>
      <c r="H29" s="16">
        <f t="shared" si="5"/>
        <v>0</v>
      </c>
      <c r="I29" s="2" t="s">
        <v>11</v>
      </c>
      <c r="J29" s="3">
        <v>4846</v>
      </c>
      <c r="K29" s="3">
        <v>402</v>
      </c>
      <c r="L29" s="3">
        <v>293</v>
      </c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6">
        <f t="shared" si="3"/>
        <v>0</v>
      </c>
      <c r="G30" s="16">
        <f t="shared" si="4"/>
        <v>1</v>
      </c>
      <c r="H30" s="16">
        <f t="shared" si="5"/>
        <v>0</v>
      </c>
      <c r="I30" s="2" t="s">
        <v>12</v>
      </c>
      <c r="J30" s="3">
        <v>2158</v>
      </c>
      <c r="K30" s="3">
        <v>159</v>
      </c>
      <c r="L30" s="3">
        <v>166</v>
      </c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8">
        <f>C31/B31</f>
        <v>1.2269938650306749E-2</v>
      </c>
      <c r="G31" s="18">
        <f>D31/B31</f>
        <v>0.80061349693251538</v>
      </c>
      <c r="H31" s="18">
        <f t="shared" si="5"/>
        <v>0.18711656441717792</v>
      </c>
      <c r="I31" s="2" t="s">
        <v>13</v>
      </c>
      <c r="J31" s="3">
        <v>4278</v>
      </c>
      <c r="K31" s="3">
        <v>59</v>
      </c>
      <c r="L31" s="3">
        <v>34</v>
      </c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8">
        <f t="shared" ref="F32:F34" si="6">C32/B32</f>
        <v>0.13307984790874525</v>
      </c>
      <c r="G32" s="18">
        <f t="shared" ref="G32:G34" si="7">D32/B32</f>
        <v>0.57667934093789608</v>
      </c>
      <c r="H32" s="18">
        <f t="shared" si="5"/>
        <v>0.2902408111533587</v>
      </c>
      <c r="I32" s="2" t="s">
        <v>14</v>
      </c>
      <c r="J32" s="3">
        <v>3031</v>
      </c>
      <c r="K32" s="3">
        <v>27</v>
      </c>
      <c r="L32" s="3">
        <v>27</v>
      </c>
      <c r="M32" s="3"/>
    </row>
    <row r="33" spans="1:29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8">
        <f t="shared" si="6"/>
        <v>2.302158273381295E-2</v>
      </c>
      <c r="G33" s="18">
        <f t="shared" si="7"/>
        <v>0.3510791366906475</v>
      </c>
      <c r="H33" s="18">
        <f t="shared" si="5"/>
        <v>0.62589928057553956</v>
      </c>
      <c r="I33" s="2" t="s">
        <v>25</v>
      </c>
      <c r="J33" s="3">
        <v>2478</v>
      </c>
      <c r="K33" s="3">
        <v>23</v>
      </c>
      <c r="L33" s="3">
        <v>24</v>
      </c>
      <c r="M33" s="3"/>
    </row>
    <row r="34" spans="1:29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6">
        <f t="shared" si="6"/>
        <v>0</v>
      </c>
      <c r="G34" s="16">
        <f t="shared" si="7"/>
        <v>0.99856321839080464</v>
      </c>
      <c r="H34" s="16">
        <f t="shared" si="5"/>
        <v>1.4367816091954023E-3</v>
      </c>
      <c r="I34" s="2" t="s">
        <v>26</v>
      </c>
      <c r="J34" s="3">
        <v>2290</v>
      </c>
      <c r="K34" s="3">
        <v>27</v>
      </c>
      <c r="L34" s="3">
        <v>30</v>
      </c>
      <c r="M34" s="3"/>
    </row>
    <row r="35" spans="1:29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8">
        <f>C35/B35</f>
        <v>0</v>
      </c>
      <c r="G35" s="18">
        <f>D35/B23</f>
        <v>0.87314439946018896</v>
      </c>
      <c r="H35" s="18">
        <f>E35/B23</f>
        <v>0.1349527665317139</v>
      </c>
      <c r="I35" s="2" t="s">
        <v>27</v>
      </c>
      <c r="J35" s="3">
        <v>3400</v>
      </c>
      <c r="K35" s="3">
        <v>51</v>
      </c>
      <c r="L35" s="3">
        <v>40</v>
      </c>
      <c r="M35" s="3"/>
    </row>
    <row r="36" spans="1:29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8">
        <f t="shared" ref="F36:F37" si="8">C36/B36</f>
        <v>0.2879581151832461</v>
      </c>
      <c r="G36" s="18">
        <f t="shared" ref="G36:G37" si="9">D36/B36</f>
        <v>0.45157068062827227</v>
      </c>
      <c r="H36" s="18">
        <f t="shared" ref="H36:H37" si="10">E36/B36</f>
        <v>0.26178010471204188</v>
      </c>
      <c r="I36" s="2" t="s">
        <v>18</v>
      </c>
      <c r="J36" s="3">
        <v>3320</v>
      </c>
      <c r="K36" s="3">
        <v>20</v>
      </c>
      <c r="L36" s="3">
        <v>2</v>
      </c>
      <c r="M36" s="3"/>
    </row>
    <row r="37" spans="1:29" ht="15">
      <c r="A37" s="2" t="s">
        <v>36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8">
        <f t="shared" si="8"/>
        <v>3.466428287644021E-2</v>
      </c>
      <c r="G37" s="18">
        <f t="shared" si="9"/>
        <v>0.85717123559793407</v>
      </c>
      <c r="H37" s="18">
        <f t="shared" si="10"/>
        <v>0.10826380611839491</v>
      </c>
      <c r="I37" s="2"/>
      <c r="J37" s="2"/>
      <c r="K37" s="2"/>
      <c r="L37" s="5"/>
      <c r="M37" s="2"/>
    </row>
    <row r="41" spans="1:29">
      <c r="V41" s="40" t="s">
        <v>82</v>
      </c>
      <c r="AA41" s="40" t="s">
        <v>82</v>
      </c>
    </row>
    <row r="42" spans="1:29">
      <c r="U42" s="40" t="s">
        <v>39</v>
      </c>
      <c r="Z42" s="40" t="s">
        <v>39</v>
      </c>
    </row>
    <row r="43" spans="1:29">
      <c r="U43" s="40" t="s">
        <v>40</v>
      </c>
      <c r="W43" s="40"/>
      <c r="Z43" s="40" t="s">
        <v>40</v>
      </c>
    </row>
    <row r="44" spans="1:29">
      <c r="U44" s="40" t="s">
        <v>41</v>
      </c>
      <c r="W44" s="40"/>
      <c r="Z44" s="40" t="s">
        <v>41</v>
      </c>
    </row>
    <row r="46" spans="1:29">
      <c r="D46" s="12"/>
    </row>
    <row r="47" spans="1:29">
      <c r="U47" s="13" t="s">
        <v>85</v>
      </c>
      <c r="V47" s="13" t="s">
        <v>86</v>
      </c>
      <c r="W47" s="13" t="s">
        <v>87</v>
      </c>
      <c r="X47" s="13" t="s">
        <v>88</v>
      </c>
      <c r="Z47" s="20" t="s">
        <v>89</v>
      </c>
      <c r="AA47" s="13" t="s">
        <v>86</v>
      </c>
      <c r="AB47" s="13" t="s">
        <v>87</v>
      </c>
      <c r="AC47" s="13" t="s">
        <v>88</v>
      </c>
    </row>
    <row r="48" spans="1:29" ht="15">
      <c r="U48" s="51" t="s">
        <v>5</v>
      </c>
      <c r="V48" s="45">
        <f>C2/B2</f>
        <v>0.12789927104042412</v>
      </c>
      <c r="W48" s="49">
        <f>C23/B23</f>
        <v>0</v>
      </c>
      <c r="X48" s="50">
        <f>C55/B55</f>
        <v>0</v>
      </c>
      <c r="Y48" s="52"/>
      <c r="Z48" s="51" t="s">
        <v>5</v>
      </c>
      <c r="AA48" s="47">
        <f>E2/B2</f>
        <v>1.7229953611663355E-2</v>
      </c>
      <c r="AB48" s="50">
        <f>E23/B23</f>
        <v>0</v>
      </c>
      <c r="AC48" s="50">
        <f>E55/B55</f>
        <v>0</v>
      </c>
    </row>
    <row r="49" spans="1:29" ht="15">
      <c r="U49" s="51" t="s">
        <v>6</v>
      </c>
      <c r="V49" s="45">
        <f t="shared" ref="V49:V60" si="11">C3/B3</f>
        <v>0.23655913978494625</v>
      </c>
      <c r="W49" s="49">
        <f t="shared" ref="W49:W59" si="12">C24/B24</f>
        <v>0</v>
      </c>
      <c r="X49" s="50">
        <f t="shared" ref="X49:X60" si="13">C56/B56</f>
        <v>0</v>
      </c>
      <c r="Y49" s="52"/>
      <c r="Z49" s="51" t="s">
        <v>6</v>
      </c>
      <c r="AA49" s="47">
        <f t="shared" ref="AA49:AA60" si="14">E3/B3</f>
        <v>6.0215053763440864E-2</v>
      </c>
      <c r="AB49" s="50">
        <f t="shared" ref="AB49:AB60" si="15">E24/B24</f>
        <v>1.5698587127158557E-3</v>
      </c>
      <c r="AC49" s="50">
        <f t="shared" ref="AC49:AC60" si="16">E56/B56</f>
        <v>0</v>
      </c>
    </row>
    <row r="50" spans="1:29" ht="15">
      <c r="U50" s="51" t="s">
        <v>7</v>
      </c>
      <c r="V50" s="45">
        <f t="shared" si="11"/>
        <v>0.31824146981627299</v>
      </c>
      <c r="W50" s="49">
        <f t="shared" si="12"/>
        <v>0</v>
      </c>
      <c r="X50" s="50">
        <f t="shared" si="13"/>
        <v>0</v>
      </c>
      <c r="Y50" s="52"/>
      <c r="Z50" s="51" t="s">
        <v>7</v>
      </c>
      <c r="AA50" s="47">
        <f t="shared" si="14"/>
        <v>0.11778215223097113</v>
      </c>
      <c r="AB50" s="50">
        <f t="shared" si="15"/>
        <v>1.4044943820224719E-3</v>
      </c>
      <c r="AC50" s="50">
        <f t="shared" si="16"/>
        <v>0</v>
      </c>
    </row>
    <row r="51" spans="1:29" ht="15">
      <c r="U51" s="51" t="s">
        <v>8</v>
      </c>
      <c r="V51" s="45">
        <f t="shared" si="11"/>
        <v>0.32168421052631579</v>
      </c>
      <c r="W51" s="49">
        <f t="shared" si="12"/>
        <v>0</v>
      </c>
      <c r="X51" s="50">
        <f t="shared" si="13"/>
        <v>0</v>
      </c>
      <c r="Y51" s="52"/>
      <c r="Z51" s="51" t="s">
        <v>8</v>
      </c>
      <c r="AA51" s="47">
        <f t="shared" si="14"/>
        <v>0.20589473684210527</v>
      </c>
      <c r="AB51" s="50">
        <f t="shared" si="15"/>
        <v>0</v>
      </c>
      <c r="AC51" s="50">
        <f t="shared" si="16"/>
        <v>0</v>
      </c>
    </row>
    <row r="52" spans="1:29" ht="15">
      <c r="U52" s="51" t="s">
        <v>9</v>
      </c>
      <c r="V52" s="45">
        <f t="shared" si="11"/>
        <v>0.30618892508143325</v>
      </c>
      <c r="W52" s="49">
        <f t="shared" si="12"/>
        <v>0</v>
      </c>
      <c r="X52" s="50">
        <f t="shared" si="13"/>
        <v>0</v>
      </c>
      <c r="Y52" s="52"/>
      <c r="Z52" s="51" t="s">
        <v>9</v>
      </c>
      <c r="AA52" s="50">
        <f t="shared" si="14"/>
        <v>0</v>
      </c>
      <c r="AB52" s="50">
        <f t="shared" si="15"/>
        <v>0</v>
      </c>
      <c r="AC52" s="50">
        <f t="shared" si="16"/>
        <v>0</v>
      </c>
    </row>
    <row r="53" spans="1:29" ht="15">
      <c r="U53" s="51" t="s">
        <v>10</v>
      </c>
      <c r="V53" s="18">
        <f t="shared" si="11"/>
        <v>0</v>
      </c>
      <c r="W53" s="49">
        <f t="shared" si="12"/>
        <v>0</v>
      </c>
      <c r="X53" s="50">
        <f t="shared" si="13"/>
        <v>0</v>
      </c>
      <c r="Y53" s="52"/>
      <c r="Z53" s="51" t="s">
        <v>10</v>
      </c>
      <c r="AA53" s="50">
        <f t="shared" si="14"/>
        <v>0</v>
      </c>
      <c r="AB53" s="50">
        <f t="shared" si="15"/>
        <v>1.3947001394700139E-3</v>
      </c>
      <c r="AC53" s="50">
        <f t="shared" si="16"/>
        <v>0</v>
      </c>
    </row>
    <row r="54" spans="1:29" ht="15">
      <c r="A54" s="2" t="s">
        <v>43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33</v>
      </c>
      <c r="G54" s="2" t="s">
        <v>34</v>
      </c>
      <c r="H54" s="2" t="s">
        <v>35</v>
      </c>
      <c r="I54" s="2"/>
      <c r="J54" s="2" t="s">
        <v>32</v>
      </c>
      <c r="K54" s="2" t="s">
        <v>23</v>
      </c>
      <c r="L54" s="2" t="s">
        <v>24</v>
      </c>
      <c r="M54" s="2"/>
      <c r="U54" s="51" t="s">
        <v>11</v>
      </c>
      <c r="V54" s="18">
        <f t="shared" si="11"/>
        <v>0</v>
      </c>
      <c r="W54" s="49">
        <f t="shared" si="12"/>
        <v>0</v>
      </c>
      <c r="X54" s="50">
        <f t="shared" si="13"/>
        <v>0</v>
      </c>
      <c r="Y54" s="52"/>
      <c r="Z54" s="51" t="s">
        <v>11</v>
      </c>
      <c r="AA54" s="50">
        <f t="shared" si="14"/>
        <v>9.2478421701602961E-4</v>
      </c>
      <c r="AB54" s="50">
        <f t="shared" si="15"/>
        <v>0</v>
      </c>
      <c r="AC54" s="50">
        <f t="shared" si="16"/>
        <v>0</v>
      </c>
    </row>
    <row r="55" spans="1:29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6">
        <f>C55/B55</f>
        <v>0</v>
      </c>
      <c r="G55" s="16">
        <f>D55/B55</f>
        <v>1</v>
      </c>
      <c r="H55" s="16">
        <f>E55/B55</f>
        <v>0</v>
      </c>
      <c r="I55" s="2" t="s">
        <v>5</v>
      </c>
      <c r="J55" s="3">
        <v>22620</v>
      </c>
      <c r="K55" s="3">
        <v>1636</v>
      </c>
      <c r="L55" s="3">
        <v>713</v>
      </c>
      <c r="M55" s="3"/>
      <c r="U55" s="51" t="s">
        <v>12</v>
      </c>
      <c r="V55" s="18">
        <f t="shared" si="11"/>
        <v>0</v>
      </c>
      <c r="W55" s="49">
        <f t="shared" si="12"/>
        <v>0</v>
      </c>
      <c r="X55" s="50">
        <f t="shared" si="13"/>
        <v>0</v>
      </c>
      <c r="Y55" s="52"/>
      <c r="Z55" s="51" t="s">
        <v>12</v>
      </c>
      <c r="AA55" s="50">
        <f t="shared" si="14"/>
        <v>0</v>
      </c>
      <c r="AB55" s="50">
        <f t="shared" si="15"/>
        <v>0</v>
      </c>
      <c r="AC55" s="50">
        <f t="shared" si="16"/>
        <v>0</v>
      </c>
    </row>
    <row r="56" spans="1:29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6">
        <f t="shared" ref="F56:F69" si="17">C56/B56</f>
        <v>0</v>
      </c>
      <c r="G56" s="16">
        <f t="shared" ref="G56:G69" si="18">D56/B56</f>
        <v>1</v>
      </c>
      <c r="H56" s="16">
        <f>E56/B56</f>
        <v>0</v>
      </c>
      <c r="I56" s="2" t="s">
        <v>6</v>
      </c>
      <c r="J56" s="3">
        <v>6502</v>
      </c>
      <c r="K56" s="3">
        <v>112</v>
      </c>
      <c r="L56" s="3">
        <v>87</v>
      </c>
      <c r="M56" s="3"/>
      <c r="U56" s="51" t="s">
        <v>13</v>
      </c>
      <c r="V56" s="18">
        <f t="shared" si="11"/>
        <v>0</v>
      </c>
      <c r="W56" s="46">
        <f t="shared" si="12"/>
        <v>1.2269938650306749E-2</v>
      </c>
      <c r="X56" s="47">
        <f t="shared" si="13"/>
        <v>4.5512010113780026E-2</v>
      </c>
      <c r="Y56" s="52"/>
      <c r="Z56" s="51" t="s">
        <v>13</v>
      </c>
      <c r="AA56" s="50">
        <f t="shared" si="14"/>
        <v>4.5016077170418004E-3</v>
      </c>
      <c r="AB56" s="47">
        <f t="shared" si="15"/>
        <v>0.18711656441717792</v>
      </c>
      <c r="AC56" s="47">
        <f t="shared" si="16"/>
        <v>0.69279393173198478</v>
      </c>
    </row>
    <row r="57" spans="1:29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6">
        <f t="shared" si="17"/>
        <v>0</v>
      </c>
      <c r="G57" s="16">
        <f t="shared" si="18"/>
        <v>1</v>
      </c>
      <c r="H57" s="16">
        <f t="shared" ref="H57:H69" si="19">E57/B57</f>
        <v>0</v>
      </c>
      <c r="I57" s="2" t="s">
        <v>7</v>
      </c>
      <c r="J57" s="3">
        <v>6141</v>
      </c>
      <c r="K57" s="3">
        <v>160</v>
      </c>
      <c r="L57" s="3">
        <v>172</v>
      </c>
      <c r="M57" s="3"/>
      <c r="U57" s="51" t="s">
        <v>14</v>
      </c>
      <c r="V57" s="18">
        <f t="shared" si="11"/>
        <v>0</v>
      </c>
      <c r="W57" s="46">
        <f t="shared" si="12"/>
        <v>0.13307984790874525</v>
      </c>
      <c r="X57" s="47">
        <f t="shared" si="13"/>
        <v>8.3257918552036195E-2</v>
      </c>
      <c r="Y57" s="52"/>
      <c r="Z57" s="51" t="s">
        <v>14</v>
      </c>
      <c r="AA57" s="50">
        <f t="shared" si="14"/>
        <v>0</v>
      </c>
      <c r="AB57" s="47">
        <f t="shared" si="15"/>
        <v>0.2902408111533587</v>
      </c>
      <c r="AC57" s="47">
        <f t="shared" si="16"/>
        <v>0.33665158371040727</v>
      </c>
    </row>
    <row r="58" spans="1:29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6">
        <f t="shared" si="17"/>
        <v>0</v>
      </c>
      <c r="G58" s="16">
        <f t="shared" si="18"/>
        <v>1</v>
      </c>
      <c r="H58" s="16">
        <f t="shared" si="19"/>
        <v>0</v>
      </c>
      <c r="I58" s="2" t="s">
        <v>8</v>
      </c>
      <c r="J58" s="3">
        <v>6130</v>
      </c>
      <c r="K58" s="3">
        <v>126</v>
      </c>
      <c r="L58" s="3">
        <v>318</v>
      </c>
      <c r="M58" s="3"/>
      <c r="U58" s="51" t="s">
        <v>15</v>
      </c>
      <c r="V58" s="18">
        <f t="shared" si="11"/>
        <v>0</v>
      </c>
      <c r="W58" s="46">
        <f t="shared" si="12"/>
        <v>2.302158273381295E-2</v>
      </c>
      <c r="X58" s="47">
        <f t="shared" si="13"/>
        <v>4.3312101910828023E-2</v>
      </c>
      <c r="Y58" s="52"/>
      <c r="Z58" s="51" t="s">
        <v>15</v>
      </c>
      <c r="AA58" s="50">
        <f t="shared" si="14"/>
        <v>0</v>
      </c>
      <c r="AB58" s="47">
        <f t="shared" si="15"/>
        <v>0.62589928057553956</v>
      </c>
      <c r="AC58" s="47">
        <f t="shared" si="16"/>
        <v>4.0764331210191081E-2</v>
      </c>
    </row>
    <row r="59" spans="1:29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6">
        <f t="shared" si="17"/>
        <v>0</v>
      </c>
      <c r="G59" s="16">
        <f t="shared" si="18"/>
        <v>1</v>
      </c>
      <c r="H59" s="16">
        <f t="shared" si="19"/>
        <v>0</v>
      </c>
      <c r="I59" s="2" t="s">
        <v>9</v>
      </c>
      <c r="J59" s="3">
        <v>6721</v>
      </c>
      <c r="K59" s="3">
        <v>706</v>
      </c>
      <c r="L59" s="3">
        <v>424</v>
      </c>
      <c r="M59" s="3"/>
      <c r="U59" s="51" t="s">
        <v>16</v>
      </c>
      <c r="V59" s="18">
        <f t="shared" si="11"/>
        <v>0</v>
      </c>
      <c r="W59" s="49">
        <f t="shared" si="12"/>
        <v>0</v>
      </c>
      <c r="X59" s="50">
        <f t="shared" si="13"/>
        <v>0</v>
      </c>
      <c r="Y59" s="52"/>
      <c r="Z59" s="51" t="s">
        <v>16</v>
      </c>
      <c r="AA59" s="50">
        <f t="shared" si="14"/>
        <v>0</v>
      </c>
      <c r="AB59" s="50">
        <f t="shared" si="15"/>
        <v>1.4367816091954023E-3</v>
      </c>
      <c r="AC59" s="47">
        <f t="shared" si="16"/>
        <v>1</v>
      </c>
    </row>
    <row r="60" spans="1:29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6">
        <f t="shared" si="17"/>
        <v>0</v>
      </c>
      <c r="G60" s="16">
        <f t="shared" si="18"/>
        <v>1</v>
      </c>
      <c r="H60" s="16">
        <f t="shared" si="19"/>
        <v>0</v>
      </c>
      <c r="I60" s="2" t="s">
        <v>10</v>
      </c>
      <c r="J60" s="3">
        <v>7673</v>
      </c>
      <c r="K60" s="3">
        <v>661</v>
      </c>
      <c r="L60" s="3">
        <v>706</v>
      </c>
      <c r="M60" s="3"/>
      <c r="U60" s="51" t="s">
        <v>17</v>
      </c>
      <c r="V60" s="18">
        <f t="shared" si="11"/>
        <v>0</v>
      </c>
      <c r="W60" s="49">
        <f>C35/B35</f>
        <v>0</v>
      </c>
      <c r="X60" s="50">
        <f t="shared" si="13"/>
        <v>0</v>
      </c>
      <c r="Y60" s="52"/>
      <c r="Z60" s="51" t="s">
        <v>17</v>
      </c>
      <c r="AA60" s="50">
        <f t="shared" si="14"/>
        <v>0</v>
      </c>
      <c r="AB60" s="47">
        <f t="shared" si="15"/>
        <v>0.13386880856760375</v>
      </c>
      <c r="AC60" s="50">
        <f t="shared" si="16"/>
        <v>0</v>
      </c>
    </row>
    <row r="61" spans="1:29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6">
        <f t="shared" si="17"/>
        <v>0</v>
      </c>
      <c r="G61" s="16">
        <f t="shared" si="18"/>
        <v>1</v>
      </c>
      <c r="H61" s="16">
        <f t="shared" si="19"/>
        <v>0</v>
      </c>
      <c r="I61" s="2" t="s">
        <v>11</v>
      </c>
      <c r="J61" s="3">
        <v>4964</v>
      </c>
      <c r="K61" s="3">
        <v>404</v>
      </c>
      <c r="L61" s="3">
        <v>280</v>
      </c>
      <c r="M61" s="3"/>
    </row>
    <row r="62" spans="1:29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6">
        <f t="shared" si="17"/>
        <v>0</v>
      </c>
      <c r="G62" s="16">
        <f t="shared" si="18"/>
        <v>1</v>
      </c>
      <c r="H62" s="16">
        <f t="shared" si="19"/>
        <v>0</v>
      </c>
      <c r="I62" s="2" t="s">
        <v>12</v>
      </c>
      <c r="J62" s="3">
        <v>2130</v>
      </c>
      <c r="K62" s="3">
        <v>149</v>
      </c>
      <c r="L62" s="3">
        <v>168</v>
      </c>
      <c r="M62" s="3"/>
    </row>
    <row r="63" spans="1:29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6">
        <f>C63/B63</f>
        <v>4.5512010113780026E-2</v>
      </c>
      <c r="G63" s="16">
        <f>D63/B63</f>
        <v>0.25916561314791403</v>
      </c>
      <c r="H63" s="16">
        <f t="shared" si="19"/>
        <v>0.69279393173198478</v>
      </c>
      <c r="I63" s="2" t="s">
        <v>13</v>
      </c>
      <c r="J63" s="3">
        <v>4328</v>
      </c>
      <c r="K63" s="3">
        <v>60</v>
      </c>
      <c r="L63" s="3">
        <v>37</v>
      </c>
      <c r="M63" s="3"/>
    </row>
    <row r="64" spans="1:29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6">
        <f t="shared" si="17"/>
        <v>8.3257918552036195E-2</v>
      </c>
      <c r="G64" s="16">
        <f t="shared" si="18"/>
        <v>0.57647058823529407</v>
      </c>
      <c r="H64" s="16">
        <f t="shared" si="19"/>
        <v>0.33665158371040727</v>
      </c>
      <c r="I64" s="2" t="s">
        <v>14</v>
      </c>
      <c r="J64" s="3">
        <v>2962</v>
      </c>
      <c r="K64" s="3">
        <v>32</v>
      </c>
      <c r="L64" s="3">
        <v>35</v>
      </c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8">
        <f t="shared" si="17"/>
        <v>4.3312101910828023E-2</v>
      </c>
      <c r="G65" s="18">
        <f t="shared" si="18"/>
        <v>0.91592356687898091</v>
      </c>
      <c r="H65" s="18">
        <f t="shared" si="19"/>
        <v>4.0764331210191081E-2</v>
      </c>
      <c r="I65" s="2" t="s">
        <v>25</v>
      </c>
      <c r="J65" s="3">
        <v>2455</v>
      </c>
      <c r="K65" s="3">
        <v>27</v>
      </c>
      <c r="L65" s="3">
        <v>26</v>
      </c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6">
        <f t="shared" si="17"/>
        <v>0</v>
      </c>
      <c r="G66" s="16">
        <f t="shared" si="18"/>
        <v>0</v>
      </c>
      <c r="H66" s="16">
        <f t="shared" si="19"/>
        <v>1</v>
      </c>
      <c r="I66" s="2" t="s">
        <v>26</v>
      </c>
      <c r="J66" s="3">
        <v>2362</v>
      </c>
      <c r="K66" s="3">
        <v>32</v>
      </c>
      <c r="L66" s="3">
        <v>32</v>
      </c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8">
        <f>C67/B67</f>
        <v>0</v>
      </c>
      <c r="G67" s="18">
        <f>D67/B67</f>
        <v>1</v>
      </c>
      <c r="H67" s="18">
        <f>E67/B67</f>
        <v>0</v>
      </c>
      <c r="I67" s="2" t="s">
        <v>27</v>
      </c>
      <c r="J67" s="3">
        <v>3359</v>
      </c>
      <c r="K67" s="3">
        <v>38</v>
      </c>
      <c r="L67" s="3">
        <v>48</v>
      </c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6">
        <f t="shared" si="17"/>
        <v>0.34200157604412923</v>
      </c>
      <c r="G68" s="16">
        <f t="shared" si="18"/>
        <v>0.31599684791174154</v>
      </c>
      <c r="H68" s="16">
        <f t="shared" si="19"/>
        <v>0.3396375098502758</v>
      </c>
      <c r="I68" s="2" t="s">
        <v>18</v>
      </c>
      <c r="J68" s="3">
        <v>3373</v>
      </c>
      <c r="K68" s="3">
        <v>13</v>
      </c>
      <c r="L68" s="3">
        <v>3</v>
      </c>
      <c r="M68" s="3"/>
    </row>
    <row r="69" spans="1:13" ht="15">
      <c r="A69" s="2" t="s">
        <v>36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6">
        <f t="shared" si="17"/>
        <v>4.4001476559616094E-2</v>
      </c>
      <c r="G69" s="16">
        <f t="shared" si="18"/>
        <v>0.76899224806201549</v>
      </c>
      <c r="H69" s="16">
        <f t="shared" si="19"/>
        <v>0.18634182355112588</v>
      </c>
      <c r="I69" s="2"/>
      <c r="J69" s="2"/>
      <c r="K69" s="2"/>
      <c r="L69" s="5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A100"/>
  <sheetViews>
    <sheetView topLeftCell="K12" zoomScale="70" zoomScaleNormal="70" workbookViewId="0">
      <selection activeCell="S74" sqref="S74"/>
    </sheetView>
  </sheetViews>
  <sheetFormatPr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50.140625" customWidth="1"/>
    <col min="16" max="16" width="14.5703125" customWidth="1"/>
    <col min="19" max="19" width="42.28515625" bestFit="1" customWidth="1"/>
    <col min="20" max="20" width="26.5703125" bestFit="1" customWidth="1"/>
    <col min="21" max="21" width="28.5703125" bestFit="1" customWidth="1"/>
    <col min="24" max="24" width="42.28515625" bestFit="1" customWidth="1"/>
    <col min="25" max="25" width="26.5703125" bestFit="1" customWidth="1"/>
    <col min="26" max="26" width="12.42578125" bestFit="1" customWidth="1"/>
  </cols>
  <sheetData>
    <row r="1" spans="1:16" ht="15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6" ht="15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4" si="0">C2/B2</f>
        <v>0</v>
      </c>
      <c r="G2" s="16">
        <f t="shared" ref="G2:G14" si="1">D2/B2</f>
        <v>0.99954696466324378</v>
      </c>
      <c r="H2" s="16">
        <f t="shared" ref="H2:H16" si="2">E2/B2</f>
        <v>4.5303533675626698E-4</v>
      </c>
      <c r="I2" s="2" t="s">
        <v>5</v>
      </c>
      <c r="J2" s="3">
        <v>19764</v>
      </c>
      <c r="K2" s="3">
        <v>1626</v>
      </c>
      <c r="L2" s="3">
        <v>756</v>
      </c>
    </row>
    <row r="3" spans="1:16" ht="15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2" t="s">
        <v>6</v>
      </c>
      <c r="J3" s="3">
        <v>6540</v>
      </c>
      <c r="K3" s="3">
        <v>182</v>
      </c>
      <c r="L3" s="3">
        <v>212</v>
      </c>
      <c r="O3" s="20" t="s">
        <v>46</v>
      </c>
      <c r="P3" s="13" t="s">
        <v>38</v>
      </c>
    </row>
    <row r="4" spans="1:16" ht="15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2" t="s">
        <v>7</v>
      </c>
      <c r="J4" s="3">
        <v>5213</v>
      </c>
      <c r="K4" s="3">
        <v>193</v>
      </c>
      <c r="L4" s="3">
        <v>244</v>
      </c>
      <c r="O4" s="13" t="s">
        <v>39</v>
      </c>
      <c r="P4" s="5">
        <v>40606</v>
      </c>
    </row>
    <row r="5" spans="1:16" ht="15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2" t="s">
        <v>8</v>
      </c>
      <c r="J5" s="3">
        <v>5728</v>
      </c>
      <c r="K5" s="3">
        <v>356</v>
      </c>
      <c r="L5" s="3">
        <v>539</v>
      </c>
      <c r="O5" s="13" t="s">
        <v>42</v>
      </c>
      <c r="P5" s="5">
        <v>11799</v>
      </c>
    </row>
    <row r="6" spans="1:16" ht="15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>
        <v>5780</v>
      </c>
      <c r="K6" s="3">
        <v>550</v>
      </c>
      <c r="L6" s="3">
        <v>250</v>
      </c>
      <c r="O6" s="13" t="s">
        <v>40</v>
      </c>
      <c r="P6" s="5">
        <v>8010</v>
      </c>
    </row>
    <row r="7" spans="1:16" ht="15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2" t="s">
        <v>10</v>
      </c>
      <c r="J7" s="3">
        <v>5491</v>
      </c>
      <c r="K7" s="3">
        <v>452</v>
      </c>
      <c r="L7" s="3">
        <v>492</v>
      </c>
      <c r="O7" s="13" t="s">
        <v>41</v>
      </c>
      <c r="P7" s="5">
        <v>7550</v>
      </c>
    </row>
    <row r="8" spans="1:16" ht="15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2" t="s">
        <v>11</v>
      </c>
      <c r="J8" s="3">
        <v>3906</v>
      </c>
      <c r="K8" s="3">
        <v>275</v>
      </c>
      <c r="L8" s="3">
        <v>129</v>
      </c>
    </row>
    <row r="9" spans="1:16" ht="15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1878</v>
      </c>
      <c r="K9" s="3">
        <v>88</v>
      </c>
      <c r="L9" s="3">
        <v>76</v>
      </c>
    </row>
    <row r="10" spans="1:16" ht="15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>
        <v>3650</v>
      </c>
      <c r="K10" s="3">
        <v>123</v>
      </c>
      <c r="L10" s="3">
        <v>48</v>
      </c>
    </row>
    <row r="11" spans="1:16" ht="15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2286</v>
      </c>
      <c r="K11" s="3">
        <v>37</v>
      </c>
      <c r="L11" s="3">
        <v>30</v>
      </c>
    </row>
    <row r="12" spans="1:16" ht="15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1974</v>
      </c>
      <c r="K12" s="3">
        <v>28</v>
      </c>
      <c r="L12" s="3">
        <v>20</v>
      </c>
    </row>
    <row r="13" spans="1:16" ht="15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1985</v>
      </c>
      <c r="K13" s="3">
        <v>21</v>
      </c>
      <c r="L13" s="3">
        <v>6</v>
      </c>
    </row>
    <row r="14" spans="1:16" ht="15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3874</v>
      </c>
      <c r="K14" s="3">
        <v>222</v>
      </c>
      <c r="L14" s="3">
        <v>321</v>
      </c>
    </row>
    <row r="15" spans="1:16" ht="15">
      <c r="A15" s="2" t="s">
        <v>18</v>
      </c>
      <c r="B15" s="3">
        <v>6108</v>
      </c>
      <c r="C15" s="3">
        <v>6105</v>
      </c>
      <c r="D15" s="21">
        <v>0</v>
      </c>
      <c r="E15" s="3">
        <v>3</v>
      </c>
      <c r="F15" s="16">
        <f>C15/B15</f>
        <v>0.99950884086444003</v>
      </c>
      <c r="G15" s="16">
        <f>D15/B15</f>
        <v>0</v>
      </c>
      <c r="H15" s="16">
        <f t="shared" si="2"/>
        <v>4.9115913555992138E-4</v>
      </c>
      <c r="I15" s="2" t="s">
        <v>18</v>
      </c>
      <c r="J15" s="3">
        <v>2505</v>
      </c>
      <c r="K15" s="3">
        <v>18</v>
      </c>
      <c r="L15" s="3">
        <v>14</v>
      </c>
    </row>
    <row r="16" spans="1:16" ht="15">
      <c r="A16" s="2" t="s">
        <v>19</v>
      </c>
      <c r="B16" s="3">
        <f t="shared" ref="B16:E16" si="3">SUM(B2:B15)</f>
        <v>89899</v>
      </c>
      <c r="C16" s="3">
        <f t="shared" si="3"/>
        <v>10835</v>
      </c>
      <c r="D16" s="3">
        <f t="shared" si="3"/>
        <v>79038</v>
      </c>
      <c r="E16" s="3">
        <f t="shared" si="3"/>
        <v>21</v>
      </c>
      <c r="F16" s="16">
        <f>C16/B16</f>
        <v>0.12052414376133216</v>
      </c>
      <c r="G16" s="16">
        <f>D16/B16</f>
        <v>0.87918664278801761</v>
      </c>
      <c r="H16" s="16">
        <f t="shared" si="2"/>
        <v>2.3359547937129447E-4</v>
      </c>
      <c r="I16" s="2"/>
      <c r="J16" s="2"/>
      <c r="K16" s="2"/>
      <c r="L16" s="2"/>
      <c r="M16" s="14"/>
    </row>
    <row r="17" spans="1:12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5">
      <c r="A23" s="6" t="s">
        <v>28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47</v>
      </c>
      <c r="K23" s="2" t="s">
        <v>23</v>
      </c>
      <c r="L23" s="2" t="s">
        <v>24</v>
      </c>
    </row>
    <row r="24" spans="1:12" ht="15">
      <c r="A24" s="2" t="s">
        <v>5</v>
      </c>
      <c r="B24" s="3"/>
      <c r="C24" s="3"/>
      <c r="D24" s="3"/>
      <c r="E24" s="3"/>
      <c r="F24" s="4"/>
      <c r="G24" s="4"/>
      <c r="H24" s="4"/>
      <c r="I24" s="2" t="s">
        <v>5</v>
      </c>
      <c r="J24" s="3"/>
      <c r="K24" s="3"/>
      <c r="L24" s="3"/>
    </row>
    <row r="25" spans="1:12" ht="15">
      <c r="A25" s="2" t="s">
        <v>6</v>
      </c>
      <c r="B25" s="3"/>
      <c r="C25" s="3"/>
      <c r="D25" s="3"/>
      <c r="E25" s="3"/>
      <c r="F25" s="4"/>
      <c r="G25" s="4"/>
      <c r="H25" s="4"/>
      <c r="I25" s="2" t="s">
        <v>6</v>
      </c>
      <c r="J25" s="3"/>
      <c r="K25" s="3"/>
      <c r="L25" s="3"/>
    </row>
    <row r="26" spans="1:12" ht="15">
      <c r="A26" s="2" t="s">
        <v>7</v>
      </c>
      <c r="B26" s="3"/>
      <c r="C26" s="3"/>
      <c r="D26" s="3"/>
      <c r="E26" s="3"/>
      <c r="F26" s="4"/>
      <c r="G26" s="4"/>
      <c r="H26" s="4"/>
      <c r="I26" s="2" t="s">
        <v>7</v>
      </c>
      <c r="J26" s="3"/>
      <c r="K26" s="3"/>
      <c r="L26" s="3"/>
    </row>
    <row r="27" spans="1:12" ht="15">
      <c r="A27" s="2" t="s">
        <v>8</v>
      </c>
      <c r="B27" s="3"/>
      <c r="C27" s="3"/>
      <c r="D27" s="3"/>
      <c r="E27" s="3"/>
      <c r="F27" s="4"/>
      <c r="G27" s="4"/>
      <c r="H27" s="4"/>
      <c r="I27" s="2" t="s">
        <v>8</v>
      </c>
      <c r="J27" s="3"/>
      <c r="K27" s="3"/>
      <c r="L27" s="3"/>
    </row>
    <row r="28" spans="1:12" ht="15">
      <c r="A28" s="2" t="s">
        <v>9</v>
      </c>
      <c r="B28" s="3"/>
      <c r="C28" s="3"/>
      <c r="D28" s="3"/>
      <c r="E28" s="3"/>
      <c r="F28" s="4"/>
      <c r="G28" s="4"/>
      <c r="H28" s="4"/>
      <c r="I28" s="2" t="s">
        <v>9</v>
      </c>
      <c r="J28" s="3"/>
      <c r="K28" s="3"/>
      <c r="L28" s="3"/>
    </row>
    <row r="29" spans="1:12" ht="15">
      <c r="A29" s="2" t="s">
        <v>10</v>
      </c>
      <c r="B29" s="3"/>
      <c r="C29" s="3"/>
      <c r="D29" s="3"/>
      <c r="E29" s="3"/>
      <c r="F29" s="4"/>
      <c r="G29" s="4"/>
      <c r="H29" s="4"/>
      <c r="I29" s="2" t="s">
        <v>10</v>
      </c>
      <c r="J29" s="3"/>
      <c r="K29" s="3"/>
      <c r="L29" s="3"/>
    </row>
    <row r="30" spans="1:12" ht="15">
      <c r="A30" s="2" t="s">
        <v>11</v>
      </c>
      <c r="B30" s="3"/>
      <c r="C30" s="3"/>
      <c r="D30" s="3"/>
      <c r="E30" s="3"/>
      <c r="F30" s="4"/>
      <c r="G30" s="4"/>
      <c r="H30" s="4"/>
      <c r="I30" s="2" t="s">
        <v>11</v>
      </c>
      <c r="J30" s="3"/>
      <c r="K30" s="3"/>
      <c r="L30" s="3"/>
    </row>
    <row r="31" spans="1:12" ht="15">
      <c r="A31" s="2" t="s">
        <v>12</v>
      </c>
      <c r="B31" s="3"/>
      <c r="C31" s="3"/>
      <c r="D31" s="3"/>
      <c r="E31" s="3"/>
      <c r="F31" s="4"/>
      <c r="G31" s="4"/>
      <c r="H31" s="4"/>
      <c r="I31" s="2" t="s">
        <v>12</v>
      </c>
      <c r="J31" s="3"/>
      <c r="K31" s="3"/>
      <c r="L31" s="3"/>
    </row>
    <row r="32" spans="1:12" ht="15">
      <c r="A32" s="2" t="s">
        <v>13</v>
      </c>
      <c r="B32" s="3"/>
      <c r="C32" s="3"/>
      <c r="D32" s="3"/>
      <c r="E32" s="3"/>
      <c r="F32" s="4"/>
      <c r="G32" s="4"/>
      <c r="H32" s="4"/>
      <c r="I32" s="2" t="s">
        <v>13</v>
      </c>
      <c r="J32" s="3"/>
      <c r="K32" s="3"/>
      <c r="L32" s="3"/>
    </row>
    <row r="33" spans="1:25" ht="15">
      <c r="A33" s="2" t="s">
        <v>14</v>
      </c>
      <c r="B33" s="3"/>
      <c r="C33" s="3"/>
      <c r="D33" s="3"/>
      <c r="E33" s="3"/>
      <c r="F33" s="4"/>
      <c r="G33" s="4"/>
      <c r="H33" s="4"/>
      <c r="I33" s="2" t="s">
        <v>14</v>
      </c>
      <c r="J33" s="3"/>
      <c r="K33" s="3"/>
      <c r="L33" s="3"/>
    </row>
    <row r="34" spans="1:25" ht="15">
      <c r="A34" s="2" t="s">
        <v>15</v>
      </c>
      <c r="B34" s="3"/>
      <c r="C34" s="3"/>
      <c r="D34" s="3"/>
      <c r="E34" s="3"/>
      <c r="F34" s="4"/>
      <c r="G34" s="4"/>
      <c r="H34" s="4"/>
      <c r="I34" s="2" t="s">
        <v>25</v>
      </c>
      <c r="J34" s="3"/>
      <c r="K34" s="3"/>
      <c r="L34" s="3"/>
    </row>
    <row r="35" spans="1:25" ht="15">
      <c r="A35" s="2" t="s">
        <v>16</v>
      </c>
      <c r="B35" s="3"/>
      <c r="C35" s="3"/>
      <c r="D35" s="3"/>
      <c r="E35" s="3"/>
      <c r="F35" s="4"/>
      <c r="G35" s="4"/>
      <c r="H35" s="4"/>
      <c r="I35" s="2" t="s">
        <v>26</v>
      </c>
      <c r="J35" s="3"/>
      <c r="K35" s="3"/>
      <c r="L35" s="3"/>
    </row>
    <row r="36" spans="1:25" ht="15">
      <c r="A36" s="2" t="s">
        <v>17</v>
      </c>
      <c r="B36" s="3"/>
      <c r="C36" s="3"/>
      <c r="D36" s="3"/>
      <c r="E36" s="3"/>
      <c r="F36" s="4"/>
      <c r="G36" s="4"/>
      <c r="H36" s="4"/>
      <c r="I36" s="2" t="s">
        <v>27</v>
      </c>
      <c r="J36" s="3"/>
      <c r="K36" s="3"/>
      <c r="L36" s="3"/>
    </row>
    <row r="37" spans="1:25" ht="15">
      <c r="A37" s="2" t="s">
        <v>18</v>
      </c>
      <c r="B37" s="3"/>
      <c r="C37" s="3"/>
      <c r="D37" s="3"/>
      <c r="E37" s="3"/>
      <c r="F37" s="4"/>
      <c r="G37" s="4"/>
      <c r="H37" s="4"/>
      <c r="I37" s="2" t="s">
        <v>18</v>
      </c>
      <c r="J37" s="3"/>
      <c r="K37" s="3"/>
      <c r="L37" s="3"/>
    </row>
    <row r="38" spans="1:25" ht="15">
      <c r="A38" s="2" t="s">
        <v>19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</row>
    <row r="39" spans="1:25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25" ht="15">
      <c r="A44" s="2" t="s">
        <v>29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30</v>
      </c>
      <c r="K44" s="2" t="s">
        <v>23</v>
      </c>
      <c r="L44" s="2" t="s">
        <v>24</v>
      </c>
      <c r="T44" s="40" t="s">
        <v>82</v>
      </c>
      <c r="Y44" s="40" t="s">
        <v>82</v>
      </c>
    </row>
    <row r="45" spans="1:25" ht="15">
      <c r="A45" s="2" t="s">
        <v>5</v>
      </c>
      <c r="B45" s="3">
        <v>85</v>
      </c>
      <c r="C45" s="3">
        <v>69</v>
      </c>
      <c r="D45" s="2">
        <v>16</v>
      </c>
      <c r="E45" s="2">
        <v>0</v>
      </c>
      <c r="F45" s="16">
        <f t="shared" ref="F45:F59" si="4">C45/B45</f>
        <v>0.81176470588235294</v>
      </c>
      <c r="G45" s="16">
        <f t="shared" ref="G45:G59" si="5">D45/B45</f>
        <v>0.18823529411764706</v>
      </c>
      <c r="H45" s="16">
        <f t="shared" ref="H45:H59" si="6">E45/B45</f>
        <v>0</v>
      </c>
      <c r="I45" s="2" t="s">
        <v>5</v>
      </c>
      <c r="J45" s="3">
        <v>20243</v>
      </c>
      <c r="K45" s="3">
        <v>782</v>
      </c>
      <c r="L45" s="3">
        <v>1581</v>
      </c>
      <c r="S45" s="40" t="s">
        <v>39</v>
      </c>
      <c r="T45">
        <v>3</v>
      </c>
      <c r="X45" s="40" t="s">
        <v>39</v>
      </c>
      <c r="Y45">
        <v>0</v>
      </c>
    </row>
    <row r="46" spans="1:25" ht="15">
      <c r="A46" s="2" t="s">
        <v>6</v>
      </c>
      <c r="B46" s="3">
        <f>SUM(35+208)</f>
        <v>243</v>
      </c>
      <c r="C46" s="3">
        <f>SUM(189+32)</f>
        <v>221</v>
      </c>
      <c r="D46" s="3">
        <f>SUM(3+7+9)</f>
        <v>19</v>
      </c>
      <c r="E46" s="3">
        <v>3</v>
      </c>
      <c r="F46" s="16">
        <f t="shared" si="4"/>
        <v>0.90946502057613166</v>
      </c>
      <c r="G46" s="16">
        <f t="shared" si="5"/>
        <v>7.8189300411522639E-2</v>
      </c>
      <c r="H46" s="16">
        <f t="shared" si="6"/>
        <v>1.2345679012345678E-2</v>
      </c>
      <c r="I46" s="2" t="s">
        <v>6</v>
      </c>
      <c r="J46" s="3">
        <v>6599</v>
      </c>
      <c r="K46" s="3">
        <v>208</v>
      </c>
      <c r="L46" s="3">
        <v>186</v>
      </c>
      <c r="S46" s="40" t="s">
        <v>40</v>
      </c>
      <c r="T46">
        <v>6</v>
      </c>
      <c r="U46" s="40" t="s">
        <v>83</v>
      </c>
      <c r="X46" s="40" t="s">
        <v>40</v>
      </c>
      <c r="Y46">
        <v>2</v>
      </c>
    </row>
    <row r="47" spans="1:25" ht="15">
      <c r="A47" s="2" t="s">
        <v>7</v>
      </c>
      <c r="B47" s="3">
        <f>SUM(205+131)</f>
        <v>336</v>
      </c>
      <c r="C47" s="3">
        <f>SUM(195+129)</f>
        <v>324</v>
      </c>
      <c r="D47" s="3">
        <f>SUM(10+2)</f>
        <v>12</v>
      </c>
      <c r="E47" s="3">
        <v>0</v>
      </c>
      <c r="F47" s="16">
        <f t="shared" si="4"/>
        <v>0.9642857142857143</v>
      </c>
      <c r="G47" s="16">
        <f t="shared" si="5"/>
        <v>3.5714285714285712E-2</v>
      </c>
      <c r="H47" s="16">
        <f t="shared" si="6"/>
        <v>0</v>
      </c>
      <c r="I47" s="2" t="s">
        <v>7</v>
      </c>
      <c r="J47" s="3">
        <v>5166</v>
      </c>
      <c r="K47" s="3">
        <v>240</v>
      </c>
      <c r="L47" s="3">
        <v>200</v>
      </c>
      <c r="S47" s="40" t="s">
        <v>41</v>
      </c>
      <c r="T47">
        <v>6</v>
      </c>
      <c r="U47" s="40" t="s">
        <v>84</v>
      </c>
      <c r="X47" s="40" t="s">
        <v>41</v>
      </c>
      <c r="Y47">
        <v>3</v>
      </c>
    </row>
    <row r="48" spans="1:25" ht="15">
      <c r="A48" s="2" t="s">
        <v>8</v>
      </c>
      <c r="B48" s="3">
        <f>SUM(202+15+23)</f>
        <v>240</v>
      </c>
      <c r="C48" s="3">
        <f>SUM(11+6)</f>
        <v>17</v>
      </c>
      <c r="D48" s="3">
        <f>SUM(1+40+15)</f>
        <v>56</v>
      </c>
      <c r="E48" s="3">
        <f>SUM(16+137+15)</f>
        <v>168</v>
      </c>
      <c r="F48" s="16">
        <f t="shared" si="4"/>
        <v>7.0833333333333331E-2</v>
      </c>
      <c r="G48" s="16">
        <f t="shared" si="5"/>
        <v>0.23333333333333334</v>
      </c>
      <c r="H48" s="16">
        <f t="shared" si="6"/>
        <v>0.7</v>
      </c>
      <c r="I48" s="2" t="s">
        <v>8</v>
      </c>
      <c r="J48" s="3">
        <v>5682</v>
      </c>
      <c r="K48" s="3">
        <v>529</v>
      </c>
      <c r="L48" s="3">
        <v>354</v>
      </c>
    </row>
    <row r="49" spans="1:27" ht="15">
      <c r="A49" s="2" t="s">
        <v>9</v>
      </c>
      <c r="B49" s="3">
        <f>SUM(24+187+154)</f>
        <v>365</v>
      </c>
      <c r="C49" s="3">
        <f>SUM(132+114)</f>
        <v>246</v>
      </c>
      <c r="D49" s="3">
        <f>SUM(55+40+24)</f>
        <v>119</v>
      </c>
      <c r="E49" s="3">
        <v>0</v>
      </c>
      <c r="F49" s="16">
        <f t="shared" si="4"/>
        <v>0.67397260273972603</v>
      </c>
      <c r="G49" s="16">
        <f t="shared" si="5"/>
        <v>0.32602739726027397</v>
      </c>
      <c r="H49" s="16">
        <f t="shared" si="6"/>
        <v>0</v>
      </c>
      <c r="I49" s="2" t="s">
        <v>9</v>
      </c>
      <c r="J49" s="3">
        <v>5795</v>
      </c>
      <c r="K49" s="3">
        <v>248</v>
      </c>
      <c r="L49" s="3">
        <v>524</v>
      </c>
    </row>
    <row r="50" spans="1:27" ht="15">
      <c r="A50" s="2" t="s">
        <v>10</v>
      </c>
      <c r="B50" s="3">
        <f>SUM(231+19)</f>
        <v>250</v>
      </c>
      <c r="C50" s="3">
        <f>SUM(81+6)</f>
        <v>87</v>
      </c>
      <c r="D50" s="3">
        <f>SUM(85+3+65)</f>
        <v>153</v>
      </c>
      <c r="E50" s="3">
        <v>10</v>
      </c>
      <c r="F50" s="16">
        <f t="shared" si="4"/>
        <v>0.34799999999999998</v>
      </c>
      <c r="G50" s="16">
        <f t="shared" si="5"/>
        <v>0.61199999999999999</v>
      </c>
      <c r="H50" s="16">
        <f t="shared" si="6"/>
        <v>0.04</v>
      </c>
      <c r="I50" s="2" t="s">
        <v>10</v>
      </c>
      <c r="J50" s="3">
        <v>5477</v>
      </c>
      <c r="K50" s="3">
        <v>507</v>
      </c>
      <c r="L50" s="3">
        <v>457</v>
      </c>
      <c r="S50" s="13" t="s">
        <v>85</v>
      </c>
      <c r="T50" s="13" t="s">
        <v>86</v>
      </c>
      <c r="U50" s="13" t="s">
        <v>87</v>
      </c>
      <c r="V50" s="13" t="s">
        <v>88</v>
      </c>
      <c r="X50" s="13" t="s">
        <v>85</v>
      </c>
      <c r="Y50" s="13" t="s">
        <v>86</v>
      </c>
      <c r="Z50" s="13" t="s">
        <v>87</v>
      </c>
      <c r="AA50" s="13" t="s">
        <v>88</v>
      </c>
    </row>
    <row r="51" spans="1:27" ht="15">
      <c r="A51" s="2" t="s">
        <v>11</v>
      </c>
      <c r="B51" s="3">
        <f>SUM(210+154)</f>
        <v>364</v>
      </c>
      <c r="C51" s="3">
        <v>0</v>
      </c>
      <c r="D51" s="3">
        <f>SUM(138+72+154)</f>
        <v>364</v>
      </c>
      <c r="E51" s="3">
        <v>0</v>
      </c>
      <c r="F51" s="16">
        <f t="shared" si="4"/>
        <v>0</v>
      </c>
      <c r="G51" s="16">
        <f t="shared" si="5"/>
        <v>1</v>
      </c>
      <c r="H51" s="16">
        <f t="shared" si="6"/>
        <v>0</v>
      </c>
      <c r="I51" s="2" t="s">
        <v>11</v>
      </c>
      <c r="J51" s="3">
        <v>3917</v>
      </c>
      <c r="K51" s="3">
        <v>144</v>
      </c>
      <c r="L51" s="3">
        <v>267</v>
      </c>
      <c r="S51" s="48" t="s">
        <v>5</v>
      </c>
      <c r="T51" s="18">
        <f>C2/B2</f>
        <v>0</v>
      </c>
      <c r="U51" s="46">
        <f>C45/B45</f>
        <v>0.81176470588235294</v>
      </c>
      <c r="V51" s="47">
        <f>C64/B64</f>
        <v>0.3503787878787879</v>
      </c>
      <c r="X51" s="51" t="s">
        <v>5</v>
      </c>
      <c r="Y51" s="44">
        <f>E2/B2</f>
        <v>4.5303533675626698E-4</v>
      </c>
      <c r="Z51" s="44">
        <f>E45/B45</f>
        <v>0</v>
      </c>
      <c r="AA51" s="44">
        <f>E64/B64</f>
        <v>0</v>
      </c>
    </row>
    <row r="52" spans="1:27" ht="15">
      <c r="A52" s="2" t="s">
        <v>12</v>
      </c>
      <c r="B52" s="3">
        <f>SUM(193+34)</f>
        <v>227</v>
      </c>
      <c r="C52" s="3">
        <v>2</v>
      </c>
      <c r="D52" s="3">
        <f>SUM(112+34+79)</f>
        <v>225</v>
      </c>
      <c r="E52" s="3">
        <v>0</v>
      </c>
      <c r="F52" s="16">
        <f t="shared" si="4"/>
        <v>8.8105726872246704E-3</v>
      </c>
      <c r="G52" s="16">
        <f t="shared" si="5"/>
        <v>0.99118942731277537</v>
      </c>
      <c r="H52" s="16">
        <f t="shared" si="6"/>
        <v>0</v>
      </c>
      <c r="I52" s="2" t="s">
        <v>12</v>
      </c>
      <c r="J52" s="3">
        <v>1894</v>
      </c>
      <c r="K52" s="3">
        <v>62</v>
      </c>
      <c r="L52" s="3">
        <v>100</v>
      </c>
      <c r="S52" s="48" t="s">
        <v>6</v>
      </c>
      <c r="T52" s="45">
        <f t="shared" ref="T52:T63" si="7">C3/B3</f>
        <v>0.35074261465643869</v>
      </c>
      <c r="U52" s="46">
        <f t="shared" ref="U52:U63" si="8">C46/B46</f>
        <v>0.90946502057613166</v>
      </c>
      <c r="V52" s="47">
        <f t="shared" ref="V52:V62" si="9">C65/B65</f>
        <v>0.68200000000000005</v>
      </c>
      <c r="X52" s="51" t="s">
        <v>6</v>
      </c>
      <c r="Y52" s="44">
        <f t="shared" ref="Y52:Y63" si="10">E3/B3</f>
        <v>1.6321201240411295E-3</v>
      </c>
      <c r="Z52" s="44">
        <f t="shared" ref="Z52:Z63" si="11">E46/B46</f>
        <v>1.2345679012345678E-2</v>
      </c>
      <c r="AA52" s="44">
        <f t="shared" ref="AA52:AA63" si="12">E65/B65</f>
        <v>0</v>
      </c>
    </row>
    <row r="53" spans="1:27" ht="15">
      <c r="A53" s="2" t="s">
        <v>13</v>
      </c>
      <c r="B53" s="3">
        <f>SUM(202+187)</f>
        <v>389</v>
      </c>
      <c r="C53" s="3">
        <f>SUM(46+30)</f>
        <v>76</v>
      </c>
      <c r="D53" s="3">
        <f>SUM(18+3)</f>
        <v>21</v>
      </c>
      <c r="E53" s="3">
        <f>SUM(145+19+123+5)</f>
        <v>292</v>
      </c>
      <c r="F53" s="18">
        <f t="shared" si="4"/>
        <v>0.19537275064267351</v>
      </c>
      <c r="G53" s="18">
        <f t="shared" si="5"/>
        <v>5.3984575835475578E-2</v>
      </c>
      <c r="H53" s="18">
        <f t="shared" si="6"/>
        <v>0.75064267352185088</v>
      </c>
      <c r="I53" s="2" t="s">
        <v>13</v>
      </c>
      <c r="J53" s="3">
        <v>3635</v>
      </c>
      <c r="K53" s="3">
        <v>60</v>
      </c>
      <c r="L53" s="3">
        <v>127</v>
      </c>
      <c r="S53" s="48" t="s">
        <v>7</v>
      </c>
      <c r="T53" s="45">
        <f t="shared" si="7"/>
        <v>0.1056923076923077</v>
      </c>
      <c r="U53" s="46">
        <f t="shared" si="8"/>
        <v>0.9642857142857143</v>
      </c>
      <c r="V53" s="47">
        <f t="shared" si="9"/>
        <v>0.78969072164948451</v>
      </c>
      <c r="X53" s="51" t="s">
        <v>7</v>
      </c>
      <c r="Y53" s="44">
        <f t="shared" si="10"/>
        <v>1.5384615384615385E-4</v>
      </c>
      <c r="Z53" s="44">
        <f t="shared" si="11"/>
        <v>0</v>
      </c>
      <c r="AA53" s="44">
        <f t="shared" si="12"/>
        <v>1.8556701030927835E-2</v>
      </c>
    </row>
    <row r="54" spans="1:27" ht="15">
      <c r="A54" s="2" t="s">
        <v>14</v>
      </c>
      <c r="B54" s="3">
        <f>SUM(228+32)</f>
        <v>260</v>
      </c>
      <c r="C54" s="3">
        <f>SUM(202+31)</f>
        <v>233</v>
      </c>
      <c r="D54" s="3">
        <f>SUM(6+8+13)</f>
        <v>27</v>
      </c>
      <c r="E54" s="2">
        <v>0</v>
      </c>
      <c r="F54" s="18">
        <f t="shared" si="4"/>
        <v>0.89615384615384619</v>
      </c>
      <c r="G54" s="18">
        <f t="shared" si="5"/>
        <v>0.10384615384615385</v>
      </c>
      <c r="H54" s="18">
        <f t="shared" si="6"/>
        <v>0</v>
      </c>
      <c r="I54" s="2" t="s">
        <v>14</v>
      </c>
      <c r="J54" s="3">
        <v>2265</v>
      </c>
      <c r="K54" s="3">
        <v>29</v>
      </c>
      <c r="L54" s="3">
        <v>32</v>
      </c>
      <c r="S54" s="48" t="s">
        <v>8</v>
      </c>
      <c r="T54" s="45">
        <f t="shared" si="7"/>
        <v>0.31248968817026895</v>
      </c>
      <c r="U54" s="49">
        <f t="shared" si="8"/>
        <v>7.0833333333333331E-2</v>
      </c>
      <c r="V54" s="50">
        <f t="shared" si="9"/>
        <v>0.1095890410958904</v>
      </c>
      <c r="X54" s="48" t="s">
        <v>8</v>
      </c>
      <c r="Y54" s="44">
        <f t="shared" si="10"/>
        <v>6.5995710278831873E-4</v>
      </c>
      <c r="Z54" s="47">
        <f t="shared" si="11"/>
        <v>0.7</v>
      </c>
      <c r="AA54" s="47">
        <f t="shared" si="12"/>
        <v>0.48923679060665359</v>
      </c>
    </row>
    <row r="55" spans="1:27" ht="15">
      <c r="A55" s="2" t="s">
        <v>15</v>
      </c>
      <c r="B55" s="2">
        <v>98</v>
      </c>
      <c r="C55" s="2">
        <v>91</v>
      </c>
      <c r="D55" s="2">
        <v>7</v>
      </c>
      <c r="E55" s="2">
        <v>0</v>
      </c>
      <c r="F55" s="16">
        <f t="shared" si="4"/>
        <v>0.9285714285714286</v>
      </c>
      <c r="G55" s="16">
        <f t="shared" si="5"/>
        <v>7.1428571428571425E-2</v>
      </c>
      <c r="H55" s="16">
        <f t="shared" si="6"/>
        <v>0</v>
      </c>
      <c r="I55" s="2" t="s">
        <v>25</v>
      </c>
      <c r="J55" s="3">
        <v>2265</v>
      </c>
      <c r="K55" s="3">
        <v>19</v>
      </c>
      <c r="L55" s="3">
        <v>25</v>
      </c>
      <c r="S55" s="48" t="s">
        <v>9</v>
      </c>
      <c r="T55" s="18">
        <f t="shared" si="7"/>
        <v>0</v>
      </c>
      <c r="U55" s="46">
        <f t="shared" si="8"/>
        <v>0.67397260273972603</v>
      </c>
      <c r="V55" s="50">
        <f t="shared" si="9"/>
        <v>0.20528455284552846</v>
      </c>
      <c r="X55" s="48" t="s">
        <v>9</v>
      </c>
      <c r="Y55" s="44">
        <f t="shared" si="10"/>
        <v>0</v>
      </c>
      <c r="Z55" s="44">
        <f t="shared" si="11"/>
        <v>0</v>
      </c>
      <c r="AA55" s="47">
        <f t="shared" si="12"/>
        <v>0.39227642276422764</v>
      </c>
    </row>
    <row r="56" spans="1:27" ht="15">
      <c r="A56" s="2" t="s">
        <v>16</v>
      </c>
      <c r="B56" s="3">
        <v>223</v>
      </c>
      <c r="C56" s="3">
        <v>0</v>
      </c>
      <c r="D56" s="3">
        <f>SUM(125+74+24)</f>
        <v>223</v>
      </c>
      <c r="E56" s="3">
        <v>0</v>
      </c>
      <c r="F56" s="16">
        <f t="shared" si="4"/>
        <v>0</v>
      </c>
      <c r="G56" s="16">
        <f t="shared" si="5"/>
        <v>1</v>
      </c>
      <c r="H56" s="16">
        <f t="shared" si="6"/>
        <v>0</v>
      </c>
      <c r="I56" s="2" t="s">
        <v>26</v>
      </c>
      <c r="J56" s="3">
        <v>2067</v>
      </c>
      <c r="K56" s="3">
        <v>7</v>
      </c>
      <c r="L56" s="3">
        <v>13</v>
      </c>
      <c r="S56" s="48" t="s">
        <v>10</v>
      </c>
      <c r="T56" s="18">
        <f t="shared" si="7"/>
        <v>0</v>
      </c>
      <c r="U56" s="46">
        <f t="shared" si="8"/>
        <v>0.34799999999999998</v>
      </c>
      <c r="V56" s="47">
        <f t="shared" si="9"/>
        <v>0.65052631578947373</v>
      </c>
      <c r="X56" s="51" t="s">
        <v>10</v>
      </c>
      <c r="Y56" s="44">
        <f t="shared" si="10"/>
        <v>0</v>
      </c>
      <c r="Z56" s="44">
        <f t="shared" si="11"/>
        <v>0.04</v>
      </c>
      <c r="AA56" s="44">
        <f t="shared" si="12"/>
        <v>0.1368421052631579</v>
      </c>
    </row>
    <row r="57" spans="1:27" ht="15">
      <c r="A57" s="2" t="s">
        <v>17</v>
      </c>
      <c r="B57" s="3">
        <f>SUM(210+130)</f>
        <v>340</v>
      </c>
      <c r="C57" s="3">
        <v>0</v>
      </c>
      <c r="D57" s="3">
        <f>SUM(210+130)</f>
        <v>340</v>
      </c>
      <c r="E57" s="3">
        <v>0</v>
      </c>
      <c r="F57" s="16">
        <f t="shared" si="4"/>
        <v>0</v>
      </c>
      <c r="G57" s="16">
        <f t="shared" si="5"/>
        <v>1</v>
      </c>
      <c r="H57" s="16">
        <f t="shared" si="6"/>
        <v>0</v>
      </c>
      <c r="I57" s="2" t="s">
        <v>27</v>
      </c>
      <c r="J57" s="3">
        <v>3925</v>
      </c>
      <c r="K57" s="3">
        <v>320</v>
      </c>
      <c r="L57" s="3">
        <v>227</v>
      </c>
      <c r="S57" s="13" t="s">
        <v>11</v>
      </c>
      <c r="T57" s="18">
        <f t="shared" si="7"/>
        <v>0</v>
      </c>
      <c r="U57" s="43">
        <f t="shared" si="8"/>
        <v>0</v>
      </c>
      <c r="V57" s="44">
        <f t="shared" si="9"/>
        <v>7.8602620087336247E-2</v>
      </c>
      <c r="X57" s="13" t="s">
        <v>11</v>
      </c>
      <c r="Y57" s="44">
        <f t="shared" si="10"/>
        <v>0</v>
      </c>
      <c r="Z57" s="44">
        <f t="shared" si="11"/>
        <v>0</v>
      </c>
      <c r="AA57" s="44">
        <f t="shared" si="12"/>
        <v>0</v>
      </c>
    </row>
    <row r="58" spans="1:27" ht="15">
      <c r="A58" s="2" t="s">
        <v>18</v>
      </c>
      <c r="B58" s="3">
        <f>SUM(245+37)</f>
        <v>282</v>
      </c>
      <c r="C58" s="3">
        <f>SUM(217+35)</f>
        <v>252</v>
      </c>
      <c r="D58" s="3">
        <f>SUM(2+20+8)</f>
        <v>30</v>
      </c>
      <c r="E58" s="3">
        <v>0</v>
      </c>
      <c r="F58" s="16">
        <f t="shared" si="4"/>
        <v>0.8936170212765957</v>
      </c>
      <c r="G58" s="16">
        <f t="shared" si="5"/>
        <v>0.10638297872340426</v>
      </c>
      <c r="H58" s="16">
        <f t="shared" si="6"/>
        <v>0</v>
      </c>
      <c r="I58" s="2" t="s">
        <v>18</v>
      </c>
      <c r="J58" s="3">
        <v>2506</v>
      </c>
      <c r="K58" s="3">
        <v>14</v>
      </c>
      <c r="L58" s="3">
        <v>16</v>
      </c>
      <c r="S58" s="13" t="s">
        <v>12</v>
      </c>
      <c r="T58" s="18">
        <f t="shared" si="7"/>
        <v>0</v>
      </c>
      <c r="U58" s="43">
        <f t="shared" si="8"/>
        <v>8.8105726872246704E-3</v>
      </c>
      <c r="V58" s="44">
        <f t="shared" si="9"/>
        <v>7.7504725897920609E-2</v>
      </c>
      <c r="X58" s="13" t="s">
        <v>12</v>
      </c>
      <c r="Y58" s="44">
        <f t="shared" si="10"/>
        <v>0</v>
      </c>
      <c r="Z58" s="44">
        <f t="shared" si="11"/>
        <v>0</v>
      </c>
      <c r="AA58" s="44">
        <f t="shared" si="12"/>
        <v>0</v>
      </c>
    </row>
    <row r="59" spans="1:27" ht="15">
      <c r="A59" s="2" t="s">
        <v>19</v>
      </c>
      <c r="B59" s="3">
        <f t="shared" ref="B59:E59" si="13">SUM(B45:B58)</f>
        <v>3702</v>
      </c>
      <c r="C59" s="3">
        <f t="shared" si="13"/>
        <v>1618</v>
      </c>
      <c r="D59" s="3">
        <f t="shared" si="13"/>
        <v>1612</v>
      </c>
      <c r="E59" s="3">
        <f t="shared" si="13"/>
        <v>473</v>
      </c>
      <c r="F59" s="16">
        <f t="shared" si="4"/>
        <v>0.43706104808211776</v>
      </c>
      <c r="G59" s="16">
        <f t="shared" si="5"/>
        <v>0.43544030253916804</v>
      </c>
      <c r="H59" s="16">
        <f t="shared" si="6"/>
        <v>0.1277687736358725</v>
      </c>
      <c r="I59" s="2"/>
      <c r="J59" s="2"/>
      <c r="K59" s="2"/>
      <c r="L59" s="5"/>
      <c r="S59" s="48" t="s">
        <v>13</v>
      </c>
      <c r="T59" s="18">
        <f t="shared" si="7"/>
        <v>0</v>
      </c>
      <c r="U59" s="49">
        <f t="shared" si="8"/>
        <v>0.19537275064267351</v>
      </c>
      <c r="V59" s="47">
        <f t="shared" si="9"/>
        <v>0.94408602150537635</v>
      </c>
      <c r="X59" s="48" t="s">
        <v>13</v>
      </c>
      <c r="Y59" s="44">
        <f t="shared" si="10"/>
        <v>0</v>
      </c>
      <c r="Z59" s="47">
        <f t="shared" si="11"/>
        <v>0.75064267352185088</v>
      </c>
      <c r="AA59" s="44">
        <f t="shared" si="12"/>
        <v>0</v>
      </c>
    </row>
    <row r="60" spans="1:2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S60" s="48" t="s">
        <v>14</v>
      </c>
      <c r="T60" s="18">
        <f t="shared" si="7"/>
        <v>0</v>
      </c>
      <c r="U60" s="46">
        <f t="shared" si="8"/>
        <v>0.89615384615384619</v>
      </c>
      <c r="V60" s="47">
        <f t="shared" si="9"/>
        <v>0.77328646748681895</v>
      </c>
      <c r="X60" s="51" t="s">
        <v>14</v>
      </c>
      <c r="Y60" s="44">
        <f t="shared" si="10"/>
        <v>0</v>
      </c>
      <c r="Z60" s="44">
        <f t="shared" si="11"/>
        <v>0</v>
      </c>
      <c r="AA60" s="44">
        <f t="shared" si="12"/>
        <v>9.1388400702987704E-2</v>
      </c>
    </row>
    <row r="61" spans="1:2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S61" s="48" t="s">
        <v>15</v>
      </c>
      <c r="T61" s="18">
        <f t="shared" si="7"/>
        <v>0</v>
      </c>
      <c r="U61" s="46">
        <f t="shared" si="8"/>
        <v>0.9285714285714286</v>
      </c>
      <c r="V61" s="50">
        <f t="shared" si="9"/>
        <v>6.3524590163934427E-2</v>
      </c>
      <c r="X61" s="48" t="s">
        <v>15</v>
      </c>
      <c r="Y61" s="44">
        <f t="shared" si="10"/>
        <v>0</v>
      </c>
      <c r="Z61" s="44">
        <f t="shared" si="11"/>
        <v>0</v>
      </c>
      <c r="AA61" s="47">
        <f t="shared" si="12"/>
        <v>0.53688524590163933</v>
      </c>
    </row>
    <row r="62" spans="1:2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S62" s="13" t="s">
        <v>16</v>
      </c>
      <c r="T62" s="16">
        <f t="shared" si="7"/>
        <v>0</v>
      </c>
      <c r="U62" s="43">
        <f t="shared" si="8"/>
        <v>0</v>
      </c>
      <c r="V62" s="44">
        <f t="shared" si="9"/>
        <v>0.11790393013100436</v>
      </c>
      <c r="X62" s="13" t="s">
        <v>16</v>
      </c>
      <c r="Y62" s="44">
        <f t="shared" si="10"/>
        <v>0</v>
      </c>
      <c r="Z62" s="44">
        <f t="shared" si="11"/>
        <v>0</v>
      </c>
      <c r="AA62" s="44">
        <f t="shared" si="12"/>
        <v>1.3100436681222707E-2</v>
      </c>
    </row>
    <row r="63" spans="1:27" ht="15">
      <c r="A63" s="2" t="s">
        <v>31</v>
      </c>
      <c r="B63" s="2" t="s">
        <v>1</v>
      </c>
      <c r="C63" s="2" t="s">
        <v>21</v>
      </c>
      <c r="D63" s="2" t="s">
        <v>3</v>
      </c>
      <c r="E63" s="2" t="s">
        <v>4</v>
      </c>
      <c r="F63" s="2" t="s">
        <v>33</v>
      </c>
      <c r="G63" s="2" t="s">
        <v>34</v>
      </c>
      <c r="H63" s="2" t="s">
        <v>35</v>
      </c>
      <c r="I63" s="2"/>
      <c r="J63" s="2" t="s">
        <v>32</v>
      </c>
      <c r="K63" s="2" t="s">
        <v>23</v>
      </c>
      <c r="L63" s="2" t="s">
        <v>24</v>
      </c>
      <c r="S63" s="13" t="s">
        <v>17</v>
      </c>
      <c r="T63" s="16">
        <f t="shared" si="7"/>
        <v>0</v>
      </c>
      <c r="U63" s="43">
        <f t="shared" si="8"/>
        <v>0</v>
      </c>
      <c r="V63" s="44">
        <f>C76/B76</f>
        <v>9.9403578528827044E-2</v>
      </c>
      <c r="X63" s="13" t="s">
        <v>17</v>
      </c>
      <c r="Y63" s="44">
        <f t="shared" si="10"/>
        <v>0</v>
      </c>
      <c r="Z63" s="44">
        <f t="shared" si="11"/>
        <v>0</v>
      </c>
      <c r="AA63" s="44">
        <f t="shared" si="12"/>
        <v>0</v>
      </c>
    </row>
    <row r="64" spans="1:27" ht="15">
      <c r="A64" s="2" t="s">
        <v>5</v>
      </c>
      <c r="B64" s="3">
        <f>196+85+247</f>
        <v>528</v>
      </c>
      <c r="C64" s="3">
        <f>72+32+81</f>
        <v>185</v>
      </c>
      <c r="D64" s="2">
        <f>53+124+166</f>
        <v>343</v>
      </c>
      <c r="E64" s="2">
        <v>0</v>
      </c>
      <c r="F64" s="16">
        <f t="shared" ref="F64:F78" si="14">C64/B64</f>
        <v>0.3503787878787879</v>
      </c>
      <c r="G64" s="16">
        <f t="shared" ref="G64:G78" si="15">D64/B64</f>
        <v>0.64962121212121215</v>
      </c>
      <c r="H64" s="16">
        <f t="shared" ref="H64:H78" si="16">E64/B64</f>
        <v>0</v>
      </c>
      <c r="I64" s="2" t="s">
        <v>5</v>
      </c>
      <c r="J64" s="2">
        <v>23695</v>
      </c>
      <c r="K64" s="3">
        <v>1794</v>
      </c>
      <c r="L64" s="3">
        <v>832</v>
      </c>
    </row>
    <row r="65" spans="1:12" ht="15">
      <c r="A65" s="2" t="s">
        <v>6</v>
      </c>
      <c r="B65" s="3">
        <f>197+68+235</f>
        <v>500</v>
      </c>
      <c r="C65" s="3">
        <f>126+44+171</f>
        <v>341</v>
      </c>
      <c r="D65" s="3">
        <f>71+24+64</f>
        <v>159</v>
      </c>
      <c r="E65" s="3">
        <v>0</v>
      </c>
      <c r="F65" s="16">
        <f t="shared" si="14"/>
        <v>0.68200000000000005</v>
      </c>
      <c r="G65" s="16">
        <f t="shared" si="15"/>
        <v>0.318</v>
      </c>
      <c r="H65" s="16">
        <f t="shared" si="16"/>
        <v>0</v>
      </c>
      <c r="I65" s="2" t="s">
        <v>6</v>
      </c>
      <c r="J65" s="2">
        <v>7304</v>
      </c>
      <c r="K65" s="3">
        <v>198</v>
      </c>
      <c r="L65" s="3">
        <v>206</v>
      </c>
    </row>
    <row r="66" spans="1:12" ht="15">
      <c r="A66" s="2" t="s">
        <v>7</v>
      </c>
      <c r="B66" s="3">
        <f>170+62+253</f>
        <v>485</v>
      </c>
      <c r="C66" s="3">
        <f>129+53+201</f>
        <v>383</v>
      </c>
      <c r="D66" s="3">
        <f>39+9+45</f>
        <v>93</v>
      </c>
      <c r="E66" s="3">
        <f>2+7</f>
        <v>9</v>
      </c>
      <c r="F66" s="16">
        <f t="shared" si="14"/>
        <v>0.78969072164948451</v>
      </c>
      <c r="G66" s="16">
        <f t="shared" si="15"/>
        <v>0.19175257731958764</v>
      </c>
      <c r="H66" s="16">
        <f t="shared" si="16"/>
        <v>1.8556701030927835E-2</v>
      </c>
      <c r="I66" s="2" t="s">
        <v>7</v>
      </c>
      <c r="J66" s="2">
        <v>7115</v>
      </c>
      <c r="K66" s="3">
        <v>267</v>
      </c>
      <c r="L66" s="3">
        <v>274</v>
      </c>
    </row>
    <row r="67" spans="1:12" ht="15">
      <c r="A67" s="2" t="s">
        <v>8</v>
      </c>
      <c r="B67" s="3">
        <f>170+63+278</f>
        <v>511</v>
      </c>
      <c r="C67" s="3">
        <f>32+5+19</f>
        <v>56</v>
      </c>
      <c r="D67" s="3">
        <f>85+37+83</f>
        <v>205</v>
      </c>
      <c r="E67" s="3">
        <f>55+24+171</f>
        <v>250</v>
      </c>
      <c r="F67" s="18">
        <f t="shared" si="14"/>
        <v>0.1095890410958904</v>
      </c>
      <c r="G67" s="18">
        <f t="shared" si="15"/>
        <v>0.40117416829745595</v>
      </c>
      <c r="H67" s="18">
        <f t="shared" si="16"/>
        <v>0.48923679060665359</v>
      </c>
      <c r="I67" s="2" t="s">
        <v>8</v>
      </c>
      <c r="J67" s="2">
        <v>7257</v>
      </c>
      <c r="K67" s="3">
        <v>355</v>
      </c>
      <c r="L67" s="3">
        <v>587</v>
      </c>
    </row>
    <row r="68" spans="1:12" ht="15">
      <c r="A68" s="2" t="s">
        <v>9</v>
      </c>
      <c r="B68" s="3">
        <f>186+79+227</f>
        <v>492</v>
      </c>
      <c r="C68" s="3">
        <f>60+12+29</f>
        <v>101</v>
      </c>
      <c r="D68" s="3">
        <f>82+47+58+11</f>
        <v>198</v>
      </c>
      <c r="E68" s="3">
        <f>44+20+129</f>
        <v>193</v>
      </c>
      <c r="F68" s="18">
        <f t="shared" si="14"/>
        <v>0.20528455284552846</v>
      </c>
      <c r="G68" s="18">
        <f t="shared" si="15"/>
        <v>0.40243902439024393</v>
      </c>
      <c r="H68" s="18">
        <f t="shared" si="16"/>
        <v>0.39227642276422764</v>
      </c>
      <c r="I68" s="2" t="s">
        <v>9</v>
      </c>
      <c r="J68" s="2">
        <v>7425</v>
      </c>
      <c r="K68" s="3">
        <v>701</v>
      </c>
      <c r="L68" s="3">
        <v>382</v>
      </c>
    </row>
    <row r="69" spans="1:12" ht="15">
      <c r="A69" s="2" t="s">
        <v>10</v>
      </c>
      <c r="B69" s="3">
        <f>167+69+239</f>
        <v>475</v>
      </c>
      <c r="C69" s="3">
        <f>110+51+148</f>
        <v>309</v>
      </c>
      <c r="D69" s="3">
        <f>45+18+36</f>
        <v>99</v>
      </c>
      <c r="E69" s="3">
        <f>12+53</f>
        <v>65</v>
      </c>
      <c r="F69" s="16">
        <f t="shared" si="14"/>
        <v>0.65052631578947373</v>
      </c>
      <c r="G69" s="16">
        <f t="shared" si="15"/>
        <v>0.20842105263157895</v>
      </c>
      <c r="H69" s="16">
        <f t="shared" si="16"/>
        <v>0.1368421052631579</v>
      </c>
      <c r="I69" s="2" t="s">
        <v>10</v>
      </c>
      <c r="J69" s="2">
        <v>7913</v>
      </c>
      <c r="K69" s="3">
        <v>595</v>
      </c>
      <c r="L69" s="3">
        <v>749</v>
      </c>
    </row>
    <row r="70" spans="1:12" ht="15">
      <c r="A70" s="2" t="s">
        <v>11</v>
      </c>
      <c r="B70" s="3">
        <f>168+75+215</f>
        <v>458</v>
      </c>
      <c r="C70" s="3">
        <f>15+8+13</f>
        <v>36</v>
      </c>
      <c r="D70" s="3">
        <f>153+67+202</f>
        <v>422</v>
      </c>
      <c r="E70" s="3">
        <v>0</v>
      </c>
      <c r="F70" s="16">
        <f t="shared" si="14"/>
        <v>7.8602620087336247E-2</v>
      </c>
      <c r="G70" s="16">
        <f t="shared" si="15"/>
        <v>0.92139737991266379</v>
      </c>
      <c r="H70" s="16">
        <f t="shared" si="16"/>
        <v>0</v>
      </c>
      <c r="I70" s="2" t="s">
        <v>11</v>
      </c>
      <c r="J70" s="2">
        <v>5029</v>
      </c>
      <c r="K70" s="3">
        <v>380</v>
      </c>
      <c r="L70" s="3">
        <v>220</v>
      </c>
    </row>
    <row r="71" spans="1:12" ht="15">
      <c r="A71" s="2" t="s">
        <v>12</v>
      </c>
      <c r="B71" s="3">
        <f>204+62+263</f>
        <v>529</v>
      </c>
      <c r="C71" s="7">
        <f>19+10+12</f>
        <v>41</v>
      </c>
      <c r="D71" s="3">
        <f>186+52+251</f>
        <v>489</v>
      </c>
      <c r="E71" s="3">
        <v>0</v>
      </c>
      <c r="F71" s="16">
        <f t="shared" si="14"/>
        <v>7.7504725897920609E-2</v>
      </c>
      <c r="G71" s="16">
        <f t="shared" si="15"/>
        <v>0.92438563327032142</v>
      </c>
      <c r="H71" s="16">
        <f t="shared" si="16"/>
        <v>0</v>
      </c>
      <c r="I71" s="2" t="s">
        <v>12</v>
      </c>
      <c r="J71" s="2">
        <v>2558</v>
      </c>
      <c r="K71" s="3">
        <v>150</v>
      </c>
      <c r="L71" s="3">
        <v>165</v>
      </c>
    </row>
    <row r="72" spans="1:12" ht="15">
      <c r="A72" s="2" t="s">
        <v>13</v>
      </c>
      <c r="B72" s="3">
        <f>171+74+220</f>
        <v>465</v>
      </c>
      <c r="C72" s="3">
        <f>159+72+208</f>
        <v>439</v>
      </c>
      <c r="D72" s="3">
        <f>12+2+12</f>
        <v>26</v>
      </c>
      <c r="E72" s="3">
        <v>0</v>
      </c>
      <c r="F72" s="18">
        <f t="shared" si="14"/>
        <v>0.94408602150537635</v>
      </c>
      <c r="G72" s="18">
        <f t="shared" si="15"/>
        <v>5.5913978494623658E-2</v>
      </c>
      <c r="H72" s="18">
        <f t="shared" si="16"/>
        <v>0</v>
      </c>
      <c r="I72" s="2" t="s">
        <v>13</v>
      </c>
      <c r="J72" s="2">
        <v>4800</v>
      </c>
      <c r="K72" s="3">
        <v>138</v>
      </c>
      <c r="L72" s="3">
        <v>49</v>
      </c>
    </row>
    <row r="73" spans="1:12" ht="15">
      <c r="A73" s="2" t="s">
        <v>14</v>
      </c>
      <c r="B73" s="3">
        <f>209+77+231+52</f>
        <v>569</v>
      </c>
      <c r="C73" s="3">
        <f>183+60+197</f>
        <v>440</v>
      </c>
      <c r="D73" s="19">
        <f>26+17+34</f>
        <v>77</v>
      </c>
      <c r="E73" s="2">
        <v>52</v>
      </c>
      <c r="F73" s="18">
        <f t="shared" si="14"/>
        <v>0.77328646748681895</v>
      </c>
      <c r="G73" s="18">
        <f t="shared" si="15"/>
        <v>0.13532513181019332</v>
      </c>
      <c r="H73" s="18">
        <f t="shared" si="16"/>
        <v>9.1388400702987704E-2</v>
      </c>
      <c r="I73" s="2" t="s">
        <v>14</v>
      </c>
      <c r="J73" s="2">
        <v>3104</v>
      </c>
      <c r="K73" s="3">
        <v>40</v>
      </c>
      <c r="L73" s="3">
        <v>34</v>
      </c>
    </row>
    <row r="74" spans="1:12" ht="15">
      <c r="A74" s="2" t="s">
        <v>15</v>
      </c>
      <c r="B74" s="2">
        <f>171+79+238</f>
        <v>488</v>
      </c>
      <c r="C74" s="2">
        <f>30+1</f>
        <v>31</v>
      </c>
      <c r="D74" s="2">
        <f>89+43+63</f>
        <v>195</v>
      </c>
      <c r="E74" s="2">
        <f>36+157+69</f>
        <v>262</v>
      </c>
      <c r="F74" s="18">
        <f t="shared" si="14"/>
        <v>6.3524590163934427E-2</v>
      </c>
      <c r="G74" s="18">
        <f t="shared" si="15"/>
        <v>0.39959016393442626</v>
      </c>
      <c r="H74" s="18">
        <f t="shared" si="16"/>
        <v>0.53688524590163933</v>
      </c>
      <c r="I74" s="2" t="s">
        <v>25</v>
      </c>
      <c r="J74" s="2">
        <v>2489</v>
      </c>
      <c r="K74" s="3">
        <v>31</v>
      </c>
      <c r="L74" s="3">
        <v>24</v>
      </c>
    </row>
    <row r="75" spans="1:12" ht="15">
      <c r="A75" s="2" t="s">
        <v>16</v>
      </c>
      <c r="B75" s="3">
        <f>183+74+201</f>
        <v>458</v>
      </c>
      <c r="C75" s="3">
        <f>29+10+15</f>
        <v>54</v>
      </c>
      <c r="D75" s="3">
        <f>154+64+180</f>
        <v>398</v>
      </c>
      <c r="E75" s="3">
        <v>6</v>
      </c>
      <c r="F75" s="18">
        <f t="shared" si="14"/>
        <v>0.11790393013100436</v>
      </c>
      <c r="G75" s="18">
        <f t="shared" si="15"/>
        <v>0.86899563318777295</v>
      </c>
      <c r="H75" s="18">
        <f t="shared" si="16"/>
        <v>1.3100436681222707E-2</v>
      </c>
      <c r="I75" s="2" t="s">
        <v>26</v>
      </c>
      <c r="J75" s="2">
        <v>2658</v>
      </c>
      <c r="K75" s="3">
        <v>22</v>
      </c>
      <c r="L75" s="3">
        <v>16</v>
      </c>
    </row>
    <row r="76" spans="1:12" ht="15">
      <c r="A76" s="2" t="s">
        <v>17</v>
      </c>
      <c r="B76" s="3">
        <f>209+76+218</f>
        <v>503</v>
      </c>
      <c r="C76" s="3">
        <f>29+10+11</f>
        <v>50</v>
      </c>
      <c r="D76" s="3">
        <f>180+66+207</f>
        <v>453</v>
      </c>
      <c r="E76" s="3">
        <v>0</v>
      </c>
      <c r="F76" s="16">
        <f t="shared" si="14"/>
        <v>9.9403578528827044E-2</v>
      </c>
      <c r="G76" s="16">
        <f t="shared" si="15"/>
        <v>0.90059642147117291</v>
      </c>
      <c r="H76" s="16">
        <f t="shared" si="16"/>
        <v>0</v>
      </c>
      <c r="I76" s="2" t="s">
        <v>27</v>
      </c>
      <c r="J76" s="2">
        <v>4813</v>
      </c>
      <c r="K76" s="3">
        <v>235</v>
      </c>
      <c r="L76" s="3">
        <v>326</v>
      </c>
    </row>
    <row r="77" spans="1:12" ht="15">
      <c r="A77" s="2" t="s">
        <v>18</v>
      </c>
      <c r="B77" s="3">
        <f>211+72+222</f>
        <v>505</v>
      </c>
      <c r="C77" s="3">
        <f>190+65+198</f>
        <v>453</v>
      </c>
      <c r="D77" s="3">
        <f>21+7+24</f>
        <v>52</v>
      </c>
      <c r="E77" s="3">
        <v>0</v>
      </c>
      <c r="F77" s="16">
        <f t="shared" si="14"/>
        <v>0.89702970297029705</v>
      </c>
      <c r="G77" s="16">
        <f t="shared" si="15"/>
        <v>0.10297029702970296</v>
      </c>
      <c r="H77" s="16">
        <f t="shared" si="16"/>
        <v>0</v>
      </c>
      <c r="I77" s="2" t="s">
        <v>18</v>
      </c>
      <c r="J77" s="2">
        <v>3307</v>
      </c>
      <c r="K77" s="3">
        <v>22</v>
      </c>
      <c r="L77" s="3">
        <v>17</v>
      </c>
    </row>
    <row r="78" spans="1:12" ht="15">
      <c r="A78" s="2" t="s">
        <v>19</v>
      </c>
      <c r="B78" s="3">
        <f>SUM(B64,B65,B66,B67,B68,B69,B69:B70,B71,B71,B72,B73,B74,B75,B76,B77)</f>
        <v>7970</v>
      </c>
      <c r="C78" s="3">
        <f>SUM(C64:C77)</f>
        <v>2919</v>
      </c>
      <c r="D78" s="3">
        <f>SUM(D64:D76)</f>
        <v>3157</v>
      </c>
      <c r="E78" s="3">
        <f>SUM(E64:E77)</f>
        <v>837</v>
      </c>
      <c r="F78" s="16">
        <f t="shared" si="14"/>
        <v>0.36624843161856963</v>
      </c>
      <c r="G78" s="16">
        <f t="shared" si="15"/>
        <v>0.39611041405269759</v>
      </c>
      <c r="H78" s="16">
        <f t="shared" si="16"/>
        <v>0.10501882057716437</v>
      </c>
      <c r="I78" s="2"/>
      <c r="J78" s="3"/>
      <c r="K78" s="2"/>
      <c r="L78" s="5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3" spans="1:12" ht="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5">
      <c r="A84" s="8"/>
      <c r="B84" s="9"/>
      <c r="C84" s="9"/>
      <c r="D84" s="8"/>
      <c r="E84" s="8"/>
      <c r="F84" s="17"/>
      <c r="G84" s="17"/>
      <c r="H84" s="17"/>
      <c r="I84" s="8"/>
      <c r="J84" s="8"/>
      <c r="K84" s="9"/>
      <c r="L84" s="9"/>
    </row>
    <row r="85" spans="1:12" ht="15">
      <c r="A85" s="8"/>
      <c r="B85" s="9"/>
      <c r="C85" s="9"/>
      <c r="D85" s="9"/>
      <c r="E85" s="9"/>
      <c r="F85" s="17"/>
      <c r="G85" s="17"/>
      <c r="H85" s="17"/>
      <c r="I85" s="8"/>
      <c r="J85" s="8"/>
      <c r="K85" s="9"/>
      <c r="L85" s="9"/>
    </row>
    <row r="86" spans="1:12" ht="15">
      <c r="A86" s="8"/>
      <c r="B86" s="9"/>
      <c r="C86" s="9"/>
      <c r="D86" s="9"/>
      <c r="E86" s="9"/>
      <c r="F86" s="17"/>
      <c r="G86" s="17"/>
      <c r="H86" s="17"/>
      <c r="I86" s="8"/>
      <c r="J86" s="8"/>
      <c r="K86" s="9"/>
      <c r="L86" s="9"/>
    </row>
    <row r="87" spans="1:12" ht="15">
      <c r="A87" s="8"/>
      <c r="B87" s="9"/>
      <c r="C87" s="9"/>
      <c r="D87" s="9"/>
      <c r="E87" s="9"/>
      <c r="F87" s="17"/>
      <c r="G87" s="17"/>
      <c r="H87" s="17"/>
      <c r="I87" s="8"/>
      <c r="J87" s="8"/>
      <c r="K87" s="9"/>
      <c r="L87" s="9"/>
    </row>
    <row r="88" spans="1:12" ht="15">
      <c r="A88" s="8"/>
      <c r="B88" s="9"/>
      <c r="C88" s="9"/>
      <c r="D88" s="9"/>
      <c r="E88" s="9"/>
      <c r="F88" s="17"/>
      <c r="G88" s="17"/>
      <c r="H88" s="17"/>
      <c r="I88" s="8"/>
      <c r="J88" s="8"/>
      <c r="K88" s="9"/>
      <c r="L88" s="9"/>
    </row>
    <row r="89" spans="1:12" ht="15">
      <c r="A89" s="8"/>
      <c r="B89" s="9"/>
      <c r="C89" s="9"/>
      <c r="D89" s="9"/>
      <c r="E89" s="9"/>
      <c r="F89" s="17"/>
      <c r="G89" s="17"/>
      <c r="H89" s="17"/>
      <c r="I89" s="8"/>
      <c r="J89" s="8"/>
      <c r="K89" s="9"/>
      <c r="L89" s="9"/>
    </row>
    <row r="90" spans="1:12" ht="15">
      <c r="A90" s="8"/>
      <c r="B90" s="9"/>
      <c r="C90" s="9"/>
      <c r="D90" s="9"/>
      <c r="E90" s="9"/>
      <c r="F90" s="17"/>
      <c r="G90" s="17"/>
      <c r="H90" s="17"/>
      <c r="I90" s="8"/>
      <c r="J90" s="8"/>
      <c r="K90" s="9"/>
      <c r="L90" s="9"/>
    </row>
    <row r="91" spans="1:12" ht="15">
      <c r="A91" s="8"/>
      <c r="B91" s="9"/>
      <c r="C91" s="15"/>
      <c r="D91" s="9"/>
      <c r="E91" s="9"/>
      <c r="F91" s="17"/>
      <c r="G91" s="17"/>
      <c r="H91" s="17"/>
      <c r="I91" s="8"/>
      <c r="J91" s="8"/>
      <c r="K91" s="9"/>
      <c r="L91" s="9"/>
    </row>
    <row r="92" spans="1:12" ht="15">
      <c r="A92" s="8"/>
      <c r="B92" s="9"/>
      <c r="C92" s="9"/>
      <c r="D92" s="9"/>
      <c r="E92" s="9"/>
      <c r="F92" s="17"/>
      <c r="G92" s="17"/>
      <c r="H92" s="17"/>
      <c r="I92" s="8"/>
      <c r="J92" s="8"/>
      <c r="K92" s="9"/>
      <c r="L92" s="9"/>
    </row>
    <row r="93" spans="1:12" ht="15">
      <c r="A93" s="8"/>
      <c r="B93" s="9"/>
      <c r="C93" s="9"/>
      <c r="D93" s="9"/>
      <c r="E93" s="8"/>
      <c r="F93" s="17"/>
      <c r="G93" s="17"/>
      <c r="H93" s="17"/>
      <c r="I93" s="8"/>
      <c r="J93" s="8"/>
      <c r="K93" s="9"/>
      <c r="L93" s="9"/>
    </row>
    <row r="94" spans="1:12" ht="15">
      <c r="A94" s="8"/>
      <c r="B94" s="8"/>
      <c r="C94" s="8"/>
      <c r="D94" s="8"/>
      <c r="E94" s="8"/>
      <c r="F94" s="17"/>
      <c r="G94" s="17"/>
      <c r="H94" s="17"/>
      <c r="I94" s="8"/>
      <c r="J94" s="8"/>
      <c r="K94" s="9"/>
      <c r="L94" s="9"/>
    </row>
    <row r="95" spans="1:12" ht="15">
      <c r="A95" s="8"/>
      <c r="B95" s="9"/>
      <c r="C95" s="9"/>
      <c r="D95" s="9"/>
      <c r="E95" s="9"/>
      <c r="F95" s="17"/>
      <c r="G95" s="17"/>
      <c r="H95" s="17"/>
      <c r="I95" s="8"/>
      <c r="J95" s="8"/>
      <c r="K95" s="9"/>
      <c r="L95" s="9"/>
    </row>
    <row r="96" spans="1:12" ht="15">
      <c r="A96" s="8"/>
      <c r="B96" s="9"/>
      <c r="C96" s="9"/>
      <c r="D96" s="9"/>
      <c r="E96" s="9"/>
      <c r="F96" s="17"/>
      <c r="G96" s="17"/>
      <c r="H96" s="17"/>
      <c r="I96" s="8"/>
      <c r="J96" s="8"/>
      <c r="K96" s="9"/>
      <c r="L96" s="9"/>
    </row>
    <row r="97" spans="1:12" ht="15">
      <c r="A97" s="8"/>
      <c r="B97" s="9"/>
      <c r="C97" s="9"/>
      <c r="D97" s="9"/>
      <c r="E97" s="9"/>
      <c r="F97" s="17"/>
      <c r="G97" s="17"/>
      <c r="H97" s="17"/>
      <c r="I97" s="8"/>
      <c r="J97" s="8"/>
      <c r="K97" s="9"/>
      <c r="L97" s="9"/>
    </row>
    <row r="98" spans="1:12" ht="15">
      <c r="A98" s="8"/>
      <c r="B98" s="9"/>
      <c r="C98" s="9"/>
      <c r="D98" s="9"/>
      <c r="E98" s="9"/>
      <c r="F98" s="8"/>
      <c r="G98" s="8"/>
      <c r="H98" s="8"/>
      <c r="I98" s="8"/>
      <c r="J98" s="9"/>
      <c r="K98" s="8"/>
      <c r="L98" s="11"/>
    </row>
    <row r="99" spans="1:12" ht="15">
      <c r="A99" s="8"/>
      <c r="B99" s="9"/>
      <c r="C99" s="9"/>
      <c r="D99" s="9"/>
      <c r="E99" s="9"/>
      <c r="F99" s="10"/>
      <c r="G99" s="10"/>
      <c r="H99" s="10"/>
      <c r="I99" s="8"/>
      <c r="J99" s="8"/>
      <c r="K99" s="9"/>
      <c r="L99" s="9"/>
    </row>
    <row r="100" spans="1:12" ht="15">
      <c r="A100" s="8"/>
      <c r="B100" s="9"/>
      <c r="C100" s="9"/>
      <c r="D100" s="9"/>
      <c r="E100" s="9"/>
      <c r="F100" s="8"/>
      <c r="G100" s="8"/>
      <c r="H100" s="8"/>
      <c r="I100" s="8"/>
      <c r="J100" s="9"/>
      <c r="K100" s="8"/>
      <c r="L100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3"/>
  <sheetViews>
    <sheetView tabSelected="1" zoomScale="70" zoomScaleNormal="70" workbookViewId="0">
      <selection activeCell="E32" sqref="E32"/>
    </sheetView>
  </sheetViews>
  <sheetFormatPr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10" max="10" width="27.85546875" customWidth="1"/>
    <col min="14" max="14" width="19.5703125" customWidth="1"/>
    <col min="15" max="15" width="15" customWidth="1"/>
    <col min="16" max="16" width="13.85546875" customWidth="1"/>
  </cols>
  <sheetData>
    <row r="1" spans="1:17" ht="15">
      <c r="A1" s="2" t="s">
        <v>95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7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6">
        <f t="shared" ref="F2:F15" si="0">C2/B2</f>
        <v>2.1126760563380281E-2</v>
      </c>
      <c r="G2" s="16">
        <f t="shared" ref="G2:G15" si="1">D2/B2</f>
        <v>0.97887323943661975</v>
      </c>
      <c r="H2" s="16">
        <f t="shared" ref="H2:H15" si="2">E2/B2</f>
        <v>0</v>
      </c>
      <c r="I2" s="2" t="s">
        <v>5</v>
      </c>
      <c r="J2" s="3"/>
      <c r="K2" s="3"/>
      <c r="L2" s="3"/>
      <c r="N2" s="20" t="s">
        <v>48</v>
      </c>
      <c r="O2" s="53" t="s">
        <v>38</v>
      </c>
      <c r="P2" s="20" t="s">
        <v>90</v>
      </c>
    </row>
    <row r="3" spans="1:17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6">
        <f t="shared" si="0"/>
        <v>5.1157697121401752E-2</v>
      </c>
      <c r="G3" s="16">
        <f t="shared" si="1"/>
        <v>0.93116395494367965</v>
      </c>
      <c r="H3" s="16">
        <f t="shared" si="2"/>
        <v>1.767834793491865E-2</v>
      </c>
      <c r="I3" s="2" t="s">
        <v>6</v>
      </c>
      <c r="J3" s="3"/>
      <c r="K3" s="3"/>
      <c r="L3" s="3"/>
      <c r="N3" s="13" t="s">
        <v>39</v>
      </c>
      <c r="O3" s="54">
        <v>107882</v>
      </c>
      <c r="P3" s="55">
        <v>1.6197999999999999E-4</v>
      </c>
    </row>
    <row r="4" spans="1:17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6">
        <f t="shared" si="0"/>
        <v>0.10550792036041273</v>
      </c>
      <c r="G4" s="16">
        <f t="shared" si="1"/>
        <v>0.88242987937799744</v>
      </c>
      <c r="H4" s="16">
        <f t="shared" si="2"/>
        <v>1.2062200261589886E-2</v>
      </c>
      <c r="I4" s="2" t="s">
        <v>7</v>
      </c>
      <c r="J4" s="3"/>
      <c r="K4" s="3"/>
      <c r="L4" s="3"/>
      <c r="N4" s="13" t="s">
        <v>42</v>
      </c>
      <c r="O4">
        <v>42968</v>
      </c>
      <c r="P4" s="55">
        <v>6.4519999999999999E-5</v>
      </c>
    </row>
    <row r="5" spans="1:17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6">
        <f t="shared" si="0"/>
        <v>6.9324090121317156E-2</v>
      </c>
      <c r="G5" s="16">
        <f t="shared" si="1"/>
        <v>0.91539309910193789</v>
      </c>
      <c r="H5" s="16">
        <f t="shared" si="2"/>
        <v>1.5282810776744919E-2</v>
      </c>
      <c r="I5" s="2" t="s">
        <v>8</v>
      </c>
      <c r="J5" s="3"/>
      <c r="K5" s="3"/>
      <c r="L5" s="3"/>
      <c r="N5" s="13" t="s">
        <v>40</v>
      </c>
      <c r="O5" s="54">
        <v>38104</v>
      </c>
      <c r="P5" s="55">
        <v>5.7210000000000003E-5</v>
      </c>
    </row>
    <row r="6" spans="1:17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/>
      <c r="K6" s="3"/>
      <c r="L6" s="3"/>
      <c r="N6" s="13" t="s">
        <v>41</v>
      </c>
      <c r="O6" s="54">
        <v>40264</v>
      </c>
      <c r="P6" s="55">
        <v>6.0460000000000001E-5</v>
      </c>
    </row>
    <row r="7" spans="1:17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/>
      <c r="K7" s="3"/>
      <c r="L7" s="3"/>
    </row>
    <row r="8" spans="1:17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6">
        <f t="shared" si="0"/>
        <v>0</v>
      </c>
      <c r="G8" s="16">
        <f t="shared" si="1"/>
        <v>0.99278082587352012</v>
      </c>
      <c r="H8" s="16">
        <f t="shared" si="2"/>
        <v>0</v>
      </c>
      <c r="I8" s="2" t="s">
        <v>11</v>
      </c>
      <c r="J8" s="3"/>
      <c r="K8" s="3"/>
      <c r="L8" s="3"/>
    </row>
    <row r="9" spans="1:17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/>
      <c r="K9" s="3"/>
      <c r="L9" s="3"/>
    </row>
    <row r="10" spans="1:17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/>
      <c r="K10" s="3"/>
      <c r="L10" s="3"/>
    </row>
    <row r="11" spans="1:17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/>
      <c r="K11" s="3"/>
      <c r="L11" s="3"/>
    </row>
    <row r="12" spans="1:17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/>
      <c r="K12" s="3"/>
      <c r="L12" s="3"/>
    </row>
    <row r="13" spans="1:17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/>
      <c r="K13" s="3"/>
      <c r="L13" s="3"/>
    </row>
    <row r="14" spans="1:17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/>
      <c r="K14" s="3"/>
      <c r="L14" s="3"/>
    </row>
    <row r="15" spans="1:17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6">
        <f t="shared" si="0"/>
        <v>0.35512510088781274</v>
      </c>
      <c r="G15" s="16">
        <f t="shared" si="1"/>
        <v>0.29087974172719938</v>
      </c>
      <c r="H15" s="16">
        <f t="shared" si="2"/>
        <v>0.35399515738498788</v>
      </c>
      <c r="I15" s="2" t="s">
        <v>18</v>
      </c>
      <c r="J15" s="3"/>
      <c r="K15" s="3"/>
      <c r="L15" s="3"/>
      <c r="Q15" s="12"/>
    </row>
    <row r="16" spans="1:17" ht="15">
      <c r="A16" s="2" t="s">
        <v>19</v>
      </c>
      <c r="B16" s="3"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2"/>
      <c r="G16" s="2"/>
      <c r="H16" s="2"/>
      <c r="I16" s="2"/>
      <c r="J16" s="2"/>
      <c r="K16" s="2"/>
      <c r="L16" s="5"/>
    </row>
    <row r="17" spans="1:12" ht="15">
      <c r="A17" s="8"/>
      <c r="B17" s="9"/>
      <c r="C17" s="9"/>
      <c r="D17" s="9"/>
      <c r="E17" s="9"/>
      <c r="F17" s="10"/>
      <c r="G17" s="10"/>
      <c r="H17" s="10"/>
      <c r="I17" s="8"/>
      <c r="J17" s="9"/>
      <c r="K17" s="9"/>
      <c r="L17" s="9"/>
    </row>
    <row r="18" spans="1:12" ht="15">
      <c r="A18" s="2" t="s">
        <v>96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33</v>
      </c>
      <c r="G18" s="2" t="s">
        <v>34</v>
      </c>
      <c r="H18" s="2" t="s">
        <v>35</v>
      </c>
      <c r="I18" s="2"/>
      <c r="J18" s="2" t="s">
        <v>22</v>
      </c>
      <c r="K18" s="2" t="s">
        <v>23</v>
      </c>
      <c r="L18" s="2" t="s">
        <v>24</v>
      </c>
    </row>
    <row r="19" spans="1:12" ht="15">
      <c r="A19" s="2" t="s">
        <v>5</v>
      </c>
      <c r="B19" s="3">
        <v>2497</v>
      </c>
      <c r="C19" s="3">
        <v>134</v>
      </c>
      <c r="D19" s="3">
        <v>2305</v>
      </c>
      <c r="E19" s="3">
        <v>0</v>
      </c>
      <c r="F19" s="16">
        <f t="shared" ref="F19:F32" si="3">C19/B19</f>
        <v>5.3664397276732077E-2</v>
      </c>
      <c r="G19" s="16">
        <f t="shared" ref="G19:G32" si="4">D19/B19</f>
        <v>0.92310772927513018</v>
      </c>
      <c r="H19" s="16">
        <f t="shared" ref="H19:H32" si="5">E19/B19</f>
        <v>0</v>
      </c>
      <c r="I19" s="2" t="s">
        <v>5</v>
      </c>
      <c r="J19" s="3"/>
      <c r="K19" s="3"/>
      <c r="L19" s="3"/>
    </row>
    <row r="20" spans="1:12" ht="15">
      <c r="A20" s="2" t="s">
        <v>6</v>
      </c>
      <c r="B20" s="3">
        <v>2961</v>
      </c>
      <c r="C20" s="3">
        <v>314</v>
      </c>
      <c r="D20" s="3">
        <v>2443</v>
      </c>
      <c r="E20" s="3">
        <v>84</v>
      </c>
      <c r="F20" s="16">
        <f t="shared" si="3"/>
        <v>0.1060452549814252</v>
      </c>
      <c r="G20" s="16">
        <f t="shared" si="4"/>
        <v>0.82505910165484631</v>
      </c>
      <c r="H20" s="16">
        <f t="shared" si="5"/>
        <v>2.8368794326241134E-2</v>
      </c>
      <c r="I20" s="2" t="s">
        <v>6</v>
      </c>
      <c r="J20" s="3"/>
      <c r="K20" s="3"/>
      <c r="L20" s="3"/>
    </row>
    <row r="21" spans="1:12" ht="15">
      <c r="A21" s="2" t="s">
        <v>7</v>
      </c>
      <c r="B21" s="3">
        <v>2691</v>
      </c>
      <c r="C21" s="3">
        <v>58</v>
      </c>
      <c r="D21" s="3">
        <v>2572</v>
      </c>
      <c r="E21" s="3">
        <v>21</v>
      </c>
      <c r="F21" s="16">
        <f t="shared" si="3"/>
        <v>2.1553325901151988E-2</v>
      </c>
      <c r="G21" s="16">
        <f t="shared" si="4"/>
        <v>0.95577852099591232</v>
      </c>
      <c r="H21" s="16">
        <f t="shared" si="5"/>
        <v>7.803790412486065E-3</v>
      </c>
      <c r="I21" s="2" t="s">
        <v>7</v>
      </c>
      <c r="J21" s="3"/>
      <c r="K21" s="3"/>
      <c r="L21" s="3"/>
    </row>
    <row r="22" spans="1:12" ht="15">
      <c r="A22" s="2" t="s">
        <v>8</v>
      </c>
      <c r="B22" s="3">
        <v>2832</v>
      </c>
      <c r="C22" s="3">
        <v>159</v>
      </c>
      <c r="D22" s="3">
        <f>51+2606</f>
        <v>2657</v>
      </c>
      <c r="E22" s="3">
        <v>0</v>
      </c>
      <c r="F22" s="16">
        <f t="shared" si="3"/>
        <v>5.6144067796610173E-2</v>
      </c>
      <c r="G22" s="16">
        <f t="shared" si="4"/>
        <v>0.93820621468926557</v>
      </c>
      <c r="H22" s="16">
        <f t="shared" si="5"/>
        <v>0</v>
      </c>
      <c r="I22" s="2" t="s">
        <v>8</v>
      </c>
      <c r="J22" s="3"/>
      <c r="K22" s="3"/>
      <c r="L22" s="3"/>
    </row>
    <row r="23" spans="1:12" ht="15">
      <c r="A23" s="2" t="s">
        <v>9</v>
      </c>
      <c r="B23" s="3">
        <v>2101</v>
      </c>
      <c r="C23" s="3">
        <v>436</v>
      </c>
      <c r="D23" s="3">
        <v>1510</v>
      </c>
      <c r="E23" s="3">
        <v>88</v>
      </c>
      <c r="F23" s="16">
        <f t="shared" si="3"/>
        <v>0.20752022846263685</v>
      </c>
      <c r="G23" s="16">
        <f t="shared" si="4"/>
        <v>0.71870537839124227</v>
      </c>
      <c r="H23" s="16">
        <f t="shared" si="5"/>
        <v>4.1884816753926704E-2</v>
      </c>
      <c r="I23" s="2" t="s">
        <v>9</v>
      </c>
      <c r="J23" s="3"/>
      <c r="K23" s="3"/>
      <c r="L23" s="3"/>
    </row>
    <row r="24" spans="1:12" ht="15">
      <c r="A24" s="2" t="s">
        <v>10</v>
      </c>
      <c r="B24" s="3">
        <v>1916</v>
      </c>
      <c r="C24" s="3">
        <v>1424</v>
      </c>
      <c r="D24" s="3">
        <v>415</v>
      </c>
      <c r="E24" s="3">
        <v>13</v>
      </c>
      <c r="F24" s="16">
        <f t="shared" si="3"/>
        <v>0.74321503131524014</v>
      </c>
      <c r="G24" s="16">
        <f t="shared" si="4"/>
        <v>0.21659707724425886</v>
      </c>
      <c r="H24" s="16">
        <f t="shared" si="5"/>
        <v>6.7849686847599169E-3</v>
      </c>
      <c r="I24" s="2" t="s">
        <v>10</v>
      </c>
      <c r="J24" s="3"/>
      <c r="K24" s="3"/>
      <c r="L24" s="3"/>
    </row>
    <row r="25" spans="1:12" ht="15">
      <c r="A25" s="2" t="s">
        <v>11</v>
      </c>
      <c r="B25" s="3">
        <v>2087</v>
      </c>
      <c r="C25" s="3">
        <v>1201</v>
      </c>
      <c r="D25" s="3">
        <v>843</v>
      </c>
      <c r="E25" s="3">
        <v>1</v>
      </c>
      <c r="F25" s="16">
        <f t="shared" si="3"/>
        <v>0.57546717776712986</v>
      </c>
      <c r="G25" s="16">
        <f t="shared" si="4"/>
        <v>0.40392908481073309</v>
      </c>
      <c r="H25" s="16">
        <f t="shared" si="5"/>
        <v>4.7915668423574511E-4</v>
      </c>
      <c r="I25" s="2" t="s">
        <v>11</v>
      </c>
      <c r="J25" s="3"/>
      <c r="K25" s="3"/>
      <c r="L25" s="3"/>
    </row>
    <row r="26" spans="1:12" ht="15">
      <c r="A26" s="2" t="s">
        <v>12</v>
      </c>
      <c r="B26" s="3">
        <v>2875</v>
      </c>
      <c r="C26" s="3">
        <v>2271</v>
      </c>
      <c r="D26" s="3">
        <f>36+566</f>
        <v>602</v>
      </c>
      <c r="E26" s="3">
        <v>0</v>
      </c>
      <c r="F26" s="16">
        <f t="shared" si="3"/>
        <v>0.78991304347826086</v>
      </c>
      <c r="G26" s="16">
        <f t="shared" si="4"/>
        <v>0.20939130434782607</v>
      </c>
      <c r="H26" s="16">
        <f t="shared" si="5"/>
        <v>0</v>
      </c>
      <c r="I26" s="2" t="s">
        <v>12</v>
      </c>
      <c r="J26" s="3"/>
      <c r="K26" s="3"/>
      <c r="L26" s="3"/>
    </row>
    <row r="27" spans="1:12" ht="15">
      <c r="A27" s="2" t="s">
        <v>13</v>
      </c>
      <c r="B27" s="3">
        <v>3049</v>
      </c>
      <c r="C27" s="3">
        <v>876</v>
      </c>
      <c r="D27" s="3">
        <f>19+1039</f>
        <v>1058</v>
      </c>
      <c r="E27" s="3">
        <v>279</v>
      </c>
      <c r="F27" s="16">
        <f>C27/B27</f>
        <v>0.28730731387340114</v>
      </c>
      <c r="G27" s="16">
        <f>D27/B27</f>
        <v>0.34699901607084288</v>
      </c>
      <c r="H27" s="16">
        <f t="shared" si="5"/>
        <v>9.150541161036406E-2</v>
      </c>
      <c r="I27" s="2" t="s">
        <v>13</v>
      </c>
      <c r="J27" s="3"/>
      <c r="K27" s="3"/>
      <c r="L27" s="3"/>
    </row>
    <row r="28" spans="1:12" ht="15">
      <c r="A28" s="2" t="s">
        <v>14</v>
      </c>
      <c r="B28" s="3">
        <v>3122</v>
      </c>
      <c r="C28" s="3">
        <v>2029</v>
      </c>
      <c r="D28" s="3">
        <v>394</v>
      </c>
      <c r="E28" s="3">
        <v>601</v>
      </c>
      <c r="F28" s="16">
        <f>C28/B28</f>
        <v>0.64990390775144136</v>
      </c>
      <c r="G28" s="16">
        <f>D28/B28</f>
        <v>0.12620115310698271</v>
      </c>
      <c r="H28" s="16">
        <f t="shared" si="5"/>
        <v>0.19250480461242794</v>
      </c>
      <c r="I28" s="2" t="s">
        <v>14</v>
      </c>
      <c r="J28" s="3"/>
      <c r="K28" s="3"/>
      <c r="L28" s="3"/>
    </row>
    <row r="29" spans="1:12" ht="15">
      <c r="A29" s="2" t="s">
        <v>15</v>
      </c>
      <c r="B29" s="3">
        <v>2500</v>
      </c>
      <c r="C29" s="3">
        <v>323</v>
      </c>
      <c r="D29" s="3">
        <f>18+2157</f>
        <v>2175</v>
      </c>
      <c r="E29" s="3">
        <v>0</v>
      </c>
      <c r="F29" s="16">
        <f t="shared" si="3"/>
        <v>0.12920000000000001</v>
      </c>
      <c r="G29" s="16">
        <f t="shared" si="4"/>
        <v>0.87</v>
      </c>
      <c r="H29" s="16">
        <f t="shared" si="5"/>
        <v>0</v>
      </c>
      <c r="I29" s="2" t="s">
        <v>25</v>
      </c>
      <c r="J29" s="3"/>
      <c r="K29" s="3"/>
      <c r="L29" s="3"/>
    </row>
    <row r="30" spans="1:12" ht="15">
      <c r="A30" s="2" t="s">
        <v>16</v>
      </c>
      <c r="B30" s="3">
        <v>3169</v>
      </c>
      <c r="C30" s="3">
        <v>2984</v>
      </c>
      <c r="D30" s="3">
        <v>140</v>
      </c>
      <c r="E30" s="3">
        <v>0</v>
      </c>
      <c r="F30" s="16">
        <f t="shared" si="3"/>
        <v>0.9416219627642789</v>
      </c>
      <c r="G30" s="16">
        <f t="shared" si="4"/>
        <v>4.4177974124329444E-2</v>
      </c>
      <c r="H30" s="16">
        <f t="shared" si="5"/>
        <v>0</v>
      </c>
      <c r="I30" s="2" t="s">
        <v>26</v>
      </c>
      <c r="J30" s="3"/>
      <c r="K30" s="3"/>
      <c r="L30" s="3"/>
    </row>
    <row r="31" spans="1:12" ht="15">
      <c r="A31" s="2" t="s">
        <v>17</v>
      </c>
      <c r="B31" s="3">
        <v>2820</v>
      </c>
      <c r="C31" s="3">
        <v>12</v>
      </c>
      <c r="D31" s="3">
        <v>2791</v>
      </c>
      <c r="E31" s="3">
        <v>17</v>
      </c>
      <c r="F31" s="16">
        <f t="shared" si="3"/>
        <v>4.2553191489361703E-3</v>
      </c>
      <c r="G31" s="16">
        <f t="shared" si="4"/>
        <v>0.9897163120567376</v>
      </c>
      <c r="H31" s="16">
        <f t="shared" si="5"/>
        <v>6.0283687943262412E-3</v>
      </c>
      <c r="I31" s="2" t="s">
        <v>27</v>
      </c>
      <c r="J31" s="3"/>
      <c r="K31" s="3"/>
      <c r="L31" s="3"/>
    </row>
    <row r="32" spans="1:12" ht="15">
      <c r="A32" s="2" t="s">
        <v>18</v>
      </c>
      <c r="B32" s="3">
        <v>2143</v>
      </c>
      <c r="C32" s="3">
        <v>126</v>
      </c>
      <c r="D32" s="3">
        <v>1847</v>
      </c>
      <c r="E32" s="22">
        <v>27</v>
      </c>
      <c r="F32" s="16">
        <f t="shared" si="3"/>
        <v>5.8796080261315914E-2</v>
      </c>
      <c r="G32" s="16">
        <f t="shared" si="4"/>
        <v>0.86187587494167051</v>
      </c>
      <c r="H32" s="16">
        <f t="shared" si="5"/>
        <v>1.2599160055996267E-2</v>
      </c>
      <c r="I32" s="2" t="s">
        <v>18</v>
      </c>
      <c r="J32" s="3"/>
      <c r="K32" s="3"/>
      <c r="L32" s="3"/>
    </row>
    <row r="33" spans="1:12" ht="15">
      <c r="A33" s="2" t="s">
        <v>19</v>
      </c>
      <c r="B33" s="3">
        <f>SUM(B19:B32)</f>
        <v>36763</v>
      </c>
      <c r="C33" s="3">
        <f>SUM(C19:C32)</f>
        <v>12347</v>
      </c>
      <c r="D33" s="3">
        <f>SUM(D19:D32)</f>
        <v>21752</v>
      </c>
      <c r="E33" s="3">
        <f>SUM(E19:E32)</f>
        <v>1131</v>
      </c>
      <c r="F33" s="2"/>
      <c r="G33" s="2"/>
      <c r="H33" s="2"/>
      <c r="I33" s="2"/>
      <c r="J33" s="2"/>
      <c r="K33" s="2"/>
      <c r="L33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S27"/>
  <sheetViews>
    <sheetView topLeftCell="B1" zoomScaleNormal="100" workbookViewId="0">
      <selection activeCell="O46" sqref="O46"/>
    </sheetView>
  </sheetViews>
  <sheetFormatPr defaultRowHeight="12.75"/>
  <cols>
    <col min="3" max="3" width="8.42578125" bestFit="1" customWidth="1"/>
    <col min="4" max="4" width="13.42578125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12.42578125" bestFit="1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76</v>
      </c>
      <c r="H3" s="11"/>
      <c r="K3" s="40" t="s">
        <v>91</v>
      </c>
      <c r="P3" s="11"/>
      <c r="Q3" s="11"/>
      <c r="R3" s="11"/>
      <c r="S3" s="11"/>
    </row>
    <row r="4" spans="2:19">
      <c r="B4" s="23" t="s">
        <v>46</v>
      </c>
      <c r="C4" s="23" t="s">
        <v>51</v>
      </c>
      <c r="D4" s="23" t="s">
        <v>49</v>
      </c>
      <c r="E4" s="23" t="s">
        <v>50</v>
      </c>
      <c r="F4" s="23" t="s">
        <v>53</v>
      </c>
      <c r="G4" s="23" t="s">
        <v>54</v>
      </c>
      <c r="H4" s="23" t="s">
        <v>51</v>
      </c>
      <c r="I4" t="s">
        <v>77</v>
      </c>
      <c r="K4" t="s">
        <v>78</v>
      </c>
      <c r="M4" t="s">
        <v>79</v>
      </c>
      <c r="N4" t="s">
        <v>80</v>
      </c>
      <c r="O4" s="40" t="s">
        <v>92</v>
      </c>
      <c r="P4" s="35" t="s">
        <v>93</v>
      </c>
      <c r="Q4" s="11"/>
      <c r="R4" s="11"/>
      <c r="S4" s="11"/>
    </row>
    <row r="5" spans="2:19">
      <c r="B5" s="23" t="s">
        <v>39</v>
      </c>
      <c r="C5" s="36">
        <f>121.99*10^(-6)</f>
        <v>1.2198999999999999E-4</v>
      </c>
      <c r="D5">
        <v>0.12</v>
      </c>
      <c r="E5">
        <v>0</v>
      </c>
      <c r="F5" s="36">
        <f>1/(D5*C5)</f>
        <v>68311.610241276619</v>
      </c>
      <c r="G5" s="36">
        <v>0</v>
      </c>
      <c r="H5" s="41">
        <f>2.1*10^(-3)</f>
        <v>2.1000000000000003E-3</v>
      </c>
      <c r="I5" s="37">
        <v>1.15516E-5</v>
      </c>
      <c r="J5" s="37">
        <f>I5+I5*30/100</f>
        <v>1.5017079999999999E-5</v>
      </c>
      <c r="K5">
        <v>0</v>
      </c>
      <c r="L5" s="37">
        <f>K5+K5*30/100</f>
        <v>0</v>
      </c>
      <c r="M5" s="42">
        <v>11415552836</v>
      </c>
      <c r="N5" s="36">
        <v>0</v>
      </c>
      <c r="O5" s="26">
        <v>1.1551620299261002E-5</v>
      </c>
      <c r="P5" s="36">
        <v>0</v>
      </c>
      <c r="Q5" s="11"/>
      <c r="R5" s="11"/>
      <c r="S5" s="11"/>
    </row>
    <row r="6" spans="2:19">
      <c r="B6" s="23" t="s">
        <v>40</v>
      </c>
      <c r="C6" s="36">
        <f>24.04*10^(-6)</f>
        <v>2.4039999999999997E-5</v>
      </c>
      <c r="D6">
        <v>0.44</v>
      </c>
      <c r="E6">
        <v>0.13</v>
      </c>
      <c r="F6" s="36">
        <f>1/(D6*C6)</f>
        <v>94539.404023597046</v>
      </c>
      <c r="G6" s="36">
        <f>1/(E6*C6)</f>
        <v>319979.52131063613</v>
      </c>
      <c r="M6" s="37"/>
      <c r="O6" s="26"/>
      <c r="P6" s="11"/>
      <c r="Q6" s="11"/>
      <c r="R6" s="11"/>
      <c r="S6" s="11"/>
    </row>
    <row r="7" spans="2:19">
      <c r="B7" s="23" t="s">
        <v>41</v>
      </c>
      <c r="C7" s="36">
        <f>22.76*10^(-6)</f>
        <v>2.2759999999999999E-5</v>
      </c>
      <c r="D7">
        <v>0.37</v>
      </c>
      <c r="E7">
        <v>0.11</v>
      </c>
      <c r="F7" s="36">
        <f>1/(D7*C7)</f>
        <v>118747.92191136655</v>
      </c>
      <c r="G7" s="36">
        <f>1/(E7*C7)</f>
        <v>399424.82824732387</v>
      </c>
      <c r="H7" s="36">
        <f>0.6*10^(-3)</f>
        <v>5.9999999999999995E-4</v>
      </c>
      <c r="I7" s="37">
        <v>2.6189500000000001E-5</v>
      </c>
      <c r="J7" s="37">
        <f>I7+I7*20/100</f>
        <v>3.1427400000000003E-5</v>
      </c>
      <c r="K7">
        <v>0</v>
      </c>
      <c r="L7" s="37">
        <f>K7+K7*20/100</f>
        <v>0</v>
      </c>
      <c r="M7" s="37">
        <v>17623030836</v>
      </c>
      <c r="N7" s="36">
        <v>0</v>
      </c>
      <c r="O7" s="26">
        <v>2.61895054166029E-5</v>
      </c>
      <c r="P7" s="57">
        <v>0</v>
      </c>
      <c r="Q7" s="11"/>
      <c r="R7" s="34"/>
      <c r="S7" s="35"/>
    </row>
    <row r="8" spans="2:19">
      <c r="B8" s="23" t="s">
        <v>45</v>
      </c>
      <c r="C8" s="37"/>
      <c r="D8" s="23" t="s">
        <v>49</v>
      </c>
      <c r="E8" s="23" t="s">
        <v>50</v>
      </c>
      <c r="F8" s="37"/>
      <c r="G8" s="37"/>
      <c r="H8" s="37"/>
      <c r="M8" s="37"/>
      <c r="P8" s="11"/>
      <c r="Q8" s="11"/>
      <c r="R8" s="35"/>
      <c r="S8" s="11"/>
    </row>
    <row r="9" spans="2:19">
      <c r="B9" s="23" t="s">
        <v>39</v>
      </c>
      <c r="C9" s="36">
        <f>53.92*10^(-6)</f>
        <v>5.3919999999999999E-5</v>
      </c>
      <c r="D9">
        <v>0.12</v>
      </c>
      <c r="E9">
        <v>0.03</v>
      </c>
      <c r="F9" s="36">
        <f>1/(D9*C9)</f>
        <v>154549.95054401582</v>
      </c>
      <c r="G9" s="36">
        <f>1/(E9*C9)</f>
        <v>618199.8021760633</v>
      </c>
      <c r="H9" s="41">
        <f>5.2*10^-3</f>
        <v>5.2000000000000006E-3</v>
      </c>
      <c r="I9" s="37">
        <v>8.9314999999999997E-7</v>
      </c>
      <c r="J9" s="37">
        <f>I9+I9*50/100</f>
        <v>1.3397249999999999E-6</v>
      </c>
      <c r="K9" s="37">
        <v>8.9314999999999997E-7</v>
      </c>
      <c r="L9" s="37">
        <f>K9+K9*50/100</f>
        <v>1.3397249999999999E-6</v>
      </c>
      <c r="M9" s="37">
        <v>59625426868</v>
      </c>
      <c r="N9" s="37">
        <v>59625426868</v>
      </c>
      <c r="O9" s="37">
        <v>8.9314999999999997E-7</v>
      </c>
      <c r="P9" s="37">
        <v>8.9314999999999997E-7</v>
      </c>
      <c r="Q9" s="11"/>
      <c r="R9" s="35"/>
      <c r="S9" s="11"/>
    </row>
    <row r="10" spans="2:19">
      <c r="B10" s="23" t="s">
        <v>40</v>
      </c>
      <c r="C10" s="36">
        <f>13.38*10^(-6)</f>
        <v>1.3380000000000001E-5</v>
      </c>
      <c r="D10">
        <v>0.03</v>
      </c>
      <c r="E10">
        <v>0.11</v>
      </c>
      <c r="F10" s="36">
        <f>1/(D10*C10)</f>
        <v>2491280.518186348</v>
      </c>
      <c r="G10" s="36">
        <f>1/(E10*C10)</f>
        <v>679440.14132354932</v>
      </c>
      <c r="M10" s="37"/>
      <c r="Q10" s="11"/>
      <c r="R10" s="35"/>
      <c r="S10" s="11"/>
    </row>
    <row r="11" spans="2:19">
      <c r="B11" s="23" t="s">
        <v>41</v>
      </c>
      <c r="C11" s="36">
        <f>11.54*10^(-6)</f>
        <v>1.1539999999999998E-5</v>
      </c>
      <c r="D11">
        <v>0.04</v>
      </c>
      <c r="E11">
        <v>0.19</v>
      </c>
      <c r="F11" s="36">
        <f>1/(D11*C11)</f>
        <v>2166377.8162911613</v>
      </c>
      <c r="G11" s="36">
        <f>1/(E11*C11)</f>
        <v>456079.54027182353</v>
      </c>
      <c r="H11" s="41">
        <f>0.4*10^(-3)</f>
        <v>4.0000000000000002E-4</v>
      </c>
      <c r="I11" s="37">
        <v>8.34642E-6</v>
      </c>
      <c r="J11" s="37">
        <f>I11+I11*30/100</f>
        <v>1.0850345999999999E-5</v>
      </c>
      <c r="K11" s="37">
        <v>2.1964299999999998E-6</v>
      </c>
      <c r="L11" s="37">
        <f>K11+K11*30/100</f>
        <v>2.8553589999999997E-6</v>
      </c>
      <c r="M11" s="37">
        <v>82946640585</v>
      </c>
      <c r="N11" s="37">
        <v>315197000000</v>
      </c>
      <c r="O11" s="37">
        <v>8.34642E-6</v>
      </c>
      <c r="P11" s="56">
        <v>2.1964299999999998E-6</v>
      </c>
      <c r="Q11" s="11"/>
      <c r="R11" s="35"/>
      <c r="S11" s="11"/>
    </row>
    <row r="12" spans="2:19">
      <c r="F12" s="37"/>
      <c r="P12" s="11"/>
      <c r="Q12" s="11"/>
      <c r="R12" s="11"/>
      <c r="S12" s="11"/>
    </row>
    <row r="13" spans="2:19">
      <c r="F13" s="37"/>
      <c r="M13" s="23"/>
      <c r="O13" s="11"/>
      <c r="P13" s="11"/>
      <c r="Q13" s="11"/>
      <c r="R13" s="11"/>
      <c r="S13" s="11"/>
    </row>
    <row r="14" spans="2:19">
      <c r="M14" s="23"/>
      <c r="O14" s="11"/>
      <c r="P14" s="11"/>
      <c r="Q14" s="11"/>
      <c r="R14" s="11"/>
      <c r="S14" s="11"/>
    </row>
    <row r="15" spans="2:19">
      <c r="H15" s="25"/>
      <c r="N15" s="32"/>
      <c r="O15" s="32"/>
      <c r="P15" s="32"/>
      <c r="Q15" s="24"/>
    </row>
    <row r="16" spans="2:19">
      <c r="M16" s="23"/>
    </row>
    <row r="17" spans="6:13">
      <c r="F17" s="36"/>
    </row>
    <row r="27" spans="6:13">
      <c r="M27" s="3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"/>
  <sheetViews>
    <sheetView topLeftCell="G1" zoomScaleNormal="100" workbookViewId="0">
      <selection activeCell="O15" sqref="O15"/>
    </sheetView>
  </sheetViews>
  <sheetFormatPr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6" t="s">
        <v>55</v>
      </c>
      <c r="B1" s="26" t="s">
        <v>56</v>
      </c>
      <c r="C1" s="27">
        <v>42450.828831018516</v>
      </c>
      <c r="D1" s="26"/>
      <c r="E1" s="26" t="s">
        <v>57</v>
      </c>
      <c r="F1" s="26" t="s">
        <v>56</v>
      </c>
      <c r="G1" s="27">
        <v>42450.864421296297</v>
      </c>
      <c r="H1" s="26"/>
      <c r="I1" s="26" t="s">
        <v>58</v>
      </c>
      <c r="J1" s="26" t="s">
        <v>56</v>
      </c>
      <c r="K1" s="27">
        <v>42450.745995370373</v>
      </c>
      <c r="L1" s="26"/>
      <c r="M1" s="26" t="s">
        <v>59</v>
      </c>
      <c r="N1" s="26" t="s">
        <v>56</v>
      </c>
      <c r="O1" s="27">
        <v>42450.786932870367</v>
      </c>
    </row>
    <row r="2" spans="1:15">
      <c r="A2" s="26"/>
      <c r="B2" s="26" t="s">
        <v>60</v>
      </c>
      <c r="C2" s="27">
        <v>42450.861134259256</v>
      </c>
      <c r="D2" s="26"/>
      <c r="E2" s="26"/>
      <c r="F2" s="26" t="s">
        <v>60</v>
      </c>
      <c r="G2" s="27">
        <v>42450.891736111109</v>
      </c>
      <c r="H2" s="26"/>
      <c r="I2" s="26"/>
      <c r="J2" s="26" t="s">
        <v>60</v>
      </c>
      <c r="K2" s="27">
        <v>42450.77616898148</v>
      </c>
      <c r="L2" s="26"/>
      <c r="M2" s="26"/>
      <c r="N2" s="26" t="s">
        <v>60</v>
      </c>
      <c r="O2" s="27">
        <v>42450.82576388889</v>
      </c>
    </row>
    <row r="3" spans="1:15">
      <c r="A3" s="26"/>
      <c r="B3" s="26" t="s">
        <v>61</v>
      </c>
      <c r="C3" s="28">
        <f>C2-C1</f>
        <v>3.2303240739565808E-2</v>
      </c>
      <c r="D3" s="26"/>
      <c r="E3" s="26"/>
      <c r="F3" s="26" t="s">
        <v>61</v>
      </c>
      <c r="G3" s="28">
        <f>G2-G1</f>
        <v>2.7314814811688848E-2</v>
      </c>
      <c r="H3" s="26"/>
      <c r="I3" s="26"/>
      <c r="J3" s="26" t="s">
        <v>61</v>
      </c>
      <c r="K3" s="28">
        <f>K2-K1</f>
        <v>3.0173611106874887E-2</v>
      </c>
      <c r="L3" s="26"/>
      <c r="M3" s="26"/>
      <c r="N3" s="26" t="s">
        <v>61</v>
      </c>
      <c r="O3" s="28">
        <f>O2-O1</f>
        <v>3.8831018522614613E-2</v>
      </c>
    </row>
    <row r="4" spans="1:15">
      <c r="A4" s="26"/>
      <c r="B4" s="26" t="s">
        <v>62</v>
      </c>
      <c r="C4" s="29">
        <f>(HOUR(C3)*60*60)+(MINUTE(C3)*60)+SECOND(C3)</f>
        <v>2791</v>
      </c>
      <c r="D4" s="26"/>
      <c r="E4" s="26"/>
      <c r="F4" s="26" t="s">
        <v>62</v>
      </c>
      <c r="G4" s="29">
        <f>(HOUR(G3)*60*60)+(MINUTE(G3)*60)+SECOND(G3)</f>
        <v>2360</v>
      </c>
      <c r="H4" s="26"/>
      <c r="I4" s="26"/>
      <c r="J4" s="26" t="s">
        <v>62</v>
      </c>
      <c r="K4" s="29">
        <f>(HOUR(K3)*60*60)+(MINUTE(K3)*60)+SECOND(K3)</f>
        <v>2607</v>
      </c>
      <c r="L4" s="26"/>
      <c r="M4" s="26"/>
      <c r="N4" s="26" t="s">
        <v>62</v>
      </c>
      <c r="O4" s="29">
        <f>(HOUR(O3)*60*60)+(MINUTE(O3)*60)+SECOND(O3)</f>
        <v>3355</v>
      </c>
    </row>
    <row r="5" spans="1:15">
      <c r="A5" s="26"/>
      <c r="B5" s="26" t="s">
        <v>63</v>
      </c>
      <c r="C5" s="29">
        <v>1120</v>
      </c>
      <c r="D5" s="26"/>
      <c r="E5" s="26"/>
      <c r="F5" s="26" t="s">
        <v>63</v>
      </c>
      <c r="G5" s="29">
        <v>1120</v>
      </c>
      <c r="H5" s="26"/>
      <c r="I5" s="26"/>
      <c r="J5" s="26" t="s">
        <v>63</v>
      </c>
      <c r="K5" s="29">
        <v>1250</v>
      </c>
      <c r="L5" s="26"/>
      <c r="M5" s="26"/>
      <c r="N5" s="26" t="s">
        <v>63</v>
      </c>
      <c r="O5" s="29">
        <v>1490</v>
      </c>
    </row>
    <row r="6" spans="1:15">
      <c r="A6" s="26"/>
      <c r="B6" s="26" t="s">
        <v>64</v>
      </c>
      <c r="C6" s="29">
        <f>C4-C5</f>
        <v>1671</v>
      </c>
      <c r="D6" s="26"/>
      <c r="E6" s="26"/>
      <c r="F6" s="26" t="s">
        <v>64</v>
      </c>
      <c r="G6" s="29">
        <f>G4-G5</f>
        <v>1240</v>
      </c>
      <c r="H6" s="26"/>
      <c r="I6" s="26"/>
      <c r="J6" s="26" t="s">
        <v>64</v>
      </c>
      <c r="K6" s="29">
        <f>K4-K5</f>
        <v>1357</v>
      </c>
      <c r="L6" s="26"/>
      <c r="M6" s="26"/>
      <c r="N6" s="26" t="s">
        <v>64</v>
      </c>
      <c r="O6" s="29">
        <f>O4-O5</f>
        <v>1865</v>
      </c>
    </row>
    <row r="7" spans="1: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26"/>
      <c r="B8" s="26" t="s">
        <v>65</v>
      </c>
      <c r="C8" s="26">
        <v>3</v>
      </c>
      <c r="D8" s="26"/>
      <c r="E8" s="26"/>
      <c r="F8" s="26" t="s">
        <v>65</v>
      </c>
      <c r="G8" s="26">
        <v>19</v>
      </c>
      <c r="H8" s="26"/>
      <c r="I8" s="26"/>
      <c r="J8" s="26" t="s">
        <v>65</v>
      </c>
      <c r="K8" s="26">
        <v>23</v>
      </c>
      <c r="L8" s="26"/>
      <c r="M8" s="26"/>
      <c r="N8" s="26" t="s">
        <v>65</v>
      </c>
      <c r="O8" s="26">
        <v>93</v>
      </c>
    </row>
    <row r="9" spans="1:15">
      <c r="A9" s="26"/>
      <c r="B9" s="26" t="s">
        <v>66</v>
      </c>
      <c r="C9" s="26">
        <v>3</v>
      </c>
      <c r="D9" s="26"/>
      <c r="E9" s="26"/>
      <c r="F9" s="26" t="s">
        <v>66</v>
      </c>
      <c r="G9" s="26">
        <v>5</v>
      </c>
      <c r="H9" s="26"/>
      <c r="I9" s="26"/>
      <c r="J9" s="26" t="s">
        <v>66</v>
      </c>
      <c r="K9" s="26">
        <v>0</v>
      </c>
      <c r="L9" s="26"/>
      <c r="M9" s="26"/>
      <c r="N9" s="26" t="s">
        <v>66</v>
      </c>
      <c r="O9" s="26">
        <v>0</v>
      </c>
    </row>
    <row r="10" spans="1:15">
      <c r="A10" s="26"/>
      <c r="B10" s="26" t="s">
        <v>67</v>
      </c>
      <c r="C10" s="30">
        <f>C8/C6</f>
        <v>1.7953321364452424E-3</v>
      </c>
      <c r="D10" s="26"/>
      <c r="E10" s="26"/>
      <c r="F10" s="26" t="s">
        <v>67</v>
      </c>
      <c r="G10" s="30">
        <f>G8/G6</f>
        <v>1.532258064516129E-2</v>
      </c>
      <c r="H10" s="26"/>
      <c r="I10" s="26"/>
      <c r="J10" s="26" t="s">
        <v>67</v>
      </c>
      <c r="K10" s="30">
        <f>K8/K6</f>
        <v>1.6949152542372881E-2</v>
      </c>
      <c r="L10" s="26"/>
      <c r="M10" s="26"/>
      <c r="N10" s="26" t="s">
        <v>67</v>
      </c>
      <c r="O10" s="30">
        <f>O8/O6</f>
        <v>4.9865951742627347E-2</v>
      </c>
    </row>
    <row r="11" spans="1:15">
      <c r="A11" s="26"/>
      <c r="B11" s="26" t="s">
        <v>68</v>
      </c>
      <c r="C11" s="30">
        <f>C9/C6</f>
        <v>1.7953321364452424E-3</v>
      </c>
      <c r="D11" s="26"/>
      <c r="E11" s="26"/>
      <c r="F11" s="26" t="s">
        <v>68</v>
      </c>
      <c r="G11" s="30">
        <f>G9/G6</f>
        <v>4.0322580645161289E-3</v>
      </c>
      <c r="H11" s="26"/>
      <c r="I11" s="26"/>
      <c r="J11" s="26" t="s">
        <v>68</v>
      </c>
      <c r="K11" s="30">
        <f>K9/K6</f>
        <v>0</v>
      </c>
      <c r="L11" s="26"/>
      <c r="M11" s="26"/>
      <c r="N11" s="26" t="s">
        <v>68</v>
      </c>
      <c r="O11" s="30">
        <f>O9/O6</f>
        <v>0</v>
      </c>
    </row>
    <row r="12" spans="1: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26"/>
      <c r="B13" s="26" t="s">
        <v>69</v>
      </c>
      <c r="C13" s="31">
        <v>2010.1131339999999</v>
      </c>
      <c r="D13" s="26"/>
      <c r="E13" s="26"/>
      <c r="F13" s="26" t="s">
        <v>69</v>
      </c>
      <c r="G13" s="31">
        <v>1835.8261849999999</v>
      </c>
      <c r="H13" s="26"/>
      <c r="I13" s="26"/>
      <c r="J13" s="26" t="s">
        <v>69</v>
      </c>
      <c r="K13" s="31">
        <v>1467.25326</v>
      </c>
      <c r="L13" s="26"/>
      <c r="M13" s="26"/>
      <c r="N13" s="26" t="s">
        <v>69</v>
      </c>
      <c r="O13" s="31">
        <v>1904.0432780000001</v>
      </c>
    </row>
    <row r="14" spans="1: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26"/>
      <c r="B15" s="26" t="s">
        <v>70</v>
      </c>
      <c r="C15" s="26">
        <f>C10/C13</f>
        <v>8.9314979643590674E-7</v>
      </c>
      <c r="D15" s="26"/>
      <c r="E15" s="26"/>
      <c r="F15" s="26" t="s">
        <v>70</v>
      </c>
      <c r="G15" s="26">
        <f>G10/G13</f>
        <v>8.3464223194753545E-6</v>
      </c>
      <c r="H15" s="26"/>
      <c r="I15" s="26"/>
      <c r="J15" s="26" t="s">
        <v>70</v>
      </c>
      <c r="K15" s="26">
        <f>K10/K13</f>
        <v>1.1551620299261002E-5</v>
      </c>
      <c r="L15" s="26"/>
      <c r="M15" s="26"/>
      <c r="N15" s="26" t="s">
        <v>70</v>
      </c>
      <c r="O15" s="26">
        <f>O10/O13</f>
        <v>2.61895054166029E-5</v>
      </c>
    </row>
    <row r="16" spans="1:15">
      <c r="A16" s="26"/>
      <c r="B16" s="26" t="s">
        <v>71</v>
      </c>
      <c r="C16" s="26">
        <f>C11/C13</f>
        <v>8.9314979643590674E-7</v>
      </c>
      <c r="D16" s="26"/>
      <c r="E16" s="26"/>
      <c r="F16" s="26" t="s">
        <v>71</v>
      </c>
      <c r="G16" s="26">
        <f>G11/G13</f>
        <v>2.1964269261777248E-6</v>
      </c>
      <c r="H16" s="26"/>
      <c r="I16" s="26"/>
      <c r="J16" s="26" t="s">
        <v>71</v>
      </c>
      <c r="K16" s="26">
        <f>K11/K13</f>
        <v>0</v>
      </c>
      <c r="L16" s="26"/>
      <c r="M16" s="26"/>
      <c r="N16" s="26" t="s">
        <v>71</v>
      </c>
      <c r="O16" s="26">
        <f>O11/O13</f>
        <v>0</v>
      </c>
    </row>
    <row r="17" spans="1:15">
      <c r="A17" s="32"/>
      <c r="B17" s="32" t="s">
        <v>72</v>
      </c>
      <c r="C17" s="33">
        <f>5.2*10^-3</f>
        <v>5.2000000000000006E-3</v>
      </c>
      <c r="D17" s="32"/>
      <c r="E17" s="32"/>
      <c r="F17" s="32" t="s">
        <v>72</v>
      </c>
      <c r="G17" s="41">
        <f>0.4*10^(-3)</f>
        <v>4.0000000000000002E-4</v>
      </c>
      <c r="H17" s="32"/>
      <c r="I17" s="32"/>
      <c r="J17" s="32" t="s">
        <v>72</v>
      </c>
      <c r="K17" s="33">
        <f>2.1*10^(-3)</f>
        <v>2.1000000000000003E-3</v>
      </c>
      <c r="L17" s="32"/>
      <c r="M17" s="32"/>
      <c r="N17" s="32" t="s">
        <v>72</v>
      </c>
      <c r="O17" s="24">
        <f>0.6*10^(-3)</f>
        <v>5.9999999999999995E-4</v>
      </c>
    </row>
    <row r="18" spans="1:15">
      <c r="A18" s="26"/>
      <c r="B18" s="26" t="s">
        <v>73</v>
      </c>
      <c r="C18" s="26">
        <f>1/(C15*13)</f>
        <v>86125.616587538461</v>
      </c>
      <c r="D18" s="26"/>
      <c r="E18" s="26"/>
      <c r="F18" s="26" t="s">
        <v>73</v>
      </c>
      <c r="G18" s="26">
        <f>1/(G15*13)</f>
        <v>9216.2933983805669</v>
      </c>
      <c r="H18" s="26"/>
      <c r="I18" s="26"/>
      <c r="J18" s="26" t="s">
        <v>73</v>
      </c>
      <c r="K18" s="26">
        <f>1/(K15*13)</f>
        <v>6659.0724876923077</v>
      </c>
      <c r="L18" s="26"/>
      <c r="M18" s="26"/>
      <c r="N18" s="26" t="s">
        <v>73</v>
      </c>
      <c r="O18" s="26">
        <f>1/(O15*13)</f>
        <v>2937.1718060132343</v>
      </c>
    </row>
    <row r="19" spans="1:15">
      <c r="A19" s="26"/>
      <c r="B19" s="26" t="s">
        <v>74</v>
      </c>
      <c r="C19" s="26">
        <f>C18*60*60</f>
        <v>310052219.71513844</v>
      </c>
      <c r="D19" s="26"/>
      <c r="E19" s="26"/>
      <c r="F19" s="26" t="s">
        <v>74</v>
      </c>
      <c r="G19" s="26">
        <f>G18*60*60</f>
        <v>33178656.234170042</v>
      </c>
      <c r="H19" s="26"/>
      <c r="I19" s="26"/>
      <c r="J19" s="26" t="s">
        <v>74</v>
      </c>
      <c r="K19" s="26">
        <f>K18*60*60</f>
        <v>23972660.95569231</v>
      </c>
      <c r="L19" s="26"/>
      <c r="M19" s="26"/>
      <c r="N19" s="26" t="s">
        <v>74</v>
      </c>
      <c r="O19" s="26">
        <f>O18*60*60</f>
        <v>10573818.501647644</v>
      </c>
    </row>
    <row r="20" spans="1:15">
      <c r="A20" s="26"/>
      <c r="B20" s="26" t="s">
        <v>75</v>
      </c>
      <c r="C20" s="26">
        <f>C19/C17</f>
        <v>59625426868.295845</v>
      </c>
      <c r="D20" s="26"/>
      <c r="E20" s="26"/>
      <c r="F20" s="26" t="s">
        <v>75</v>
      </c>
      <c r="G20" s="26">
        <f>G19/G17</f>
        <v>82946640585.425095</v>
      </c>
      <c r="H20" s="26"/>
      <c r="I20" s="26"/>
      <c r="J20" s="26" t="s">
        <v>75</v>
      </c>
      <c r="K20" s="26">
        <f>K19/K17</f>
        <v>11415552836.043955</v>
      </c>
      <c r="L20" s="26"/>
      <c r="M20" s="26"/>
      <c r="N20" s="26" t="s">
        <v>75</v>
      </c>
      <c r="O20" s="26">
        <f>O19/O17</f>
        <v>17623030836.079407</v>
      </c>
    </row>
    <row r="21" spans="1:15">
      <c r="A21" s="26"/>
      <c r="B21" s="26" t="s">
        <v>52</v>
      </c>
      <c r="C21" s="26">
        <f>C20</f>
        <v>59625426868.295845</v>
      </c>
      <c r="D21" s="26"/>
      <c r="E21" s="26"/>
      <c r="F21" s="26" t="s">
        <v>52</v>
      </c>
      <c r="G21" s="26">
        <f>G20</f>
        <v>82946640585.425095</v>
      </c>
      <c r="H21" s="26"/>
      <c r="I21" s="26"/>
      <c r="J21" s="26" t="s">
        <v>52</v>
      </c>
      <c r="K21" s="26">
        <f>K20</f>
        <v>11415552836.043955</v>
      </c>
      <c r="L21" s="26"/>
      <c r="M21" s="26"/>
      <c r="N21" s="26" t="s">
        <v>52</v>
      </c>
      <c r="O21" s="26">
        <f>O20</f>
        <v>17623030836.079407</v>
      </c>
    </row>
    <row r="22" spans="1: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26"/>
      <c r="B24" s="26" t="s">
        <v>81</v>
      </c>
      <c r="C24" s="26"/>
      <c r="D24" s="26"/>
      <c r="E24" s="26"/>
      <c r="F24" s="26" t="s">
        <v>81</v>
      </c>
      <c r="G24" s="26"/>
      <c r="H24" s="26"/>
      <c r="I24" s="26"/>
      <c r="J24" s="26"/>
      <c r="L24" s="26"/>
      <c r="M24" s="26"/>
      <c r="N24" s="26"/>
      <c r="O24" s="26"/>
    </row>
    <row r="25" spans="1:15">
      <c r="B25" s="26" t="s">
        <v>73</v>
      </c>
      <c r="C25" s="26">
        <f>1/(C16*13)</f>
        <v>86125.616587538461</v>
      </c>
      <c r="D25" s="26"/>
      <c r="F25" s="26" t="s">
        <v>73</v>
      </c>
      <c r="G25" s="26">
        <f>1/(G16*13)</f>
        <v>35021.914913846158</v>
      </c>
    </row>
    <row r="26" spans="1:15">
      <c r="B26" s="26" t="s">
        <v>74</v>
      </c>
      <c r="C26" s="26">
        <f>C25*60*60</f>
        <v>310052219.71513844</v>
      </c>
      <c r="D26" s="26"/>
      <c r="F26" s="26" t="s">
        <v>74</v>
      </c>
      <c r="G26" s="26">
        <f>G25*60*60</f>
        <v>126078893.68984616</v>
      </c>
    </row>
    <row r="27" spans="1:15">
      <c r="B27" s="26" t="s">
        <v>75</v>
      </c>
      <c r="C27" s="39">
        <f>C26/C17</f>
        <v>59625426868.295845</v>
      </c>
      <c r="D27" s="26"/>
      <c r="F27" s="26" t="s">
        <v>75</v>
      </c>
      <c r="G27" s="39">
        <f>G26/G17</f>
        <v>315197234224.61536</v>
      </c>
    </row>
    <row r="28" spans="1:15">
      <c r="B28" s="26" t="s">
        <v>52</v>
      </c>
      <c r="C28" s="42">
        <f>C27</f>
        <v>59625426868.295845</v>
      </c>
      <c r="D28" s="26"/>
      <c r="F28" s="26" t="s">
        <v>52</v>
      </c>
      <c r="G28" s="26">
        <f>G27</f>
        <v>315197234224.61536</v>
      </c>
    </row>
    <row r="32" spans="1:15">
      <c r="B32" s="40"/>
    </row>
    <row r="35" spans="2:3">
      <c r="B35" s="40"/>
    </row>
    <row r="38" spans="2:3">
      <c r="C38" s="24"/>
    </row>
    <row r="39" spans="2:3">
      <c r="C39" s="23"/>
    </row>
    <row r="40" spans="2:3">
      <c r="C40" s="2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4" sqref="E4"/>
    </sheetView>
  </sheetViews>
  <sheetFormatPr defaultRowHeight="12.75"/>
  <sheetData>
    <row r="1" spans="1:5">
      <c r="A1" s="40"/>
    </row>
    <row r="2" spans="1:5">
      <c r="B2" s="20" t="s">
        <v>94</v>
      </c>
      <c r="C2" s="53" t="s">
        <v>38</v>
      </c>
      <c r="D2" s="20" t="s">
        <v>90</v>
      </c>
    </row>
    <row r="3" spans="1:5">
      <c r="B3" s="13" t="s">
        <v>39</v>
      </c>
      <c r="C3" s="54">
        <v>14496</v>
      </c>
      <c r="D3" s="55"/>
    </row>
    <row r="4" spans="1:5">
      <c r="B4" s="13"/>
      <c r="D4" s="55"/>
      <c r="E4" s="12"/>
    </row>
    <row r="5" spans="1:5">
      <c r="B5" s="13" t="s">
        <v>40</v>
      </c>
      <c r="C5">
        <v>6782</v>
      </c>
      <c r="D5" s="55"/>
    </row>
    <row r="6" spans="1:5">
      <c r="B6" s="13" t="s">
        <v>41</v>
      </c>
      <c r="C6" s="54">
        <v>6738</v>
      </c>
      <c r="D6" s="5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 Tables</vt:lpstr>
      <vt:lpstr>AES</vt:lpstr>
      <vt:lpstr>MxM</vt:lpstr>
      <vt:lpstr>QuickSort</vt:lpstr>
      <vt:lpstr>MWBF</vt:lpstr>
      <vt:lpstr>OptimizationsBeamResults</vt:lpstr>
      <vt:lpstr>FFT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2016-08-04T19:04:37Z</dcterms:modified>
</cp:coreProperties>
</file>