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15" windowWidth="23250" windowHeight="9150" activeTab="2"/>
  </bookViews>
  <sheets>
    <sheet name="Resumo Tables" sheetId="1" r:id="rId1"/>
    <sheet name="AES" sheetId="2" r:id="rId2"/>
    <sheet name="MxM" sheetId="3" r:id="rId3"/>
    <sheet name="QuickSort" sheetId="5" r:id="rId4"/>
    <sheet name="FFT" sheetId="8" r:id="rId5"/>
    <sheet name="JPEG" sheetId="9" r:id="rId6"/>
    <sheet name="fibonacci" sheetId="10" r:id="rId7"/>
    <sheet name="ADPCM" sheetId="11" r:id="rId8"/>
    <sheet name="OptimizationsBeamResults" sheetId="7" r:id="rId9"/>
    <sheet name="MWBF" sheetId="6" r:id="rId10"/>
  </sheets>
  <calcPr calcId="125725"/>
  <fileRecoveryPr repairLoad="1"/>
</workbook>
</file>

<file path=xl/calcChain.xml><?xml version="1.0" encoding="utf-8"?>
<calcChain xmlns="http://schemas.openxmlformats.org/spreadsheetml/2006/main">
  <c r="M50" i="3"/>
  <c r="M48"/>
  <c r="M47"/>
  <c r="M45"/>
  <c r="M58"/>
  <c r="M57"/>
  <c r="M56"/>
  <c r="L11" i="6"/>
  <c r="J11"/>
  <c r="H11"/>
  <c r="G11"/>
  <c r="F11" s="1"/>
  <c r="C11"/>
  <c r="G10"/>
  <c r="F10" s="1"/>
  <c r="C10"/>
  <c r="L9"/>
  <c r="J9"/>
  <c r="H9"/>
  <c r="G9" s="1"/>
  <c r="F9"/>
  <c r="C9"/>
  <c r="L7"/>
  <c r="J7"/>
  <c r="H7"/>
  <c r="G7"/>
  <c r="F7" s="1"/>
  <c r="C7"/>
  <c r="G6"/>
  <c r="F6"/>
  <c r="C6"/>
  <c r="L5"/>
  <c r="J5"/>
  <c r="H5"/>
  <c r="F5"/>
  <c r="C5"/>
  <c r="G28" i="7" s="1"/>
  <c r="C28" s="1"/>
  <c r="G27" s="1"/>
  <c r="C27" s="1"/>
  <c r="G26" s="1"/>
  <c r="C26" s="1"/>
  <c r="G25" s="1"/>
  <c r="C25" s="1"/>
  <c r="O21" s="1"/>
  <c r="K21" s="1"/>
  <c r="G21" s="1"/>
  <c r="C21" s="1"/>
  <c r="O20" s="1"/>
  <c r="K20" s="1"/>
  <c r="G20" s="1"/>
  <c r="C20" s="1"/>
  <c r="O19" s="1"/>
  <c r="K19" s="1"/>
  <c r="G19" s="1"/>
  <c r="C19" s="1"/>
  <c r="O18" s="1"/>
  <c r="K18" s="1"/>
  <c r="G18" s="1"/>
  <c r="C18" s="1"/>
  <c r="O17"/>
  <c r="K17"/>
  <c r="G17"/>
  <c r="C17"/>
  <c r="O16" s="1"/>
  <c r="K16" s="1"/>
  <c r="G16" s="1"/>
  <c r="C16"/>
  <c r="O15" s="1"/>
  <c r="K15" s="1"/>
  <c r="G15" s="1"/>
  <c r="C15" l="1"/>
  <c r="O11"/>
  <c r="K11"/>
  <c r="G11"/>
  <c r="C11"/>
  <c r="O10"/>
  <c r="K10"/>
  <c r="G10"/>
  <c r="C10"/>
  <c r="O6" s="1"/>
  <c r="K6" s="1"/>
  <c r="G6" s="1"/>
  <c r="C6" s="1"/>
  <c r="O4" s="1"/>
  <c r="K4" s="1"/>
  <c r="G4" s="1"/>
  <c r="C4" s="1"/>
  <c r="O3"/>
  <c r="K3"/>
  <c r="G3"/>
  <c r="C3"/>
  <c r="H50" i="8"/>
  <c r="G50"/>
  <c r="F50"/>
  <c r="E50"/>
  <c r="D50"/>
  <c r="C50"/>
  <c r="B50"/>
  <c r="J49"/>
  <c r="H49"/>
  <c r="G49"/>
  <c r="F49"/>
  <c r="E49"/>
  <c r="J48"/>
  <c r="H48"/>
  <c r="G48"/>
  <c r="F48"/>
  <c r="J47"/>
  <c r="H47"/>
  <c r="G47"/>
  <c r="F47"/>
  <c r="J46"/>
  <c r="H46"/>
  <c r="G46"/>
  <c r="F46"/>
  <c r="J45"/>
  <c r="H45"/>
  <c r="G45"/>
  <c r="F45"/>
  <c r="J44"/>
  <c r="H44"/>
  <c r="G44"/>
  <c r="F44"/>
  <c r="J43"/>
  <c r="H43"/>
  <c r="G43"/>
  <c r="F43"/>
  <c r="J42"/>
  <c r="H42"/>
  <c r="G42"/>
  <c r="F42"/>
  <c r="J41"/>
  <c r="H41"/>
  <c r="G41"/>
  <c r="F41"/>
  <c r="J40"/>
  <c r="H40"/>
  <c r="G40"/>
  <c r="F40"/>
  <c r="J39"/>
  <c r="H39"/>
  <c r="G39"/>
  <c r="F39"/>
  <c r="J38"/>
  <c r="H38"/>
  <c r="G38"/>
  <c r="F38"/>
  <c r="J37"/>
  <c r="H37"/>
  <c r="G37"/>
  <c r="F37"/>
  <c r="J36"/>
  <c r="H36"/>
  <c r="G36"/>
  <c r="F36"/>
  <c r="H33"/>
  <c r="G33"/>
  <c r="F33"/>
  <c r="E33"/>
  <c r="D33"/>
  <c r="C33"/>
  <c r="B33"/>
  <c r="J32"/>
  <c r="H32"/>
  <c r="G32"/>
  <c r="F32"/>
  <c r="J31"/>
  <c r="H31"/>
  <c r="G31"/>
  <c r="F31"/>
  <c r="J30"/>
  <c r="H30"/>
  <c r="G30"/>
  <c r="F30"/>
  <c r="J29"/>
  <c r="H29"/>
  <c r="G29"/>
  <c r="F29"/>
  <c r="J28"/>
  <c r="H28"/>
  <c r="G28"/>
  <c r="F28"/>
  <c r="J27"/>
  <c r="H27"/>
  <c r="G27"/>
  <c r="F27"/>
  <c r="J26"/>
  <c r="H26"/>
  <c r="G26"/>
  <c r="F26"/>
  <c r="J25"/>
  <c r="H25"/>
  <c r="G25"/>
  <c r="F25"/>
  <c r="J24"/>
  <c r="H24"/>
  <c r="G24"/>
  <c r="F24"/>
  <c r="J23"/>
  <c r="H23"/>
  <c r="G23"/>
  <c r="F23"/>
  <c r="J22"/>
  <c r="H22"/>
  <c r="G22"/>
  <c r="F22"/>
  <c r="J21"/>
  <c r="H21"/>
  <c r="G21"/>
  <c r="F21"/>
  <c r="J20"/>
  <c r="H20"/>
  <c r="G20"/>
  <c r="F20"/>
  <c r="J19"/>
  <c r="H19"/>
  <c r="G19"/>
  <c r="F19"/>
  <c r="H16"/>
  <c r="G16"/>
  <c r="F16"/>
  <c r="E16"/>
  <c r="D16"/>
  <c r="C16"/>
  <c r="B16"/>
  <c r="J15"/>
  <c r="H15"/>
  <c r="G15"/>
  <c r="F15"/>
  <c r="J14"/>
  <c r="H14"/>
  <c r="G14"/>
  <c r="F14"/>
  <c r="J13"/>
  <c r="H13"/>
  <c r="G13"/>
  <c r="F13"/>
  <c r="J12"/>
  <c r="H12"/>
  <c r="G12"/>
  <c r="F12"/>
  <c r="J11"/>
  <c r="H11"/>
  <c r="G11"/>
  <c r="F11"/>
  <c r="J10"/>
  <c r="H10"/>
  <c r="G10"/>
  <c r="F10"/>
  <c r="J9"/>
  <c r="H9"/>
  <c r="G9"/>
  <c r="F9"/>
  <c r="J8"/>
  <c r="H8"/>
  <c r="G8"/>
  <c r="F8"/>
  <c r="J7"/>
  <c r="H7"/>
  <c r="G7"/>
  <c r="F7"/>
  <c r="J6"/>
  <c r="H6"/>
  <c r="G6"/>
  <c r="F6"/>
  <c r="J5"/>
  <c r="H5"/>
  <c r="G5"/>
  <c r="F5"/>
  <c r="J4"/>
  <c r="H4"/>
  <c r="G4"/>
  <c r="F4"/>
  <c r="J3"/>
  <c r="H3"/>
  <c r="G3"/>
  <c r="F3"/>
  <c r="J2"/>
  <c r="H2"/>
  <c r="G2"/>
  <c r="F2"/>
  <c r="H50" i="5"/>
  <c r="G50"/>
  <c r="F50"/>
  <c r="E50"/>
  <c r="D50"/>
  <c r="C50"/>
  <c r="B50"/>
  <c r="J49"/>
  <c r="H49"/>
  <c r="G49"/>
  <c r="F49"/>
  <c r="J48"/>
  <c r="H48"/>
  <c r="G48"/>
  <c r="F48"/>
  <c r="J47"/>
  <c r="H47"/>
  <c r="G47"/>
  <c r="F47"/>
  <c r="J46"/>
  <c r="H46"/>
  <c r="G46"/>
  <c r="F46"/>
  <c r="J45"/>
  <c r="H45"/>
  <c r="G45"/>
  <c r="F45"/>
  <c r="J44"/>
  <c r="H44"/>
  <c r="G44"/>
  <c r="F44"/>
  <c r="J43"/>
  <c r="H43"/>
  <c r="G43"/>
  <c r="F43"/>
  <c r="J42"/>
  <c r="H42"/>
  <c r="G42"/>
  <c r="F42"/>
  <c r="J41"/>
  <c r="H41"/>
  <c r="G41"/>
  <c r="F41"/>
  <c r="J40"/>
  <c r="H40"/>
  <c r="G40"/>
  <c r="F40"/>
  <c r="J39"/>
  <c r="H39"/>
  <c r="G39"/>
  <c r="F39"/>
  <c r="J38"/>
  <c r="H38"/>
  <c r="G38"/>
  <c r="F38"/>
  <c r="J37"/>
  <c r="H37"/>
  <c r="G37"/>
  <c r="F37"/>
  <c r="J36"/>
  <c r="H36"/>
  <c r="G36"/>
  <c r="F36"/>
  <c r="H33"/>
  <c r="G33"/>
  <c r="F33"/>
  <c r="E33"/>
  <c r="D33"/>
  <c r="C33"/>
  <c r="B33"/>
  <c r="J32"/>
  <c r="H32"/>
  <c r="G32"/>
  <c r="F32"/>
  <c r="J31"/>
  <c r="H31"/>
  <c r="G31"/>
  <c r="F31"/>
  <c r="J30"/>
  <c r="H30"/>
  <c r="G30"/>
  <c r="F30"/>
  <c r="J29"/>
  <c r="H29"/>
  <c r="G29"/>
  <c r="F29"/>
  <c r="D29"/>
  <c r="J28"/>
  <c r="H28"/>
  <c r="G28"/>
  <c r="F28"/>
  <c r="J27"/>
  <c r="H27"/>
  <c r="G27" s="1"/>
  <c r="F27"/>
  <c r="D27"/>
  <c r="J26"/>
  <c r="H26"/>
  <c r="G26" s="1"/>
  <c r="F26"/>
  <c r="D26"/>
  <c r="J25"/>
  <c r="H25"/>
  <c r="G25"/>
  <c r="F25"/>
  <c r="J24"/>
  <c r="H24"/>
  <c r="G24"/>
  <c r="F24"/>
  <c r="J23"/>
  <c r="H23"/>
  <c r="G23"/>
  <c r="F23"/>
  <c r="J22"/>
  <c r="H22"/>
  <c r="G22" s="1"/>
  <c r="F22"/>
  <c r="D22"/>
  <c r="J21"/>
  <c r="H21"/>
  <c r="G21"/>
  <c r="F21"/>
  <c r="J20"/>
  <c r="H20"/>
  <c r="G20"/>
  <c r="F20"/>
  <c r="J19"/>
  <c r="H19"/>
  <c r="G19"/>
  <c r="F19"/>
  <c r="H16"/>
  <c r="G16"/>
  <c r="F16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J86" i="3"/>
  <c r="I86"/>
  <c r="E86"/>
  <c r="D86"/>
  <c r="J85"/>
  <c r="I85"/>
  <c r="E85"/>
  <c r="D85"/>
  <c r="J84"/>
  <c r="I84"/>
  <c r="E84"/>
  <c r="D84"/>
  <c r="J83"/>
  <c r="I83"/>
  <c r="E83"/>
  <c r="D83"/>
  <c r="J82"/>
  <c r="I82"/>
  <c r="E82"/>
  <c r="D82"/>
  <c r="J81"/>
  <c r="I81"/>
  <c r="E81"/>
  <c r="D81"/>
  <c r="J80"/>
  <c r="I80"/>
  <c r="E80"/>
  <c r="D80"/>
  <c r="J79"/>
  <c r="I79"/>
  <c r="E79"/>
  <c r="D79"/>
  <c r="J78"/>
  <c r="I78"/>
  <c r="E78"/>
  <c r="D78"/>
  <c r="J77"/>
  <c r="I77"/>
  <c r="E77"/>
  <c r="D77"/>
  <c r="J76"/>
  <c r="I76"/>
  <c r="E76"/>
  <c r="D76"/>
  <c r="J75"/>
  <c r="I75"/>
  <c r="E75"/>
  <c r="D75"/>
  <c r="J74"/>
  <c r="I74"/>
  <c r="E74"/>
  <c r="D74"/>
  <c r="Q59"/>
  <c r="P59"/>
  <c r="O59"/>
  <c r="N59"/>
  <c r="L59" l="1"/>
  <c r="K59"/>
  <c r="J59"/>
  <c r="D58" l="1"/>
  <c r="C58"/>
  <c r="B58"/>
  <c r="H58" s="1"/>
  <c r="D57"/>
  <c r="G57" s="1"/>
  <c r="C57"/>
  <c r="F86" s="1"/>
  <c r="B57"/>
  <c r="K86" s="1"/>
  <c r="H57" l="1"/>
  <c r="G58"/>
  <c r="F58"/>
  <c r="F57"/>
  <c r="D56"/>
  <c r="C56"/>
  <c r="B56"/>
  <c r="K85" s="1"/>
  <c r="M55"/>
  <c r="E55"/>
  <c r="D55"/>
  <c r="C55"/>
  <c r="F84" s="1"/>
  <c r="B55"/>
  <c r="M54"/>
  <c r="D54"/>
  <c r="C54"/>
  <c r="B54"/>
  <c r="K83" s="1"/>
  <c r="M53"/>
  <c r="D53"/>
  <c r="C53"/>
  <c r="F82" s="1"/>
  <c r="B53"/>
  <c r="K82" s="1"/>
  <c r="M52"/>
  <c r="D52"/>
  <c r="C52"/>
  <c r="B52"/>
  <c r="K81" s="1"/>
  <c r="M51"/>
  <c r="D51"/>
  <c r="C51"/>
  <c r="B51"/>
  <c r="K80" s="1"/>
  <c r="E50"/>
  <c r="D50"/>
  <c r="C50"/>
  <c r="F79" s="1"/>
  <c r="B50"/>
  <c r="M49"/>
  <c r="E49"/>
  <c r="D49"/>
  <c r="C49"/>
  <c r="B49"/>
  <c r="E48"/>
  <c r="D48"/>
  <c r="C48"/>
  <c r="B48"/>
  <c r="E47"/>
  <c r="D47"/>
  <c r="C47"/>
  <c r="B47"/>
  <c r="M46"/>
  <c r="D46"/>
  <c r="C46"/>
  <c r="B46"/>
  <c r="K75" s="1"/>
  <c r="D45"/>
  <c r="C45"/>
  <c r="B45"/>
  <c r="H45" s="1"/>
  <c r="Q38"/>
  <c r="P38"/>
  <c r="O38"/>
  <c r="N38"/>
  <c r="L38"/>
  <c r="K38"/>
  <c r="G55" l="1"/>
  <c r="F85"/>
  <c r="G47"/>
  <c r="H48"/>
  <c r="G48"/>
  <c r="F48" s="1"/>
  <c r="G49"/>
  <c r="H50"/>
  <c r="G50" s="1"/>
  <c r="F76"/>
  <c r="F80"/>
  <c r="H51"/>
  <c r="F51"/>
  <c r="D59"/>
  <c r="F77"/>
  <c r="F49"/>
  <c r="G51"/>
  <c r="H55"/>
  <c r="F56"/>
  <c r="F74"/>
  <c r="C59"/>
  <c r="K74"/>
  <c r="B59"/>
  <c r="G59" s="1"/>
  <c r="K76"/>
  <c r="E59"/>
  <c r="G46"/>
  <c r="H52"/>
  <c r="H54"/>
  <c r="G54" s="1"/>
  <c r="F46"/>
  <c r="F47"/>
  <c r="K78"/>
  <c r="F50"/>
  <c r="G52"/>
  <c r="F52" s="1"/>
  <c r="F54"/>
  <c r="G45"/>
  <c r="M59"/>
  <c r="H49"/>
  <c r="K79"/>
  <c r="H53"/>
  <c r="G53" s="1"/>
  <c r="F55"/>
  <c r="F45"/>
  <c r="F75"/>
  <c r="H46"/>
  <c r="H47"/>
  <c r="K77"/>
  <c r="F78"/>
  <c r="F81"/>
  <c r="F53"/>
  <c r="F83"/>
  <c r="K84"/>
  <c r="H56"/>
  <c r="G56" s="1"/>
  <c r="M37"/>
  <c r="D37"/>
  <c r="C37"/>
  <c r="B37"/>
  <c r="M36"/>
  <c r="D36"/>
  <c r="B36"/>
  <c r="M35"/>
  <c r="H35"/>
  <c r="F35"/>
  <c r="D35"/>
  <c r="M34"/>
  <c r="H34"/>
  <c r="G34"/>
  <c r="F34"/>
  <c r="M33"/>
  <c r="D33"/>
  <c r="C33"/>
  <c r="B33"/>
  <c r="M32"/>
  <c r="E32"/>
  <c r="D32"/>
  <c r="C32"/>
  <c r="B32"/>
  <c r="M31"/>
  <c r="D31"/>
  <c r="B31"/>
  <c r="F31" s="1"/>
  <c r="M30"/>
  <c r="D30"/>
  <c r="B30"/>
  <c r="F30" s="1"/>
  <c r="M29"/>
  <c r="D29"/>
  <c r="C29"/>
  <c r="B29"/>
  <c r="H29" s="1"/>
  <c r="M28"/>
  <c r="D28"/>
  <c r="C28"/>
  <c r="F28" s="1"/>
  <c r="B28"/>
  <c r="M27"/>
  <c r="E27"/>
  <c r="D27"/>
  <c r="C27"/>
  <c r="B27"/>
  <c r="M26"/>
  <c r="D26"/>
  <c r="G26" s="1"/>
  <c r="C26"/>
  <c r="B26"/>
  <c r="M25"/>
  <c r="D25"/>
  <c r="C25"/>
  <c r="B25"/>
  <c r="H25" s="1"/>
  <c r="M24"/>
  <c r="J24"/>
  <c r="J38" s="1"/>
  <c r="H24"/>
  <c r="G24"/>
  <c r="F24"/>
  <c r="L16"/>
  <c r="K16"/>
  <c r="J16"/>
  <c r="E16"/>
  <c r="D16"/>
  <c r="C16"/>
  <c r="B16"/>
  <c r="M15"/>
  <c r="H15"/>
  <c r="G15"/>
  <c r="F15"/>
  <c r="M14"/>
  <c r="H14"/>
  <c r="G14"/>
  <c r="F14"/>
  <c r="M13"/>
  <c r="H13"/>
  <c r="G13"/>
  <c r="F13"/>
  <c r="M12"/>
  <c r="H12"/>
  <c r="G12"/>
  <c r="F12"/>
  <c r="M11"/>
  <c r="H11"/>
  <c r="G11"/>
  <c r="F11"/>
  <c r="M10"/>
  <c r="H10"/>
  <c r="G10"/>
  <c r="F10"/>
  <c r="M9"/>
  <c r="H9"/>
  <c r="G9"/>
  <c r="F9"/>
  <c r="M8"/>
  <c r="H8"/>
  <c r="G8"/>
  <c r="F8"/>
  <c r="M7"/>
  <c r="H7"/>
  <c r="G7"/>
  <c r="F7"/>
  <c r="M6"/>
  <c r="H6"/>
  <c r="G6"/>
  <c r="F6"/>
  <c r="M5"/>
  <c r="H5"/>
  <c r="G5"/>
  <c r="F5"/>
  <c r="M4"/>
  <c r="H4"/>
  <c r="G4"/>
  <c r="F4"/>
  <c r="M3"/>
  <c r="H3"/>
  <c r="G3"/>
  <c r="F3"/>
  <c r="M2"/>
  <c r="M16" s="1"/>
  <c r="H2"/>
  <c r="G2"/>
  <c r="F2"/>
  <c r="H69" i="2" s="1"/>
  <c r="G69" s="1"/>
  <c r="F69" s="1"/>
  <c r="E69"/>
  <c r="D69"/>
  <c r="C69"/>
  <c r="B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AC60"/>
  <c r="AB60"/>
  <c r="AA60"/>
  <c r="X60"/>
  <c r="W60"/>
  <c r="V60"/>
  <c r="H60"/>
  <c r="G60"/>
  <c r="F60"/>
  <c r="AC59"/>
  <c r="AB59"/>
  <c r="AA59"/>
  <c r="X59"/>
  <c r="W59"/>
  <c r="V59"/>
  <c r="H59"/>
  <c r="G59"/>
  <c r="F59"/>
  <c r="AC58"/>
  <c r="AB58"/>
  <c r="AA58"/>
  <c r="X58"/>
  <c r="W58"/>
  <c r="V58"/>
  <c r="H58"/>
  <c r="G58"/>
  <c r="F58"/>
  <c r="AC57"/>
  <c r="AB57"/>
  <c r="AA57"/>
  <c r="X57"/>
  <c r="W57"/>
  <c r="V57"/>
  <c r="H57"/>
  <c r="G57"/>
  <c r="F57"/>
  <c r="AC56"/>
  <c r="AB56"/>
  <c r="AA56"/>
  <c r="X56"/>
  <c r="W56"/>
  <c r="V56"/>
  <c r="H56"/>
  <c r="G56"/>
  <c r="F56"/>
  <c r="AC55"/>
  <c r="AB55"/>
  <c r="AA55"/>
  <c r="X55"/>
  <c r="W55"/>
  <c r="V55"/>
  <c r="H55"/>
  <c r="G55"/>
  <c r="F55"/>
  <c r="AC54"/>
  <c r="AB54"/>
  <c r="AA54"/>
  <c r="X54"/>
  <c r="W54"/>
  <c r="V54"/>
  <c r="AC53"/>
  <c r="AB53"/>
  <c r="AA53"/>
  <c r="X53"/>
  <c r="W53"/>
  <c r="V53"/>
  <c r="AC52"/>
  <c r="AB52"/>
  <c r="AA52"/>
  <c r="X52"/>
  <c r="W52"/>
  <c r="V52"/>
  <c r="AC51"/>
  <c r="AB51"/>
  <c r="AA51"/>
  <c r="X51"/>
  <c r="W51"/>
  <c r="V51"/>
  <c r="AC50"/>
  <c r="AB50"/>
  <c r="AA50"/>
  <c r="X50"/>
  <c r="W50"/>
  <c r="V50"/>
  <c r="AC49"/>
  <c r="AB49"/>
  <c r="AA49"/>
  <c r="X49"/>
  <c r="W49"/>
  <c r="V49"/>
  <c r="AC48"/>
  <c r="AB48"/>
  <c r="AA48"/>
  <c r="X48"/>
  <c r="W48"/>
  <c r="V48"/>
  <c r="H37" s="1"/>
  <c r="G37" s="1"/>
  <c r="F37" s="1"/>
  <c r="E37"/>
  <c r="D37"/>
  <c r="C37"/>
  <c r="B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16" s="1"/>
  <c r="G16" s="1"/>
  <c r="F16" s="1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E173" i="1"/>
  <c r="D173"/>
  <c r="C173"/>
  <c r="B173"/>
  <c r="H172"/>
  <c r="G172"/>
  <c r="F172"/>
  <c r="H171"/>
  <c r="G171"/>
  <c r="F171"/>
  <c r="H170"/>
  <c r="G170"/>
  <c r="F170"/>
  <c r="H169"/>
  <c r="G169"/>
  <c r="F169"/>
  <c r="H168"/>
  <c r="G168"/>
  <c r="F168"/>
  <c r="H167"/>
  <c r="G167"/>
  <c r="F167"/>
  <c r="H166"/>
  <c r="G166"/>
  <c r="F166"/>
  <c r="H165"/>
  <c r="G165"/>
  <c r="F165"/>
  <c r="H164"/>
  <c r="G164"/>
  <c r="F164"/>
  <c r="H163"/>
  <c r="G163"/>
  <c r="F163"/>
  <c r="H162"/>
  <c r="G162"/>
  <c r="F162"/>
  <c r="H161"/>
  <c r="G161"/>
  <c r="F161"/>
  <c r="H160"/>
  <c r="G160"/>
  <c r="F160"/>
  <c r="H159"/>
  <c r="G159"/>
  <c r="F159"/>
  <c r="E141"/>
  <c r="D141"/>
  <c r="C141"/>
  <c r="B141"/>
  <c r="H140"/>
  <c r="G140"/>
  <c r="F140"/>
  <c r="H139"/>
  <c r="G139"/>
  <c r="F139"/>
  <c r="H138"/>
  <c r="G138"/>
  <c r="F138"/>
  <c r="H137"/>
  <c r="G137"/>
  <c r="F137"/>
  <c r="H136"/>
  <c r="G136"/>
  <c r="F136"/>
  <c r="H135"/>
  <c r="G135"/>
  <c r="F135"/>
  <c r="H134"/>
  <c r="G134"/>
  <c r="F134"/>
  <c r="H133"/>
  <c r="G133"/>
  <c r="F133"/>
  <c r="H132"/>
  <c r="G132"/>
  <c r="F132"/>
  <c r="H131"/>
  <c r="G131"/>
  <c r="F131"/>
  <c r="H130"/>
  <c r="G130"/>
  <c r="F130"/>
  <c r="H129"/>
  <c r="G129"/>
  <c r="F129"/>
  <c r="H128"/>
  <c r="G128"/>
  <c r="F128"/>
  <c r="H127"/>
  <c r="G127"/>
  <c r="F127"/>
  <c r="H119"/>
  <c r="G119"/>
  <c r="F119"/>
  <c r="H118"/>
  <c r="G118"/>
  <c r="F118"/>
  <c r="H117"/>
  <c r="G117"/>
  <c r="F117"/>
  <c r="H116"/>
  <c r="G116"/>
  <c r="F116"/>
  <c r="H115"/>
  <c r="G115"/>
  <c r="F115"/>
  <c r="H114"/>
  <c r="G114"/>
  <c r="F114"/>
  <c r="H113"/>
  <c r="G113"/>
  <c r="F113"/>
  <c r="H112"/>
  <c r="G112"/>
  <c r="F112"/>
  <c r="H111"/>
  <c r="G111"/>
  <c r="F111"/>
  <c r="H110"/>
  <c r="G110"/>
  <c r="F110"/>
  <c r="H109"/>
  <c r="G109"/>
  <c r="F109"/>
  <c r="H108"/>
  <c r="G108"/>
  <c r="F108"/>
  <c r="H107"/>
  <c r="G107"/>
  <c r="F107"/>
  <c r="H106"/>
  <c r="G106"/>
  <c r="F106"/>
  <c r="H100"/>
  <c r="G100"/>
  <c r="F100"/>
  <c r="H99"/>
  <c r="G99"/>
  <c r="F99"/>
  <c r="H98"/>
  <c r="G98"/>
  <c r="F98"/>
  <c r="H97"/>
  <c r="G97"/>
  <c r="F97"/>
  <c r="H96"/>
  <c r="G96"/>
  <c r="F96"/>
  <c r="H95"/>
  <c r="G95"/>
  <c r="F95"/>
  <c r="H94"/>
  <c r="G94"/>
  <c r="F94"/>
  <c r="H93"/>
  <c r="G93"/>
  <c r="F93"/>
  <c r="H92"/>
  <c r="G92"/>
  <c r="F92"/>
  <c r="H91"/>
  <c r="G91"/>
  <c r="F91"/>
  <c r="H90"/>
  <c r="G90"/>
  <c r="F90"/>
  <c r="H89"/>
  <c r="G89"/>
  <c r="F89"/>
  <c r="H88"/>
  <c r="G88"/>
  <c r="F88"/>
  <c r="H87"/>
  <c r="G87"/>
  <c r="F87"/>
  <c r="E78"/>
  <c r="D78"/>
  <c r="C78" s="1"/>
  <c r="B78"/>
  <c r="H77"/>
  <c r="G77"/>
  <c r="F77"/>
  <c r="D77"/>
  <c r="C77"/>
  <c r="B77"/>
  <c r="H76" s="1"/>
  <c r="G76"/>
  <c r="F76" s="1"/>
  <c r="D76"/>
  <c r="C76"/>
  <c r="B76"/>
  <c r="H75"/>
  <c r="G75"/>
  <c r="F75"/>
  <c r="D75"/>
  <c r="C75"/>
  <c r="B75"/>
  <c r="H74"/>
  <c r="G74"/>
  <c r="F74"/>
  <c r="E74"/>
  <c r="D74"/>
  <c r="C74"/>
  <c r="B74"/>
  <c r="H73"/>
  <c r="G73" s="1"/>
  <c r="F73"/>
  <c r="D73"/>
  <c r="C73"/>
  <c r="B73"/>
  <c r="H72" s="1"/>
  <c r="G72"/>
  <c r="F72"/>
  <c r="D72"/>
  <c r="C72"/>
  <c r="B72"/>
  <c r="H71"/>
  <c r="G71"/>
  <c r="F71"/>
  <c r="D71"/>
  <c r="C71"/>
  <c r="B71"/>
  <c r="H70" s="1"/>
  <c r="G70"/>
  <c r="F70"/>
  <c r="D70"/>
  <c r="C70"/>
  <c r="B70"/>
  <c r="H69" s="1"/>
  <c r="G69"/>
  <c r="F69"/>
  <c r="E69"/>
  <c r="D69"/>
  <c r="C69"/>
  <c r="B69"/>
  <c r="H68"/>
  <c r="G68"/>
  <c r="F68"/>
  <c r="E68"/>
  <c r="D68"/>
  <c r="C68"/>
  <c r="B68"/>
  <c r="H67"/>
  <c r="G67"/>
  <c r="F67" s="1"/>
  <c r="E67"/>
  <c r="D67"/>
  <c r="C67"/>
  <c r="B67"/>
  <c r="H66"/>
  <c r="G66"/>
  <c r="F66"/>
  <c r="E66"/>
  <c r="D66"/>
  <c r="C66"/>
  <c r="B66"/>
  <c r="H65"/>
  <c r="G65"/>
  <c r="F65"/>
  <c r="D65"/>
  <c r="C65"/>
  <c r="B65"/>
  <c r="H64" s="1"/>
  <c r="G64"/>
  <c r="F64"/>
  <c r="D64"/>
  <c r="C64"/>
  <c r="B64"/>
  <c r="E59"/>
  <c r="D59"/>
  <c r="C59"/>
  <c r="B59"/>
  <c r="H58" s="1"/>
  <c r="G58"/>
  <c r="F58"/>
  <c r="D58"/>
  <c r="C58"/>
  <c r="B58"/>
  <c r="H57" s="1"/>
  <c r="G57"/>
  <c r="F57"/>
  <c r="D57"/>
  <c r="B57"/>
  <c r="H56"/>
  <c r="G56" s="1"/>
  <c r="F56"/>
  <c r="D56"/>
  <c r="H55"/>
  <c r="G55"/>
  <c r="F55"/>
  <c r="H54" s="1"/>
  <c r="G54"/>
  <c r="F54"/>
  <c r="D54"/>
  <c r="C54"/>
  <c r="B54"/>
  <c r="H53"/>
  <c r="G53"/>
  <c r="F53"/>
  <c r="E53"/>
  <c r="D53"/>
  <c r="C53"/>
  <c r="B53"/>
  <c r="H52" s="1"/>
  <c r="G52"/>
  <c r="F52"/>
  <c r="D52"/>
  <c r="B52"/>
  <c r="H51"/>
  <c r="G51"/>
  <c r="F51" s="1"/>
  <c r="D51"/>
  <c r="B51"/>
  <c r="H50" s="1"/>
  <c r="G50"/>
  <c r="F50" s="1"/>
  <c r="D50"/>
  <c r="C50"/>
  <c r="B50"/>
  <c r="H49"/>
  <c r="G49"/>
  <c r="F49"/>
  <c r="D49"/>
  <c r="C49"/>
  <c r="B49"/>
  <c r="H48"/>
  <c r="G48"/>
  <c r="F48"/>
  <c r="E48"/>
  <c r="D48"/>
  <c r="C48"/>
  <c r="B48"/>
  <c r="H47" s="1"/>
  <c r="G47"/>
  <c r="F47"/>
  <c r="D47"/>
  <c r="C47"/>
  <c r="B47"/>
  <c r="H46"/>
  <c r="G46"/>
  <c r="F46" s="1"/>
  <c r="D46"/>
  <c r="C46"/>
  <c r="B46"/>
  <c r="H45"/>
  <c r="G45"/>
  <c r="F45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F27" i="3" l="1"/>
  <c r="D38"/>
  <c r="G33"/>
  <c r="F37"/>
  <c r="G36"/>
  <c r="F36" s="1"/>
  <c r="F29"/>
  <c r="H36"/>
  <c r="G37"/>
  <c r="F33"/>
  <c r="G16"/>
  <c r="F16" s="1"/>
  <c r="H27"/>
  <c r="H33"/>
  <c r="H37"/>
  <c r="H59"/>
  <c r="F59"/>
  <c r="C38"/>
  <c r="H31"/>
  <c r="H32"/>
  <c r="G35"/>
  <c r="F26"/>
  <c r="G29"/>
  <c r="G32"/>
  <c r="F32" s="1"/>
  <c r="B38"/>
  <c r="G27"/>
  <c r="G31"/>
  <c r="H16"/>
  <c r="M38"/>
  <c r="G25"/>
  <c r="F25" s="1"/>
  <c r="H26"/>
  <c r="H28"/>
  <c r="G28" s="1"/>
  <c r="H30"/>
  <c r="G30" s="1"/>
  <c r="F38" l="1"/>
  <c r="E38" s="1"/>
  <c r="H38" s="1"/>
  <c r="G38"/>
</calcChain>
</file>

<file path=xl/sharedStrings.xml><?xml version="1.0" encoding="utf-8"?>
<sst xmlns="http://schemas.openxmlformats.org/spreadsheetml/2006/main" count="1066" uniqueCount="119">
  <si>
    <t>AES RESUME</t>
  </si>
  <si>
    <t>Injeções</t>
  </si>
  <si>
    <t>Errors per Register SDCs</t>
  </si>
  <si>
    <t>SUCCESS</t>
  </si>
  <si>
    <t>Errors per Register Hangs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</si>
  <si>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</si>
  <si>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</si>
  <si>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</si>
  <si>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</si>
  <si>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</si>
  <si>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</si>
  <si>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</si>
  <si>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</si>
  <si>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</si>
  <si>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</si>
  <si>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</si>
  <si>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</si>
  <si>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</si>
  <si>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lr</t>
  </si>
  <si>
    <t>Total Injeções</t>
  </si>
  <si>
    <t>QuickSort RESUME</t>
  </si>
  <si>
    <t>Errors per Register</t>
  </si>
  <si>
    <t>Number of Registers Used O0</t>
  </si>
  <si>
    <t>STR</t>
  </si>
  <si>
    <t>LDR</t>
  </si>
  <si>
    <t>sl</t>
  </si>
  <si>
    <t>fp</t>
  </si>
  <si>
    <t>ip</t>
  </si>
  <si>
    <t>Multiplicação O1</t>
  </si>
  <si>
    <t>Multiplicação O2</t>
  </si>
  <si>
    <t>Number of Registers Used O2</t>
  </si>
  <si>
    <t>Multiplicação O3</t>
  </si>
  <si>
    <t>Number of Registers Used O3</t>
  </si>
  <si>
    <t>SDCs %</t>
  </si>
  <si>
    <t>SUCCESS %</t>
  </si>
  <si>
    <t>Hangs %</t>
  </si>
  <si>
    <t>Total</t>
  </si>
  <si>
    <t>Multiplicação O0</t>
  </si>
  <si>
    <t>Clock Cycles</t>
  </si>
  <si>
    <t>O0</t>
  </si>
  <si>
    <t>O2</t>
  </si>
  <si>
    <t>O3</t>
  </si>
  <si>
    <t>O1</t>
  </si>
  <si>
    <t>AES RESUME O3</t>
  </si>
  <si>
    <t>AES RESUME O2</t>
  </si>
  <si>
    <t>AES</t>
  </si>
  <si>
    <t>MxM</t>
  </si>
  <si>
    <t>Quicksort</t>
  </si>
  <si>
    <t>AVF SDC total</t>
  </si>
  <si>
    <t>AVF SEFI total</t>
  </si>
  <si>
    <t>t exec</t>
  </si>
  <si>
    <t>MWBF</t>
  </si>
  <si>
    <t>MWBF SDC</t>
  </si>
  <si>
    <t>MWBF SEFI</t>
  </si>
  <si>
    <t>aes_script_O0</t>
  </si>
  <si>
    <t>begin</t>
  </si>
  <si>
    <t>aes_script_O3</t>
  </si>
  <si>
    <t>mm_script_O0</t>
  </si>
  <si>
    <t>mm_script_O3</t>
  </si>
  <si>
    <t>end</t>
  </si>
  <si>
    <t>total time (min)</t>
  </si>
  <si>
    <t>total time (s)</t>
  </si>
  <si>
    <t>dead time (s)</t>
  </si>
  <si>
    <t>real time (s)</t>
  </si>
  <si>
    <t>SDC</t>
  </si>
  <si>
    <t>SEFI</t>
  </si>
  <si>
    <t>SDC rate (errors/s)</t>
  </si>
  <si>
    <t>SEFI rate (errors/s)</t>
  </si>
  <si>
    <t>FLUX</t>
  </si>
  <si>
    <t>CROSS SECTION sdc</t>
  </si>
  <si>
    <t>CROSS SECTION sefi</t>
  </si>
  <si>
    <t>tempo exec (s)</t>
  </si>
  <si>
    <t>MTBF (h)</t>
  </si>
  <si>
    <t>MTBF (s)</t>
  </si>
  <si>
    <t>MEBF (execucoes)</t>
  </si>
  <si>
    <t xml:space="preserve">Fault Injection </t>
  </si>
  <si>
    <t>sigma_sdc</t>
  </si>
  <si>
    <t>sigma_sefi</t>
  </si>
  <si>
    <t>MWBF_SDC</t>
  </si>
  <si>
    <t>MWBF_SEFI</t>
  </si>
  <si>
    <t>sefi</t>
  </si>
  <si>
    <t xml:space="preserve">REGISTRADORES CRITICOS </t>
  </si>
  <si>
    <t>7 se considerar com 0.3 avf mais</t>
  </si>
  <si>
    <t>7 se considerar com 0.2 avf mais</t>
  </si>
  <si>
    <t>Analise de AVF SDCs para registradores Criticos</t>
  </si>
  <si>
    <t>o0</t>
  </si>
  <si>
    <t>o2</t>
  </si>
  <si>
    <t>o3</t>
  </si>
  <si>
    <t>Analise de AVF SEFIs para registradores Criticos</t>
  </si>
  <si>
    <t xml:space="preserve">Seconds </t>
  </si>
  <si>
    <t>Radiation Experiments</t>
  </si>
  <si>
    <t xml:space="preserve">CROSS SECTION SDC </t>
  </si>
  <si>
    <t>CROSS SECTION SEFI</t>
  </si>
  <si>
    <t>FFT</t>
  </si>
  <si>
    <t>QuickSort RESUME O0</t>
  </si>
  <si>
    <t>QuickSort RESUME 02</t>
  </si>
  <si>
    <t>QuickSort RESUME 03</t>
  </si>
  <si>
    <t>SOMA TOTAL</t>
  </si>
  <si>
    <t>FFT RESUME O0</t>
  </si>
  <si>
    <t>FFT RESUME 02</t>
  </si>
  <si>
    <t>FFT RESUME 03</t>
  </si>
  <si>
    <t>JPEG</t>
  </si>
  <si>
    <t>755.66</t>
  </si>
  <si>
    <t>690.44</t>
  </si>
  <si>
    <t>Fibonacci</t>
  </si>
  <si>
    <t>PUSH</t>
  </si>
  <si>
    <t>ADD</t>
  </si>
  <si>
    <t>SUB</t>
  </si>
  <si>
    <t>MOV</t>
  </si>
  <si>
    <t>B</t>
  </si>
  <si>
    <t>LSL</t>
  </si>
  <si>
    <t>CMP</t>
  </si>
  <si>
    <t>BLE</t>
  </si>
  <si>
    <t>POP</t>
  </si>
  <si>
    <t>BX</t>
  </si>
  <si>
    <t>BNE</t>
  </si>
  <si>
    <t>MUL</t>
  </si>
  <si>
    <t>ORR</t>
  </si>
  <si>
    <t>AND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</si>
</sst>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4" formatCode="_-* #,##0.00000000_-;\-* #,##0.00000000_-;_-* &quot;-&quot;??_-;_-@_-"/>
    <numFmt numFmtId="165" formatCode="_-* #,##0.0000000000_-;\-* #,##0.0000000000_-;_-* &quot;-&quot;??_-;_-@_-"/>
    <numFmt numFmtId="166" formatCode="[$-F400]h:mm:ss\ AM/PM"/>
    <numFmt numFmtId="167" formatCode="0.000"/>
    <numFmt numFmtId="168" formatCode="0.0000"/>
  </numFmts>
  <fonts count="10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/>
    <xf numFmtId="0" fontId="0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9" fontId="1" fillId="0" borderId="0" xfId="1" applyFont="1" applyBorder="1" applyAlignment="1"/>
    <xf numFmtId="0" fontId="0" fillId="0" borderId="0" xfId="0" applyFont="1" applyBorder="1" applyAlignment="1"/>
    <xf numFmtId="0" fontId="5" fillId="0" borderId="0" xfId="0" applyFont="1" applyAlignment="1"/>
    <xf numFmtId="0" fontId="0" fillId="0" borderId="1" xfId="0" applyBorder="1" applyAlignment="1"/>
    <xf numFmtId="0" fontId="0" fillId="0" borderId="2" xfId="0" applyFont="1" applyBorder="1" applyAlignment="1"/>
    <xf numFmtId="0" fontId="2" fillId="0" borderId="0" xfId="0" applyFont="1" applyBorder="1" applyAlignment="1"/>
    <xf numFmtId="2" fontId="1" fillId="0" borderId="1" xfId="1" applyNumberFormat="1" applyFont="1" applyBorder="1" applyAlignment="1"/>
    <xf numFmtId="2" fontId="1" fillId="0" borderId="0" xfId="1" applyNumberFormat="1" applyFont="1" applyBorder="1" applyAlignment="1"/>
    <xf numFmtId="2" fontId="1" fillId="2" borderId="1" xfId="1" applyNumberFormat="1" applyFont="1" applyFill="1" applyBorder="1" applyAlignment="1"/>
    <xf numFmtId="1" fontId="1" fillId="0" borderId="1" xfId="0" applyNumberFormat="1" applyFont="1" applyBorder="1" applyAlignment="1">
      <alignment horizontal="right"/>
    </xf>
    <xf numFmtId="0" fontId="6" fillId="0" borderId="1" xfId="0" applyFont="1" applyBorder="1" applyAlignment="1"/>
    <xf numFmtId="0" fontId="1" fillId="0" borderId="3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0" xfId="0" applyFont="1" applyAlignment="1"/>
    <xf numFmtId="164" fontId="6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/>
    <xf numFmtId="22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8" fillId="0" borderId="0" xfId="0" applyFont="1"/>
    <xf numFmtId="0" fontId="0" fillId="2" borderId="0" xfId="0" applyFill="1"/>
    <xf numFmtId="164" fontId="6" fillId="2" borderId="0" xfId="0" applyNumberFormat="1" applyFont="1" applyFill="1" applyAlignment="1"/>
    <xf numFmtId="0" fontId="6" fillId="0" borderId="0" xfId="0" applyFont="1" applyBorder="1" applyAlignment="1"/>
    <xf numFmtId="0" fontId="0" fillId="0" borderId="0" xfId="0" applyBorder="1" applyAlignment="1"/>
    <xf numFmtId="11" fontId="6" fillId="0" borderId="0" xfId="0" applyNumberFormat="1" applyFont="1" applyAlignment="1"/>
    <xf numFmtId="11" fontId="0" fillId="0" borderId="0" xfId="0" applyNumberFormat="1" applyFont="1" applyAlignment="1"/>
    <xf numFmtId="168" fontId="0" fillId="0" borderId="0" xfId="0" applyNumberFormat="1"/>
    <xf numFmtId="43" fontId="0" fillId="0" borderId="0" xfId="0" applyNumberFormat="1"/>
    <xf numFmtId="0" fontId="0" fillId="0" borderId="0" xfId="0" applyAlignment="1"/>
    <xf numFmtId="11" fontId="6" fillId="2" borderId="0" xfId="0" applyNumberFormat="1" applyFont="1" applyFill="1" applyAlignment="1"/>
    <xf numFmtId="11" fontId="0" fillId="0" borderId="0" xfId="0" applyNumberFormat="1"/>
    <xf numFmtId="2" fontId="0" fillId="0" borderId="1" xfId="0" applyNumberFormat="1" applyBorder="1" applyAlignment="1"/>
    <xf numFmtId="2" fontId="0" fillId="0" borderId="1" xfId="0" applyNumberFormat="1" applyFont="1" applyBorder="1" applyAlignment="1"/>
    <xf numFmtId="2" fontId="1" fillId="3" borderId="1" xfId="1" applyNumberFormat="1" applyFont="1" applyFill="1" applyBorder="1" applyAlignment="1"/>
    <xf numFmtId="2" fontId="0" fillId="3" borderId="1" xfId="0" applyNumberFormat="1" applyFill="1" applyBorder="1" applyAlignment="1"/>
    <xf numFmtId="2" fontId="0" fillId="3" borderId="1" xfId="0" applyNumberFormat="1" applyFont="1" applyFill="1" applyBorder="1" applyAlignment="1"/>
    <xf numFmtId="0" fontId="0" fillId="3" borderId="1" xfId="0" applyFill="1" applyBorder="1" applyAlignment="1"/>
    <xf numFmtId="2" fontId="0" fillId="2" borderId="1" xfId="0" applyNumberFormat="1" applyFill="1" applyBorder="1" applyAlignment="1"/>
    <xf numFmtId="2" fontId="0" fillId="2" borderId="1" xfId="0" applyNumberFormat="1" applyFont="1" applyFill="1" applyBorder="1" applyAlignment="1"/>
    <xf numFmtId="0" fontId="0" fillId="2" borderId="1" xfId="0" applyFill="1" applyBorder="1" applyAlignment="1"/>
    <xf numFmtId="0" fontId="0" fillId="2" borderId="0" xfId="0" applyFont="1" applyFill="1" applyAlignment="1"/>
    <xf numFmtId="0" fontId="0" fillId="0" borderId="4" xfId="0" applyBorder="1" applyAlignment="1"/>
    <xf numFmtId="0" fontId="0" fillId="0" borderId="4" xfId="0" applyFont="1" applyBorder="1" applyAlignment="1"/>
    <xf numFmtId="11" fontId="0" fillId="0" borderId="1" xfId="0" applyNumberFormat="1" applyFont="1" applyBorder="1" applyAlignment="1"/>
    <xf numFmtId="11" fontId="0" fillId="0" borderId="0" xfId="0" applyNumberFormat="1" applyFont="1" applyBorder="1" applyAlignment="1"/>
    <xf numFmtId="11" fontId="6" fillId="0" borderId="0" xfId="0" applyNumberFormat="1" applyFont="1" applyBorder="1" applyAlignment="1"/>
    <xf numFmtId="0" fontId="1" fillId="2" borderId="1" xfId="0" applyFont="1" applyFill="1" applyBorder="1" applyAlignment="1">
      <alignment horizontal="right"/>
    </xf>
    <xf numFmtId="0" fontId="3" fillId="0" borderId="1" xfId="0" applyFont="1" applyBorder="1" applyAlignment="1"/>
    <xf numFmtId="11" fontId="0" fillId="0" borderId="1" xfId="0" applyNumberFormat="1" applyBorder="1" applyAlignment="1"/>
    <xf numFmtId="11" fontId="3" fillId="0" borderId="1" xfId="0" applyNumberFormat="1" applyFont="1" applyBorder="1" applyAlignment="1"/>
    <xf numFmtId="0" fontId="0" fillId="0" borderId="1" xfId="0" applyNumberFormat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/>
    <xf numFmtId="0" fontId="3" fillId="0" borderId="0" xfId="0" applyFont="1" applyAlignment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right"/>
    </xf>
    <xf numFmtId="0" fontId="9" fillId="4" borderId="1" xfId="0" applyFont="1" applyFill="1" applyBorder="1" applyAlignment="1"/>
    <xf numFmtId="0" fontId="9" fillId="5" borderId="1" xfId="0" applyFont="1" applyFill="1" applyBorder="1" applyAlignment="1"/>
    <xf numFmtId="0" fontId="9" fillId="6" borderId="1" xfId="0" applyFont="1" applyFill="1" applyBorder="1" applyAlignment="1"/>
    <xf numFmtId="0" fontId="9" fillId="7" borderId="1" xfId="0" applyFont="1" applyFill="1" applyBorder="1" applyAlignment="1"/>
    <xf numFmtId="0" fontId="9" fillId="8" borderId="1" xfId="0" applyFont="1" applyFill="1" applyBorder="1" applyAlignment="1"/>
    <xf numFmtId="0" fontId="9" fillId="9" borderId="1" xfId="0" applyFont="1" applyFill="1" applyBorder="1" applyAlignment="1"/>
    <xf numFmtId="0" fontId="9" fillId="10" borderId="1" xfId="0" applyFont="1" applyFill="1" applyBorder="1" applyAlignment="1"/>
    <xf numFmtId="0" fontId="9" fillId="11" borderId="1" xfId="0" applyFont="1" applyFill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AES!$F$2:$F$14</c:f>
              <c:numCache>
                <c:formatCode>0.00</c:formatCode>
                <c:ptCount val="13"/>
                <c:pt idx="0">
                  <c:v>0.12789927104042412</c:v>
                </c:pt>
                <c:pt idx="1">
                  <c:v>0.23655913978494625</c:v>
                </c:pt>
                <c:pt idx="2">
                  <c:v>0.31824146981627299</c:v>
                </c:pt>
                <c:pt idx="3">
                  <c:v>0.32168421052631579</c:v>
                </c:pt>
                <c:pt idx="4">
                  <c:v>0.30618892508143325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AES!$F$23:$F$35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1.2269938650306749E-2</c:v>
                </c:pt>
                <c:pt idx="9">
                  <c:v>0.13307984790874525</c:v>
                </c:pt>
                <c:pt idx="10">
                  <c:v>2.302158273381295E-2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AES!$F$55:$F$67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4.5512010113780026E-2</c:v>
                </c:pt>
                <c:pt idx="9">
                  <c:v>8.3257918552036195E-2</c:v>
                </c:pt>
                <c:pt idx="10">
                  <c:v>4.3312101910828023E-2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65895040"/>
        <c:axId val="65918080"/>
      </c:barChart>
      <c:catAx>
        <c:axId val="6589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65918080"/>
        <c:crosses val="autoZero"/>
        <c:auto val="1"/>
        <c:lblAlgn val="ctr"/>
        <c:lblOffset val="100"/>
      </c:catAx>
      <c:valAx>
        <c:axId val="6591808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65895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297" footer="0.3149606200000029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MWBF!$E$3</c:f>
              <c:strCache>
                <c:ptCount val="1"/>
                <c:pt idx="0">
                  <c:v>Fault Injection </c:v>
                </c:pt>
              </c:strCache>
            </c:strRef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(MWBF!$J$5,MWBF!$J$7)</c:f>
              <c:numCache>
                <c:formatCode>0.00E+00</c:formatCode>
                <c:ptCount val="2"/>
                <c:pt idx="0">
                  <c:v>1.5017079999999999E-5</c:v>
                </c:pt>
                <c:pt idx="1">
                  <c:v>3.1427400000000003E-5</c:v>
                </c:pt>
              </c:numCache>
            </c:numRef>
          </c:val>
        </c:ser>
        <c:ser>
          <c:idx val="2"/>
          <c:order val="1"/>
          <c:tx>
            <c:strRef>
              <c:f>MWBF!$K$3</c:f>
              <c:strCache>
                <c:ptCount val="1"/>
                <c:pt idx="0">
                  <c:v>Radiation Experiments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(MWBF!$P$5,MWBF!$P$7)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7483392"/>
        <c:axId val="77547008"/>
      </c:barChart>
      <c:catAx>
        <c:axId val="7748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Optimization</a:t>
                </a:r>
              </a:p>
            </c:rich>
          </c:tx>
        </c:title>
        <c:numFmt formatCode="0.00E+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77547008"/>
        <c:crosses val="autoZero"/>
        <c:auto val="1"/>
        <c:lblAlgn val="ctr"/>
        <c:lblOffset val="100"/>
      </c:catAx>
      <c:valAx>
        <c:axId val="775470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Cross Setion</a:t>
                </a:r>
                <a:r>
                  <a:rPr lang="en-US" b="1" baseline="0"/>
                  <a:t> SEFI</a:t>
                </a:r>
                <a:endParaRPr lang="en-US" b="1"/>
              </a:p>
            </c:rich>
          </c:tx>
        </c:title>
        <c:numFmt formatCode="0.00E+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77483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MWBF!$E$3</c:f>
              <c:strCache>
                <c:ptCount val="1"/>
                <c:pt idx="0">
                  <c:v>Fault Injection </c:v>
                </c:pt>
              </c:strCache>
            </c:strRef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(MWBF!$I$9,MWBF!$I$11)</c:f>
              <c:numCache>
                <c:formatCode>0.00E+00</c:formatCode>
                <c:ptCount val="2"/>
                <c:pt idx="0">
                  <c:v>8.9314999999999997E-7</c:v>
                </c:pt>
                <c:pt idx="1">
                  <c:v>8.34642E-6</c:v>
                </c:pt>
              </c:numCache>
            </c:numRef>
          </c:val>
        </c:ser>
        <c:ser>
          <c:idx val="2"/>
          <c:order val="1"/>
          <c:tx>
            <c:strRef>
              <c:f>MWBF!$K$3</c:f>
              <c:strCache>
                <c:ptCount val="1"/>
                <c:pt idx="0">
                  <c:v>Radiation Experiments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(MWBF!$O$9,MWBF!$O$11)</c:f>
              <c:numCache>
                <c:formatCode>0.00E+00</c:formatCode>
                <c:ptCount val="2"/>
                <c:pt idx="0">
                  <c:v>8.9314999999999997E-7</c:v>
                </c:pt>
                <c:pt idx="1">
                  <c:v>8.34642E-6</c:v>
                </c:pt>
              </c:numCache>
            </c:numRef>
          </c:val>
        </c:ser>
        <c:axId val="77576064"/>
        <c:axId val="77586432"/>
      </c:barChart>
      <c:catAx>
        <c:axId val="7757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Optimization</a:t>
                </a:r>
              </a:p>
            </c:rich>
          </c:tx>
        </c:title>
        <c:numFmt formatCode="0.00E+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77586432"/>
        <c:crosses val="autoZero"/>
        <c:auto val="1"/>
        <c:lblAlgn val="ctr"/>
        <c:lblOffset val="100"/>
      </c:catAx>
      <c:valAx>
        <c:axId val="775864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Cross Section SDC</a:t>
                </a:r>
              </a:p>
            </c:rich>
          </c:tx>
        </c:title>
        <c:numFmt formatCode="0.00E+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77576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MWBF!$E$3</c:f>
              <c:strCache>
                <c:ptCount val="1"/>
                <c:pt idx="0">
                  <c:v>Fault Injection </c:v>
                </c:pt>
              </c:strCache>
            </c:strRef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(MWBF!$J$9,MWBF!$J$11)</c:f>
              <c:numCache>
                <c:formatCode>0.00E+00</c:formatCode>
                <c:ptCount val="2"/>
                <c:pt idx="0">
                  <c:v>1.3397249999999999E-6</c:v>
                </c:pt>
                <c:pt idx="1">
                  <c:v>1.0850345999999999E-5</c:v>
                </c:pt>
              </c:numCache>
            </c:numRef>
          </c:val>
        </c:ser>
        <c:ser>
          <c:idx val="2"/>
          <c:order val="1"/>
          <c:tx>
            <c:strRef>
              <c:f>MWBF!$K$3</c:f>
              <c:strCache>
                <c:ptCount val="1"/>
                <c:pt idx="0">
                  <c:v>Radiation Experiments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(MWBF!$P$9,MWBF!$P$11)</c:f>
              <c:numCache>
                <c:formatCode>0.00E+00</c:formatCode>
                <c:ptCount val="2"/>
                <c:pt idx="0">
                  <c:v>8.9314999999999997E-7</c:v>
                </c:pt>
                <c:pt idx="1">
                  <c:v>2.1964299999999998E-6</c:v>
                </c:pt>
              </c:numCache>
            </c:numRef>
          </c:val>
        </c:ser>
        <c:axId val="77615488"/>
        <c:axId val="77617408"/>
      </c:barChart>
      <c:catAx>
        <c:axId val="77615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Optimization</a:t>
                </a:r>
              </a:p>
            </c:rich>
          </c:tx>
        </c:title>
        <c:numFmt formatCode="0.00E+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77617408"/>
        <c:crosses val="autoZero"/>
        <c:auto val="1"/>
        <c:lblAlgn val="ctr"/>
        <c:lblOffset val="100"/>
      </c:catAx>
      <c:valAx>
        <c:axId val="776174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Cross Sectio  SEFI</a:t>
                </a:r>
              </a:p>
            </c:rich>
          </c:tx>
        </c:title>
        <c:numFmt formatCode="0.00E+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77615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324" footer="0.3149606200000032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AES!$H$2:$H$14</c:f>
              <c:numCache>
                <c:formatCode>0.00</c:formatCode>
                <c:ptCount val="13"/>
                <c:pt idx="0">
                  <c:v>1.7229953611663355E-2</c:v>
                </c:pt>
                <c:pt idx="1">
                  <c:v>6.0215053763440864E-2</c:v>
                </c:pt>
                <c:pt idx="2">
                  <c:v>0.11778215223097113</c:v>
                </c:pt>
                <c:pt idx="3">
                  <c:v>0.20589473684210527</c:v>
                </c:pt>
                <c:pt idx="4">
                  <c:v>0</c:v>
                </c:pt>
                <c:pt idx="5">
                  <c:v>0</c:v>
                </c:pt>
                <c:pt idx="6">
                  <c:v>9.2478421701602961E-4</c:v>
                </c:pt>
                <c:pt idx="7">
                  <c:v>0</c:v>
                </c:pt>
                <c:pt idx="8">
                  <c:v>4.5016077170418004E-3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AES!$H$23:$H$35</c:f>
              <c:numCache>
                <c:formatCode>0.00</c:formatCode>
                <c:ptCount val="13"/>
                <c:pt idx="0">
                  <c:v>0</c:v>
                </c:pt>
                <c:pt idx="1">
                  <c:v>1.5698587127158557E-3</c:v>
                </c:pt>
                <c:pt idx="2">
                  <c:v>1.4044943820224719E-3</c:v>
                </c:pt>
                <c:pt idx="3">
                  <c:v>0</c:v>
                </c:pt>
                <c:pt idx="4">
                  <c:v>0</c:v>
                </c:pt>
                <c:pt idx="5">
                  <c:v>1.3947001394700139E-3</c:v>
                </c:pt>
                <c:pt idx="6">
                  <c:v>0</c:v>
                </c:pt>
                <c:pt idx="7">
                  <c:v>0</c:v>
                </c:pt>
                <c:pt idx="8">
                  <c:v>0.18711656441717792</c:v>
                </c:pt>
                <c:pt idx="9">
                  <c:v>0.2902408111533587</c:v>
                </c:pt>
                <c:pt idx="10">
                  <c:v>0.62589928057553956</c:v>
                </c:pt>
                <c:pt idx="11">
                  <c:v>1.4367816091954023E-3</c:v>
                </c:pt>
                <c:pt idx="12">
                  <c:v>0.1349527665317139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AES!$H$55:$H$67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0.69279393173198478</c:v>
                </c:pt>
                <c:pt idx="9">
                  <c:v>0.33665158371040727</c:v>
                </c:pt>
                <c:pt idx="10">
                  <c:v>4.0764331210191081E-2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axId val="67254528"/>
        <c:axId val="67260800"/>
      </c:barChart>
      <c:catAx>
        <c:axId val="6725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67260800"/>
        <c:crosses val="autoZero"/>
        <c:auto val="1"/>
        <c:lblAlgn val="ctr"/>
        <c:lblOffset val="100"/>
      </c:catAx>
      <c:valAx>
        <c:axId val="6726080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67254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MxM!$F$2:$F$14</c:f>
              <c:numCache>
                <c:formatCode>0.00</c:formatCode>
                <c:ptCount val="13"/>
                <c:pt idx="0">
                  <c:v>0</c:v>
                </c:pt>
                <c:pt idx="1">
                  <c:v>0.35074261465643869</c:v>
                </c:pt>
                <c:pt idx="2">
                  <c:v>0.1056923076923077</c:v>
                </c:pt>
                <c:pt idx="3">
                  <c:v>0.31248968817026895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MxM!$F$24:$F$36</c:f>
              <c:numCache>
                <c:formatCode>0.00</c:formatCode>
                <c:ptCount val="13"/>
                <c:pt idx="0">
                  <c:v>0.81176470588235294</c:v>
                </c:pt>
                <c:pt idx="1">
                  <c:v>0.90946502057613166</c:v>
                </c:pt>
                <c:pt idx="2">
                  <c:v>0.9642857142857143</c:v>
                </c:pt>
                <c:pt idx="3">
                  <c:v>7.0833333333333331E-2</c:v>
                </c:pt>
                <c:pt idx="4">
                  <c:v>0.67397260273972603</c:v>
                </c:pt>
                <c:pt idx="5">
                  <c:v>0.34799999999999998</c:v>
                </c:pt>
                <c:pt idx="6">
                  <c:v>0</c:v>
                </c:pt>
                <c:pt idx="7">
                  <c:v>8.8105726872246704E-3</c:v>
                </c:pt>
                <c:pt idx="8">
                  <c:v>0.19537275064267351</c:v>
                </c:pt>
                <c:pt idx="9">
                  <c:v>0.89615384615384619</c:v>
                </c:pt>
                <c:pt idx="10">
                  <c:v>0.9285714285714286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MxM!$F$45:$F$57</c:f>
              <c:numCache>
                <c:formatCode>0.00</c:formatCode>
                <c:ptCount val="13"/>
                <c:pt idx="0">
                  <c:v>0.3503787878787879</c:v>
                </c:pt>
                <c:pt idx="1">
                  <c:v>0.68200000000000005</c:v>
                </c:pt>
                <c:pt idx="2">
                  <c:v>0.78969072164948451</c:v>
                </c:pt>
                <c:pt idx="3">
                  <c:v>0.1095890410958904</c:v>
                </c:pt>
                <c:pt idx="4">
                  <c:v>0.20528455284552846</c:v>
                </c:pt>
                <c:pt idx="5">
                  <c:v>0.65052631578947373</c:v>
                </c:pt>
                <c:pt idx="6">
                  <c:v>7.8602620087336247E-2</c:v>
                </c:pt>
                <c:pt idx="7">
                  <c:v>7.7504725897920609E-2</c:v>
                </c:pt>
                <c:pt idx="8">
                  <c:v>0.94408602150537635</c:v>
                </c:pt>
                <c:pt idx="9">
                  <c:v>0.77328646748681895</c:v>
                </c:pt>
                <c:pt idx="10">
                  <c:v>6.3524590163934427E-2</c:v>
                </c:pt>
                <c:pt idx="11">
                  <c:v>0.11790393013100436</c:v>
                </c:pt>
                <c:pt idx="12">
                  <c:v>9.9403578528827044E-2</c:v>
                </c:pt>
              </c:numCache>
            </c:numRef>
          </c:val>
        </c:ser>
        <c:axId val="67315584"/>
        <c:axId val="67338240"/>
      </c:barChart>
      <c:catAx>
        <c:axId val="6731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67338240"/>
        <c:crosses val="autoZero"/>
        <c:auto val="1"/>
        <c:lblAlgn val="ctr"/>
        <c:lblOffset val="100"/>
      </c:catAx>
      <c:valAx>
        <c:axId val="6733824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  <c:layout/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67315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286" footer="0.3149606200000028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MxM!$H$2:$H$14</c:f>
              <c:numCache>
                <c:formatCode>0.00</c:formatCode>
                <c:ptCount val="13"/>
                <c:pt idx="0">
                  <c:v>4.5303533675626698E-4</c:v>
                </c:pt>
                <c:pt idx="1">
                  <c:v>1.6321201240411295E-3</c:v>
                </c:pt>
                <c:pt idx="2">
                  <c:v>1.5384615384615385E-4</c:v>
                </c:pt>
                <c:pt idx="3">
                  <c:v>6.5995710278831873E-4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MxM!$H$24:$H$36</c:f>
              <c:numCache>
                <c:formatCode>0.00</c:formatCode>
                <c:ptCount val="13"/>
                <c:pt idx="0">
                  <c:v>0</c:v>
                </c:pt>
                <c:pt idx="1">
                  <c:v>1.2345679012345678E-2</c:v>
                </c:pt>
                <c:pt idx="2">
                  <c:v>0</c:v>
                </c:pt>
                <c:pt idx="3">
                  <c:v>0.7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0.75064267352185088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MxM!$H$45:$H$57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1.8556701030927835E-2</c:v>
                </c:pt>
                <c:pt idx="3">
                  <c:v>0.48923679060665359</c:v>
                </c:pt>
                <c:pt idx="4">
                  <c:v>0.39227642276422764</c:v>
                </c:pt>
                <c:pt idx="5">
                  <c:v>0.1368421052631579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9.1388400702987704E-2</c:v>
                </c:pt>
                <c:pt idx="10">
                  <c:v>0.53688524590163933</c:v>
                </c:pt>
                <c:pt idx="11">
                  <c:v>1.3100436681222707E-2</c:v>
                </c:pt>
                <c:pt idx="12">
                  <c:v>0</c:v>
                </c:pt>
              </c:numCache>
            </c:numRef>
          </c:val>
        </c:ser>
        <c:axId val="65668224"/>
        <c:axId val="65670144"/>
      </c:barChart>
      <c:catAx>
        <c:axId val="65668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65670144"/>
        <c:crosses val="autoZero"/>
        <c:auto val="1"/>
        <c:lblAlgn val="ctr"/>
        <c:lblOffset val="100"/>
      </c:catAx>
      <c:valAx>
        <c:axId val="6567014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65668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324" footer="0.3149606200000032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QuickSort!$F$2:$F$15</c:f>
              <c:numCache>
                <c:formatCode>0.00</c:formatCode>
                <c:ptCount val="14"/>
                <c:pt idx="0">
                  <c:v>2.1126760563380281E-2</c:v>
                </c:pt>
                <c:pt idx="1">
                  <c:v>5.1157697121401752E-2</c:v>
                </c:pt>
                <c:pt idx="2">
                  <c:v>0.10550792036041273</c:v>
                </c:pt>
                <c:pt idx="3">
                  <c:v>6.9324090121317156E-2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0.35512510088781274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QuickSort!$F$19:$F$31</c:f>
              <c:numCache>
                <c:formatCode>0.00</c:formatCode>
                <c:ptCount val="13"/>
                <c:pt idx="0">
                  <c:v>5.4940549405494053E-2</c:v>
                </c:pt>
                <c:pt idx="1">
                  <c:v>0.11052446321717704</c:v>
                </c:pt>
                <c:pt idx="2">
                  <c:v>2.1878536401357979E-2</c:v>
                </c:pt>
                <c:pt idx="3">
                  <c:v>5.6463068181818184E-2</c:v>
                </c:pt>
                <c:pt idx="4">
                  <c:v>0.21435594886922321</c:v>
                </c:pt>
                <c:pt idx="5">
                  <c:v>0.7688984881209503</c:v>
                </c:pt>
                <c:pt idx="6">
                  <c:v>0.58728606356968216</c:v>
                </c:pt>
                <c:pt idx="7">
                  <c:v>0.79046293073442397</c:v>
                </c:pt>
                <c:pt idx="8">
                  <c:v>0.3958427474017171</c:v>
                </c:pt>
                <c:pt idx="9">
                  <c:v>0.67096560846560849</c:v>
                </c:pt>
                <c:pt idx="10">
                  <c:v>0.12930344275420336</c:v>
                </c:pt>
                <c:pt idx="11">
                  <c:v>0.95518565941101152</c:v>
                </c:pt>
                <c:pt idx="12">
                  <c:v>4.2553191489361703E-3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QuickSort!$F$36:$F$48</c:f>
              <c:numCache>
                <c:formatCode>0.00</c:formatCode>
                <c:ptCount val="13"/>
                <c:pt idx="0">
                  <c:v>3.1413612565445025E-2</c:v>
                </c:pt>
                <c:pt idx="1">
                  <c:v>0.10443037974683544</c:v>
                </c:pt>
                <c:pt idx="2">
                  <c:v>3.2507739938080496E-2</c:v>
                </c:pt>
                <c:pt idx="3">
                  <c:v>4.6221248630887182E-2</c:v>
                </c:pt>
                <c:pt idx="4">
                  <c:v>0.181640625</c:v>
                </c:pt>
                <c:pt idx="5">
                  <c:v>0.87051282051282053</c:v>
                </c:pt>
                <c:pt idx="6">
                  <c:v>0.18586789554531491</c:v>
                </c:pt>
                <c:pt idx="7">
                  <c:v>0.37403712589973481</c:v>
                </c:pt>
                <c:pt idx="8">
                  <c:v>6.1023622047244097E-2</c:v>
                </c:pt>
                <c:pt idx="9">
                  <c:v>0.7939759036144578</c:v>
                </c:pt>
                <c:pt idx="10">
                  <c:v>0.89819004524886881</c:v>
                </c:pt>
                <c:pt idx="11">
                  <c:v>0.93942338840298023</c:v>
                </c:pt>
                <c:pt idx="12">
                  <c:v>0</c:v>
                </c:pt>
              </c:numCache>
            </c:numRef>
          </c:val>
        </c:ser>
        <c:axId val="75764480"/>
        <c:axId val="75766400"/>
      </c:barChart>
      <c:catAx>
        <c:axId val="7576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75766400"/>
        <c:crosses val="autoZero"/>
        <c:auto val="1"/>
        <c:lblAlgn val="ctr"/>
        <c:lblOffset val="100"/>
      </c:catAx>
      <c:valAx>
        <c:axId val="7576640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75764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297" footer="0.3149606200000029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QuickSort!$H$2:$H$14</c:f>
              <c:numCache>
                <c:formatCode>0.00</c:formatCode>
                <c:ptCount val="13"/>
                <c:pt idx="0">
                  <c:v>0</c:v>
                </c:pt>
                <c:pt idx="1">
                  <c:v>1.767834793491865E-2</c:v>
                </c:pt>
                <c:pt idx="2">
                  <c:v>1.2062200261589886E-2</c:v>
                </c:pt>
                <c:pt idx="3">
                  <c:v>1.5282810776744919E-2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QuickSort!$H$19:$H$31</c:f>
              <c:numCache>
                <c:formatCode>0.00</c:formatCode>
                <c:ptCount val="13"/>
                <c:pt idx="0">
                  <c:v>0</c:v>
                </c:pt>
                <c:pt idx="1">
                  <c:v>2.9567053854276663E-2</c:v>
                </c:pt>
                <c:pt idx="2">
                  <c:v>7.9215390418709928E-3</c:v>
                </c:pt>
                <c:pt idx="3">
                  <c:v>0</c:v>
                </c:pt>
                <c:pt idx="4">
                  <c:v>4.3264503441494594E-2</c:v>
                </c:pt>
                <c:pt idx="5">
                  <c:v>7.0194384449244057E-3</c:v>
                </c:pt>
                <c:pt idx="6">
                  <c:v>4.8899755501222489E-4</c:v>
                </c:pt>
                <c:pt idx="7">
                  <c:v>0</c:v>
                </c:pt>
                <c:pt idx="8">
                  <c:v>0.12607320379575238</c:v>
                </c:pt>
                <c:pt idx="9">
                  <c:v>0.19874338624338625</c:v>
                </c:pt>
                <c:pt idx="10">
                  <c:v>0</c:v>
                </c:pt>
                <c:pt idx="11">
                  <c:v>0</c:v>
                </c:pt>
                <c:pt idx="12">
                  <c:v>6.0283687943262412E-3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QuickSort!$H$36:$H$48</c:f>
              <c:numCache>
                <c:formatCode>0.00</c:formatCode>
                <c:ptCount val="13"/>
                <c:pt idx="0">
                  <c:v>3.4904013961605585E-3</c:v>
                </c:pt>
                <c:pt idx="1">
                  <c:v>1.4767932489451477E-2</c:v>
                </c:pt>
                <c:pt idx="2">
                  <c:v>3.0959752321981426E-3</c:v>
                </c:pt>
                <c:pt idx="3">
                  <c:v>6.5717415115005477E-4</c:v>
                </c:pt>
                <c:pt idx="4">
                  <c:v>3.90625E-2</c:v>
                </c:pt>
                <c:pt idx="5">
                  <c:v>0</c:v>
                </c:pt>
                <c:pt idx="6">
                  <c:v>4.608294930875576E-3</c:v>
                </c:pt>
                <c:pt idx="7">
                  <c:v>0</c:v>
                </c:pt>
                <c:pt idx="8">
                  <c:v>0.60629921259842523</c:v>
                </c:pt>
                <c:pt idx="9">
                  <c:v>6.6265060240963861E-2</c:v>
                </c:pt>
                <c:pt idx="10">
                  <c:v>2.2624434389140271E-2</c:v>
                </c:pt>
                <c:pt idx="11">
                  <c:v>1.7168772270813086E-2</c:v>
                </c:pt>
                <c:pt idx="12">
                  <c:v>8.21917808219178E-3</c:v>
                </c:pt>
              </c:numCache>
            </c:numRef>
          </c:val>
        </c:ser>
        <c:axId val="75800960"/>
        <c:axId val="75802880"/>
      </c:barChart>
      <c:catAx>
        <c:axId val="7580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75802880"/>
        <c:crosses val="autoZero"/>
        <c:auto val="1"/>
        <c:lblAlgn val="ctr"/>
        <c:lblOffset val="100"/>
      </c:catAx>
      <c:valAx>
        <c:axId val="7580288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75800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341" footer="0.3149606200000034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FFT!$F$2:$F$14</c:f>
              <c:numCache>
                <c:formatCode>0.00</c:formatCode>
                <c:ptCount val="13"/>
                <c:pt idx="0">
                  <c:v>4.2066420664206641E-2</c:v>
                </c:pt>
                <c:pt idx="1">
                  <c:v>4.6326456749909518E-2</c:v>
                </c:pt>
                <c:pt idx="2">
                  <c:v>0.12605042016806722</c:v>
                </c:pt>
                <c:pt idx="3">
                  <c:v>0.25237592397043296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1.1755783086841108E-2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FFT!$F$19:$F$31</c:f>
              <c:numCache>
                <c:formatCode>0.00</c:formatCode>
                <c:ptCount val="13"/>
                <c:pt idx="0">
                  <c:v>0.36005994754589732</c:v>
                </c:pt>
                <c:pt idx="1">
                  <c:v>0.27971753628874069</c:v>
                </c:pt>
                <c:pt idx="2">
                  <c:v>0.29072872949256007</c:v>
                </c:pt>
                <c:pt idx="3">
                  <c:v>0.2847058823529412</c:v>
                </c:pt>
                <c:pt idx="4">
                  <c:v>0.77676447264076132</c:v>
                </c:pt>
                <c:pt idx="5">
                  <c:v>0.39606633243347472</c:v>
                </c:pt>
                <c:pt idx="6">
                  <c:v>0.46613226452905809</c:v>
                </c:pt>
                <c:pt idx="7">
                  <c:v>0.27570954662734981</c:v>
                </c:pt>
                <c:pt idx="8">
                  <c:v>0.23522683949675943</c:v>
                </c:pt>
                <c:pt idx="9">
                  <c:v>0.8995667585663647</c:v>
                </c:pt>
                <c:pt idx="10">
                  <c:v>0.43802311677959349</c:v>
                </c:pt>
                <c:pt idx="11">
                  <c:v>0.1872805306281701</c:v>
                </c:pt>
                <c:pt idx="12">
                  <c:v>0.10946271050521252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FFT!$F$36:$F$48</c:f>
              <c:numCache>
                <c:formatCode>0.00</c:formatCode>
                <c:ptCount val="13"/>
                <c:pt idx="0">
                  <c:v>3.9704165044764497E-2</c:v>
                </c:pt>
                <c:pt idx="1">
                  <c:v>4.3983402489626559E-2</c:v>
                </c:pt>
                <c:pt idx="2">
                  <c:v>0.17338217338217338</c:v>
                </c:pt>
                <c:pt idx="3">
                  <c:v>0.3359283768003114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2.5538707102952914E-2</c:v>
                </c:pt>
                <c:pt idx="12">
                  <c:v>0</c:v>
                </c:pt>
              </c:numCache>
            </c:numRef>
          </c:val>
        </c:ser>
        <c:axId val="75922816"/>
        <c:axId val="75949568"/>
      </c:barChart>
      <c:catAx>
        <c:axId val="7592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75949568"/>
        <c:crosses val="autoZero"/>
        <c:auto val="1"/>
        <c:lblAlgn val="ctr"/>
        <c:lblOffset val="100"/>
      </c:catAx>
      <c:valAx>
        <c:axId val="7594956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75922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FFT!$H$2:$H$14</c:f>
              <c:numCache>
                <c:formatCode>0.00</c:formatCode>
                <c:ptCount val="13"/>
                <c:pt idx="0">
                  <c:v>7.3800738007380072E-4</c:v>
                </c:pt>
                <c:pt idx="1">
                  <c:v>0</c:v>
                </c:pt>
                <c:pt idx="2">
                  <c:v>4.5670442089879429E-2</c:v>
                </c:pt>
                <c:pt idx="3">
                  <c:v>0.10102076733544527</c:v>
                </c:pt>
                <c:pt idx="4">
                  <c:v>0</c:v>
                </c:pt>
                <c:pt idx="5">
                  <c:v>1.8684872439813153E-2</c:v>
                </c:pt>
                <c:pt idx="6">
                  <c:v>0</c:v>
                </c:pt>
                <c:pt idx="7">
                  <c:v>1.4461315979754157E-3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0.94197952218430037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FFT!$H$19:$H$31</c:f>
              <c:numCache>
                <c:formatCode>0.00</c:formatCode>
                <c:ptCount val="13"/>
                <c:pt idx="0">
                  <c:v>6.7815661296365681E-2</c:v>
                </c:pt>
                <c:pt idx="1">
                  <c:v>0.21067085131424088</c:v>
                </c:pt>
                <c:pt idx="2">
                  <c:v>0.25333842045020982</c:v>
                </c:pt>
                <c:pt idx="3">
                  <c:v>0.24392156862745099</c:v>
                </c:pt>
                <c:pt idx="4">
                  <c:v>3.8858049167327519E-2</c:v>
                </c:pt>
                <c:pt idx="5">
                  <c:v>0.16274585422290783</c:v>
                </c:pt>
                <c:pt idx="6">
                  <c:v>7.4148296593186377E-2</c:v>
                </c:pt>
                <c:pt idx="7">
                  <c:v>0.40398083302617027</c:v>
                </c:pt>
                <c:pt idx="8">
                  <c:v>0.55203964925657645</c:v>
                </c:pt>
                <c:pt idx="9">
                  <c:v>2.7569909413154787E-3</c:v>
                </c:pt>
                <c:pt idx="10">
                  <c:v>0.47508967716221601</c:v>
                </c:pt>
                <c:pt idx="11">
                  <c:v>0.67342957471712839</c:v>
                </c:pt>
                <c:pt idx="12">
                  <c:v>0.14995990376904572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FFT!$H$36:$H$48</c:f>
              <c:numCache>
                <c:formatCode>0.00</c:formatCode>
                <c:ptCount val="13"/>
                <c:pt idx="0">
                  <c:v>8.9528999610743489E-3</c:v>
                </c:pt>
                <c:pt idx="1">
                  <c:v>2.4896265560165973E-3</c:v>
                </c:pt>
                <c:pt idx="2">
                  <c:v>1.6280016280016279E-3</c:v>
                </c:pt>
                <c:pt idx="3">
                  <c:v>2.7247956403269754E-3</c:v>
                </c:pt>
                <c:pt idx="4">
                  <c:v>2.025111381125962E-3</c:v>
                </c:pt>
                <c:pt idx="5">
                  <c:v>1.2234910277324632E-3</c:v>
                </c:pt>
                <c:pt idx="6">
                  <c:v>0</c:v>
                </c:pt>
                <c:pt idx="7">
                  <c:v>1.5729453401494297E-3</c:v>
                </c:pt>
                <c:pt idx="8">
                  <c:v>1.6096579476861167E-3</c:v>
                </c:pt>
                <c:pt idx="9">
                  <c:v>2.0644095788604458E-3</c:v>
                </c:pt>
                <c:pt idx="10">
                  <c:v>3.3955857385398981E-3</c:v>
                </c:pt>
                <c:pt idx="11">
                  <c:v>0.86432561851556267</c:v>
                </c:pt>
                <c:pt idx="12">
                  <c:v>1.2345679012345679E-3</c:v>
                </c:pt>
              </c:numCache>
            </c:numRef>
          </c:val>
        </c:ser>
        <c:axId val="75983104"/>
        <c:axId val="75997568"/>
      </c:barChart>
      <c:catAx>
        <c:axId val="7598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75997568"/>
        <c:crosses val="autoZero"/>
        <c:auto val="1"/>
        <c:lblAlgn val="ctr"/>
        <c:lblOffset val="100"/>
      </c:catAx>
      <c:valAx>
        <c:axId val="7599756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75983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363" footer="0.3149606200000036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MWBF!$E$3</c:f>
              <c:strCache>
                <c:ptCount val="1"/>
                <c:pt idx="0">
                  <c:v>Fault Injection </c:v>
                </c:pt>
              </c:strCache>
            </c:strRef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(MWBF!$I$5,MWBF!$I$7)</c:f>
              <c:numCache>
                <c:formatCode>0.00E+00</c:formatCode>
                <c:ptCount val="2"/>
                <c:pt idx="0">
                  <c:v>1.15516E-5</c:v>
                </c:pt>
                <c:pt idx="1">
                  <c:v>2.6189500000000001E-5</c:v>
                </c:pt>
              </c:numCache>
            </c:numRef>
          </c:val>
        </c:ser>
        <c:ser>
          <c:idx val="2"/>
          <c:order val="1"/>
          <c:tx>
            <c:strRef>
              <c:f>MWBF!$K$3</c:f>
              <c:strCache>
                <c:ptCount val="1"/>
                <c:pt idx="0">
                  <c:v>Radiation Experiments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(MWBF!$O$5,MWBF!$O$7)</c:f>
              <c:numCache>
                <c:formatCode>General</c:formatCode>
                <c:ptCount val="2"/>
                <c:pt idx="0">
                  <c:v>1.1551620299261002E-5</c:v>
                </c:pt>
                <c:pt idx="1">
                  <c:v>2.61895054166029E-5</c:v>
                </c:pt>
              </c:numCache>
            </c:numRef>
          </c:val>
        </c:ser>
        <c:axId val="77493376"/>
        <c:axId val="77495296"/>
      </c:barChart>
      <c:catAx>
        <c:axId val="77493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Optimization</a:t>
                </a:r>
              </a:p>
            </c:rich>
          </c:tx>
        </c:title>
        <c:numFmt formatCode="0.00E+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77495296"/>
        <c:crosses val="autoZero"/>
        <c:auto val="1"/>
        <c:lblAlgn val="ctr"/>
        <c:lblOffset val="100"/>
      </c:catAx>
      <c:valAx>
        <c:axId val="774952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Cross Section</a:t>
                </a:r>
                <a:r>
                  <a:rPr lang="en-US" b="1" baseline="0"/>
                  <a:t> </a:t>
                </a:r>
                <a:r>
                  <a:rPr lang="en-US" b="1"/>
                  <a:t> SDC</a:t>
                </a:r>
              </a:p>
            </c:rich>
          </c:tx>
        </c:title>
        <c:numFmt formatCode="0.00E+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77493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297" footer="0.3149606200000029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896470</xdr:colOff>
      <xdr:row>11</xdr:row>
      <xdr:rowOff>78441</xdr:rowOff>
    </xdr:from>
    <xdr:to>
      <xdr:col>27</xdr:col>
      <xdr:colOff>493058</xdr:colOff>
      <xdr:row>33</xdr:row>
      <xdr:rowOff>185551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561562</xdr:colOff>
      <xdr:row>16</xdr:row>
      <xdr:rowOff>158122</xdr:rowOff>
    </xdr:from>
    <xdr:to>
      <xdr:col>39</xdr:col>
      <xdr:colOff>599662</xdr:colOff>
      <xdr:row>34</xdr:row>
      <xdr:rowOff>153173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543978</xdr:colOff>
      <xdr:row>74</xdr:row>
      <xdr:rowOff>162357</xdr:rowOff>
    </xdr:from>
    <xdr:to>
      <xdr:col>28</xdr:col>
      <xdr:colOff>155864</xdr:colOff>
      <xdr:row>93</xdr:row>
      <xdr:rowOff>53499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423449</xdr:colOff>
      <xdr:row>71</xdr:row>
      <xdr:rowOff>164617</xdr:rowOff>
    </xdr:from>
    <xdr:to>
      <xdr:col>41</xdr:col>
      <xdr:colOff>423449</xdr:colOff>
      <xdr:row>90</xdr:row>
      <xdr:rowOff>127196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421822</xdr:colOff>
      <xdr:row>12</xdr:row>
      <xdr:rowOff>163286</xdr:rowOff>
    </xdr:from>
    <xdr:to>
      <xdr:col>34</xdr:col>
      <xdr:colOff>108858</xdr:colOff>
      <xdr:row>30</xdr:row>
      <xdr:rowOff>54428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1121433</xdr:colOff>
      <xdr:row>33</xdr:row>
      <xdr:rowOff>35657</xdr:rowOff>
    </xdr:from>
    <xdr:to>
      <xdr:col>33</xdr:col>
      <xdr:colOff>312964</xdr:colOff>
      <xdr:row>50</xdr:row>
      <xdr:rowOff>144513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15</xdr:row>
      <xdr:rowOff>0</xdr:rowOff>
    </xdr:from>
    <xdr:to>
      <xdr:col>38</xdr:col>
      <xdr:colOff>285751</xdr:colOff>
      <xdr:row>32</xdr:row>
      <xdr:rowOff>81642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87290</xdr:colOff>
      <xdr:row>35</xdr:row>
      <xdr:rowOff>90085</xdr:rowOff>
    </xdr:from>
    <xdr:to>
      <xdr:col>37</xdr:col>
      <xdr:colOff>489856</xdr:colOff>
      <xdr:row>53</xdr:row>
      <xdr:rowOff>62870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123264</xdr:colOff>
      <xdr:row>15</xdr:row>
      <xdr:rowOff>134472</xdr:rowOff>
    </xdr:from>
    <xdr:to>
      <xdr:col>15</xdr:col>
      <xdr:colOff>627528</xdr:colOff>
      <xdr:row>43</xdr:row>
      <xdr:rowOff>85540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598714</xdr:colOff>
      <xdr:row>15</xdr:row>
      <xdr:rowOff>136072</xdr:rowOff>
    </xdr:from>
    <xdr:to>
      <xdr:col>33</xdr:col>
      <xdr:colOff>381800</xdr:colOff>
      <xdr:row>43</xdr:row>
      <xdr:rowOff>87140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76039</xdr:colOff>
      <xdr:row>46</xdr:row>
      <xdr:rowOff>52028</xdr:rowOff>
    </xdr:from>
    <xdr:to>
      <xdr:col>15</xdr:col>
      <xdr:colOff>580303</xdr:colOff>
      <xdr:row>74</xdr:row>
      <xdr:rowOff>3096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551489</xdr:colOff>
      <xdr:row>46</xdr:row>
      <xdr:rowOff>53628</xdr:rowOff>
    </xdr:from>
    <xdr:to>
      <xdr:col>33</xdr:col>
      <xdr:colOff>334575</xdr:colOff>
      <xdr:row>74</xdr:row>
      <xdr:rowOff>4696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3"/>
  <sheetViews>
    <sheetView topLeftCell="A49" zoomScale="70" zoomScaleNormal="70" workbookViewId="0">
      <selection activeCell="B93" sqref="B93"/>
    </sheetView>
  </sheetViews>
  <sheetFormatPr defaultColWidth="14.42578125" defaultRowHeight="15.75" customHeight="1"/>
  <cols>
    <col min="1" max="1" width="28.42578125" customWidth="1"/>
    <col min="3" max="3" width="27.5703125" customWidth="1"/>
    <col min="5" max="5" width="29.7109375" customWidth="1"/>
    <col min="9" max="9" width="40.42578125" customWidth="1"/>
    <col min="10" max="10" width="29.28515625" customWidth="1"/>
    <col min="11" max="11" width="32.7109375" customWidth="1"/>
  </cols>
  <sheetData>
    <row r="1" spans="1:16" ht="15">
      <c r="A1" s="6" t="s">
        <v>37</v>
      </c>
      <c r="B1" s="2" t="s">
        <v>1</v>
      </c>
      <c r="C1" s="2" t="s">
        <v>21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 t="s">
        <v>22</v>
      </c>
      <c r="K1" s="2" t="s">
        <v>23</v>
      </c>
      <c r="L1" s="2" t="s">
        <v>24</v>
      </c>
    </row>
    <row r="2" spans="1:16" ht="15">
      <c r="A2" s="2" t="s">
        <v>5</v>
      </c>
      <c r="B2" s="3">
        <v>6622</v>
      </c>
      <c r="C2" s="3">
        <v>0</v>
      </c>
      <c r="D2" s="3">
        <v>6619</v>
      </c>
      <c r="E2" s="3">
        <v>3</v>
      </c>
      <c r="F2" s="16">
        <f t="shared" ref="F2:F15" si="0">C2/B2</f>
        <v>0</v>
      </c>
      <c r="G2" s="16">
        <f t="shared" ref="G2:G15" si="1">D2/B2</f>
        <v>0.99954696466324378</v>
      </c>
      <c r="H2" s="16">
        <f t="shared" ref="H2:H15" si="2">E2/B2</f>
        <v>4.5303533675626698E-4</v>
      </c>
      <c r="I2" s="2" t="s">
        <v>5</v>
      </c>
      <c r="J2" s="3">
        <v>19764</v>
      </c>
      <c r="K2" s="3">
        <v>1626</v>
      </c>
      <c r="L2" s="3">
        <v>756</v>
      </c>
    </row>
    <row r="3" spans="1:16" ht="15">
      <c r="A3" s="2" t="s">
        <v>6</v>
      </c>
      <c r="B3" s="3">
        <v>6127</v>
      </c>
      <c r="C3" s="3">
        <v>2149</v>
      </c>
      <c r="D3" s="3">
        <v>3968</v>
      </c>
      <c r="E3" s="3">
        <v>10</v>
      </c>
      <c r="F3" s="16">
        <f t="shared" si="0"/>
        <v>0.35074261465643869</v>
      </c>
      <c r="G3" s="16">
        <f t="shared" si="1"/>
        <v>0.64762526521952013</v>
      </c>
      <c r="H3" s="16">
        <f t="shared" si="2"/>
        <v>1.6321201240411295E-3</v>
      </c>
      <c r="I3" s="2" t="s">
        <v>6</v>
      </c>
      <c r="J3" s="3">
        <v>6540</v>
      </c>
      <c r="K3" s="3">
        <v>182</v>
      </c>
      <c r="L3" s="3">
        <v>212</v>
      </c>
      <c r="O3" s="20" t="s">
        <v>46</v>
      </c>
      <c r="P3" s="13" t="s">
        <v>38</v>
      </c>
    </row>
    <row r="4" spans="1:16" ht="15">
      <c r="A4" s="2" t="s">
        <v>7</v>
      </c>
      <c r="B4" s="3">
        <v>6500</v>
      </c>
      <c r="C4" s="3">
        <v>687</v>
      </c>
      <c r="D4" s="3">
        <v>5810</v>
      </c>
      <c r="E4" s="3">
        <v>1</v>
      </c>
      <c r="F4" s="16">
        <f t="shared" si="0"/>
        <v>0.1056923076923077</v>
      </c>
      <c r="G4" s="16">
        <f t="shared" si="1"/>
        <v>0.89384615384615385</v>
      </c>
      <c r="H4" s="16">
        <f t="shared" si="2"/>
        <v>1.5384615384615385E-4</v>
      </c>
      <c r="I4" s="2" t="s">
        <v>7</v>
      </c>
      <c r="J4" s="3">
        <v>5213</v>
      </c>
      <c r="K4" s="3">
        <v>193</v>
      </c>
      <c r="L4" s="3">
        <v>244</v>
      </c>
      <c r="O4" s="13" t="s">
        <v>39</v>
      </c>
      <c r="P4" s="5">
        <v>40606</v>
      </c>
    </row>
    <row r="5" spans="1:16" ht="15">
      <c r="A5" s="2" t="s">
        <v>8</v>
      </c>
      <c r="B5" s="3">
        <v>6061</v>
      </c>
      <c r="C5" s="3">
        <v>1894</v>
      </c>
      <c r="D5" s="3">
        <v>4162</v>
      </c>
      <c r="E5" s="3">
        <v>4</v>
      </c>
      <c r="F5" s="16">
        <f t="shared" si="0"/>
        <v>0.31248968817026895</v>
      </c>
      <c r="G5" s="16">
        <f t="shared" si="1"/>
        <v>0.6866853654512457</v>
      </c>
      <c r="H5" s="16">
        <f t="shared" si="2"/>
        <v>6.5995710278831873E-4</v>
      </c>
      <c r="I5" s="2" t="s">
        <v>8</v>
      </c>
      <c r="J5" s="3">
        <v>5728</v>
      </c>
      <c r="K5" s="3">
        <v>356</v>
      </c>
      <c r="L5" s="3">
        <v>539</v>
      </c>
      <c r="O5" s="13" t="s">
        <v>42</v>
      </c>
      <c r="P5" s="5">
        <v>11799</v>
      </c>
    </row>
    <row r="6" spans="1:16" ht="15">
      <c r="A6" s="2" t="s">
        <v>9</v>
      </c>
      <c r="B6" s="3">
        <v>7394</v>
      </c>
      <c r="C6" s="3">
        <v>0</v>
      </c>
      <c r="D6" s="3">
        <v>7394</v>
      </c>
      <c r="E6" s="3">
        <v>0</v>
      </c>
      <c r="F6" s="16">
        <f t="shared" si="0"/>
        <v>0</v>
      </c>
      <c r="G6" s="16">
        <f t="shared" si="1"/>
        <v>1</v>
      </c>
      <c r="H6" s="16">
        <f t="shared" si="2"/>
        <v>0</v>
      </c>
      <c r="I6" s="2" t="s">
        <v>9</v>
      </c>
      <c r="J6" s="3">
        <v>5780</v>
      </c>
      <c r="K6" s="3">
        <v>550</v>
      </c>
      <c r="L6" s="3">
        <v>250</v>
      </c>
      <c r="O6" s="13" t="s">
        <v>40</v>
      </c>
      <c r="P6" s="5">
        <v>8010</v>
      </c>
    </row>
    <row r="7" spans="1:16" ht="15">
      <c r="A7" s="2" t="s">
        <v>10</v>
      </c>
      <c r="B7" s="3">
        <v>6038</v>
      </c>
      <c r="C7" s="3">
        <v>0</v>
      </c>
      <c r="D7" s="3">
        <v>6036</v>
      </c>
      <c r="E7" s="3">
        <v>0</v>
      </c>
      <c r="F7" s="16">
        <f t="shared" si="0"/>
        <v>0</v>
      </c>
      <c r="G7" s="16">
        <f t="shared" si="1"/>
        <v>0.99966876449155351</v>
      </c>
      <c r="H7" s="16">
        <f t="shared" si="2"/>
        <v>0</v>
      </c>
      <c r="I7" s="2" t="s">
        <v>10</v>
      </c>
      <c r="J7" s="3">
        <v>5491</v>
      </c>
      <c r="K7" s="3">
        <v>452</v>
      </c>
      <c r="L7" s="3">
        <v>492</v>
      </c>
      <c r="O7" s="13" t="s">
        <v>41</v>
      </c>
      <c r="P7" s="5">
        <v>7550</v>
      </c>
    </row>
    <row r="8" spans="1:16" ht="15">
      <c r="A8" s="2" t="s">
        <v>11</v>
      </c>
      <c r="B8" s="3">
        <v>6844</v>
      </c>
      <c r="C8" s="3">
        <v>0</v>
      </c>
      <c r="D8" s="3">
        <v>6844</v>
      </c>
      <c r="E8" s="3">
        <v>0</v>
      </c>
      <c r="F8" s="18">
        <f t="shared" si="0"/>
        <v>0</v>
      </c>
      <c r="G8" s="18">
        <f t="shared" si="1"/>
        <v>1</v>
      </c>
      <c r="H8" s="18">
        <f t="shared" si="2"/>
        <v>0</v>
      </c>
      <c r="I8" s="2" t="s">
        <v>11</v>
      </c>
      <c r="J8" s="3">
        <v>3906</v>
      </c>
      <c r="K8" s="3">
        <v>275</v>
      </c>
      <c r="L8" s="3">
        <v>129</v>
      </c>
    </row>
    <row r="9" spans="1:16" ht="15">
      <c r="A9" s="2" t="s">
        <v>12</v>
      </c>
      <c r="B9" s="3">
        <v>6045</v>
      </c>
      <c r="C9" s="3">
        <v>0</v>
      </c>
      <c r="D9" s="3">
        <v>6045</v>
      </c>
      <c r="E9" s="3">
        <v>0</v>
      </c>
      <c r="F9" s="16">
        <f t="shared" si="0"/>
        <v>0</v>
      </c>
      <c r="G9" s="16">
        <f t="shared" si="1"/>
        <v>1</v>
      </c>
      <c r="H9" s="16">
        <f t="shared" si="2"/>
        <v>0</v>
      </c>
      <c r="I9" s="2" t="s">
        <v>12</v>
      </c>
      <c r="J9" s="3">
        <v>1878</v>
      </c>
      <c r="K9" s="3">
        <v>88</v>
      </c>
      <c r="L9" s="3">
        <v>76</v>
      </c>
    </row>
    <row r="10" spans="1:16" ht="15">
      <c r="A10" s="2" t="s">
        <v>13</v>
      </c>
      <c r="B10" s="3">
        <v>6699</v>
      </c>
      <c r="C10" s="3">
        <v>0</v>
      </c>
      <c r="D10" s="3">
        <v>6699</v>
      </c>
      <c r="E10" s="3">
        <v>0</v>
      </c>
      <c r="F10" s="16">
        <f t="shared" si="0"/>
        <v>0</v>
      </c>
      <c r="G10" s="16">
        <f t="shared" si="1"/>
        <v>1</v>
      </c>
      <c r="H10" s="16">
        <f t="shared" si="2"/>
        <v>0</v>
      </c>
      <c r="I10" s="2" t="s">
        <v>13</v>
      </c>
      <c r="J10" s="3">
        <v>3650</v>
      </c>
      <c r="K10" s="3">
        <v>123</v>
      </c>
      <c r="L10" s="3">
        <v>48</v>
      </c>
    </row>
    <row r="11" spans="1:16" ht="15">
      <c r="A11" s="2" t="s">
        <v>14</v>
      </c>
      <c r="B11" s="3">
        <v>6016</v>
      </c>
      <c r="C11" s="3">
        <v>0</v>
      </c>
      <c r="D11" s="3">
        <v>6016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2" t="s">
        <v>14</v>
      </c>
      <c r="J11" s="3">
        <v>2286</v>
      </c>
      <c r="K11" s="3">
        <v>37</v>
      </c>
      <c r="L11" s="3">
        <v>30</v>
      </c>
    </row>
    <row r="12" spans="1:16" ht="15">
      <c r="A12" s="2" t="s">
        <v>15</v>
      </c>
      <c r="B12" s="3">
        <v>6628</v>
      </c>
      <c r="C12" s="3">
        <v>0</v>
      </c>
      <c r="D12" s="3">
        <v>6628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2" t="s">
        <v>25</v>
      </c>
      <c r="J12" s="3">
        <v>1974</v>
      </c>
      <c r="K12" s="3">
        <v>28</v>
      </c>
      <c r="L12" s="3">
        <v>20</v>
      </c>
    </row>
    <row r="13" spans="1:16" ht="15">
      <c r="A13" s="2" t="s">
        <v>16</v>
      </c>
      <c r="B13" s="3">
        <v>6185</v>
      </c>
      <c r="C13" s="3">
        <v>0</v>
      </c>
      <c r="D13" s="3">
        <v>6185</v>
      </c>
      <c r="E13" s="3">
        <v>0</v>
      </c>
      <c r="F13" s="16">
        <f t="shared" si="0"/>
        <v>0</v>
      </c>
      <c r="G13" s="16">
        <f t="shared" si="1"/>
        <v>1</v>
      </c>
      <c r="H13" s="16">
        <f t="shared" si="2"/>
        <v>0</v>
      </c>
      <c r="I13" s="2" t="s">
        <v>26</v>
      </c>
      <c r="J13" s="3">
        <v>1985</v>
      </c>
      <c r="K13" s="3">
        <v>21</v>
      </c>
      <c r="L13" s="3">
        <v>6</v>
      </c>
    </row>
    <row r="14" spans="1:16" ht="15">
      <c r="A14" s="2" t="s">
        <v>17</v>
      </c>
      <c r="B14" s="3">
        <v>6632</v>
      </c>
      <c r="C14" s="3">
        <v>0</v>
      </c>
      <c r="D14" s="3">
        <v>6632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2" t="s">
        <v>27</v>
      </c>
      <c r="J14" s="3">
        <v>3874</v>
      </c>
      <c r="K14" s="3">
        <v>222</v>
      </c>
      <c r="L14" s="3">
        <v>321</v>
      </c>
    </row>
    <row r="15" spans="1:16" ht="15">
      <c r="A15" s="2" t="s">
        <v>18</v>
      </c>
      <c r="B15" s="3">
        <v>6108</v>
      </c>
      <c r="C15" s="3">
        <v>0</v>
      </c>
      <c r="D15" s="3">
        <v>6105</v>
      </c>
      <c r="E15" s="3">
        <v>3</v>
      </c>
      <c r="F15" s="16">
        <f t="shared" si="0"/>
        <v>0</v>
      </c>
      <c r="G15" s="16">
        <f t="shared" si="1"/>
        <v>0.99950884086444003</v>
      </c>
      <c r="H15" s="16">
        <f t="shared" si="2"/>
        <v>4.9115913555992138E-4</v>
      </c>
      <c r="I15" s="2" t="s">
        <v>18</v>
      </c>
      <c r="J15" s="3">
        <v>2505</v>
      </c>
      <c r="K15" s="3">
        <v>18</v>
      </c>
      <c r="L15" s="3">
        <v>14</v>
      </c>
    </row>
    <row r="16" spans="1:16" ht="15">
      <c r="A16" s="2" t="s">
        <v>19</v>
      </c>
      <c r="B16" s="3">
        <v>89899</v>
      </c>
      <c r="C16" s="3">
        <v>4730</v>
      </c>
      <c r="D16" s="3">
        <v>85243</v>
      </c>
      <c r="E16" s="3">
        <v>21</v>
      </c>
      <c r="F16" s="2"/>
      <c r="G16" s="2"/>
      <c r="H16" s="2"/>
      <c r="I16" s="2"/>
      <c r="J16" s="2"/>
      <c r="K16" s="2"/>
      <c r="L16" s="2"/>
      <c r="M16" s="14"/>
    </row>
    <row r="17" spans="1:12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2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2" ht="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2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2" ht="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ht="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ht="15">
      <c r="A23" s="6" t="s">
        <v>28</v>
      </c>
      <c r="B23" s="2" t="s">
        <v>1</v>
      </c>
      <c r="C23" s="2" t="s">
        <v>21</v>
      </c>
      <c r="D23" s="2" t="s">
        <v>3</v>
      </c>
      <c r="E23" s="2" t="s">
        <v>4</v>
      </c>
      <c r="F23" s="2" t="s">
        <v>33</v>
      </c>
      <c r="G23" s="2" t="s">
        <v>34</v>
      </c>
      <c r="H23" s="2" t="s">
        <v>35</v>
      </c>
      <c r="I23" s="2"/>
      <c r="J23" s="2" t="s">
        <v>22</v>
      </c>
      <c r="K23" s="2" t="s">
        <v>23</v>
      </c>
      <c r="L23" s="2" t="s">
        <v>24</v>
      </c>
    </row>
    <row r="24" spans="1:12" ht="15">
      <c r="A24" s="2" t="s">
        <v>5</v>
      </c>
      <c r="B24" s="3"/>
      <c r="C24" s="3"/>
      <c r="D24" s="3"/>
      <c r="E24" s="3"/>
      <c r="F24" s="4"/>
      <c r="G24" s="4"/>
      <c r="H24" s="4"/>
      <c r="I24" s="2" t="s">
        <v>5</v>
      </c>
      <c r="J24" s="3"/>
      <c r="K24" s="3"/>
      <c r="L24" s="3"/>
    </row>
    <row r="25" spans="1:12" ht="15">
      <c r="A25" s="2" t="s">
        <v>6</v>
      </c>
      <c r="B25" s="3"/>
      <c r="C25" s="3"/>
      <c r="D25" s="3"/>
      <c r="E25" s="3"/>
      <c r="F25" s="4"/>
      <c r="G25" s="4"/>
      <c r="H25" s="4"/>
      <c r="I25" s="2" t="s">
        <v>6</v>
      </c>
      <c r="J25" s="3"/>
      <c r="K25" s="3"/>
      <c r="L25" s="3"/>
    </row>
    <row r="26" spans="1:12" ht="15">
      <c r="A26" s="2" t="s">
        <v>7</v>
      </c>
      <c r="B26" s="3"/>
      <c r="C26" s="3"/>
      <c r="D26" s="3"/>
      <c r="E26" s="3"/>
      <c r="F26" s="4"/>
      <c r="G26" s="4"/>
      <c r="H26" s="4"/>
      <c r="I26" s="2" t="s">
        <v>7</v>
      </c>
      <c r="J26" s="3"/>
      <c r="K26" s="3"/>
      <c r="L26" s="3"/>
    </row>
    <row r="27" spans="1:12" ht="15">
      <c r="A27" s="2" t="s">
        <v>8</v>
      </c>
      <c r="B27" s="3"/>
      <c r="C27" s="3"/>
      <c r="D27" s="3"/>
      <c r="E27" s="3"/>
      <c r="F27" s="4"/>
      <c r="G27" s="4"/>
      <c r="H27" s="4"/>
      <c r="I27" s="2" t="s">
        <v>8</v>
      </c>
      <c r="J27" s="3"/>
      <c r="K27" s="3"/>
      <c r="L27" s="3"/>
    </row>
    <row r="28" spans="1:12" ht="15">
      <c r="A28" s="2" t="s">
        <v>9</v>
      </c>
      <c r="B28" s="3"/>
      <c r="C28" s="3"/>
      <c r="D28" s="3"/>
      <c r="E28" s="3"/>
      <c r="F28" s="4"/>
      <c r="G28" s="4"/>
      <c r="H28" s="4"/>
      <c r="I28" s="2" t="s">
        <v>9</v>
      </c>
      <c r="J28" s="3"/>
      <c r="K28" s="3"/>
      <c r="L28" s="3"/>
    </row>
    <row r="29" spans="1:12" ht="15">
      <c r="A29" s="2" t="s">
        <v>10</v>
      </c>
      <c r="B29" s="3"/>
      <c r="C29" s="3"/>
      <c r="D29" s="3"/>
      <c r="E29" s="3"/>
      <c r="F29" s="4"/>
      <c r="G29" s="4"/>
      <c r="H29" s="4"/>
      <c r="I29" s="2" t="s">
        <v>10</v>
      </c>
      <c r="J29" s="3"/>
      <c r="K29" s="3"/>
      <c r="L29" s="3"/>
    </row>
    <row r="30" spans="1:12" ht="15">
      <c r="A30" s="2" t="s">
        <v>11</v>
      </c>
      <c r="B30" s="3"/>
      <c r="C30" s="3"/>
      <c r="D30" s="3"/>
      <c r="E30" s="3"/>
      <c r="F30" s="4"/>
      <c r="G30" s="4"/>
      <c r="H30" s="4"/>
      <c r="I30" s="2" t="s">
        <v>11</v>
      </c>
      <c r="J30" s="3"/>
      <c r="K30" s="3"/>
      <c r="L30" s="3"/>
    </row>
    <row r="31" spans="1:12" ht="15">
      <c r="A31" s="2" t="s">
        <v>12</v>
      </c>
      <c r="B31" s="3"/>
      <c r="C31" s="3"/>
      <c r="D31" s="3"/>
      <c r="E31" s="3"/>
      <c r="F31" s="4"/>
      <c r="G31" s="4"/>
      <c r="H31" s="4"/>
      <c r="I31" s="2" t="s">
        <v>12</v>
      </c>
      <c r="J31" s="3"/>
      <c r="K31" s="3"/>
      <c r="L31" s="3"/>
    </row>
    <row r="32" spans="1:12" ht="15">
      <c r="A32" s="2" t="s">
        <v>13</v>
      </c>
      <c r="B32" s="3"/>
      <c r="C32" s="3"/>
      <c r="D32" s="3"/>
      <c r="E32" s="3"/>
      <c r="F32" s="4"/>
      <c r="G32" s="4"/>
      <c r="H32" s="4"/>
      <c r="I32" s="2" t="s">
        <v>13</v>
      </c>
      <c r="J32" s="3"/>
      <c r="K32" s="3"/>
      <c r="L32" s="3"/>
    </row>
    <row r="33" spans="1:12" ht="15">
      <c r="A33" s="2" t="s">
        <v>14</v>
      </c>
      <c r="B33" s="3"/>
      <c r="C33" s="3"/>
      <c r="D33" s="3"/>
      <c r="E33" s="3"/>
      <c r="F33" s="4"/>
      <c r="G33" s="4"/>
      <c r="H33" s="4"/>
      <c r="I33" s="2" t="s">
        <v>14</v>
      </c>
      <c r="J33" s="3"/>
      <c r="K33" s="3"/>
      <c r="L33" s="3"/>
    </row>
    <row r="34" spans="1:12" ht="15">
      <c r="A34" s="2" t="s">
        <v>15</v>
      </c>
      <c r="B34" s="3"/>
      <c r="C34" s="3"/>
      <c r="D34" s="3"/>
      <c r="E34" s="3"/>
      <c r="F34" s="4"/>
      <c r="G34" s="4"/>
      <c r="H34" s="4"/>
      <c r="I34" s="2" t="s">
        <v>25</v>
      </c>
      <c r="J34" s="3"/>
      <c r="K34" s="3"/>
      <c r="L34" s="3"/>
    </row>
    <row r="35" spans="1:12" ht="15">
      <c r="A35" s="2" t="s">
        <v>16</v>
      </c>
      <c r="B35" s="3"/>
      <c r="C35" s="3"/>
      <c r="D35" s="3"/>
      <c r="E35" s="3"/>
      <c r="F35" s="4"/>
      <c r="G35" s="4"/>
      <c r="H35" s="4"/>
      <c r="I35" s="2" t="s">
        <v>26</v>
      </c>
      <c r="J35" s="3"/>
      <c r="K35" s="3"/>
      <c r="L35" s="3"/>
    </row>
    <row r="36" spans="1:12" ht="15">
      <c r="A36" s="2" t="s">
        <v>17</v>
      </c>
      <c r="B36" s="3"/>
      <c r="C36" s="3"/>
      <c r="D36" s="3"/>
      <c r="E36" s="3"/>
      <c r="F36" s="4"/>
      <c r="G36" s="4"/>
      <c r="H36" s="4"/>
      <c r="I36" s="2" t="s">
        <v>27</v>
      </c>
      <c r="J36" s="3"/>
      <c r="K36" s="3"/>
      <c r="L36" s="3"/>
    </row>
    <row r="37" spans="1:12" ht="15">
      <c r="A37" s="2" t="s">
        <v>18</v>
      </c>
      <c r="B37" s="3"/>
      <c r="C37" s="3"/>
      <c r="D37" s="3"/>
      <c r="E37" s="3"/>
      <c r="F37" s="4"/>
      <c r="G37" s="4"/>
      <c r="H37" s="4"/>
      <c r="I37" s="2" t="s">
        <v>18</v>
      </c>
      <c r="J37" s="3"/>
      <c r="K37" s="3"/>
      <c r="L37" s="3"/>
    </row>
    <row r="38" spans="1:12" ht="15">
      <c r="A38" s="2" t="s">
        <v>19</v>
      </c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</row>
    <row r="39" spans="1:12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2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2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2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2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2" ht="15">
      <c r="A44" s="2" t="s">
        <v>29</v>
      </c>
      <c r="B44" s="2" t="s">
        <v>1</v>
      </c>
      <c r="C44" s="2" t="s">
        <v>21</v>
      </c>
      <c r="D44" s="2" t="s">
        <v>3</v>
      </c>
      <c r="E44" s="2" t="s">
        <v>4</v>
      </c>
      <c r="F44" s="2" t="s">
        <v>33</v>
      </c>
      <c r="G44" s="2" t="s">
        <v>34</v>
      </c>
      <c r="H44" s="2" t="s">
        <v>35</v>
      </c>
      <c r="I44" s="2"/>
      <c r="J44" s="2" t="s">
        <v>30</v>
      </c>
      <c r="K44" s="2" t="s">
        <v>23</v>
      </c>
      <c r="L44" s="2" t="s">
        <v>24</v>
      </c>
    </row>
    <row r="45" spans="1:12" ht="15">
      <c r="A45" s="2" t="s">
        <v>5</v>
      </c>
      <c r="B45" s="3">
        <v>85</v>
      </c>
      <c r="C45" s="3">
        <v>69</v>
      </c>
      <c r="D45" s="2">
        <v>16</v>
      </c>
      <c r="E45" s="2">
        <v>0</v>
      </c>
      <c r="F45" s="16">
        <f t="shared" ref="F45:F58" si="3">C45/B45</f>
        <v>0.81176470588235294</v>
      </c>
      <c r="G45" s="16">
        <f t="shared" ref="G45:G58" si="4">D45/B45</f>
        <v>0.18823529411764706</v>
      </c>
      <c r="H45" s="16">
        <f t="shared" ref="H45:H58" si="5">E45/B45</f>
        <v>0</v>
      </c>
      <c r="I45" s="2" t="s">
        <v>5</v>
      </c>
      <c r="J45" s="3">
        <v>20243</v>
      </c>
      <c r="K45" s="3">
        <v>782</v>
      </c>
      <c r="L45" s="3">
        <v>1581</v>
      </c>
    </row>
    <row r="46" spans="1:12" ht="15">
      <c r="A46" s="2" t="s">
        <v>6</v>
      </c>
      <c r="B46" s="3">
        <f>SUM(35+208)</f>
        <v>243</v>
      </c>
      <c r="C46" s="3">
        <f>SUM(189+32)</f>
        <v>221</v>
      </c>
      <c r="D46" s="3">
        <f>SUM(3+7+9)</f>
        <v>19</v>
      </c>
      <c r="E46" s="3">
        <v>3</v>
      </c>
      <c r="F46" s="16">
        <f t="shared" si="3"/>
        <v>0.90946502057613166</v>
      </c>
      <c r="G46" s="16">
        <f t="shared" si="4"/>
        <v>7.8189300411522639E-2</v>
      </c>
      <c r="H46" s="16">
        <f t="shared" si="5"/>
        <v>1.2345679012345678E-2</v>
      </c>
      <c r="I46" s="2" t="s">
        <v>6</v>
      </c>
      <c r="J46" s="3">
        <v>6599</v>
      </c>
      <c r="K46" s="3">
        <v>208</v>
      </c>
      <c r="L46" s="3">
        <v>186</v>
      </c>
    </row>
    <row r="47" spans="1:12" ht="15">
      <c r="A47" s="2" t="s">
        <v>7</v>
      </c>
      <c r="B47" s="3">
        <f>SUM(205+131)</f>
        <v>336</v>
      </c>
      <c r="C47" s="3">
        <f>SUM(195+129)</f>
        <v>324</v>
      </c>
      <c r="D47" s="3">
        <f>SUM(10+2)</f>
        <v>12</v>
      </c>
      <c r="E47" s="3">
        <v>0</v>
      </c>
      <c r="F47" s="16">
        <f t="shared" si="3"/>
        <v>0.9642857142857143</v>
      </c>
      <c r="G47" s="16">
        <f t="shared" si="4"/>
        <v>3.5714285714285712E-2</v>
      </c>
      <c r="H47" s="16">
        <f t="shared" si="5"/>
        <v>0</v>
      </c>
      <c r="I47" s="2" t="s">
        <v>7</v>
      </c>
      <c r="J47" s="3">
        <v>5166</v>
      </c>
      <c r="K47" s="3">
        <v>240</v>
      </c>
      <c r="L47" s="3">
        <v>200</v>
      </c>
    </row>
    <row r="48" spans="1:12" ht="15">
      <c r="A48" s="2" t="s">
        <v>8</v>
      </c>
      <c r="B48" s="3">
        <f>SUM(202+15+23)</f>
        <v>240</v>
      </c>
      <c r="C48" s="3">
        <f>SUM(11+6)</f>
        <v>17</v>
      </c>
      <c r="D48" s="3">
        <f>SUM(1+40+15)</f>
        <v>56</v>
      </c>
      <c r="E48" s="3">
        <f>SUM(16+137+15)</f>
        <v>168</v>
      </c>
      <c r="F48" s="16">
        <f t="shared" si="3"/>
        <v>7.0833333333333331E-2</v>
      </c>
      <c r="G48" s="16">
        <f t="shared" si="4"/>
        <v>0.23333333333333334</v>
      </c>
      <c r="H48" s="16">
        <f t="shared" si="5"/>
        <v>0.7</v>
      </c>
      <c r="I48" s="2" t="s">
        <v>8</v>
      </c>
      <c r="J48" s="3">
        <v>5682</v>
      </c>
      <c r="K48" s="3">
        <v>529</v>
      </c>
      <c r="L48" s="3">
        <v>354</v>
      </c>
    </row>
    <row r="49" spans="1:12" ht="15">
      <c r="A49" s="2" t="s">
        <v>9</v>
      </c>
      <c r="B49" s="3">
        <f>SUM(24+187+154)</f>
        <v>365</v>
      </c>
      <c r="C49" s="3">
        <f>SUM(132+114)</f>
        <v>246</v>
      </c>
      <c r="D49" s="3">
        <f>SUM(55+40+24)</f>
        <v>119</v>
      </c>
      <c r="E49" s="3">
        <v>0</v>
      </c>
      <c r="F49" s="16">
        <f t="shared" si="3"/>
        <v>0.67397260273972603</v>
      </c>
      <c r="G49" s="16">
        <f t="shared" si="4"/>
        <v>0.32602739726027397</v>
      </c>
      <c r="H49" s="16">
        <f t="shared" si="5"/>
        <v>0</v>
      </c>
      <c r="I49" s="2" t="s">
        <v>9</v>
      </c>
      <c r="J49" s="3">
        <v>5795</v>
      </c>
      <c r="K49" s="3">
        <v>248</v>
      </c>
      <c r="L49" s="3">
        <v>524</v>
      </c>
    </row>
    <row r="50" spans="1:12" ht="15">
      <c r="A50" s="2" t="s">
        <v>10</v>
      </c>
      <c r="B50" s="3">
        <f>SUM(231+19)</f>
        <v>250</v>
      </c>
      <c r="C50" s="3">
        <f>SUM(81+6)</f>
        <v>87</v>
      </c>
      <c r="D50" s="3">
        <f>SUM(85+3+65)</f>
        <v>153</v>
      </c>
      <c r="E50" s="3">
        <v>10</v>
      </c>
      <c r="F50" s="16">
        <f t="shared" si="3"/>
        <v>0.34799999999999998</v>
      </c>
      <c r="G50" s="16">
        <f t="shared" si="4"/>
        <v>0.61199999999999999</v>
      </c>
      <c r="H50" s="16">
        <f t="shared" si="5"/>
        <v>0.04</v>
      </c>
      <c r="I50" s="2" t="s">
        <v>10</v>
      </c>
      <c r="J50" s="3">
        <v>5477</v>
      </c>
      <c r="K50" s="3">
        <v>507</v>
      </c>
      <c r="L50" s="3">
        <v>457</v>
      </c>
    </row>
    <row r="51" spans="1:12" ht="15">
      <c r="A51" s="2" t="s">
        <v>11</v>
      </c>
      <c r="B51" s="3">
        <f>SUM(210+154)</f>
        <v>364</v>
      </c>
      <c r="C51" s="3">
        <v>0</v>
      </c>
      <c r="D51" s="3">
        <f>SUM(138+72+154)</f>
        <v>364</v>
      </c>
      <c r="E51" s="3">
        <v>0</v>
      </c>
      <c r="F51" s="16">
        <f t="shared" si="3"/>
        <v>0</v>
      </c>
      <c r="G51" s="16">
        <f t="shared" si="4"/>
        <v>1</v>
      </c>
      <c r="H51" s="16">
        <f t="shared" si="5"/>
        <v>0</v>
      </c>
      <c r="I51" s="2" t="s">
        <v>11</v>
      </c>
      <c r="J51" s="3">
        <v>3917</v>
      </c>
      <c r="K51" s="3">
        <v>144</v>
      </c>
      <c r="L51" s="3">
        <v>267</v>
      </c>
    </row>
    <row r="52" spans="1:12" ht="15">
      <c r="A52" s="2" t="s">
        <v>12</v>
      </c>
      <c r="B52" s="3">
        <f>SUM(193+34)</f>
        <v>227</v>
      </c>
      <c r="C52" s="3">
        <v>2</v>
      </c>
      <c r="D52" s="3">
        <f>SUM(112+34+79)</f>
        <v>225</v>
      </c>
      <c r="E52" s="3">
        <v>0</v>
      </c>
      <c r="F52" s="16">
        <f t="shared" si="3"/>
        <v>8.8105726872246704E-3</v>
      </c>
      <c r="G52" s="16">
        <f t="shared" si="4"/>
        <v>0.99118942731277537</v>
      </c>
      <c r="H52" s="16">
        <f t="shared" si="5"/>
        <v>0</v>
      </c>
      <c r="I52" s="2" t="s">
        <v>12</v>
      </c>
      <c r="J52" s="3">
        <v>1894</v>
      </c>
      <c r="K52" s="3">
        <v>62</v>
      </c>
      <c r="L52" s="3">
        <v>100</v>
      </c>
    </row>
    <row r="53" spans="1:12" ht="15">
      <c r="A53" s="2" t="s">
        <v>13</v>
      </c>
      <c r="B53" s="3">
        <f>SUM(202+187)</f>
        <v>389</v>
      </c>
      <c r="C53" s="3">
        <f>SUM(46+30)</f>
        <v>76</v>
      </c>
      <c r="D53" s="3">
        <f>SUM(18+3)</f>
        <v>21</v>
      </c>
      <c r="E53" s="3">
        <f>SUM(145+19+123+5)</f>
        <v>292</v>
      </c>
      <c r="F53" s="18">
        <f t="shared" si="3"/>
        <v>0.19537275064267351</v>
      </c>
      <c r="G53" s="18">
        <f t="shared" si="4"/>
        <v>5.3984575835475578E-2</v>
      </c>
      <c r="H53" s="18">
        <f t="shared" si="5"/>
        <v>0.75064267352185088</v>
      </c>
      <c r="I53" s="2" t="s">
        <v>13</v>
      </c>
      <c r="J53" s="3">
        <v>3635</v>
      </c>
      <c r="K53" s="3">
        <v>60</v>
      </c>
      <c r="L53" s="3">
        <v>127</v>
      </c>
    </row>
    <row r="54" spans="1:12" ht="15">
      <c r="A54" s="2" t="s">
        <v>14</v>
      </c>
      <c r="B54" s="3">
        <f>SUM(228+32)</f>
        <v>260</v>
      </c>
      <c r="C54" s="3">
        <f>SUM(202+31)</f>
        <v>233</v>
      </c>
      <c r="D54" s="3">
        <f>SUM(6+8+13)</f>
        <v>27</v>
      </c>
      <c r="E54" s="2">
        <v>0</v>
      </c>
      <c r="F54" s="18">
        <f t="shared" si="3"/>
        <v>0.89615384615384619</v>
      </c>
      <c r="G54" s="18">
        <f t="shared" si="4"/>
        <v>0.10384615384615385</v>
      </c>
      <c r="H54" s="18">
        <f t="shared" si="5"/>
        <v>0</v>
      </c>
      <c r="I54" s="2" t="s">
        <v>14</v>
      </c>
      <c r="J54" s="3">
        <v>2265</v>
      </c>
      <c r="K54" s="3">
        <v>29</v>
      </c>
      <c r="L54" s="3">
        <v>32</v>
      </c>
    </row>
    <row r="55" spans="1:12" ht="15">
      <c r="A55" s="2" t="s">
        <v>15</v>
      </c>
      <c r="B55" s="2">
        <v>98</v>
      </c>
      <c r="C55" s="2">
        <v>91</v>
      </c>
      <c r="D55" s="2">
        <v>7</v>
      </c>
      <c r="E55" s="2">
        <v>0</v>
      </c>
      <c r="F55" s="16">
        <f t="shared" si="3"/>
        <v>0.9285714285714286</v>
      </c>
      <c r="G55" s="16">
        <f t="shared" si="4"/>
        <v>7.1428571428571425E-2</v>
      </c>
      <c r="H55" s="16">
        <f t="shared" si="5"/>
        <v>0</v>
      </c>
      <c r="I55" s="2" t="s">
        <v>25</v>
      </c>
      <c r="J55" s="3">
        <v>2265</v>
      </c>
      <c r="K55" s="3">
        <v>19</v>
      </c>
      <c r="L55" s="3">
        <v>25</v>
      </c>
    </row>
    <row r="56" spans="1:12" ht="15">
      <c r="A56" s="2" t="s">
        <v>16</v>
      </c>
      <c r="B56" s="3">
        <v>223</v>
      </c>
      <c r="C56" s="3">
        <v>0</v>
      </c>
      <c r="D56" s="3">
        <f>SUM(125+74+24)</f>
        <v>223</v>
      </c>
      <c r="E56" s="3">
        <v>0</v>
      </c>
      <c r="F56" s="16">
        <f t="shared" si="3"/>
        <v>0</v>
      </c>
      <c r="G56" s="16">
        <f t="shared" si="4"/>
        <v>1</v>
      </c>
      <c r="H56" s="16">
        <f t="shared" si="5"/>
        <v>0</v>
      </c>
      <c r="I56" s="2" t="s">
        <v>26</v>
      </c>
      <c r="J56" s="3">
        <v>2067</v>
      </c>
      <c r="K56" s="3">
        <v>7</v>
      </c>
      <c r="L56" s="3">
        <v>13</v>
      </c>
    </row>
    <row r="57" spans="1:12" ht="15">
      <c r="A57" s="2" t="s">
        <v>17</v>
      </c>
      <c r="B57" s="3">
        <f>SUM(210+130)</f>
        <v>340</v>
      </c>
      <c r="C57" s="3">
        <v>0</v>
      </c>
      <c r="D57" s="3">
        <f>SUM(210+130)</f>
        <v>340</v>
      </c>
      <c r="E57" s="3">
        <v>0</v>
      </c>
      <c r="F57" s="16">
        <f t="shared" si="3"/>
        <v>0</v>
      </c>
      <c r="G57" s="16">
        <f t="shared" si="4"/>
        <v>1</v>
      </c>
      <c r="H57" s="16">
        <f t="shared" si="5"/>
        <v>0</v>
      </c>
      <c r="I57" s="2" t="s">
        <v>27</v>
      </c>
      <c r="J57" s="3">
        <v>3925</v>
      </c>
      <c r="K57" s="3">
        <v>320</v>
      </c>
      <c r="L57" s="3">
        <v>227</v>
      </c>
    </row>
    <row r="58" spans="1:12" ht="15">
      <c r="A58" s="2" t="s">
        <v>18</v>
      </c>
      <c r="B58" s="3">
        <f>SUM(245+37)</f>
        <v>282</v>
      </c>
      <c r="C58" s="3">
        <f>SUM(217+35)</f>
        <v>252</v>
      </c>
      <c r="D58" s="3">
        <f>SUM(2+20+8)</f>
        <v>30</v>
      </c>
      <c r="E58" s="3">
        <v>0</v>
      </c>
      <c r="F58" s="16">
        <f t="shared" si="3"/>
        <v>0.8936170212765957</v>
      </c>
      <c r="G58" s="16">
        <f t="shared" si="4"/>
        <v>0.10638297872340426</v>
      </c>
      <c r="H58" s="16">
        <f t="shared" si="5"/>
        <v>0</v>
      </c>
      <c r="I58" s="2" t="s">
        <v>18</v>
      </c>
      <c r="J58" s="3">
        <v>2506</v>
      </c>
      <c r="K58" s="3">
        <v>14</v>
      </c>
      <c r="L58" s="3">
        <v>16</v>
      </c>
    </row>
    <row r="59" spans="1:12" ht="15">
      <c r="A59" s="2" t="s">
        <v>19</v>
      </c>
      <c r="B59" s="3">
        <f>SUM(B45:B58)</f>
        <v>3702</v>
      </c>
      <c r="C59" s="3">
        <f>SUM(C45:C58)</f>
        <v>1618</v>
      </c>
      <c r="D59" s="3">
        <f>SUM(D45:D58)</f>
        <v>1612</v>
      </c>
      <c r="E59" s="3">
        <f>SUM(E45:E58)</f>
        <v>473</v>
      </c>
      <c r="F59" s="2"/>
      <c r="G59" s="2"/>
      <c r="H59" s="2"/>
      <c r="I59" s="2"/>
      <c r="J59" s="2"/>
      <c r="K59" s="2"/>
      <c r="L59" s="5"/>
    </row>
    <row r="60" spans="1:12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">
      <c r="A63" s="2" t="s">
        <v>31</v>
      </c>
      <c r="B63" s="2" t="s">
        <v>1</v>
      </c>
      <c r="C63" s="2" t="s">
        <v>21</v>
      </c>
      <c r="D63" s="2" t="s">
        <v>3</v>
      </c>
      <c r="E63" s="2" t="s">
        <v>4</v>
      </c>
      <c r="F63" s="2" t="s">
        <v>33</v>
      </c>
      <c r="G63" s="2" t="s">
        <v>34</v>
      </c>
      <c r="H63" s="2" t="s">
        <v>35</v>
      </c>
      <c r="I63" s="2"/>
      <c r="J63" s="2" t="s">
        <v>32</v>
      </c>
      <c r="K63" s="2" t="s">
        <v>23</v>
      </c>
      <c r="L63" s="2" t="s">
        <v>24</v>
      </c>
    </row>
    <row r="64" spans="1:12" ht="15">
      <c r="A64" s="2" t="s">
        <v>5</v>
      </c>
      <c r="B64" s="3">
        <f>196+85+247</f>
        <v>528</v>
      </c>
      <c r="C64" s="3">
        <f>72+32+81</f>
        <v>185</v>
      </c>
      <c r="D64" s="2">
        <f>53+124+166</f>
        <v>343</v>
      </c>
      <c r="E64" s="2">
        <v>0</v>
      </c>
      <c r="F64" s="16">
        <f t="shared" ref="F64:F77" si="6">C64/B64</f>
        <v>0.3503787878787879</v>
      </c>
      <c r="G64" s="16">
        <f t="shared" ref="G64:G77" si="7">D64/B64</f>
        <v>0.64962121212121215</v>
      </c>
      <c r="H64" s="16">
        <f t="shared" ref="H64:H77" si="8">E64/B64</f>
        <v>0</v>
      </c>
      <c r="I64" s="2" t="s">
        <v>5</v>
      </c>
      <c r="J64" s="2"/>
      <c r="K64" s="3"/>
      <c r="L64" s="3"/>
    </row>
    <row r="65" spans="1:12" ht="15">
      <c r="A65" s="2" t="s">
        <v>6</v>
      </c>
      <c r="B65" s="3">
        <f>197+68+235</f>
        <v>500</v>
      </c>
      <c r="C65" s="3">
        <f>126+44+171</f>
        <v>341</v>
      </c>
      <c r="D65" s="3">
        <f>71+24+64</f>
        <v>159</v>
      </c>
      <c r="E65" s="3">
        <v>0</v>
      </c>
      <c r="F65" s="16">
        <f t="shared" si="6"/>
        <v>0.68200000000000005</v>
      </c>
      <c r="G65" s="16">
        <f t="shared" si="7"/>
        <v>0.318</v>
      </c>
      <c r="H65" s="16">
        <f t="shared" si="8"/>
        <v>0</v>
      </c>
      <c r="I65" s="2" t="s">
        <v>6</v>
      </c>
      <c r="J65" s="2"/>
      <c r="K65" s="3"/>
      <c r="L65" s="3"/>
    </row>
    <row r="66" spans="1:12" ht="15">
      <c r="A66" s="2" t="s">
        <v>7</v>
      </c>
      <c r="B66" s="3">
        <f>170+62+253</f>
        <v>485</v>
      </c>
      <c r="C66" s="3">
        <f>129+53+201</f>
        <v>383</v>
      </c>
      <c r="D66" s="3">
        <f>39+9+45</f>
        <v>93</v>
      </c>
      <c r="E66" s="3">
        <f>2+7</f>
        <v>9</v>
      </c>
      <c r="F66" s="16">
        <f t="shared" si="6"/>
        <v>0.78969072164948451</v>
      </c>
      <c r="G66" s="16">
        <f t="shared" si="7"/>
        <v>0.19175257731958764</v>
      </c>
      <c r="H66" s="16">
        <f t="shared" si="8"/>
        <v>1.8556701030927835E-2</v>
      </c>
      <c r="I66" s="2" t="s">
        <v>7</v>
      </c>
      <c r="J66" s="2"/>
      <c r="K66" s="3"/>
      <c r="L66" s="3"/>
    </row>
    <row r="67" spans="1:12" ht="15">
      <c r="A67" s="2" t="s">
        <v>8</v>
      </c>
      <c r="B67" s="3">
        <f>170+63+278</f>
        <v>511</v>
      </c>
      <c r="C67" s="3">
        <f>32+5+19</f>
        <v>56</v>
      </c>
      <c r="D67" s="3">
        <f>85+37+83</f>
        <v>205</v>
      </c>
      <c r="E67" s="3">
        <f>55+24+171</f>
        <v>250</v>
      </c>
      <c r="F67" s="18">
        <f t="shared" si="6"/>
        <v>0.1095890410958904</v>
      </c>
      <c r="G67" s="18">
        <f t="shared" si="7"/>
        <v>0.40117416829745595</v>
      </c>
      <c r="H67" s="18">
        <f t="shared" si="8"/>
        <v>0.48923679060665359</v>
      </c>
      <c r="I67" s="2" t="s">
        <v>8</v>
      </c>
      <c r="J67" s="2"/>
      <c r="K67" s="3"/>
      <c r="L67" s="3"/>
    </row>
    <row r="68" spans="1:12" ht="15">
      <c r="A68" s="2" t="s">
        <v>9</v>
      </c>
      <c r="B68" s="3">
        <f>186+79+227</f>
        <v>492</v>
      </c>
      <c r="C68" s="3">
        <f>60+12+29</f>
        <v>101</v>
      </c>
      <c r="D68" s="3">
        <f>82+47+58+11</f>
        <v>198</v>
      </c>
      <c r="E68" s="3">
        <f>44+20+129</f>
        <v>193</v>
      </c>
      <c r="F68" s="18">
        <f t="shared" si="6"/>
        <v>0.20528455284552846</v>
      </c>
      <c r="G68" s="18">
        <f t="shared" si="7"/>
        <v>0.40243902439024393</v>
      </c>
      <c r="H68" s="18">
        <f t="shared" si="8"/>
        <v>0.39227642276422764</v>
      </c>
      <c r="I68" s="2" t="s">
        <v>9</v>
      </c>
      <c r="J68" s="2"/>
      <c r="K68" s="3"/>
      <c r="L68" s="3"/>
    </row>
    <row r="69" spans="1:12" ht="15">
      <c r="A69" s="2" t="s">
        <v>10</v>
      </c>
      <c r="B69" s="3">
        <f>167+69+239</f>
        <v>475</v>
      </c>
      <c r="C69" s="3">
        <f>110+51+148</f>
        <v>309</v>
      </c>
      <c r="D69" s="3">
        <f>45+18+36</f>
        <v>99</v>
      </c>
      <c r="E69" s="3">
        <f>12+53</f>
        <v>65</v>
      </c>
      <c r="F69" s="16">
        <f t="shared" si="6"/>
        <v>0.65052631578947373</v>
      </c>
      <c r="G69" s="16">
        <f t="shared" si="7"/>
        <v>0.20842105263157895</v>
      </c>
      <c r="H69" s="16">
        <f t="shared" si="8"/>
        <v>0.1368421052631579</v>
      </c>
      <c r="I69" s="2" t="s">
        <v>10</v>
      </c>
      <c r="J69" s="2"/>
      <c r="K69" s="3"/>
      <c r="L69" s="3"/>
    </row>
    <row r="70" spans="1:12" ht="15">
      <c r="A70" s="2" t="s">
        <v>11</v>
      </c>
      <c r="B70" s="3">
        <f>168+75+215</f>
        <v>458</v>
      </c>
      <c r="C70" s="3">
        <f>15+8+13</f>
        <v>36</v>
      </c>
      <c r="D70" s="3">
        <f>153+67+202</f>
        <v>422</v>
      </c>
      <c r="E70" s="3">
        <v>0</v>
      </c>
      <c r="F70" s="16">
        <f t="shared" si="6"/>
        <v>7.8602620087336247E-2</v>
      </c>
      <c r="G70" s="16">
        <f t="shared" si="7"/>
        <v>0.92139737991266379</v>
      </c>
      <c r="H70" s="16">
        <f t="shared" si="8"/>
        <v>0</v>
      </c>
      <c r="I70" s="2" t="s">
        <v>11</v>
      </c>
      <c r="J70" s="2"/>
      <c r="K70" s="3"/>
      <c r="L70" s="3"/>
    </row>
    <row r="71" spans="1:12" ht="15">
      <c r="A71" s="2" t="s">
        <v>12</v>
      </c>
      <c r="B71" s="3">
        <f>204+62+263</f>
        <v>529</v>
      </c>
      <c r="C71" s="7">
        <f>19+10+12</f>
        <v>41</v>
      </c>
      <c r="D71" s="3">
        <f>186+52+251</f>
        <v>489</v>
      </c>
      <c r="E71" s="3">
        <v>0</v>
      </c>
      <c r="F71" s="16">
        <f t="shared" si="6"/>
        <v>7.7504725897920609E-2</v>
      </c>
      <c r="G71" s="16">
        <f t="shared" si="7"/>
        <v>0.92438563327032142</v>
      </c>
      <c r="H71" s="16">
        <f t="shared" si="8"/>
        <v>0</v>
      </c>
      <c r="I71" s="2" t="s">
        <v>12</v>
      </c>
      <c r="J71" s="2"/>
      <c r="K71" s="3"/>
      <c r="L71" s="3"/>
    </row>
    <row r="72" spans="1:12" ht="15">
      <c r="A72" s="2" t="s">
        <v>13</v>
      </c>
      <c r="B72" s="3">
        <f>171+74+220</f>
        <v>465</v>
      </c>
      <c r="C72" s="3">
        <f>159+72+208</f>
        <v>439</v>
      </c>
      <c r="D72" s="3">
        <f>12+2+12</f>
        <v>26</v>
      </c>
      <c r="E72" s="3">
        <v>0</v>
      </c>
      <c r="F72" s="18">
        <f t="shared" si="6"/>
        <v>0.94408602150537635</v>
      </c>
      <c r="G72" s="18">
        <f t="shared" si="7"/>
        <v>5.5913978494623658E-2</v>
      </c>
      <c r="H72" s="18">
        <f t="shared" si="8"/>
        <v>0</v>
      </c>
      <c r="I72" s="2" t="s">
        <v>13</v>
      </c>
      <c r="J72" s="2"/>
      <c r="K72" s="3"/>
      <c r="L72" s="3"/>
    </row>
    <row r="73" spans="1:12" ht="15">
      <c r="A73" s="2" t="s">
        <v>14</v>
      </c>
      <c r="B73" s="3">
        <f>209+77+231+52</f>
        <v>569</v>
      </c>
      <c r="C73" s="3">
        <f>183+60+197</f>
        <v>440</v>
      </c>
      <c r="D73" s="19">
        <f>26+17+34</f>
        <v>77</v>
      </c>
      <c r="E73" s="2">
        <v>52</v>
      </c>
      <c r="F73" s="18">
        <f t="shared" si="6"/>
        <v>0.77328646748681895</v>
      </c>
      <c r="G73" s="18">
        <f t="shared" si="7"/>
        <v>0.13532513181019332</v>
      </c>
      <c r="H73" s="18">
        <f t="shared" si="8"/>
        <v>9.1388400702987704E-2</v>
      </c>
      <c r="I73" s="2" t="s">
        <v>14</v>
      </c>
      <c r="J73" s="2"/>
      <c r="K73" s="3"/>
      <c r="L73" s="3"/>
    </row>
    <row r="74" spans="1:12" ht="15">
      <c r="A74" s="2" t="s">
        <v>15</v>
      </c>
      <c r="B74" s="2">
        <f>171+79+238</f>
        <v>488</v>
      </c>
      <c r="C74" s="2">
        <f>30+1</f>
        <v>31</v>
      </c>
      <c r="D74" s="2">
        <f>89+43+63</f>
        <v>195</v>
      </c>
      <c r="E74" s="2">
        <f>36+157+69</f>
        <v>262</v>
      </c>
      <c r="F74" s="18">
        <f t="shared" si="6"/>
        <v>6.3524590163934427E-2</v>
      </c>
      <c r="G74" s="18">
        <f t="shared" si="7"/>
        <v>0.39959016393442626</v>
      </c>
      <c r="H74" s="18">
        <f t="shared" si="8"/>
        <v>0.53688524590163933</v>
      </c>
      <c r="I74" s="2" t="s">
        <v>25</v>
      </c>
      <c r="J74" s="2"/>
      <c r="K74" s="3"/>
      <c r="L74" s="3"/>
    </row>
    <row r="75" spans="1:12" ht="15">
      <c r="A75" s="2" t="s">
        <v>16</v>
      </c>
      <c r="B75" s="3">
        <f>183+74+201</f>
        <v>458</v>
      </c>
      <c r="C75" s="3">
        <f>29+10+15</f>
        <v>54</v>
      </c>
      <c r="D75" s="3">
        <f>154+64+180</f>
        <v>398</v>
      </c>
      <c r="E75" s="3">
        <v>6</v>
      </c>
      <c r="F75" s="18">
        <f t="shared" si="6"/>
        <v>0.11790393013100436</v>
      </c>
      <c r="G75" s="18">
        <f t="shared" si="7"/>
        <v>0.86899563318777295</v>
      </c>
      <c r="H75" s="18">
        <f t="shared" si="8"/>
        <v>1.3100436681222707E-2</v>
      </c>
      <c r="I75" s="2" t="s">
        <v>26</v>
      </c>
      <c r="J75" s="2"/>
      <c r="K75" s="3"/>
      <c r="L75" s="3"/>
    </row>
    <row r="76" spans="1:12" ht="15">
      <c r="A76" s="2" t="s">
        <v>17</v>
      </c>
      <c r="B76" s="3">
        <f>209+76+218</f>
        <v>503</v>
      </c>
      <c r="C76" s="3">
        <f>29+10+11</f>
        <v>50</v>
      </c>
      <c r="D76" s="3">
        <f>180+66+207</f>
        <v>453</v>
      </c>
      <c r="E76" s="3">
        <v>0</v>
      </c>
      <c r="F76" s="16">
        <f t="shared" si="6"/>
        <v>9.9403578528827044E-2</v>
      </c>
      <c r="G76" s="16">
        <f t="shared" si="7"/>
        <v>0.90059642147117291</v>
      </c>
      <c r="H76" s="16">
        <f t="shared" si="8"/>
        <v>0</v>
      </c>
      <c r="I76" s="2" t="s">
        <v>27</v>
      </c>
      <c r="J76" s="2"/>
      <c r="K76" s="3"/>
      <c r="L76" s="3"/>
    </row>
    <row r="77" spans="1:12" ht="15">
      <c r="A77" s="2" t="s">
        <v>18</v>
      </c>
      <c r="B77" s="3">
        <f>211+72+222</f>
        <v>505</v>
      </c>
      <c r="C77" s="3">
        <f>190+65+198</f>
        <v>453</v>
      </c>
      <c r="D77" s="3">
        <f>21+7+24</f>
        <v>52</v>
      </c>
      <c r="E77" s="3">
        <v>0</v>
      </c>
      <c r="F77" s="16">
        <f t="shared" si="6"/>
        <v>0.89702970297029705</v>
      </c>
      <c r="G77" s="16">
        <f t="shared" si="7"/>
        <v>0.10297029702970296</v>
      </c>
      <c r="H77" s="16">
        <f t="shared" si="8"/>
        <v>0</v>
      </c>
      <c r="I77" s="2" t="s">
        <v>18</v>
      </c>
      <c r="J77" s="2"/>
      <c r="K77" s="3"/>
      <c r="L77" s="3"/>
    </row>
    <row r="78" spans="1:12" ht="15">
      <c r="A78" s="2" t="s">
        <v>19</v>
      </c>
      <c r="B78" s="3">
        <f>SUM(B64,B65,B66,B67,B68,B69,B69:B70,B71,B71,B72,B73,B74,B75,B76,B77)</f>
        <v>7970</v>
      </c>
      <c r="C78" s="3">
        <f>SUM(C64:C77)</f>
        <v>2919</v>
      </c>
      <c r="D78" s="3">
        <f>SUM(D64:D76)</f>
        <v>3157</v>
      </c>
      <c r="E78" s="3">
        <f>SUM(E64:E77)</f>
        <v>837</v>
      </c>
      <c r="F78" s="2"/>
      <c r="G78" s="2"/>
      <c r="H78" s="2"/>
      <c r="I78" s="2"/>
      <c r="J78" s="3"/>
      <c r="K78" s="2"/>
      <c r="L78" s="5"/>
    </row>
    <row r="79" spans="1:12" ht="15">
      <c r="A79" s="2"/>
      <c r="B79" s="3"/>
      <c r="C79" s="3"/>
      <c r="D79" s="3"/>
      <c r="E79" s="3"/>
      <c r="F79" s="4"/>
      <c r="G79" s="4"/>
      <c r="H79" s="4"/>
      <c r="I79" s="2"/>
      <c r="J79" s="3"/>
      <c r="K79" s="3"/>
      <c r="L79" s="3"/>
    </row>
    <row r="80" spans="1:12" ht="15">
      <c r="A80" s="2"/>
      <c r="B80" s="3"/>
      <c r="C80" s="3"/>
      <c r="D80" s="3"/>
      <c r="E80" s="3"/>
      <c r="F80" s="2"/>
      <c r="G80" s="2"/>
      <c r="H80" s="2"/>
      <c r="I80" s="2"/>
      <c r="J80" s="2"/>
      <c r="K80" s="2"/>
      <c r="L80" s="2"/>
    </row>
    <row r="81" spans="1:12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2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2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2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2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2" ht="15">
      <c r="A86" s="2" t="s">
        <v>20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33</v>
      </c>
      <c r="G86" s="2" t="s">
        <v>34</v>
      </c>
      <c r="H86" s="2" t="s">
        <v>35</v>
      </c>
      <c r="I86" s="2"/>
      <c r="J86" s="2" t="s">
        <v>22</v>
      </c>
      <c r="K86" s="2" t="s">
        <v>23</v>
      </c>
      <c r="L86" s="2" t="s">
        <v>24</v>
      </c>
    </row>
    <row r="87" spans="1:12" ht="15">
      <c r="A87" s="2" t="s">
        <v>5</v>
      </c>
      <c r="B87" s="3">
        <v>6816</v>
      </c>
      <c r="C87" s="3">
        <v>144</v>
      </c>
      <c r="D87" s="3">
        <v>6672</v>
      </c>
      <c r="E87" s="3">
        <v>0</v>
      </c>
      <c r="F87" s="16">
        <f t="shared" ref="F87:F100" si="9">C87/B87</f>
        <v>2.1126760563380281E-2</v>
      </c>
      <c r="G87" s="16">
        <f t="shared" ref="G87:G100" si="10">D87/B87</f>
        <v>0.97887323943661975</v>
      </c>
      <c r="H87" s="16">
        <f t="shared" ref="H87:H100" si="11">E87/B87</f>
        <v>0</v>
      </c>
      <c r="I87" s="2" t="s">
        <v>5</v>
      </c>
      <c r="J87" s="3"/>
      <c r="K87" s="3"/>
      <c r="L87" s="3"/>
    </row>
    <row r="88" spans="1:12" ht="15">
      <c r="A88" s="2" t="s">
        <v>6</v>
      </c>
      <c r="B88" s="3">
        <v>6392</v>
      </c>
      <c r="C88" s="3">
        <v>327</v>
      </c>
      <c r="D88" s="3">
        <v>5952</v>
      </c>
      <c r="E88" s="3">
        <v>113</v>
      </c>
      <c r="F88" s="16">
        <f t="shared" si="9"/>
        <v>5.1157697121401752E-2</v>
      </c>
      <c r="G88" s="16">
        <f t="shared" si="10"/>
        <v>0.93116395494367965</v>
      </c>
      <c r="H88" s="16">
        <f t="shared" si="11"/>
        <v>1.767834793491865E-2</v>
      </c>
      <c r="I88" s="2" t="s">
        <v>6</v>
      </c>
      <c r="J88" s="3"/>
      <c r="K88" s="3"/>
      <c r="L88" s="3"/>
    </row>
    <row r="89" spans="1:12" ht="15">
      <c r="A89" s="2" t="s">
        <v>7</v>
      </c>
      <c r="B89" s="3">
        <v>6881</v>
      </c>
      <c r="C89" s="3">
        <v>726</v>
      </c>
      <c r="D89" s="3">
        <v>6072</v>
      </c>
      <c r="E89" s="3">
        <v>83</v>
      </c>
      <c r="F89" s="16">
        <f t="shared" si="9"/>
        <v>0.10550792036041273</v>
      </c>
      <c r="G89" s="16">
        <f t="shared" si="10"/>
        <v>0.88242987937799744</v>
      </c>
      <c r="H89" s="16">
        <f t="shared" si="11"/>
        <v>1.2062200261589886E-2</v>
      </c>
      <c r="I89" s="2" t="s">
        <v>7</v>
      </c>
      <c r="J89" s="3"/>
      <c r="K89" s="3"/>
      <c r="L89" s="3"/>
    </row>
    <row r="90" spans="1:12" ht="15">
      <c r="A90" s="2" t="s">
        <v>8</v>
      </c>
      <c r="B90" s="3">
        <v>6347</v>
      </c>
      <c r="C90" s="3">
        <v>440</v>
      </c>
      <c r="D90" s="3">
        <v>5810</v>
      </c>
      <c r="E90" s="3">
        <v>97</v>
      </c>
      <c r="F90" s="16">
        <f t="shared" si="9"/>
        <v>6.9324090121317156E-2</v>
      </c>
      <c r="G90" s="16">
        <f t="shared" si="10"/>
        <v>0.91539309910193789</v>
      </c>
      <c r="H90" s="16">
        <f t="shared" si="11"/>
        <v>1.5282810776744919E-2</v>
      </c>
      <c r="I90" s="2" t="s">
        <v>8</v>
      </c>
      <c r="J90" s="3"/>
      <c r="K90" s="3"/>
      <c r="L90" s="3"/>
    </row>
    <row r="91" spans="1:12" ht="15">
      <c r="A91" s="2" t="s">
        <v>9</v>
      </c>
      <c r="B91" s="3">
        <v>6865</v>
      </c>
      <c r="C91" s="3">
        <v>0</v>
      </c>
      <c r="D91" s="3">
        <v>6865</v>
      </c>
      <c r="E91" s="3">
        <v>0</v>
      </c>
      <c r="F91" s="16">
        <f t="shared" si="9"/>
        <v>0</v>
      </c>
      <c r="G91" s="16">
        <f t="shared" si="10"/>
        <v>1</v>
      </c>
      <c r="H91" s="16">
        <f t="shared" si="11"/>
        <v>0</v>
      </c>
      <c r="I91" s="2" t="s">
        <v>9</v>
      </c>
      <c r="J91" s="3"/>
      <c r="K91" s="3"/>
      <c r="L91" s="3"/>
    </row>
    <row r="92" spans="1:12" ht="15">
      <c r="A92" s="2" t="s">
        <v>10</v>
      </c>
      <c r="B92" s="3">
        <v>6155</v>
      </c>
      <c r="C92" s="3">
        <v>0</v>
      </c>
      <c r="D92" s="3">
        <v>6155</v>
      </c>
      <c r="E92" s="3">
        <v>0</v>
      </c>
      <c r="F92" s="16">
        <f t="shared" si="9"/>
        <v>0</v>
      </c>
      <c r="G92" s="16">
        <f t="shared" si="10"/>
        <v>1</v>
      </c>
      <c r="H92" s="16">
        <f t="shared" si="11"/>
        <v>0</v>
      </c>
      <c r="I92" s="2" t="s">
        <v>10</v>
      </c>
      <c r="J92" s="3"/>
      <c r="K92" s="3"/>
      <c r="L92" s="3"/>
    </row>
    <row r="93" spans="1:12" ht="15">
      <c r="A93" s="2" t="s">
        <v>11</v>
      </c>
      <c r="B93" s="3">
        <v>6926</v>
      </c>
      <c r="C93" s="3">
        <v>0</v>
      </c>
      <c r="D93" s="3">
        <v>6876</v>
      </c>
      <c r="E93" s="3">
        <v>0</v>
      </c>
      <c r="F93" s="16">
        <f t="shared" si="9"/>
        <v>0</v>
      </c>
      <c r="G93" s="16">
        <f t="shared" si="10"/>
        <v>0.99278082587352012</v>
      </c>
      <c r="H93" s="16">
        <f t="shared" si="11"/>
        <v>0</v>
      </c>
      <c r="I93" s="2" t="s">
        <v>11</v>
      </c>
      <c r="J93" s="3"/>
      <c r="K93" s="3"/>
      <c r="L93" s="3"/>
    </row>
    <row r="94" spans="1:12" ht="15">
      <c r="A94" s="2" t="s">
        <v>12</v>
      </c>
      <c r="B94" s="3">
        <v>6229</v>
      </c>
      <c r="C94" s="3">
        <v>0</v>
      </c>
      <c r="D94" s="3">
        <v>6229</v>
      </c>
      <c r="E94" s="3">
        <v>0</v>
      </c>
      <c r="F94" s="16">
        <f t="shared" si="9"/>
        <v>0</v>
      </c>
      <c r="G94" s="16">
        <f t="shared" si="10"/>
        <v>1</v>
      </c>
      <c r="H94" s="16">
        <f t="shared" si="11"/>
        <v>0</v>
      </c>
      <c r="I94" s="2" t="s">
        <v>12</v>
      </c>
      <c r="J94" s="3"/>
      <c r="K94" s="3"/>
      <c r="L94" s="3"/>
    </row>
    <row r="95" spans="1:12" ht="15">
      <c r="A95" s="2" t="s">
        <v>13</v>
      </c>
      <c r="B95" s="3">
        <v>6933</v>
      </c>
      <c r="C95" s="3">
        <v>0</v>
      </c>
      <c r="D95" s="3">
        <v>6933</v>
      </c>
      <c r="E95" s="3">
        <v>0</v>
      </c>
      <c r="F95" s="16">
        <f t="shared" si="9"/>
        <v>0</v>
      </c>
      <c r="G95" s="16">
        <f t="shared" si="10"/>
        <v>1</v>
      </c>
      <c r="H95" s="16">
        <f t="shared" si="11"/>
        <v>0</v>
      </c>
      <c r="I95" s="2" t="s">
        <v>13</v>
      </c>
      <c r="J95" s="3"/>
      <c r="K95" s="3"/>
      <c r="L95" s="3"/>
    </row>
    <row r="96" spans="1:12" ht="15">
      <c r="A96" s="2" t="s">
        <v>14</v>
      </c>
      <c r="B96" s="3">
        <v>6241</v>
      </c>
      <c r="C96" s="3">
        <v>0</v>
      </c>
      <c r="D96" s="3">
        <v>6241</v>
      </c>
      <c r="E96" s="3">
        <v>0</v>
      </c>
      <c r="F96" s="16">
        <f t="shared" si="9"/>
        <v>0</v>
      </c>
      <c r="G96" s="16">
        <f t="shared" si="10"/>
        <v>1</v>
      </c>
      <c r="H96" s="16">
        <f t="shared" si="11"/>
        <v>0</v>
      </c>
      <c r="I96" s="2" t="s">
        <v>14</v>
      </c>
      <c r="J96" s="3"/>
      <c r="K96" s="3"/>
      <c r="L96" s="3"/>
    </row>
    <row r="97" spans="1:16" ht="15">
      <c r="A97" s="2" t="s">
        <v>15</v>
      </c>
      <c r="B97" s="3">
        <v>7388</v>
      </c>
      <c r="C97" s="3">
        <v>0</v>
      </c>
      <c r="D97" s="3">
        <v>7388</v>
      </c>
      <c r="E97" s="3">
        <v>0</v>
      </c>
      <c r="F97" s="16">
        <f t="shared" si="9"/>
        <v>0</v>
      </c>
      <c r="G97" s="16">
        <f t="shared" si="10"/>
        <v>1</v>
      </c>
      <c r="H97" s="16">
        <f t="shared" si="11"/>
        <v>0</v>
      </c>
      <c r="I97" s="2" t="s">
        <v>25</v>
      </c>
      <c r="J97" s="3"/>
      <c r="K97" s="3"/>
      <c r="L97" s="3"/>
    </row>
    <row r="98" spans="1:16" ht="15">
      <c r="A98" s="2" t="s">
        <v>16</v>
      </c>
      <c r="B98" s="3">
        <v>6304</v>
      </c>
      <c r="C98" s="3">
        <v>0</v>
      </c>
      <c r="D98" s="3">
        <v>6304</v>
      </c>
      <c r="E98" s="3">
        <v>0</v>
      </c>
      <c r="F98" s="16">
        <f t="shared" si="9"/>
        <v>0</v>
      </c>
      <c r="G98" s="16">
        <f t="shared" si="10"/>
        <v>1</v>
      </c>
      <c r="H98" s="16">
        <f t="shared" si="11"/>
        <v>0</v>
      </c>
      <c r="I98" s="2" t="s">
        <v>26</v>
      </c>
      <c r="J98" s="3"/>
      <c r="K98" s="3"/>
      <c r="L98" s="3"/>
    </row>
    <row r="99" spans="1:16" ht="15">
      <c r="A99" s="2" t="s">
        <v>17</v>
      </c>
      <c r="B99" s="3">
        <v>7525</v>
      </c>
      <c r="C99" s="3">
        <v>0</v>
      </c>
      <c r="D99" s="3">
        <v>7525</v>
      </c>
      <c r="E99" s="3">
        <v>0</v>
      </c>
      <c r="F99" s="16">
        <f t="shared" si="9"/>
        <v>0</v>
      </c>
      <c r="G99" s="16">
        <f t="shared" si="10"/>
        <v>1</v>
      </c>
      <c r="H99" s="16">
        <f t="shared" si="11"/>
        <v>0</v>
      </c>
      <c r="I99" s="2" t="s">
        <v>27</v>
      </c>
      <c r="J99" s="3"/>
      <c r="K99" s="3"/>
      <c r="L99" s="3"/>
    </row>
    <row r="100" spans="1:16" ht="15">
      <c r="A100" s="2" t="s">
        <v>18</v>
      </c>
      <c r="B100" s="3">
        <v>6195</v>
      </c>
      <c r="C100" s="3">
        <v>0</v>
      </c>
      <c r="D100" s="3">
        <v>6195</v>
      </c>
      <c r="E100" s="3">
        <v>0</v>
      </c>
      <c r="F100" s="16">
        <f t="shared" si="9"/>
        <v>0</v>
      </c>
      <c r="G100" s="16">
        <f t="shared" si="10"/>
        <v>1</v>
      </c>
      <c r="H100" s="16">
        <f t="shared" si="11"/>
        <v>0</v>
      </c>
      <c r="I100" s="2" t="s">
        <v>18</v>
      </c>
      <c r="J100" s="3"/>
      <c r="K100" s="3"/>
      <c r="L100" s="3"/>
    </row>
    <row r="101" spans="1:16" ht="15">
      <c r="A101" s="2" t="s">
        <v>19</v>
      </c>
      <c r="B101" s="3">
        <v>93197</v>
      </c>
      <c r="C101" s="3">
        <v>1637</v>
      </c>
      <c r="D101" s="3">
        <v>91217</v>
      </c>
      <c r="E101" s="3">
        <v>293</v>
      </c>
      <c r="F101" s="2"/>
      <c r="G101" s="2"/>
      <c r="H101" s="2"/>
      <c r="I101" s="2"/>
      <c r="J101" s="2"/>
      <c r="K101" s="2"/>
      <c r="L101" s="5"/>
    </row>
    <row r="102" spans="1:1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6" ht="1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4</v>
      </c>
      <c r="F105" s="2" t="s">
        <v>33</v>
      </c>
      <c r="G105" s="2" t="s">
        <v>34</v>
      </c>
      <c r="H105" s="2" t="s">
        <v>35</v>
      </c>
      <c r="I105" s="2"/>
      <c r="J105" s="2" t="s">
        <v>22</v>
      </c>
      <c r="K105" s="2" t="s">
        <v>23</v>
      </c>
      <c r="L105" s="2" t="s">
        <v>24</v>
      </c>
      <c r="M105" s="2" t="s">
        <v>24</v>
      </c>
    </row>
    <row r="106" spans="1:16" ht="15">
      <c r="A106" s="2" t="s">
        <v>5</v>
      </c>
      <c r="B106" s="3">
        <v>3018</v>
      </c>
      <c r="C106" s="3">
        <v>386</v>
      </c>
      <c r="D106" s="3">
        <v>2580</v>
      </c>
      <c r="E106" s="3">
        <v>52</v>
      </c>
      <c r="F106" s="18">
        <f t="shared" ref="F106:F119" si="12">C106/B106</f>
        <v>0.12789927104042412</v>
      </c>
      <c r="G106" s="18">
        <f t="shared" ref="G106:G119" si="13">D106/B106</f>
        <v>0.85487077534791256</v>
      </c>
      <c r="H106" s="18">
        <f t="shared" ref="H106:H119" si="14">E106/B106</f>
        <v>1.7229953611663355E-2</v>
      </c>
      <c r="I106" s="2" t="s">
        <v>5</v>
      </c>
      <c r="J106" s="3"/>
      <c r="K106" s="3"/>
      <c r="L106" s="3"/>
      <c r="M106" s="3"/>
      <c r="O106" s="20" t="s">
        <v>45</v>
      </c>
      <c r="P106" s="13" t="s">
        <v>38</v>
      </c>
    </row>
    <row r="107" spans="1:16" ht="15">
      <c r="A107" s="2" t="s">
        <v>6</v>
      </c>
      <c r="B107" s="3">
        <v>2325</v>
      </c>
      <c r="C107" s="3">
        <v>550</v>
      </c>
      <c r="D107" s="3">
        <v>1635</v>
      </c>
      <c r="E107" s="3">
        <v>140</v>
      </c>
      <c r="F107" s="16">
        <f t="shared" si="12"/>
        <v>0.23655913978494625</v>
      </c>
      <c r="G107" s="16">
        <f t="shared" si="13"/>
        <v>0.70322580645161292</v>
      </c>
      <c r="H107" s="16">
        <f t="shared" si="14"/>
        <v>6.0215053763440864E-2</v>
      </c>
      <c r="I107" s="2" t="s">
        <v>6</v>
      </c>
      <c r="J107" s="3"/>
      <c r="K107" s="3"/>
      <c r="L107" s="3"/>
      <c r="M107" s="3"/>
      <c r="O107" s="13" t="s">
        <v>39</v>
      </c>
      <c r="P107" s="5">
        <v>17958</v>
      </c>
    </row>
    <row r="108" spans="1:16" ht="15">
      <c r="A108" s="2" t="s">
        <v>7</v>
      </c>
      <c r="B108" s="3">
        <v>3048</v>
      </c>
      <c r="C108" s="3">
        <v>970</v>
      </c>
      <c r="D108" s="3">
        <v>1719</v>
      </c>
      <c r="E108" s="3">
        <v>359</v>
      </c>
      <c r="F108" s="16">
        <f t="shared" si="12"/>
        <v>0.31824146981627299</v>
      </c>
      <c r="G108" s="16">
        <f t="shared" si="13"/>
        <v>0.5639763779527559</v>
      </c>
      <c r="H108" s="16">
        <f t="shared" si="14"/>
        <v>0.11778215223097113</v>
      </c>
      <c r="I108" s="2" t="s">
        <v>7</v>
      </c>
      <c r="J108" s="3"/>
      <c r="K108" s="3"/>
      <c r="L108" s="3"/>
      <c r="M108" s="3"/>
      <c r="O108" s="13" t="s">
        <v>42</v>
      </c>
      <c r="P108" s="5">
        <v>5219</v>
      </c>
    </row>
    <row r="109" spans="1:16" ht="15">
      <c r="A109" s="2" t="s">
        <v>8</v>
      </c>
      <c r="B109" s="3">
        <v>2375</v>
      </c>
      <c r="C109" s="3">
        <v>764</v>
      </c>
      <c r="D109" s="3">
        <v>1122</v>
      </c>
      <c r="E109" s="3">
        <v>489</v>
      </c>
      <c r="F109" s="16">
        <f t="shared" si="12"/>
        <v>0.32168421052631579</v>
      </c>
      <c r="G109" s="16">
        <f t="shared" si="13"/>
        <v>0.47242105263157896</v>
      </c>
      <c r="H109" s="16">
        <f t="shared" si="14"/>
        <v>0.20589473684210527</v>
      </c>
      <c r="I109" s="2" t="s">
        <v>8</v>
      </c>
      <c r="J109" s="3"/>
      <c r="K109" s="3"/>
      <c r="L109" s="3"/>
      <c r="M109" s="3"/>
      <c r="O109" s="13" t="s">
        <v>40</v>
      </c>
      <c r="P109" s="5">
        <v>4402</v>
      </c>
    </row>
    <row r="110" spans="1:16" ht="15">
      <c r="A110" s="2" t="s">
        <v>9</v>
      </c>
      <c r="B110" s="3">
        <v>3070</v>
      </c>
      <c r="C110" s="3">
        <v>940</v>
      </c>
      <c r="D110" s="3">
        <v>2120</v>
      </c>
      <c r="E110" s="3">
        <v>0</v>
      </c>
      <c r="F110" s="18">
        <f t="shared" si="12"/>
        <v>0.30618892508143325</v>
      </c>
      <c r="G110" s="18">
        <f t="shared" si="13"/>
        <v>0.69055374592833874</v>
      </c>
      <c r="H110" s="18">
        <f t="shared" si="14"/>
        <v>0</v>
      </c>
      <c r="I110" s="2" t="s">
        <v>9</v>
      </c>
      <c r="J110" s="3"/>
      <c r="K110" s="3"/>
      <c r="L110" s="3"/>
      <c r="M110" s="3"/>
      <c r="O110" s="13" t="s">
        <v>41</v>
      </c>
      <c r="P110" s="5">
        <v>3823</v>
      </c>
    </row>
    <row r="111" spans="1:16" ht="15">
      <c r="A111" s="2" t="s">
        <v>10</v>
      </c>
      <c r="B111" s="3">
        <v>2312</v>
      </c>
      <c r="C111" s="3">
        <v>0</v>
      </c>
      <c r="D111" s="3">
        <v>2312</v>
      </c>
      <c r="E111" s="3">
        <v>0</v>
      </c>
      <c r="F111" s="16">
        <f t="shared" si="12"/>
        <v>0</v>
      </c>
      <c r="G111" s="16">
        <f t="shared" si="13"/>
        <v>1</v>
      </c>
      <c r="H111" s="16">
        <f t="shared" si="14"/>
        <v>0</v>
      </c>
      <c r="I111" s="2" t="s">
        <v>10</v>
      </c>
      <c r="J111" s="3"/>
      <c r="K111" s="3"/>
      <c r="L111" s="3"/>
      <c r="M111" s="3"/>
    </row>
    <row r="112" spans="1:16" ht="15">
      <c r="A112" s="2" t="s">
        <v>11</v>
      </c>
      <c r="B112" s="3">
        <v>3244</v>
      </c>
      <c r="C112" s="3">
        <v>0</v>
      </c>
      <c r="D112" s="3">
        <v>3241</v>
      </c>
      <c r="E112" s="3">
        <v>3</v>
      </c>
      <c r="F112" s="16">
        <f t="shared" si="12"/>
        <v>0</v>
      </c>
      <c r="G112" s="16">
        <f t="shared" si="13"/>
        <v>0.99907521578298397</v>
      </c>
      <c r="H112" s="16">
        <f t="shared" si="14"/>
        <v>9.2478421701602961E-4</v>
      </c>
      <c r="I112" s="2" t="s">
        <v>11</v>
      </c>
      <c r="J112" s="3"/>
      <c r="K112" s="3"/>
      <c r="L112" s="3"/>
      <c r="M112" s="3"/>
    </row>
    <row r="113" spans="1:13" ht="15">
      <c r="A113" s="2" t="s">
        <v>12</v>
      </c>
      <c r="B113" s="3">
        <v>2334</v>
      </c>
      <c r="C113" s="3">
        <v>0</v>
      </c>
      <c r="D113" s="3">
        <v>2334</v>
      </c>
      <c r="E113" s="3">
        <v>0</v>
      </c>
      <c r="F113" s="16">
        <f t="shared" si="12"/>
        <v>0</v>
      </c>
      <c r="G113" s="16">
        <f t="shared" si="13"/>
        <v>1</v>
      </c>
      <c r="H113" s="16">
        <f t="shared" si="14"/>
        <v>0</v>
      </c>
      <c r="I113" s="2" t="s">
        <v>12</v>
      </c>
      <c r="J113" s="3"/>
      <c r="K113" s="3"/>
      <c r="L113" s="3"/>
      <c r="M113" s="3"/>
    </row>
    <row r="114" spans="1:13" ht="15">
      <c r="A114" s="2" t="s">
        <v>13</v>
      </c>
      <c r="B114" s="3">
        <v>3110</v>
      </c>
      <c r="C114" s="3">
        <v>0</v>
      </c>
      <c r="D114" s="3">
        <v>3096</v>
      </c>
      <c r="E114" s="3">
        <v>14</v>
      </c>
      <c r="F114" s="16">
        <f t="shared" si="12"/>
        <v>0</v>
      </c>
      <c r="G114" s="16">
        <f t="shared" si="13"/>
        <v>0.99549839228295822</v>
      </c>
      <c r="H114" s="16">
        <f t="shared" si="14"/>
        <v>4.5016077170418004E-3</v>
      </c>
      <c r="I114" s="2" t="s">
        <v>13</v>
      </c>
      <c r="J114" s="3"/>
      <c r="K114" s="3"/>
      <c r="L114" s="3"/>
      <c r="M114" s="3"/>
    </row>
    <row r="115" spans="1:13" ht="15">
      <c r="A115" s="2" t="s">
        <v>14</v>
      </c>
      <c r="B115" s="3">
        <v>2287</v>
      </c>
      <c r="C115" s="3">
        <v>0</v>
      </c>
      <c r="D115" s="3">
        <v>2287</v>
      </c>
      <c r="E115" s="3">
        <v>0</v>
      </c>
      <c r="F115" s="16">
        <f t="shared" si="12"/>
        <v>0</v>
      </c>
      <c r="G115" s="16">
        <f t="shared" si="13"/>
        <v>1</v>
      </c>
      <c r="H115" s="16">
        <f t="shared" si="14"/>
        <v>0</v>
      </c>
      <c r="I115" s="2" t="s">
        <v>14</v>
      </c>
      <c r="J115" s="3"/>
      <c r="K115" s="3"/>
      <c r="L115" s="3"/>
      <c r="M115" s="3"/>
    </row>
    <row r="116" spans="1:13" ht="15">
      <c r="A116" s="2" t="s">
        <v>15</v>
      </c>
      <c r="B116" s="3">
        <v>3382</v>
      </c>
      <c r="C116" s="3">
        <v>0</v>
      </c>
      <c r="D116" s="3">
        <v>3382</v>
      </c>
      <c r="E116" s="3">
        <v>0</v>
      </c>
      <c r="F116" s="16">
        <f t="shared" si="12"/>
        <v>0</v>
      </c>
      <c r="G116" s="16">
        <f t="shared" si="13"/>
        <v>1</v>
      </c>
      <c r="H116" s="16">
        <f t="shared" si="14"/>
        <v>0</v>
      </c>
      <c r="I116" s="2" t="s">
        <v>25</v>
      </c>
      <c r="J116" s="3"/>
      <c r="K116" s="3"/>
      <c r="L116" s="3"/>
      <c r="M116" s="3"/>
    </row>
    <row r="117" spans="1:13" ht="15">
      <c r="A117" s="2" t="s">
        <v>16</v>
      </c>
      <c r="B117" s="3">
        <v>2336</v>
      </c>
      <c r="C117" s="3">
        <v>0</v>
      </c>
      <c r="D117" s="3">
        <v>2336</v>
      </c>
      <c r="E117" s="3">
        <v>0</v>
      </c>
      <c r="F117" s="16">
        <f t="shared" si="12"/>
        <v>0</v>
      </c>
      <c r="G117" s="16">
        <f t="shared" si="13"/>
        <v>1</v>
      </c>
      <c r="H117" s="16">
        <f t="shared" si="14"/>
        <v>0</v>
      </c>
      <c r="I117" s="2" t="s">
        <v>26</v>
      </c>
      <c r="J117" s="3"/>
      <c r="K117" s="3"/>
      <c r="L117" s="3"/>
      <c r="M117" s="3"/>
    </row>
    <row r="118" spans="1:13" ht="15">
      <c r="A118" s="2" t="s">
        <v>17</v>
      </c>
      <c r="B118" s="3">
        <v>2976</v>
      </c>
      <c r="C118" s="3">
        <v>0</v>
      </c>
      <c r="D118" s="3">
        <v>2976</v>
      </c>
      <c r="E118" s="3">
        <v>0</v>
      </c>
      <c r="F118" s="16">
        <f t="shared" si="12"/>
        <v>0</v>
      </c>
      <c r="G118" s="16">
        <f t="shared" si="13"/>
        <v>1</v>
      </c>
      <c r="H118" s="16">
        <f t="shared" si="14"/>
        <v>0</v>
      </c>
      <c r="I118" s="2" t="s">
        <v>27</v>
      </c>
      <c r="J118" s="3"/>
      <c r="K118" s="3"/>
      <c r="L118" s="3"/>
      <c r="M118" s="3"/>
    </row>
    <row r="119" spans="1:13" ht="15">
      <c r="A119" s="2" t="s">
        <v>18</v>
      </c>
      <c r="B119" s="3">
        <v>2344</v>
      </c>
      <c r="C119" s="3">
        <v>0</v>
      </c>
      <c r="D119" s="3">
        <v>2344</v>
      </c>
      <c r="E119" s="3">
        <v>0</v>
      </c>
      <c r="F119" s="16">
        <f t="shared" si="12"/>
        <v>0</v>
      </c>
      <c r="G119" s="16">
        <f t="shared" si="13"/>
        <v>1</v>
      </c>
      <c r="H119" s="16">
        <f t="shared" si="14"/>
        <v>0</v>
      </c>
      <c r="I119" s="2" t="s">
        <v>18</v>
      </c>
      <c r="J119" s="3"/>
      <c r="K119" s="3"/>
      <c r="L119" s="3"/>
      <c r="M119" s="3"/>
    </row>
    <row r="120" spans="1:13" ht="15">
      <c r="A120" s="2" t="s">
        <v>36</v>
      </c>
      <c r="B120" s="3">
        <v>38161</v>
      </c>
      <c r="C120" s="3">
        <v>3610</v>
      </c>
      <c r="D120" s="3">
        <v>33484</v>
      </c>
      <c r="E120" s="3">
        <v>1057</v>
      </c>
      <c r="F120" s="2"/>
      <c r="G120" s="2"/>
      <c r="H120" s="2"/>
      <c r="I120" s="2"/>
      <c r="J120" s="2"/>
      <c r="K120" s="2"/>
      <c r="L120" s="5"/>
      <c r="M120" s="2"/>
    </row>
    <row r="121" spans="1:13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6" spans="1:13" ht="15.75" customHeight="1">
      <c r="A126" s="2" t="s">
        <v>44</v>
      </c>
      <c r="B126" s="2" t="s">
        <v>1</v>
      </c>
      <c r="C126" s="2" t="s">
        <v>2</v>
      </c>
      <c r="D126" s="2" t="s">
        <v>3</v>
      </c>
      <c r="E126" s="2" t="s">
        <v>4</v>
      </c>
      <c r="F126" s="2" t="s">
        <v>33</v>
      </c>
      <c r="G126" s="2" t="s">
        <v>34</v>
      </c>
      <c r="H126" s="2" t="s">
        <v>35</v>
      </c>
      <c r="I126" s="2"/>
      <c r="J126" s="2" t="s">
        <v>30</v>
      </c>
      <c r="K126" s="2" t="s">
        <v>23</v>
      </c>
      <c r="L126" s="2" t="s">
        <v>24</v>
      </c>
      <c r="M126" s="2" t="s">
        <v>24</v>
      </c>
    </row>
    <row r="127" spans="1:13" ht="15.75" customHeight="1">
      <c r="A127" s="2" t="s">
        <v>5</v>
      </c>
      <c r="B127" s="3">
        <v>741</v>
      </c>
      <c r="C127" s="3">
        <v>0</v>
      </c>
      <c r="D127" s="3">
        <v>741</v>
      </c>
      <c r="E127" s="3">
        <v>0</v>
      </c>
      <c r="F127" s="16">
        <f>C127/B127</f>
        <v>0</v>
      </c>
      <c r="G127" s="16">
        <f>D127/B127</f>
        <v>1</v>
      </c>
      <c r="H127" s="16">
        <f>E127/B127</f>
        <v>0</v>
      </c>
      <c r="I127" s="2" t="s">
        <v>5</v>
      </c>
      <c r="J127" s="3"/>
      <c r="K127" s="3"/>
      <c r="L127" s="3"/>
      <c r="M127" s="3"/>
    </row>
    <row r="128" spans="1:13" ht="15.75" customHeight="1">
      <c r="A128" s="2" t="s">
        <v>6</v>
      </c>
      <c r="B128" s="3">
        <v>637</v>
      </c>
      <c r="C128" s="3">
        <v>0</v>
      </c>
      <c r="D128" s="3">
        <v>636</v>
      </c>
      <c r="E128" s="3">
        <v>1</v>
      </c>
      <c r="F128" s="16">
        <f t="shared" ref="F128:F134" si="15">C128/B128</f>
        <v>0</v>
      </c>
      <c r="G128" s="16">
        <f t="shared" ref="G128:G134" si="16">D128/B128</f>
        <v>0.99843014128728413</v>
      </c>
      <c r="H128" s="16">
        <f>E128/B128</f>
        <v>1.5698587127158557E-3</v>
      </c>
      <c r="I128" s="2" t="s">
        <v>6</v>
      </c>
      <c r="J128" s="3"/>
      <c r="K128" s="3"/>
      <c r="L128" s="3"/>
      <c r="M128" s="3"/>
    </row>
    <row r="129" spans="1:13" ht="15.75" customHeight="1">
      <c r="A129" s="2" t="s">
        <v>7</v>
      </c>
      <c r="B129" s="3">
        <v>712</v>
      </c>
      <c r="C129" s="3">
        <v>0</v>
      </c>
      <c r="D129" s="3">
        <v>711</v>
      </c>
      <c r="E129" s="3">
        <v>1</v>
      </c>
      <c r="F129" s="16">
        <f t="shared" si="15"/>
        <v>0</v>
      </c>
      <c r="G129" s="16">
        <f t="shared" si="16"/>
        <v>0.9985955056179775</v>
      </c>
      <c r="H129" s="16">
        <f t="shared" ref="H129:H138" si="17">E129/B129</f>
        <v>1.4044943820224719E-3</v>
      </c>
      <c r="I129" s="2" t="s">
        <v>7</v>
      </c>
      <c r="J129" s="3"/>
      <c r="K129" s="3"/>
      <c r="L129" s="3"/>
      <c r="M129" s="3"/>
    </row>
    <row r="130" spans="1:13" ht="15.75" customHeight="1">
      <c r="A130" s="2" t="s">
        <v>8</v>
      </c>
      <c r="B130" s="3">
        <v>812</v>
      </c>
      <c r="C130" s="3">
        <v>0</v>
      </c>
      <c r="D130" s="3">
        <v>812</v>
      </c>
      <c r="E130" s="3">
        <v>0</v>
      </c>
      <c r="F130" s="16">
        <f t="shared" si="15"/>
        <v>0</v>
      </c>
      <c r="G130" s="16">
        <f t="shared" si="16"/>
        <v>1</v>
      </c>
      <c r="H130" s="16">
        <f t="shared" si="17"/>
        <v>0</v>
      </c>
      <c r="I130" s="2" t="s">
        <v>8</v>
      </c>
      <c r="J130" s="3"/>
      <c r="K130" s="3"/>
      <c r="L130" s="3"/>
      <c r="M130" s="3"/>
    </row>
    <row r="131" spans="1:13" ht="15.75" customHeight="1">
      <c r="A131" s="2" t="s">
        <v>9</v>
      </c>
      <c r="B131" s="3">
        <v>688</v>
      </c>
      <c r="C131" s="3">
        <v>0</v>
      </c>
      <c r="D131" s="3">
        <v>688</v>
      </c>
      <c r="E131" s="3">
        <v>0</v>
      </c>
      <c r="F131" s="16">
        <f t="shared" si="15"/>
        <v>0</v>
      </c>
      <c r="G131" s="16">
        <f t="shared" si="16"/>
        <v>1</v>
      </c>
      <c r="H131" s="16">
        <f t="shared" si="17"/>
        <v>0</v>
      </c>
      <c r="I131" s="2" t="s">
        <v>9</v>
      </c>
      <c r="J131" s="3"/>
      <c r="K131" s="3"/>
      <c r="L131" s="3"/>
      <c r="M131" s="3"/>
    </row>
    <row r="132" spans="1:13" ht="15.75" customHeight="1">
      <c r="A132" s="2" t="s">
        <v>10</v>
      </c>
      <c r="B132" s="3">
        <v>717</v>
      </c>
      <c r="C132" s="3">
        <v>0</v>
      </c>
      <c r="D132" s="3">
        <v>716</v>
      </c>
      <c r="E132" s="3">
        <v>1</v>
      </c>
      <c r="F132" s="16">
        <f t="shared" si="15"/>
        <v>0</v>
      </c>
      <c r="G132" s="16">
        <f t="shared" si="16"/>
        <v>0.99860529986053004</v>
      </c>
      <c r="H132" s="16">
        <f t="shared" si="17"/>
        <v>1.3947001394700139E-3</v>
      </c>
      <c r="I132" s="2" t="s">
        <v>10</v>
      </c>
      <c r="J132" s="3"/>
      <c r="K132" s="3"/>
      <c r="L132" s="3"/>
      <c r="M132" s="3"/>
    </row>
    <row r="133" spans="1:13" ht="15.75" customHeight="1">
      <c r="A133" s="2" t="s">
        <v>11</v>
      </c>
      <c r="B133" s="3">
        <v>739</v>
      </c>
      <c r="C133" s="3">
        <v>0</v>
      </c>
      <c r="D133" s="3">
        <v>739</v>
      </c>
      <c r="E133" s="3">
        <v>0</v>
      </c>
      <c r="F133" s="16">
        <f t="shared" si="15"/>
        <v>0</v>
      </c>
      <c r="G133" s="16">
        <f t="shared" si="16"/>
        <v>1</v>
      </c>
      <c r="H133" s="16">
        <f t="shared" si="17"/>
        <v>0</v>
      </c>
      <c r="I133" s="2" t="s">
        <v>11</v>
      </c>
      <c r="J133" s="3"/>
      <c r="K133" s="3"/>
      <c r="L133" s="3"/>
      <c r="M133" s="3"/>
    </row>
    <row r="134" spans="1:13" ht="15.75" customHeight="1">
      <c r="A134" s="2" t="s">
        <v>12</v>
      </c>
      <c r="B134" s="3">
        <v>679</v>
      </c>
      <c r="C134" s="3">
        <v>0</v>
      </c>
      <c r="D134" s="3">
        <v>679</v>
      </c>
      <c r="E134" s="3">
        <v>0</v>
      </c>
      <c r="F134" s="16">
        <f t="shared" si="15"/>
        <v>0</v>
      </c>
      <c r="G134" s="16">
        <f t="shared" si="16"/>
        <v>1</v>
      </c>
      <c r="H134" s="16">
        <f t="shared" si="17"/>
        <v>0</v>
      </c>
      <c r="I134" s="2" t="s">
        <v>12</v>
      </c>
      <c r="J134" s="3"/>
      <c r="K134" s="3"/>
      <c r="L134" s="3"/>
      <c r="M134" s="3"/>
    </row>
    <row r="135" spans="1:13" ht="15.75" customHeight="1">
      <c r="A135" s="2" t="s">
        <v>13</v>
      </c>
      <c r="B135" s="3">
        <v>652</v>
      </c>
      <c r="C135">
        <v>8</v>
      </c>
      <c r="D135" s="3">
        <v>522</v>
      </c>
      <c r="E135" s="3">
        <v>122</v>
      </c>
      <c r="F135" s="18">
        <f t="shared" ref="F135:F140" si="18">C135/B135</f>
        <v>1.2269938650306749E-2</v>
      </c>
      <c r="G135" s="18">
        <f>D135/B135</f>
        <v>0.80061349693251538</v>
      </c>
      <c r="H135" s="18">
        <f t="shared" si="17"/>
        <v>0.18711656441717792</v>
      </c>
      <c r="I135" s="2" t="s">
        <v>13</v>
      </c>
      <c r="J135" s="3"/>
      <c r="K135" s="3"/>
      <c r="L135" s="3"/>
      <c r="M135" s="3"/>
    </row>
    <row r="136" spans="1:13" ht="15.75" customHeight="1">
      <c r="A136" s="2" t="s">
        <v>14</v>
      </c>
      <c r="B136" s="3">
        <v>789</v>
      </c>
      <c r="C136" s="3">
        <v>105</v>
      </c>
      <c r="D136" s="3">
        <v>455</v>
      </c>
      <c r="E136" s="3">
        <v>229</v>
      </c>
      <c r="F136" s="18">
        <f t="shared" si="18"/>
        <v>0.13307984790874525</v>
      </c>
      <c r="G136" s="18">
        <f>D136/B136</f>
        <v>0.57667934093789608</v>
      </c>
      <c r="H136" s="18">
        <f t="shared" si="17"/>
        <v>0.2902408111533587</v>
      </c>
      <c r="I136" s="2" t="s">
        <v>14</v>
      </c>
      <c r="J136" s="3"/>
      <c r="K136" s="3"/>
      <c r="L136" s="3"/>
      <c r="M136" s="3"/>
    </row>
    <row r="137" spans="1:13" ht="15.75" customHeight="1">
      <c r="A137" s="2" t="s">
        <v>15</v>
      </c>
      <c r="B137" s="3">
        <v>695</v>
      </c>
      <c r="C137" s="3">
        <v>16</v>
      </c>
      <c r="D137" s="3">
        <v>244</v>
      </c>
      <c r="E137" s="3">
        <v>435</v>
      </c>
      <c r="F137" s="18">
        <f t="shared" si="18"/>
        <v>2.302158273381295E-2</v>
      </c>
      <c r="G137" s="18">
        <f>D137/B137</f>
        <v>0.3510791366906475</v>
      </c>
      <c r="H137" s="18">
        <f t="shared" si="17"/>
        <v>0.62589928057553956</v>
      </c>
      <c r="I137" s="2" t="s">
        <v>25</v>
      </c>
      <c r="J137" s="3"/>
      <c r="K137" s="3"/>
      <c r="L137" s="3"/>
      <c r="M137" s="3"/>
    </row>
    <row r="138" spans="1:13" ht="15.75" customHeight="1">
      <c r="A138" s="2" t="s">
        <v>16</v>
      </c>
      <c r="B138" s="3">
        <v>696</v>
      </c>
      <c r="C138" s="3">
        <v>0</v>
      </c>
      <c r="D138" s="3">
        <v>695</v>
      </c>
      <c r="E138" s="3">
        <v>1</v>
      </c>
      <c r="F138" s="16">
        <f t="shared" si="18"/>
        <v>0</v>
      </c>
      <c r="G138" s="16">
        <f>D138/B138</f>
        <v>0.99856321839080464</v>
      </c>
      <c r="H138" s="16">
        <f t="shared" si="17"/>
        <v>1.4367816091954023E-3</v>
      </c>
      <c r="I138" s="2" t="s">
        <v>26</v>
      </c>
      <c r="J138" s="3"/>
      <c r="K138" s="3"/>
      <c r="L138" s="3"/>
      <c r="M138" s="3"/>
    </row>
    <row r="139" spans="1:13" ht="15.75" customHeight="1">
      <c r="A139" s="2" t="s">
        <v>17</v>
      </c>
      <c r="B139" s="3">
        <v>747</v>
      </c>
      <c r="C139" s="3">
        <v>0</v>
      </c>
      <c r="D139" s="3">
        <v>647</v>
      </c>
      <c r="E139" s="3">
        <v>100</v>
      </c>
      <c r="F139" s="18">
        <f t="shared" si="18"/>
        <v>0</v>
      </c>
      <c r="G139" s="18">
        <f>D139/B127</f>
        <v>0.87314439946018896</v>
      </c>
      <c r="H139" s="18">
        <f>E139/B127</f>
        <v>0.1349527665317139</v>
      </c>
      <c r="I139" s="2" t="s">
        <v>27</v>
      </c>
      <c r="J139" s="3"/>
      <c r="K139" s="3"/>
      <c r="L139" s="3"/>
      <c r="M139" s="3"/>
    </row>
    <row r="140" spans="1:13" ht="15.75" customHeight="1">
      <c r="A140" s="2" t="s">
        <v>18</v>
      </c>
      <c r="B140" s="3">
        <v>764</v>
      </c>
      <c r="C140" s="3">
        <v>220</v>
      </c>
      <c r="D140" s="3">
        <v>345</v>
      </c>
      <c r="E140" s="3">
        <v>200</v>
      </c>
      <c r="F140" s="18">
        <f t="shared" si="18"/>
        <v>0.2879581151832461</v>
      </c>
      <c r="G140" s="18">
        <f>D140/B140</f>
        <v>0.45157068062827227</v>
      </c>
      <c r="H140" s="18">
        <f>E140/B140</f>
        <v>0.26178010471204188</v>
      </c>
      <c r="I140" s="2" t="s">
        <v>18</v>
      </c>
      <c r="J140" s="3"/>
      <c r="K140" s="3"/>
      <c r="L140" s="3"/>
      <c r="M140" s="3"/>
    </row>
    <row r="141" spans="1:13" ht="15.75" customHeight="1">
      <c r="A141" s="2" t="s">
        <v>36</v>
      </c>
      <c r="B141" s="3">
        <f>SUM(B127:B140)</f>
        <v>10068</v>
      </c>
      <c r="C141" s="3">
        <f>SUM(C127:C140)</f>
        <v>349</v>
      </c>
      <c r="D141" s="3">
        <f>SUM(D127:D140)</f>
        <v>8630</v>
      </c>
      <c r="E141" s="3">
        <f>SUM(E127:E140)</f>
        <v>1090</v>
      </c>
      <c r="F141" s="2"/>
      <c r="G141" s="2"/>
      <c r="H141" s="2"/>
      <c r="I141" s="2"/>
      <c r="J141" s="2"/>
      <c r="K141" s="2"/>
      <c r="L141" s="5"/>
      <c r="M141" s="2"/>
    </row>
    <row r="158" spans="1:13" ht="15.75" customHeight="1">
      <c r="A158" s="2" t="s">
        <v>43</v>
      </c>
      <c r="B158" s="2" t="s">
        <v>1</v>
      </c>
      <c r="C158" s="2" t="s">
        <v>2</v>
      </c>
      <c r="D158" s="2" t="s">
        <v>3</v>
      </c>
      <c r="E158" s="2" t="s">
        <v>4</v>
      </c>
      <c r="F158" s="2" t="s">
        <v>33</v>
      </c>
      <c r="G158" s="2" t="s">
        <v>34</v>
      </c>
      <c r="H158" s="2" t="s">
        <v>35</v>
      </c>
      <c r="I158" s="2"/>
      <c r="J158" s="2" t="s">
        <v>32</v>
      </c>
      <c r="K158" s="2" t="s">
        <v>23</v>
      </c>
      <c r="L158" s="2" t="s">
        <v>24</v>
      </c>
      <c r="M158" s="2" t="s">
        <v>24</v>
      </c>
    </row>
    <row r="159" spans="1:13" ht="15.75" customHeight="1">
      <c r="A159" s="2" t="s">
        <v>5</v>
      </c>
      <c r="B159" s="3">
        <v>771</v>
      </c>
      <c r="C159" s="3">
        <v>0</v>
      </c>
      <c r="D159" s="3">
        <v>771</v>
      </c>
      <c r="E159" s="3">
        <v>0</v>
      </c>
      <c r="F159" s="16">
        <f>C159/B159</f>
        <v>0</v>
      </c>
      <c r="G159" s="16">
        <f>D159/B159</f>
        <v>1</v>
      </c>
      <c r="H159" s="16">
        <f>E159/B159</f>
        <v>0</v>
      </c>
      <c r="I159" s="2" t="s">
        <v>5</v>
      </c>
      <c r="J159" s="3"/>
      <c r="K159" s="3"/>
      <c r="L159" s="3"/>
      <c r="M159" s="3"/>
    </row>
    <row r="160" spans="1:13" ht="15.75" customHeight="1">
      <c r="A160" s="2" t="s">
        <v>6</v>
      </c>
      <c r="B160" s="3">
        <v>1103</v>
      </c>
      <c r="C160" s="3">
        <v>0</v>
      </c>
      <c r="D160" s="3">
        <v>1103</v>
      </c>
      <c r="E160" s="3">
        <v>0</v>
      </c>
      <c r="F160" s="16">
        <f t="shared" ref="F160:F172" si="19">C160/B160</f>
        <v>0</v>
      </c>
      <c r="G160" s="16">
        <f t="shared" ref="G160:G172" si="20">D160/B160</f>
        <v>1</v>
      </c>
      <c r="H160" s="16">
        <f>E160/B160</f>
        <v>0</v>
      </c>
      <c r="I160" s="2" t="s">
        <v>6</v>
      </c>
      <c r="J160" s="3"/>
      <c r="K160" s="3"/>
      <c r="L160" s="3"/>
      <c r="M160" s="3"/>
    </row>
    <row r="161" spans="1:13" ht="15.75" customHeight="1">
      <c r="A161" s="2" t="s">
        <v>7</v>
      </c>
      <c r="B161" s="3">
        <v>745</v>
      </c>
      <c r="C161" s="3">
        <v>0</v>
      </c>
      <c r="D161" s="3">
        <v>745</v>
      </c>
      <c r="E161" s="3">
        <v>0</v>
      </c>
      <c r="F161" s="16">
        <f t="shared" si="19"/>
        <v>0</v>
      </c>
      <c r="G161" s="16">
        <f t="shared" si="20"/>
        <v>1</v>
      </c>
      <c r="H161" s="16">
        <f t="shared" ref="H161:H172" si="21">E161/B161</f>
        <v>0</v>
      </c>
      <c r="I161" s="2" t="s">
        <v>7</v>
      </c>
      <c r="J161" s="3"/>
      <c r="K161" s="3"/>
      <c r="L161" s="3"/>
      <c r="M161" s="3"/>
    </row>
    <row r="162" spans="1:13" ht="15.75" customHeight="1">
      <c r="A162" s="2" t="s">
        <v>8</v>
      </c>
      <c r="B162" s="3">
        <v>1212</v>
      </c>
      <c r="C162" s="3">
        <v>0</v>
      </c>
      <c r="D162" s="3">
        <v>1212</v>
      </c>
      <c r="E162" s="3">
        <v>0</v>
      </c>
      <c r="F162" s="16">
        <f t="shared" si="19"/>
        <v>0</v>
      </c>
      <c r="G162" s="16">
        <f t="shared" si="20"/>
        <v>1</v>
      </c>
      <c r="H162" s="16">
        <f t="shared" si="21"/>
        <v>0</v>
      </c>
      <c r="I162" s="2" t="s">
        <v>8</v>
      </c>
      <c r="J162" s="3"/>
      <c r="K162" s="3"/>
      <c r="L162" s="3"/>
      <c r="M162" s="3"/>
    </row>
    <row r="163" spans="1:13" ht="15.75" customHeight="1">
      <c r="A163" s="2" t="s">
        <v>9</v>
      </c>
      <c r="B163" s="3">
        <v>825</v>
      </c>
      <c r="C163" s="3">
        <v>0</v>
      </c>
      <c r="D163" s="3">
        <v>825</v>
      </c>
      <c r="E163" s="3">
        <v>0</v>
      </c>
      <c r="F163" s="16">
        <f t="shared" si="19"/>
        <v>0</v>
      </c>
      <c r="G163" s="16">
        <f t="shared" si="20"/>
        <v>1</v>
      </c>
      <c r="H163" s="16">
        <f t="shared" si="21"/>
        <v>0</v>
      </c>
      <c r="I163" s="2" t="s">
        <v>9</v>
      </c>
      <c r="J163" s="3"/>
      <c r="K163" s="3"/>
      <c r="L163" s="3"/>
      <c r="M163" s="3"/>
    </row>
    <row r="164" spans="1:13" ht="15.75" customHeight="1">
      <c r="A164" s="2" t="s">
        <v>10</v>
      </c>
      <c r="B164" s="3">
        <v>1106</v>
      </c>
      <c r="C164" s="3">
        <v>0</v>
      </c>
      <c r="D164" s="3">
        <v>1106</v>
      </c>
      <c r="E164" s="3">
        <v>0</v>
      </c>
      <c r="F164" s="16">
        <f t="shared" si="19"/>
        <v>0</v>
      </c>
      <c r="G164" s="16">
        <f t="shared" si="20"/>
        <v>1</v>
      </c>
      <c r="H164" s="16">
        <f t="shared" si="21"/>
        <v>0</v>
      </c>
      <c r="I164" s="2" t="s">
        <v>10</v>
      </c>
      <c r="J164" s="3"/>
      <c r="K164" s="3"/>
      <c r="L164" s="3"/>
      <c r="M164" s="3"/>
    </row>
    <row r="165" spans="1:13" ht="15.75" customHeight="1">
      <c r="A165" s="2" t="s">
        <v>11</v>
      </c>
      <c r="B165" s="3">
        <v>786</v>
      </c>
      <c r="C165" s="3">
        <v>0</v>
      </c>
      <c r="D165" s="3">
        <v>786</v>
      </c>
      <c r="E165" s="3">
        <v>0</v>
      </c>
      <c r="F165" s="16">
        <f t="shared" si="19"/>
        <v>0</v>
      </c>
      <c r="G165" s="16">
        <f t="shared" si="20"/>
        <v>1</v>
      </c>
      <c r="H165" s="16">
        <f t="shared" si="21"/>
        <v>0</v>
      </c>
      <c r="I165" s="2" t="s">
        <v>11</v>
      </c>
      <c r="J165" s="3"/>
      <c r="K165" s="3"/>
      <c r="L165" s="3"/>
      <c r="M165" s="3"/>
    </row>
    <row r="166" spans="1:13" ht="15.75" customHeight="1">
      <c r="A166" s="2" t="s">
        <v>12</v>
      </c>
      <c r="B166" s="3">
        <v>1141</v>
      </c>
      <c r="C166" s="3">
        <v>0</v>
      </c>
      <c r="D166" s="3">
        <v>1141</v>
      </c>
      <c r="E166" s="3">
        <v>0</v>
      </c>
      <c r="F166" s="16">
        <f t="shared" si="19"/>
        <v>0</v>
      </c>
      <c r="G166" s="16">
        <f t="shared" si="20"/>
        <v>1</v>
      </c>
      <c r="H166" s="16">
        <f t="shared" si="21"/>
        <v>0</v>
      </c>
      <c r="I166" s="2" t="s">
        <v>12</v>
      </c>
      <c r="J166" s="3"/>
      <c r="K166" s="3"/>
      <c r="L166" s="3"/>
      <c r="M166" s="3"/>
    </row>
    <row r="167" spans="1:13" ht="15.75" customHeight="1">
      <c r="A167" s="2" t="s">
        <v>13</v>
      </c>
      <c r="B167" s="3">
        <v>791</v>
      </c>
      <c r="C167">
        <v>36</v>
      </c>
      <c r="D167" s="3">
        <v>205</v>
      </c>
      <c r="E167" s="3">
        <v>548</v>
      </c>
      <c r="F167" s="16">
        <f>C167/B167</f>
        <v>4.5512010113780026E-2</v>
      </c>
      <c r="G167" s="16">
        <f>D167/B167</f>
        <v>0.25916561314791403</v>
      </c>
      <c r="H167" s="16">
        <f t="shared" si="21"/>
        <v>0.69279393173198478</v>
      </c>
      <c r="I167" s="2" t="s">
        <v>13</v>
      </c>
      <c r="J167" s="3"/>
      <c r="K167" s="3"/>
      <c r="L167" s="3"/>
      <c r="M167" s="3"/>
    </row>
    <row r="168" spans="1:13" ht="15.75" customHeight="1">
      <c r="A168" s="2" t="s">
        <v>14</v>
      </c>
      <c r="B168" s="3">
        <v>1105</v>
      </c>
      <c r="C168" s="3">
        <v>92</v>
      </c>
      <c r="D168" s="3">
        <v>637</v>
      </c>
      <c r="E168" s="3">
        <v>372</v>
      </c>
      <c r="F168" s="16">
        <f t="shared" si="19"/>
        <v>8.3257918552036195E-2</v>
      </c>
      <c r="G168" s="16">
        <f t="shared" si="20"/>
        <v>0.57647058823529407</v>
      </c>
      <c r="H168" s="16">
        <f t="shared" si="21"/>
        <v>0.33665158371040727</v>
      </c>
      <c r="I168" s="2" t="s">
        <v>14</v>
      </c>
      <c r="J168" s="3"/>
      <c r="K168" s="3"/>
      <c r="L168" s="3"/>
      <c r="M168" s="3"/>
    </row>
    <row r="169" spans="1:13" ht="15.75" customHeight="1">
      <c r="A169" s="2" t="s">
        <v>15</v>
      </c>
      <c r="B169" s="3">
        <v>785</v>
      </c>
      <c r="C169" s="3">
        <v>34</v>
      </c>
      <c r="D169" s="3">
        <v>719</v>
      </c>
      <c r="E169" s="3">
        <v>32</v>
      </c>
      <c r="F169" s="18">
        <f t="shared" si="19"/>
        <v>4.3312101910828023E-2</v>
      </c>
      <c r="G169" s="18">
        <f t="shared" si="20"/>
        <v>0.91592356687898091</v>
      </c>
      <c r="H169" s="18">
        <f t="shared" si="21"/>
        <v>4.0764331210191081E-2</v>
      </c>
      <c r="I169" s="2" t="s">
        <v>25</v>
      </c>
      <c r="J169" s="3"/>
      <c r="K169" s="3"/>
      <c r="L169" s="3"/>
      <c r="M169" s="3"/>
    </row>
    <row r="170" spans="1:13" ht="15.75" customHeight="1">
      <c r="A170" s="2" t="s">
        <v>16</v>
      </c>
      <c r="B170" s="3">
        <v>1141</v>
      </c>
      <c r="C170" s="3">
        <v>0</v>
      </c>
      <c r="D170" s="3">
        <v>0</v>
      </c>
      <c r="E170" s="3">
        <v>1141</v>
      </c>
      <c r="F170" s="16">
        <f t="shared" si="19"/>
        <v>0</v>
      </c>
      <c r="G170" s="16">
        <f t="shared" si="20"/>
        <v>0</v>
      </c>
      <c r="H170" s="16">
        <f t="shared" si="21"/>
        <v>1</v>
      </c>
      <c r="I170" s="2" t="s">
        <v>26</v>
      </c>
      <c r="J170" s="3"/>
      <c r="K170" s="3"/>
      <c r="L170" s="3"/>
      <c r="M170" s="3"/>
    </row>
    <row r="171" spans="1:13" ht="15.75" customHeight="1">
      <c r="A171" s="2" t="s">
        <v>17</v>
      </c>
      <c r="B171" s="3">
        <v>765</v>
      </c>
      <c r="C171" s="3">
        <v>0</v>
      </c>
      <c r="D171" s="3">
        <v>765</v>
      </c>
      <c r="E171" s="3">
        <v>0</v>
      </c>
      <c r="F171" s="18">
        <f>C171/B171</f>
        <v>0</v>
      </c>
      <c r="G171" s="18">
        <f>D171/B171</f>
        <v>1</v>
      </c>
      <c r="H171" s="18">
        <f>E171/B159</f>
        <v>0</v>
      </c>
      <c r="I171" s="2" t="s">
        <v>27</v>
      </c>
      <c r="J171" s="3"/>
      <c r="K171" s="3"/>
      <c r="L171" s="3"/>
      <c r="M171" s="3"/>
    </row>
    <row r="172" spans="1:13" ht="15.75" customHeight="1">
      <c r="A172" s="2" t="s">
        <v>18</v>
      </c>
      <c r="B172" s="3">
        <v>1269</v>
      </c>
      <c r="C172" s="3">
        <v>34</v>
      </c>
      <c r="D172" s="3">
        <v>1001</v>
      </c>
      <c r="E172" s="3">
        <v>231</v>
      </c>
      <c r="F172" s="16">
        <f t="shared" si="19"/>
        <v>2.6792750197005517E-2</v>
      </c>
      <c r="G172" s="16">
        <f t="shared" si="20"/>
        <v>0.78881008668242714</v>
      </c>
      <c r="H172" s="16">
        <f t="shared" si="21"/>
        <v>0.18203309692671396</v>
      </c>
      <c r="I172" s="2" t="s">
        <v>18</v>
      </c>
      <c r="J172" s="3"/>
      <c r="K172" s="3"/>
      <c r="L172" s="3"/>
      <c r="M172" s="3"/>
    </row>
    <row r="173" spans="1:13" ht="15.75" customHeight="1">
      <c r="A173" s="2" t="s">
        <v>36</v>
      </c>
      <c r="B173" s="3">
        <f>SUM(B159:B172)</f>
        <v>13545</v>
      </c>
      <c r="C173" s="3">
        <f>SUM(C159:C172)</f>
        <v>196</v>
      </c>
      <c r="D173" s="3">
        <f>SUM(D159:D172)</f>
        <v>11016</v>
      </c>
      <c r="E173" s="3">
        <f>SUM(E159:E172)</f>
        <v>2324</v>
      </c>
      <c r="F173" s="2"/>
      <c r="G173" s="2"/>
      <c r="H173" s="2"/>
      <c r="I173" s="2"/>
      <c r="J173" s="2"/>
      <c r="K173" s="2"/>
      <c r="L173" s="5"/>
      <c r="M17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S27"/>
  <sheetViews>
    <sheetView topLeftCell="B1" zoomScaleNormal="100" workbookViewId="0">
      <selection activeCell="O46" sqref="O46"/>
    </sheetView>
  </sheetViews>
  <sheetFormatPr defaultRowHeight="12.75"/>
  <cols>
    <col min="3" max="3" width="8.42578125" bestFit="1" customWidth="1"/>
    <col min="4" max="4" width="13.42578125" bestFit="1" customWidth="1"/>
    <col min="5" max="5" width="13.7109375" bestFit="1" customWidth="1"/>
    <col min="6" max="6" width="15.42578125" customWidth="1"/>
    <col min="7" max="7" width="11.5703125" bestFit="1" customWidth="1"/>
    <col min="8" max="8" width="13.85546875" bestFit="1" customWidth="1"/>
    <col min="9" max="9" width="12.42578125" bestFit="1" customWidth="1"/>
    <col min="10" max="10" width="12.42578125" customWidth="1"/>
    <col min="11" max="12" width="23.5703125" customWidth="1"/>
    <col min="13" max="13" width="20" bestFit="1" customWidth="1"/>
    <col min="14" max="14" width="15.140625" bestFit="1" customWidth="1"/>
    <col min="15" max="15" width="21.5703125" bestFit="1" customWidth="1"/>
    <col min="16" max="16" width="21.28515625" bestFit="1" customWidth="1"/>
    <col min="19" max="19" width="12" bestFit="1" customWidth="1"/>
  </cols>
  <sheetData>
    <row r="3" spans="2:19">
      <c r="E3" t="s">
        <v>75</v>
      </c>
      <c r="H3" s="11"/>
      <c r="K3" s="40" t="s">
        <v>90</v>
      </c>
      <c r="P3" s="11"/>
      <c r="Q3" s="11"/>
      <c r="R3" s="11"/>
      <c r="S3" s="11"/>
    </row>
    <row r="4" spans="2:19">
      <c r="B4" s="23" t="s">
        <v>46</v>
      </c>
      <c r="C4" s="23" t="s">
        <v>50</v>
      </c>
      <c r="D4" s="23" t="s">
        <v>48</v>
      </c>
      <c r="E4" s="23" t="s">
        <v>49</v>
      </c>
      <c r="F4" s="23" t="s">
        <v>52</v>
      </c>
      <c r="G4" s="23" t="s">
        <v>53</v>
      </c>
      <c r="H4" s="23" t="s">
        <v>50</v>
      </c>
      <c r="I4" t="s">
        <v>76</v>
      </c>
      <c r="K4" t="s">
        <v>77</v>
      </c>
      <c r="M4" t="s">
        <v>78</v>
      </c>
      <c r="N4" t="s">
        <v>79</v>
      </c>
      <c r="O4" s="40" t="s">
        <v>91</v>
      </c>
      <c r="P4" s="35" t="s">
        <v>92</v>
      </c>
      <c r="Q4" s="11"/>
      <c r="R4" s="11"/>
      <c r="S4" s="11"/>
    </row>
    <row r="5" spans="2:19">
      <c r="B5" s="23" t="s">
        <v>39</v>
      </c>
      <c r="C5" s="36">
        <f>121.99*10^(-6)</f>
        <v>1.2198999999999999E-4</v>
      </c>
      <c r="D5">
        <v>0.12</v>
      </c>
      <c r="E5">
        <v>0</v>
      </c>
      <c r="F5" s="36">
        <f>1/(D5*C5)</f>
        <v>68311.610241276619</v>
      </c>
      <c r="G5" s="36">
        <v>0</v>
      </c>
      <c r="H5" s="41">
        <f>2.1*10^(-3)</f>
        <v>2.1000000000000003E-3</v>
      </c>
      <c r="I5" s="37">
        <v>1.15516E-5</v>
      </c>
      <c r="J5" s="37">
        <f>I5+I5*30/100</f>
        <v>1.5017079999999999E-5</v>
      </c>
      <c r="K5">
        <v>0</v>
      </c>
      <c r="L5" s="37">
        <f>K5+K5*30/100</f>
        <v>0</v>
      </c>
      <c r="M5" s="42">
        <v>11415552836</v>
      </c>
      <c r="N5" s="36">
        <v>0</v>
      </c>
      <c r="O5" s="26">
        <v>1.1551620299261002E-5</v>
      </c>
      <c r="P5" s="36">
        <v>0</v>
      </c>
      <c r="Q5" s="11"/>
      <c r="R5" s="11"/>
      <c r="S5" s="11"/>
    </row>
    <row r="6" spans="2:19">
      <c r="B6" s="23" t="s">
        <v>40</v>
      </c>
      <c r="C6" s="36">
        <f>24.04*10^(-6)</f>
        <v>2.4039999999999997E-5</v>
      </c>
      <c r="D6">
        <v>0.44</v>
      </c>
      <c r="E6">
        <v>0.13</v>
      </c>
      <c r="F6" s="36">
        <f>1/(D6*C6)</f>
        <v>94539.404023597046</v>
      </c>
      <c r="G6" s="36">
        <f>1/(E6*C6)</f>
        <v>319979.52131063613</v>
      </c>
      <c r="M6" s="37"/>
      <c r="O6" s="26"/>
      <c r="P6" s="11"/>
      <c r="Q6" s="11"/>
      <c r="R6" s="11"/>
      <c r="S6" s="11"/>
    </row>
    <row r="7" spans="2:19">
      <c r="B7" s="23" t="s">
        <v>41</v>
      </c>
      <c r="C7" s="36">
        <f>22.76*10^(-6)</f>
        <v>2.2759999999999999E-5</v>
      </c>
      <c r="D7">
        <v>0.37</v>
      </c>
      <c r="E7">
        <v>0.11</v>
      </c>
      <c r="F7" s="36">
        <f>1/(D7*C7)</f>
        <v>118747.92191136655</v>
      </c>
      <c r="G7" s="36">
        <f>1/(E7*C7)</f>
        <v>399424.82824732387</v>
      </c>
      <c r="H7" s="36">
        <f>0.6*10^(-3)</f>
        <v>5.9999999999999995E-4</v>
      </c>
      <c r="I7" s="37">
        <v>2.6189500000000001E-5</v>
      </c>
      <c r="J7" s="37">
        <f>I7+I7*20/100</f>
        <v>3.1427400000000003E-5</v>
      </c>
      <c r="K7">
        <v>0</v>
      </c>
      <c r="L7" s="37">
        <f>K7+K7*20/100</f>
        <v>0</v>
      </c>
      <c r="M7" s="37">
        <v>17623030836</v>
      </c>
      <c r="N7" s="36">
        <v>0</v>
      </c>
      <c r="O7" s="26">
        <v>2.61895054166029E-5</v>
      </c>
      <c r="P7" s="57">
        <v>0</v>
      </c>
      <c r="Q7" s="11"/>
      <c r="R7" s="34"/>
      <c r="S7" s="35"/>
    </row>
    <row r="8" spans="2:19">
      <c r="B8" s="23" t="s">
        <v>45</v>
      </c>
      <c r="C8" s="37"/>
      <c r="D8" s="23" t="s">
        <v>48</v>
      </c>
      <c r="E8" s="23" t="s">
        <v>49</v>
      </c>
      <c r="F8" s="37"/>
      <c r="G8" s="37"/>
      <c r="H8" s="37"/>
      <c r="M8" s="37"/>
      <c r="P8" s="11"/>
      <c r="Q8" s="11"/>
      <c r="R8" s="35"/>
      <c r="S8" s="11"/>
    </row>
    <row r="9" spans="2:19">
      <c r="B9" s="23" t="s">
        <v>39</v>
      </c>
      <c r="C9" s="36">
        <f>53.92*10^(-6)</f>
        <v>5.3919999999999999E-5</v>
      </c>
      <c r="D9">
        <v>0.12</v>
      </c>
      <c r="E9">
        <v>0.03</v>
      </c>
      <c r="F9" s="36">
        <f>1/(D9*C9)</f>
        <v>154549.95054401582</v>
      </c>
      <c r="G9" s="36">
        <f>1/(E9*C9)</f>
        <v>618199.8021760633</v>
      </c>
      <c r="H9" s="41">
        <f>5.2*10^-3</f>
        <v>5.2000000000000006E-3</v>
      </c>
      <c r="I9" s="37">
        <v>8.9314999999999997E-7</v>
      </c>
      <c r="J9" s="37">
        <f>I9+I9*50/100</f>
        <v>1.3397249999999999E-6</v>
      </c>
      <c r="K9" s="37">
        <v>8.9314999999999997E-7</v>
      </c>
      <c r="L9" s="37">
        <f>K9+K9*50/100</f>
        <v>1.3397249999999999E-6</v>
      </c>
      <c r="M9" s="37">
        <v>59625426868</v>
      </c>
      <c r="N9" s="37">
        <v>59625426868</v>
      </c>
      <c r="O9" s="37">
        <v>8.9314999999999997E-7</v>
      </c>
      <c r="P9" s="37">
        <v>8.9314999999999997E-7</v>
      </c>
      <c r="Q9" s="11"/>
      <c r="R9" s="35"/>
      <c r="S9" s="11"/>
    </row>
    <row r="10" spans="2:19">
      <c r="B10" s="23" t="s">
        <v>40</v>
      </c>
      <c r="C10" s="36">
        <f>13.38*10^(-6)</f>
        <v>1.3380000000000001E-5</v>
      </c>
      <c r="D10">
        <v>0.03</v>
      </c>
      <c r="E10">
        <v>0.11</v>
      </c>
      <c r="F10" s="36">
        <f>1/(D10*C10)</f>
        <v>2491280.518186348</v>
      </c>
      <c r="G10" s="36">
        <f>1/(E10*C10)</f>
        <v>679440.14132354932</v>
      </c>
      <c r="M10" s="37"/>
      <c r="Q10" s="11"/>
      <c r="R10" s="35"/>
      <c r="S10" s="11"/>
    </row>
    <row r="11" spans="2:19">
      <c r="B11" s="23" t="s">
        <v>41</v>
      </c>
      <c r="C11" s="36">
        <f>11.54*10^(-6)</f>
        <v>1.1539999999999998E-5</v>
      </c>
      <c r="D11">
        <v>0.04</v>
      </c>
      <c r="E11">
        <v>0.19</v>
      </c>
      <c r="F11" s="36">
        <f>1/(D11*C11)</f>
        <v>2166377.8162911613</v>
      </c>
      <c r="G11" s="36">
        <f>1/(E11*C11)</f>
        <v>456079.54027182353</v>
      </c>
      <c r="H11" s="41">
        <f>0.4*10^(-3)</f>
        <v>4.0000000000000002E-4</v>
      </c>
      <c r="I11" s="37">
        <v>8.34642E-6</v>
      </c>
      <c r="J11" s="37">
        <f>I11+I11*30/100</f>
        <v>1.0850345999999999E-5</v>
      </c>
      <c r="K11" s="37">
        <v>2.1964299999999998E-6</v>
      </c>
      <c r="L11" s="37">
        <f>K11+K11*30/100</f>
        <v>2.8553589999999997E-6</v>
      </c>
      <c r="M11" s="37">
        <v>82946640585</v>
      </c>
      <c r="N11" s="37">
        <v>315197000000</v>
      </c>
      <c r="O11" s="37">
        <v>8.34642E-6</v>
      </c>
      <c r="P11" s="56">
        <v>2.1964299999999998E-6</v>
      </c>
      <c r="Q11" s="11"/>
      <c r="R11" s="35"/>
      <c r="S11" s="11"/>
    </row>
    <row r="12" spans="2:19">
      <c r="F12" s="37"/>
      <c r="P12" s="11"/>
      <c r="Q12" s="11"/>
      <c r="R12" s="11"/>
      <c r="S12" s="11"/>
    </row>
    <row r="13" spans="2:19">
      <c r="F13" s="37"/>
      <c r="M13" s="23"/>
      <c r="O13" s="11"/>
      <c r="P13" s="11"/>
      <c r="Q13" s="11"/>
      <c r="R13" s="11"/>
      <c r="S13" s="11"/>
    </row>
    <row r="14" spans="2:19">
      <c r="M14" s="23"/>
      <c r="O14" s="11"/>
      <c r="P14" s="11"/>
      <c r="Q14" s="11"/>
      <c r="R14" s="11"/>
      <c r="S14" s="11"/>
    </row>
    <row r="15" spans="2:19">
      <c r="H15" s="25"/>
      <c r="N15" s="32"/>
      <c r="O15" s="32"/>
      <c r="P15" s="32"/>
      <c r="Q15" s="24"/>
    </row>
    <row r="16" spans="2:19">
      <c r="M16" s="23"/>
    </row>
    <row r="17" spans="6:13">
      <c r="F17" s="36"/>
    </row>
    <row r="27" spans="6:13">
      <c r="M27" s="38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9"/>
  <sheetViews>
    <sheetView topLeftCell="A49" zoomScale="55" zoomScaleNormal="55" workbookViewId="0">
      <selection activeCell="AA42" sqref="AA42:AC44"/>
    </sheetView>
  </sheetViews>
  <sheetFormatPr defaultRowHeight="12.75"/>
  <cols>
    <col min="1" max="1" width="26.42578125" customWidth="1"/>
    <col min="3" max="4" width="21.42578125" customWidth="1"/>
    <col min="5" max="5" width="23.85546875" customWidth="1"/>
    <col min="6" max="6" width="16.85546875" customWidth="1"/>
    <col min="7" max="7" width="22.28515625" customWidth="1"/>
    <col min="10" max="10" width="35" customWidth="1"/>
    <col min="11" max="11" width="36.85546875" customWidth="1"/>
    <col min="15" max="15" width="17" customWidth="1"/>
    <col min="16" max="16" width="13.42578125" customWidth="1"/>
    <col min="21" max="21" width="42.28515625" bestFit="1" customWidth="1"/>
    <col min="23" max="23" width="28.5703125" bestFit="1" customWidth="1"/>
    <col min="26" max="26" width="42.28515625" bestFit="1" customWidth="1"/>
  </cols>
  <sheetData>
    <row r="1" spans="1:1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 t="s">
        <v>22</v>
      </c>
      <c r="K1" s="2" t="s">
        <v>23</v>
      </c>
      <c r="L1" s="2" t="s">
        <v>24</v>
      </c>
      <c r="M1" s="2"/>
    </row>
    <row r="2" spans="1:16" ht="15">
      <c r="A2" s="2" t="s">
        <v>5</v>
      </c>
      <c r="B2" s="3">
        <v>3018</v>
      </c>
      <c r="C2" s="3">
        <v>386</v>
      </c>
      <c r="D2" s="3">
        <v>2580</v>
      </c>
      <c r="E2" s="3">
        <v>52</v>
      </c>
      <c r="F2" s="18">
        <f t="shared" ref="F2:F16" si="0">C2/B2</f>
        <v>0.12789927104042412</v>
      </c>
      <c r="G2" s="18">
        <f t="shared" ref="G2:G16" si="1">D2/B2</f>
        <v>0.85487077534791256</v>
      </c>
      <c r="H2" s="18">
        <f t="shared" ref="H2:H16" si="2">E2/B2</f>
        <v>1.7229953611663355E-2</v>
      </c>
      <c r="I2" s="2" t="s">
        <v>5</v>
      </c>
      <c r="J2" s="3">
        <v>21159</v>
      </c>
      <c r="K2" s="3">
        <v>1625</v>
      </c>
      <c r="L2" s="3">
        <v>689</v>
      </c>
      <c r="M2" s="3"/>
      <c r="O2" s="20" t="s">
        <v>45</v>
      </c>
      <c r="P2" s="13" t="s">
        <v>38</v>
      </c>
    </row>
    <row r="3" spans="1:16" ht="15">
      <c r="A3" s="2" t="s">
        <v>6</v>
      </c>
      <c r="B3" s="3">
        <v>2325</v>
      </c>
      <c r="C3" s="3">
        <v>550</v>
      </c>
      <c r="D3" s="3">
        <v>1635</v>
      </c>
      <c r="E3" s="3">
        <v>140</v>
      </c>
      <c r="F3" s="16">
        <f t="shared" si="0"/>
        <v>0.23655913978494625</v>
      </c>
      <c r="G3" s="16">
        <f t="shared" si="1"/>
        <v>0.70322580645161292</v>
      </c>
      <c r="H3" s="16">
        <f t="shared" si="2"/>
        <v>6.0215053763440864E-2</v>
      </c>
      <c r="I3" s="2" t="s">
        <v>6</v>
      </c>
      <c r="J3" s="3">
        <v>6734</v>
      </c>
      <c r="K3" s="3">
        <v>92</v>
      </c>
      <c r="L3" s="3">
        <v>61</v>
      </c>
      <c r="M3" s="3"/>
      <c r="O3" s="13" t="s">
        <v>39</v>
      </c>
      <c r="P3" s="5">
        <v>17958</v>
      </c>
    </row>
    <row r="4" spans="1:16" ht="15">
      <c r="A4" s="2" t="s">
        <v>7</v>
      </c>
      <c r="B4" s="3">
        <v>3048</v>
      </c>
      <c r="C4" s="3">
        <v>970</v>
      </c>
      <c r="D4" s="3">
        <v>1719</v>
      </c>
      <c r="E4" s="3">
        <v>359</v>
      </c>
      <c r="F4" s="16">
        <f t="shared" si="0"/>
        <v>0.31824146981627299</v>
      </c>
      <c r="G4" s="16">
        <f t="shared" si="1"/>
        <v>0.5639763779527559</v>
      </c>
      <c r="H4" s="16">
        <f t="shared" si="2"/>
        <v>0.11778215223097113</v>
      </c>
      <c r="I4" s="2" t="s">
        <v>7</v>
      </c>
      <c r="J4" s="3">
        <v>6783</v>
      </c>
      <c r="K4" s="3">
        <v>215</v>
      </c>
      <c r="L4" s="3">
        <v>228</v>
      </c>
      <c r="M4" s="3"/>
      <c r="O4" s="13" t="s">
        <v>42</v>
      </c>
      <c r="P4" s="5">
        <v>5219</v>
      </c>
    </row>
    <row r="5" spans="1:16" ht="15">
      <c r="A5" s="2" t="s">
        <v>8</v>
      </c>
      <c r="B5" s="3">
        <v>2375</v>
      </c>
      <c r="C5" s="3">
        <v>764</v>
      </c>
      <c r="D5" s="3">
        <v>1122</v>
      </c>
      <c r="E5" s="3">
        <v>489</v>
      </c>
      <c r="F5" s="16">
        <f t="shared" si="0"/>
        <v>0.32168421052631579</v>
      </c>
      <c r="G5" s="16">
        <f t="shared" si="1"/>
        <v>0.47242105263157896</v>
      </c>
      <c r="H5" s="16">
        <f t="shared" si="2"/>
        <v>0.20589473684210527</v>
      </c>
      <c r="I5" s="2" t="s">
        <v>8</v>
      </c>
      <c r="J5" s="3">
        <v>9810</v>
      </c>
      <c r="K5" s="3">
        <v>312</v>
      </c>
      <c r="L5" s="3">
        <v>1386</v>
      </c>
      <c r="M5" s="3"/>
      <c r="O5" s="13" t="s">
        <v>40</v>
      </c>
      <c r="P5" s="5">
        <v>4402</v>
      </c>
    </row>
    <row r="6" spans="1:16" ht="15">
      <c r="A6" s="2" t="s">
        <v>9</v>
      </c>
      <c r="B6" s="3">
        <v>3070</v>
      </c>
      <c r="C6" s="3">
        <v>940</v>
      </c>
      <c r="D6" s="3">
        <v>2120</v>
      </c>
      <c r="E6" s="3">
        <v>0</v>
      </c>
      <c r="F6" s="18">
        <f t="shared" si="0"/>
        <v>0.30618892508143325</v>
      </c>
      <c r="G6" s="18">
        <f t="shared" si="1"/>
        <v>0.69055374592833874</v>
      </c>
      <c r="H6" s="18">
        <f t="shared" si="2"/>
        <v>0</v>
      </c>
      <c r="I6" s="2" t="s">
        <v>9</v>
      </c>
      <c r="J6" s="3">
        <v>6557</v>
      </c>
      <c r="K6" s="3">
        <v>683</v>
      </c>
      <c r="L6" s="3">
        <v>374</v>
      </c>
      <c r="M6" s="3"/>
      <c r="O6" s="13" t="s">
        <v>41</v>
      </c>
      <c r="P6" s="5">
        <v>3823</v>
      </c>
    </row>
    <row r="7" spans="1:16" ht="15">
      <c r="A7" s="2" t="s">
        <v>10</v>
      </c>
      <c r="B7" s="3">
        <v>2312</v>
      </c>
      <c r="C7" s="3">
        <v>0</v>
      </c>
      <c r="D7" s="3">
        <v>2312</v>
      </c>
      <c r="E7" s="3">
        <v>0</v>
      </c>
      <c r="F7" s="16">
        <f t="shared" si="0"/>
        <v>0</v>
      </c>
      <c r="G7" s="16">
        <f t="shared" si="1"/>
        <v>1</v>
      </c>
      <c r="H7" s="16">
        <f t="shared" si="2"/>
        <v>0</v>
      </c>
      <c r="I7" s="2" t="s">
        <v>10</v>
      </c>
      <c r="J7" s="3">
        <v>7373</v>
      </c>
      <c r="K7" s="3">
        <v>641</v>
      </c>
      <c r="L7" s="3">
        <v>749</v>
      </c>
      <c r="M7" s="3"/>
    </row>
    <row r="8" spans="1:16" ht="15">
      <c r="A8" s="2" t="s">
        <v>11</v>
      </c>
      <c r="B8" s="3">
        <v>3244</v>
      </c>
      <c r="C8" s="3">
        <v>0</v>
      </c>
      <c r="D8" s="3">
        <v>3241</v>
      </c>
      <c r="E8" s="3">
        <v>3</v>
      </c>
      <c r="F8" s="16">
        <f t="shared" si="0"/>
        <v>0</v>
      </c>
      <c r="G8" s="16">
        <f t="shared" si="1"/>
        <v>0.99907521578298397</v>
      </c>
      <c r="H8" s="16">
        <f t="shared" si="2"/>
        <v>9.2478421701602961E-4</v>
      </c>
      <c r="I8" s="2" t="s">
        <v>11</v>
      </c>
      <c r="J8" s="3">
        <v>4622</v>
      </c>
      <c r="K8" s="3">
        <v>417</v>
      </c>
      <c r="L8" s="3">
        <v>264</v>
      </c>
      <c r="M8" s="3"/>
    </row>
    <row r="9" spans="1:16" ht="15">
      <c r="A9" s="2" t="s">
        <v>12</v>
      </c>
      <c r="B9" s="3">
        <v>2334</v>
      </c>
      <c r="C9" s="3">
        <v>0</v>
      </c>
      <c r="D9" s="3">
        <v>2334</v>
      </c>
      <c r="E9" s="3">
        <v>0</v>
      </c>
      <c r="F9" s="16">
        <f t="shared" si="0"/>
        <v>0</v>
      </c>
      <c r="G9" s="16">
        <f t="shared" si="1"/>
        <v>1</v>
      </c>
      <c r="H9" s="16">
        <f t="shared" si="2"/>
        <v>0</v>
      </c>
      <c r="I9" s="2" t="s">
        <v>12</v>
      </c>
      <c r="J9" s="3">
        <v>1946</v>
      </c>
      <c r="K9" s="3">
        <v>147</v>
      </c>
      <c r="L9" s="3">
        <v>135</v>
      </c>
      <c r="M9" s="3"/>
    </row>
    <row r="10" spans="1:16" ht="15">
      <c r="A10" s="2" t="s">
        <v>13</v>
      </c>
      <c r="B10" s="3">
        <v>3110</v>
      </c>
      <c r="C10" s="3">
        <v>0</v>
      </c>
      <c r="D10" s="3">
        <v>3096</v>
      </c>
      <c r="E10" s="3">
        <v>14</v>
      </c>
      <c r="F10" s="16">
        <f t="shared" si="0"/>
        <v>0</v>
      </c>
      <c r="G10" s="16">
        <f t="shared" si="1"/>
        <v>0.99549839228295822</v>
      </c>
      <c r="H10" s="16">
        <f t="shared" si="2"/>
        <v>4.5016077170418004E-3</v>
      </c>
      <c r="I10" s="2" t="s">
        <v>13</v>
      </c>
      <c r="J10" s="3">
        <v>3987</v>
      </c>
      <c r="K10" s="3">
        <v>37</v>
      </c>
      <c r="L10" s="3">
        <v>7</v>
      </c>
      <c r="M10" s="3"/>
    </row>
    <row r="11" spans="1:16" ht="15">
      <c r="A11" s="2" t="s">
        <v>14</v>
      </c>
      <c r="B11" s="3">
        <v>2287</v>
      </c>
      <c r="C11" s="3">
        <v>0</v>
      </c>
      <c r="D11" s="3">
        <v>2287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2" t="s">
        <v>14</v>
      </c>
      <c r="J11" s="3">
        <v>2754</v>
      </c>
      <c r="K11" s="3">
        <v>15</v>
      </c>
      <c r="L11" s="3">
        <v>1</v>
      </c>
      <c r="M11" s="3"/>
    </row>
    <row r="12" spans="1:16" ht="15">
      <c r="A12" s="2" t="s">
        <v>15</v>
      </c>
      <c r="B12" s="3">
        <v>3382</v>
      </c>
      <c r="C12" s="3">
        <v>0</v>
      </c>
      <c r="D12" s="3">
        <v>3382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2" t="s">
        <v>25</v>
      </c>
      <c r="J12" s="3">
        <v>2478</v>
      </c>
      <c r="K12" s="3">
        <v>16</v>
      </c>
      <c r="L12" s="3">
        <v>2</v>
      </c>
      <c r="M12" s="3"/>
    </row>
    <row r="13" spans="1:16" ht="15">
      <c r="A13" s="2" t="s">
        <v>16</v>
      </c>
      <c r="B13" s="3">
        <v>2336</v>
      </c>
      <c r="C13" s="3">
        <v>0</v>
      </c>
      <c r="D13" s="3">
        <v>2336</v>
      </c>
      <c r="E13" s="3">
        <v>0</v>
      </c>
      <c r="F13" s="16">
        <f t="shared" si="0"/>
        <v>0</v>
      </c>
      <c r="G13" s="16">
        <f t="shared" si="1"/>
        <v>1</v>
      </c>
      <c r="H13" s="16">
        <f t="shared" si="2"/>
        <v>0</v>
      </c>
      <c r="I13" s="2" t="s">
        <v>26</v>
      </c>
      <c r="J13" s="3">
        <v>2290</v>
      </c>
      <c r="K13" s="3">
        <v>15</v>
      </c>
      <c r="L13" s="3">
        <v>4</v>
      </c>
      <c r="M13" s="3"/>
    </row>
    <row r="14" spans="1:16" ht="15">
      <c r="A14" s="2" t="s">
        <v>17</v>
      </c>
      <c r="B14" s="3">
        <v>2976</v>
      </c>
      <c r="C14" s="3">
        <v>0</v>
      </c>
      <c r="D14" s="3">
        <v>2976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2" t="s">
        <v>27</v>
      </c>
      <c r="J14" s="3">
        <v>3400</v>
      </c>
      <c r="K14" s="3">
        <v>12</v>
      </c>
      <c r="L14" s="3">
        <v>10</v>
      </c>
      <c r="M14" s="3"/>
    </row>
    <row r="15" spans="1:16" ht="15">
      <c r="A15" s="2" t="s">
        <v>18</v>
      </c>
      <c r="B15" s="3">
        <v>2344</v>
      </c>
      <c r="C15" s="3">
        <v>847</v>
      </c>
      <c r="D15" s="3">
        <v>1263</v>
      </c>
      <c r="E15" s="3">
        <v>230</v>
      </c>
      <c r="F15" s="16">
        <f t="shared" si="0"/>
        <v>0.36134812286689422</v>
      </c>
      <c r="G15" s="16">
        <f t="shared" si="1"/>
        <v>0.53882252559726962</v>
      </c>
      <c r="H15" s="16">
        <f t="shared" si="2"/>
        <v>9.8122866894197955E-2</v>
      </c>
      <c r="I15" s="2" t="s">
        <v>18</v>
      </c>
      <c r="J15" s="3">
        <v>3320</v>
      </c>
      <c r="K15" s="3">
        <v>29</v>
      </c>
      <c r="L15" s="3">
        <v>4</v>
      </c>
      <c r="M15" s="3"/>
    </row>
    <row r="16" spans="1:16" ht="15">
      <c r="A16" s="2" t="s">
        <v>36</v>
      </c>
      <c r="B16" s="3">
        <f>SUM(B2:B15)</f>
        <v>38161</v>
      </c>
      <c r="C16" s="22">
        <f>SUM(C2:C15)</f>
        <v>4457</v>
      </c>
      <c r="D16" s="3">
        <f>SUM(D2:D15)</f>
        <v>32403</v>
      </c>
      <c r="E16" s="3">
        <f>SUM(E2:E15)</f>
        <v>1287</v>
      </c>
      <c r="F16" s="16">
        <f t="shared" si="0"/>
        <v>0.11679463326432746</v>
      </c>
      <c r="G16" s="16">
        <f t="shared" si="1"/>
        <v>0.84911296873771647</v>
      </c>
      <c r="H16" s="16">
        <f t="shared" si="2"/>
        <v>3.3725531301590631E-2</v>
      </c>
      <c r="I16" s="2"/>
      <c r="J16" s="2"/>
      <c r="K16" s="2"/>
      <c r="L16" s="5"/>
      <c r="M16" s="2"/>
    </row>
    <row r="17" spans="1:13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22" spans="1:13" ht="15">
      <c r="A22" s="2" t="s">
        <v>44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33</v>
      </c>
      <c r="G22" s="2" t="s">
        <v>34</v>
      </c>
      <c r="H22" s="2" t="s">
        <v>35</v>
      </c>
      <c r="I22" s="2"/>
      <c r="J22" s="2" t="s">
        <v>30</v>
      </c>
      <c r="K22" s="2" t="s">
        <v>23</v>
      </c>
      <c r="L22" s="2" t="s">
        <v>24</v>
      </c>
      <c r="M22" s="2"/>
    </row>
    <row r="23" spans="1:13" ht="15">
      <c r="A23" s="2" t="s">
        <v>5</v>
      </c>
      <c r="B23" s="3">
        <v>741</v>
      </c>
      <c r="C23" s="3">
        <v>0</v>
      </c>
      <c r="D23" s="3">
        <v>741</v>
      </c>
      <c r="E23" s="3">
        <v>0</v>
      </c>
      <c r="F23" s="16">
        <f>C23/B23</f>
        <v>0</v>
      </c>
      <c r="G23" s="16">
        <f>D23/B23</f>
        <v>1</v>
      </c>
      <c r="H23" s="16">
        <f>E23/B23</f>
        <v>0</v>
      </c>
      <c r="I23" s="2" t="s">
        <v>5</v>
      </c>
      <c r="J23" s="3">
        <v>22269</v>
      </c>
      <c r="K23" s="3">
        <v>1689</v>
      </c>
      <c r="L23" s="3">
        <v>743</v>
      </c>
      <c r="M23" s="3"/>
    </row>
    <row r="24" spans="1:13" ht="15">
      <c r="A24" s="2" t="s">
        <v>6</v>
      </c>
      <c r="B24" s="3">
        <v>637</v>
      </c>
      <c r="C24" s="3">
        <v>0</v>
      </c>
      <c r="D24" s="3">
        <v>636</v>
      </c>
      <c r="E24" s="3">
        <v>1</v>
      </c>
      <c r="F24" s="16">
        <f t="shared" ref="F24:F30" si="3">C24/B24</f>
        <v>0</v>
      </c>
      <c r="G24" s="16">
        <f t="shared" ref="G24:G30" si="4">D24/B24</f>
        <v>0.99843014128728413</v>
      </c>
      <c r="H24" s="16">
        <f>E24/B24</f>
        <v>1.5698587127158557E-3</v>
      </c>
      <c r="I24" s="2" t="s">
        <v>6</v>
      </c>
      <c r="J24" s="3">
        <v>6609</v>
      </c>
      <c r="K24" s="3">
        <v>111</v>
      </c>
      <c r="L24" s="3">
        <v>87</v>
      </c>
      <c r="M24" s="3"/>
    </row>
    <row r="25" spans="1:13" ht="15">
      <c r="A25" s="2" t="s">
        <v>7</v>
      </c>
      <c r="B25" s="3">
        <v>712</v>
      </c>
      <c r="C25" s="3">
        <v>0</v>
      </c>
      <c r="D25" s="3">
        <v>711</v>
      </c>
      <c r="E25" s="3">
        <v>1</v>
      </c>
      <c r="F25" s="16">
        <f t="shared" si="3"/>
        <v>0</v>
      </c>
      <c r="G25" s="16">
        <f t="shared" si="4"/>
        <v>0.9985955056179775</v>
      </c>
      <c r="H25" s="16">
        <f t="shared" ref="H25:H34" si="5">E25/B25</f>
        <v>1.4044943820224719E-3</v>
      </c>
      <c r="I25" s="2" t="s">
        <v>7</v>
      </c>
      <c r="J25" s="3">
        <v>6244</v>
      </c>
      <c r="K25" s="3">
        <v>167</v>
      </c>
      <c r="L25" s="3">
        <v>181</v>
      </c>
      <c r="M25" s="3"/>
    </row>
    <row r="26" spans="1:13" ht="15">
      <c r="A26" s="2" t="s">
        <v>8</v>
      </c>
      <c r="B26" s="3">
        <v>812</v>
      </c>
      <c r="C26" s="3">
        <v>0</v>
      </c>
      <c r="D26" s="3">
        <v>812</v>
      </c>
      <c r="E26" s="3">
        <v>0</v>
      </c>
      <c r="F26" s="16">
        <f t="shared" si="3"/>
        <v>0</v>
      </c>
      <c r="G26" s="16">
        <f t="shared" si="4"/>
        <v>1</v>
      </c>
      <c r="H26" s="16">
        <f t="shared" si="5"/>
        <v>0</v>
      </c>
      <c r="I26" s="2" t="s">
        <v>8</v>
      </c>
      <c r="J26" s="3">
        <v>6645</v>
      </c>
      <c r="K26" s="3">
        <v>123</v>
      </c>
      <c r="L26" s="3">
        <v>274</v>
      </c>
      <c r="M26" s="3"/>
    </row>
    <row r="27" spans="1:13" ht="15">
      <c r="A27" s="2" t="s">
        <v>9</v>
      </c>
      <c r="B27" s="3">
        <v>688</v>
      </c>
      <c r="C27" s="3">
        <v>0</v>
      </c>
      <c r="D27" s="3">
        <v>688</v>
      </c>
      <c r="E27" s="3">
        <v>0</v>
      </c>
      <c r="F27" s="16">
        <f t="shared" si="3"/>
        <v>0</v>
      </c>
      <c r="G27" s="16">
        <f t="shared" si="4"/>
        <v>1</v>
      </c>
      <c r="H27" s="16">
        <f t="shared" si="5"/>
        <v>0</v>
      </c>
      <c r="I27" s="2" t="s">
        <v>9</v>
      </c>
      <c r="J27" s="3">
        <v>6823</v>
      </c>
      <c r="K27" s="3">
        <v>700</v>
      </c>
      <c r="L27" s="3">
        <v>433</v>
      </c>
      <c r="M27" s="3"/>
    </row>
    <row r="28" spans="1:13" ht="15">
      <c r="A28" s="2" t="s">
        <v>10</v>
      </c>
      <c r="B28" s="3">
        <v>717</v>
      </c>
      <c r="C28" s="3">
        <v>0</v>
      </c>
      <c r="D28" s="3">
        <v>716</v>
      </c>
      <c r="E28" s="3">
        <v>1</v>
      </c>
      <c r="F28" s="16">
        <f t="shared" si="3"/>
        <v>0</v>
      </c>
      <c r="G28" s="16">
        <f t="shared" si="4"/>
        <v>0.99860529986053004</v>
      </c>
      <c r="H28" s="16">
        <f t="shared" si="5"/>
        <v>1.3947001394700139E-3</v>
      </c>
      <c r="I28" s="2" t="s">
        <v>10</v>
      </c>
      <c r="J28" s="3">
        <v>7634</v>
      </c>
      <c r="K28" s="3">
        <v>658</v>
      </c>
      <c r="L28" s="3">
        <v>747</v>
      </c>
      <c r="M28" s="3"/>
    </row>
    <row r="29" spans="1:13" ht="15">
      <c r="A29" s="2" t="s">
        <v>11</v>
      </c>
      <c r="B29" s="3">
        <v>739</v>
      </c>
      <c r="C29" s="3">
        <v>0</v>
      </c>
      <c r="D29" s="3">
        <v>739</v>
      </c>
      <c r="E29" s="3">
        <v>0</v>
      </c>
      <c r="F29" s="16">
        <f t="shared" si="3"/>
        <v>0</v>
      </c>
      <c r="G29" s="16">
        <f t="shared" si="4"/>
        <v>1</v>
      </c>
      <c r="H29" s="16">
        <f t="shared" si="5"/>
        <v>0</v>
      </c>
      <c r="I29" s="2" t="s">
        <v>11</v>
      </c>
      <c r="J29" s="3">
        <v>4846</v>
      </c>
      <c r="K29" s="3">
        <v>402</v>
      </c>
      <c r="L29" s="3">
        <v>293</v>
      </c>
      <c r="M29" s="3"/>
    </row>
    <row r="30" spans="1:13" ht="15">
      <c r="A30" s="2" t="s">
        <v>12</v>
      </c>
      <c r="B30" s="3">
        <v>679</v>
      </c>
      <c r="C30" s="3">
        <v>0</v>
      </c>
      <c r="D30" s="3">
        <v>679</v>
      </c>
      <c r="E30" s="3">
        <v>0</v>
      </c>
      <c r="F30" s="16">
        <f t="shared" si="3"/>
        <v>0</v>
      </c>
      <c r="G30" s="16">
        <f t="shared" si="4"/>
        <v>1</v>
      </c>
      <c r="H30" s="16">
        <f t="shared" si="5"/>
        <v>0</v>
      </c>
      <c r="I30" s="2" t="s">
        <v>12</v>
      </c>
      <c r="J30" s="3">
        <v>2158</v>
      </c>
      <c r="K30" s="3">
        <v>159</v>
      </c>
      <c r="L30" s="3">
        <v>166</v>
      </c>
      <c r="M30" s="3"/>
    </row>
    <row r="31" spans="1:13" ht="15">
      <c r="A31" s="2" t="s">
        <v>13</v>
      </c>
      <c r="B31" s="3">
        <v>652</v>
      </c>
      <c r="C31">
        <v>8</v>
      </c>
      <c r="D31" s="3">
        <v>522</v>
      </c>
      <c r="E31" s="3">
        <v>122</v>
      </c>
      <c r="F31" s="18">
        <f t="shared" ref="F31:F37" si="6">C31/B31</f>
        <v>1.2269938650306749E-2</v>
      </c>
      <c r="G31" s="18">
        <f>D31/B31</f>
        <v>0.80061349693251538</v>
      </c>
      <c r="H31" s="18">
        <f t="shared" si="5"/>
        <v>0.18711656441717792</v>
      </c>
      <c r="I31" s="2" t="s">
        <v>13</v>
      </c>
      <c r="J31" s="3">
        <v>4278</v>
      </c>
      <c r="K31" s="3">
        <v>59</v>
      </c>
      <c r="L31" s="3">
        <v>34</v>
      </c>
      <c r="M31" s="3"/>
    </row>
    <row r="32" spans="1:13" ht="15">
      <c r="A32" s="2" t="s">
        <v>14</v>
      </c>
      <c r="B32" s="3">
        <v>789</v>
      </c>
      <c r="C32" s="3">
        <v>105</v>
      </c>
      <c r="D32" s="3">
        <v>455</v>
      </c>
      <c r="E32" s="3">
        <v>229</v>
      </c>
      <c r="F32" s="18">
        <f t="shared" si="6"/>
        <v>0.13307984790874525</v>
      </c>
      <c r="G32" s="18">
        <f>D32/B32</f>
        <v>0.57667934093789608</v>
      </c>
      <c r="H32" s="18">
        <f t="shared" si="5"/>
        <v>0.2902408111533587</v>
      </c>
      <c r="I32" s="2" t="s">
        <v>14</v>
      </c>
      <c r="J32" s="3">
        <v>3031</v>
      </c>
      <c r="K32" s="3">
        <v>27</v>
      </c>
      <c r="L32" s="3">
        <v>27</v>
      </c>
      <c r="M32" s="3"/>
    </row>
    <row r="33" spans="1:29" ht="15">
      <c r="A33" s="2" t="s">
        <v>15</v>
      </c>
      <c r="B33" s="3">
        <v>695</v>
      </c>
      <c r="C33" s="3">
        <v>16</v>
      </c>
      <c r="D33" s="3">
        <v>244</v>
      </c>
      <c r="E33" s="3">
        <v>435</v>
      </c>
      <c r="F33" s="18">
        <f t="shared" si="6"/>
        <v>2.302158273381295E-2</v>
      </c>
      <c r="G33" s="18">
        <f>D33/B33</f>
        <v>0.3510791366906475</v>
      </c>
      <c r="H33" s="18">
        <f t="shared" si="5"/>
        <v>0.62589928057553956</v>
      </c>
      <c r="I33" s="2" t="s">
        <v>25</v>
      </c>
      <c r="J33" s="3">
        <v>2478</v>
      </c>
      <c r="K33" s="3">
        <v>23</v>
      </c>
      <c r="L33" s="3">
        <v>24</v>
      </c>
      <c r="M33" s="3"/>
    </row>
    <row r="34" spans="1:29" ht="15">
      <c r="A34" s="2" t="s">
        <v>16</v>
      </c>
      <c r="B34" s="3">
        <v>696</v>
      </c>
      <c r="C34" s="3">
        <v>0</v>
      </c>
      <c r="D34" s="3">
        <v>695</v>
      </c>
      <c r="E34" s="3">
        <v>1</v>
      </c>
      <c r="F34" s="16">
        <f t="shared" si="6"/>
        <v>0</v>
      </c>
      <c r="G34" s="16">
        <f>D34/B34</f>
        <v>0.99856321839080464</v>
      </c>
      <c r="H34" s="16">
        <f t="shared" si="5"/>
        <v>1.4367816091954023E-3</v>
      </c>
      <c r="I34" s="2" t="s">
        <v>26</v>
      </c>
      <c r="J34" s="3">
        <v>2290</v>
      </c>
      <c r="K34" s="3">
        <v>27</v>
      </c>
      <c r="L34" s="3">
        <v>30</v>
      </c>
      <c r="M34" s="3"/>
    </row>
    <row r="35" spans="1:29" ht="15">
      <c r="A35" s="2" t="s">
        <v>17</v>
      </c>
      <c r="B35" s="3">
        <v>747</v>
      </c>
      <c r="C35" s="3">
        <v>0</v>
      </c>
      <c r="D35" s="3">
        <v>647</v>
      </c>
      <c r="E35" s="3">
        <v>100</v>
      </c>
      <c r="F35" s="18">
        <f t="shared" si="6"/>
        <v>0</v>
      </c>
      <c r="G35" s="18">
        <f>D35/B23</f>
        <v>0.87314439946018896</v>
      </c>
      <c r="H35" s="18">
        <f>E35/B23</f>
        <v>0.1349527665317139</v>
      </c>
      <c r="I35" s="2" t="s">
        <v>27</v>
      </c>
      <c r="J35" s="3">
        <v>3400</v>
      </c>
      <c r="K35" s="3">
        <v>51</v>
      </c>
      <c r="L35" s="3">
        <v>40</v>
      </c>
      <c r="M35" s="3"/>
    </row>
    <row r="36" spans="1:29" ht="15">
      <c r="A36" s="2" t="s">
        <v>18</v>
      </c>
      <c r="B36" s="3">
        <v>764</v>
      </c>
      <c r="C36" s="3">
        <v>220</v>
      </c>
      <c r="D36" s="3">
        <v>345</v>
      </c>
      <c r="E36" s="3">
        <v>200</v>
      </c>
      <c r="F36" s="18">
        <f t="shared" si="6"/>
        <v>0.2879581151832461</v>
      </c>
      <c r="G36" s="18">
        <f>D36/B36</f>
        <v>0.45157068062827227</v>
      </c>
      <c r="H36" s="18">
        <f>E36/B36</f>
        <v>0.26178010471204188</v>
      </c>
      <c r="I36" s="2" t="s">
        <v>18</v>
      </c>
      <c r="J36" s="3">
        <v>3320</v>
      </c>
      <c r="K36" s="3">
        <v>20</v>
      </c>
      <c r="L36" s="3">
        <v>2</v>
      </c>
      <c r="M36" s="3"/>
    </row>
    <row r="37" spans="1:29" ht="15">
      <c r="A37" s="2" t="s">
        <v>36</v>
      </c>
      <c r="B37" s="3">
        <f>SUM(B23:B36)</f>
        <v>10068</v>
      </c>
      <c r="C37" s="3">
        <f>SUM(C23:C36)</f>
        <v>349</v>
      </c>
      <c r="D37" s="3">
        <f>SUM(D23:D36)</f>
        <v>8630</v>
      </c>
      <c r="E37" s="3">
        <f>SUM(E23:E36)</f>
        <v>1090</v>
      </c>
      <c r="F37" s="18">
        <f t="shared" si="6"/>
        <v>3.466428287644021E-2</v>
      </c>
      <c r="G37" s="18">
        <f>D37/B37</f>
        <v>0.85717123559793407</v>
      </c>
      <c r="H37" s="18">
        <f>E37/B37</f>
        <v>0.10826380611839491</v>
      </c>
      <c r="I37" s="2"/>
      <c r="J37" s="2"/>
      <c r="K37" s="2"/>
      <c r="L37" s="5"/>
      <c r="M37" s="2"/>
    </row>
    <row r="41" spans="1:29">
      <c r="V41" s="40" t="s">
        <v>81</v>
      </c>
      <c r="AA41" s="40" t="s">
        <v>81</v>
      </c>
    </row>
    <row r="42" spans="1:29">
      <c r="U42" s="40" t="s">
        <v>39</v>
      </c>
      <c r="Z42" s="40" t="s">
        <v>39</v>
      </c>
    </row>
    <row r="43" spans="1:29">
      <c r="U43" s="40" t="s">
        <v>40</v>
      </c>
      <c r="W43" s="40"/>
      <c r="Z43" s="40" t="s">
        <v>40</v>
      </c>
    </row>
    <row r="44" spans="1:29">
      <c r="U44" s="40" t="s">
        <v>41</v>
      </c>
      <c r="W44" s="40"/>
      <c r="Z44" s="40" t="s">
        <v>41</v>
      </c>
    </row>
    <row r="46" spans="1:29">
      <c r="D46" s="12"/>
    </row>
    <row r="47" spans="1:29">
      <c r="U47" s="13" t="s">
        <v>84</v>
      </c>
      <c r="V47" s="13" t="s">
        <v>85</v>
      </c>
      <c r="W47" s="13" t="s">
        <v>86</v>
      </c>
      <c r="X47" s="13" t="s">
        <v>87</v>
      </c>
      <c r="Z47" s="20" t="s">
        <v>88</v>
      </c>
      <c r="AA47" s="13" t="s">
        <v>85</v>
      </c>
      <c r="AB47" s="13" t="s">
        <v>86</v>
      </c>
      <c r="AC47" s="13" t="s">
        <v>87</v>
      </c>
    </row>
    <row r="48" spans="1:29" ht="15">
      <c r="U48" s="51" t="s">
        <v>5</v>
      </c>
      <c r="V48" s="45">
        <f>C2/B2</f>
        <v>0.12789927104042412</v>
      </c>
      <c r="W48" s="49">
        <f>C23/B23</f>
        <v>0</v>
      </c>
      <c r="X48" s="50">
        <f>C55/B55</f>
        <v>0</v>
      </c>
      <c r="Y48" s="52"/>
      <c r="Z48" s="51" t="s">
        <v>5</v>
      </c>
      <c r="AA48" s="47">
        <f>E2/B2</f>
        <v>1.7229953611663355E-2</v>
      </c>
      <c r="AB48" s="50">
        <f>E23/B23</f>
        <v>0</v>
      </c>
      <c r="AC48" s="50">
        <f>E55/B55</f>
        <v>0</v>
      </c>
    </row>
    <row r="49" spans="1:29" ht="15">
      <c r="U49" s="51" t="s">
        <v>6</v>
      </c>
      <c r="V49" s="45">
        <f t="shared" ref="V49:V60" si="7">C3/B3</f>
        <v>0.23655913978494625</v>
      </c>
      <c r="W49" s="49">
        <f t="shared" ref="W49:W59" si="8">C24/B24</f>
        <v>0</v>
      </c>
      <c r="X49" s="50">
        <f t="shared" ref="X49:X60" si="9">C56/B56</f>
        <v>0</v>
      </c>
      <c r="Y49" s="52"/>
      <c r="Z49" s="51" t="s">
        <v>6</v>
      </c>
      <c r="AA49" s="47">
        <f t="shared" ref="AA49:AA60" si="10">E3/B3</f>
        <v>6.0215053763440864E-2</v>
      </c>
      <c r="AB49" s="50">
        <f t="shared" ref="AB49:AB60" si="11">E24/B24</f>
        <v>1.5698587127158557E-3</v>
      </c>
      <c r="AC49" s="50">
        <f t="shared" ref="AC49:AC60" si="12">E56/B56</f>
        <v>0</v>
      </c>
    </row>
    <row r="50" spans="1:29" ht="15">
      <c r="U50" s="51" t="s">
        <v>7</v>
      </c>
      <c r="V50" s="45">
        <f t="shared" si="7"/>
        <v>0.31824146981627299</v>
      </c>
      <c r="W50" s="49">
        <f t="shared" si="8"/>
        <v>0</v>
      </c>
      <c r="X50" s="50">
        <f t="shared" si="9"/>
        <v>0</v>
      </c>
      <c r="Y50" s="52"/>
      <c r="Z50" s="51" t="s">
        <v>7</v>
      </c>
      <c r="AA50" s="47">
        <f t="shared" si="10"/>
        <v>0.11778215223097113</v>
      </c>
      <c r="AB50" s="50">
        <f t="shared" si="11"/>
        <v>1.4044943820224719E-3</v>
      </c>
      <c r="AC50" s="50">
        <f t="shared" si="12"/>
        <v>0</v>
      </c>
    </row>
    <row r="51" spans="1:29" ht="15">
      <c r="U51" s="51" t="s">
        <v>8</v>
      </c>
      <c r="V51" s="45">
        <f t="shared" si="7"/>
        <v>0.32168421052631579</v>
      </c>
      <c r="W51" s="49">
        <f t="shared" si="8"/>
        <v>0</v>
      </c>
      <c r="X51" s="50">
        <f t="shared" si="9"/>
        <v>0</v>
      </c>
      <c r="Y51" s="52"/>
      <c r="Z51" s="51" t="s">
        <v>8</v>
      </c>
      <c r="AA51" s="47">
        <f t="shared" si="10"/>
        <v>0.20589473684210527</v>
      </c>
      <c r="AB51" s="50">
        <f t="shared" si="11"/>
        <v>0</v>
      </c>
      <c r="AC51" s="50">
        <f t="shared" si="12"/>
        <v>0</v>
      </c>
    </row>
    <row r="52" spans="1:29" ht="15">
      <c r="U52" s="51" t="s">
        <v>9</v>
      </c>
      <c r="V52" s="45">
        <f t="shared" si="7"/>
        <v>0.30618892508143325</v>
      </c>
      <c r="W52" s="49">
        <f t="shared" si="8"/>
        <v>0</v>
      </c>
      <c r="X52" s="50">
        <f t="shared" si="9"/>
        <v>0</v>
      </c>
      <c r="Y52" s="52"/>
      <c r="Z52" s="51" t="s">
        <v>9</v>
      </c>
      <c r="AA52" s="50">
        <f t="shared" si="10"/>
        <v>0</v>
      </c>
      <c r="AB52" s="50">
        <f t="shared" si="11"/>
        <v>0</v>
      </c>
      <c r="AC52" s="50">
        <f t="shared" si="12"/>
        <v>0</v>
      </c>
    </row>
    <row r="53" spans="1:29" ht="15">
      <c r="U53" s="51" t="s">
        <v>10</v>
      </c>
      <c r="V53" s="18">
        <f t="shared" si="7"/>
        <v>0</v>
      </c>
      <c r="W53" s="49">
        <f t="shared" si="8"/>
        <v>0</v>
      </c>
      <c r="X53" s="50">
        <f t="shared" si="9"/>
        <v>0</v>
      </c>
      <c r="Y53" s="52"/>
      <c r="Z53" s="51" t="s">
        <v>10</v>
      </c>
      <c r="AA53" s="50">
        <f t="shared" si="10"/>
        <v>0</v>
      </c>
      <c r="AB53" s="50">
        <f t="shared" si="11"/>
        <v>1.3947001394700139E-3</v>
      </c>
      <c r="AC53" s="50">
        <f t="shared" si="12"/>
        <v>0</v>
      </c>
    </row>
    <row r="54" spans="1:29" ht="15">
      <c r="A54" s="2" t="s">
        <v>43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33</v>
      </c>
      <c r="G54" s="2" t="s">
        <v>34</v>
      </c>
      <c r="H54" s="2" t="s">
        <v>35</v>
      </c>
      <c r="I54" s="2"/>
      <c r="J54" s="2" t="s">
        <v>32</v>
      </c>
      <c r="K54" s="2" t="s">
        <v>23</v>
      </c>
      <c r="L54" s="2" t="s">
        <v>24</v>
      </c>
      <c r="M54" s="2"/>
      <c r="U54" s="51" t="s">
        <v>11</v>
      </c>
      <c r="V54" s="18">
        <f t="shared" si="7"/>
        <v>0</v>
      </c>
      <c r="W54" s="49">
        <f t="shared" si="8"/>
        <v>0</v>
      </c>
      <c r="X54" s="50">
        <f t="shared" si="9"/>
        <v>0</v>
      </c>
      <c r="Y54" s="52"/>
      <c r="Z54" s="51" t="s">
        <v>11</v>
      </c>
      <c r="AA54" s="50">
        <f t="shared" si="10"/>
        <v>9.2478421701602961E-4</v>
      </c>
      <c r="AB54" s="50">
        <f t="shared" si="11"/>
        <v>0</v>
      </c>
      <c r="AC54" s="50">
        <f t="shared" si="12"/>
        <v>0</v>
      </c>
    </row>
    <row r="55" spans="1:29" ht="15">
      <c r="A55" s="2" t="s">
        <v>5</v>
      </c>
      <c r="B55" s="3">
        <v>771</v>
      </c>
      <c r="C55" s="3">
        <v>0</v>
      </c>
      <c r="D55" s="3">
        <v>771</v>
      </c>
      <c r="E55" s="3">
        <v>0</v>
      </c>
      <c r="F55" s="16">
        <f>C55/B55</f>
        <v>0</v>
      </c>
      <c r="G55" s="16">
        <f>D55/B55</f>
        <v>1</v>
      </c>
      <c r="H55" s="16">
        <f>E55/B55</f>
        <v>0</v>
      </c>
      <c r="I55" s="2" t="s">
        <v>5</v>
      </c>
      <c r="J55" s="3">
        <v>22620</v>
      </c>
      <c r="K55" s="3">
        <v>1636</v>
      </c>
      <c r="L55" s="3">
        <v>713</v>
      </c>
      <c r="M55" s="3"/>
      <c r="U55" s="51" t="s">
        <v>12</v>
      </c>
      <c r="V55" s="18">
        <f t="shared" si="7"/>
        <v>0</v>
      </c>
      <c r="W55" s="49">
        <f t="shared" si="8"/>
        <v>0</v>
      </c>
      <c r="X55" s="50">
        <f t="shared" si="9"/>
        <v>0</v>
      </c>
      <c r="Y55" s="52"/>
      <c r="Z55" s="51" t="s">
        <v>12</v>
      </c>
      <c r="AA55" s="50">
        <f t="shared" si="10"/>
        <v>0</v>
      </c>
      <c r="AB55" s="50">
        <f t="shared" si="11"/>
        <v>0</v>
      </c>
      <c r="AC55" s="50">
        <f t="shared" si="12"/>
        <v>0</v>
      </c>
    </row>
    <row r="56" spans="1:29" ht="15">
      <c r="A56" s="2" t="s">
        <v>6</v>
      </c>
      <c r="B56" s="3">
        <v>1103</v>
      </c>
      <c r="C56" s="3">
        <v>0</v>
      </c>
      <c r="D56" s="3">
        <v>1103</v>
      </c>
      <c r="E56" s="3">
        <v>0</v>
      </c>
      <c r="F56" s="16">
        <f t="shared" ref="F56:F69" si="13">C56/B56</f>
        <v>0</v>
      </c>
      <c r="G56" s="16">
        <f t="shared" ref="G56:G69" si="14">D56/B56</f>
        <v>1</v>
      </c>
      <c r="H56" s="16">
        <f>E56/B56</f>
        <v>0</v>
      </c>
      <c r="I56" s="2" t="s">
        <v>6</v>
      </c>
      <c r="J56" s="3">
        <v>6502</v>
      </c>
      <c r="K56" s="3">
        <v>112</v>
      </c>
      <c r="L56" s="3">
        <v>87</v>
      </c>
      <c r="M56" s="3"/>
      <c r="U56" s="51" t="s">
        <v>13</v>
      </c>
      <c r="V56" s="18">
        <f t="shared" si="7"/>
        <v>0</v>
      </c>
      <c r="W56" s="46">
        <f t="shared" si="8"/>
        <v>1.2269938650306749E-2</v>
      </c>
      <c r="X56" s="47">
        <f t="shared" si="9"/>
        <v>4.5512010113780026E-2</v>
      </c>
      <c r="Y56" s="52"/>
      <c r="Z56" s="51" t="s">
        <v>13</v>
      </c>
      <c r="AA56" s="50">
        <f t="shared" si="10"/>
        <v>4.5016077170418004E-3</v>
      </c>
      <c r="AB56" s="47">
        <f t="shared" si="11"/>
        <v>0.18711656441717792</v>
      </c>
      <c r="AC56" s="47">
        <f t="shared" si="12"/>
        <v>0.69279393173198478</v>
      </c>
    </row>
    <row r="57" spans="1:29" ht="15">
      <c r="A57" s="2" t="s">
        <v>7</v>
      </c>
      <c r="B57" s="3">
        <v>745</v>
      </c>
      <c r="C57" s="3">
        <v>0</v>
      </c>
      <c r="D57" s="3">
        <v>745</v>
      </c>
      <c r="E57" s="3">
        <v>0</v>
      </c>
      <c r="F57" s="16">
        <f t="shared" si="13"/>
        <v>0</v>
      </c>
      <c r="G57" s="16">
        <f t="shared" si="14"/>
        <v>1</v>
      </c>
      <c r="H57" s="16">
        <f t="shared" ref="H57:H69" si="15">E57/B57</f>
        <v>0</v>
      </c>
      <c r="I57" s="2" t="s">
        <v>7</v>
      </c>
      <c r="J57" s="3">
        <v>6141</v>
      </c>
      <c r="K57" s="3">
        <v>160</v>
      </c>
      <c r="L57" s="3">
        <v>172</v>
      </c>
      <c r="M57" s="3"/>
      <c r="U57" s="51" t="s">
        <v>14</v>
      </c>
      <c r="V57" s="18">
        <f t="shared" si="7"/>
        <v>0</v>
      </c>
      <c r="W57" s="46">
        <f t="shared" si="8"/>
        <v>0.13307984790874525</v>
      </c>
      <c r="X57" s="47">
        <f t="shared" si="9"/>
        <v>8.3257918552036195E-2</v>
      </c>
      <c r="Y57" s="52"/>
      <c r="Z57" s="51" t="s">
        <v>14</v>
      </c>
      <c r="AA57" s="50">
        <f t="shared" si="10"/>
        <v>0</v>
      </c>
      <c r="AB57" s="47">
        <f t="shared" si="11"/>
        <v>0.2902408111533587</v>
      </c>
      <c r="AC57" s="47">
        <f t="shared" si="12"/>
        <v>0.33665158371040727</v>
      </c>
    </row>
    <row r="58" spans="1:29" ht="15">
      <c r="A58" s="2" t="s">
        <v>8</v>
      </c>
      <c r="B58" s="3">
        <v>1212</v>
      </c>
      <c r="C58" s="3">
        <v>0</v>
      </c>
      <c r="D58" s="3">
        <v>1212</v>
      </c>
      <c r="E58" s="3">
        <v>0</v>
      </c>
      <c r="F58" s="16">
        <f t="shared" si="13"/>
        <v>0</v>
      </c>
      <c r="G58" s="16">
        <f t="shared" si="14"/>
        <v>1</v>
      </c>
      <c r="H58" s="16">
        <f t="shared" si="15"/>
        <v>0</v>
      </c>
      <c r="I58" s="2" t="s">
        <v>8</v>
      </c>
      <c r="J58" s="3">
        <v>6130</v>
      </c>
      <c r="K58" s="3">
        <v>126</v>
      </c>
      <c r="L58" s="3">
        <v>318</v>
      </c>
      <c r="M58" s="3"/>
      <c r="U58" s="51" t="s">
        <v>15</v>
      </c>
      <c r="V58" s="18">
        <f t="shared" si="7"/>
        <v>0</v>
      </c>
      <c r="W58" s="46">
        <f t="shared" si="8"/>
        <v>2.302158273381295E-2</v>
      </c>
      <c r="X58" s="47">
        <f t="shared" si="9"/>
        <v>4.3312101910828023E-2</v>
      </c>
      <c r="Y58" s="52"/>
      <c r="Z58" s="51" t="s">
        <v>15</v>
      </c>
      <c r="AA58" s="50">
        <f t="shared" si="10"/>
        <v>0</v>
      </c>
      <c r="AB58" s="47">
        <f t="shared" si="11"/>
        <v>0.62589928057553956</v>
      </c>
      <c r="AC58" s="47">
        <f t="shared" si="12"/>
        <v>4.0764331210191081E-2</v>
      </c>
    </row>
    <row r="59" spans="1:29" ht="15">
      <c r="A59" s="2" t="s">
        <v>9</v>
      </c>
      <c r="B59" s="3">
        <v>825</v>
      </c>
      <c r="C59" s="3">
        <v>0</v>
      </c>
      <c r="D59" s="3">
        <v>825</v>
      </c>
      <c r="E59" s="3">
        <v>0</v>
      </c>
      <c r="F59" s="16">
        <f t="shared" si="13"/>
        <v>0</v>
      </c>
      <c r="G59" s="16">
        <f t="shared" si="14"/>
        <v>1</v>
      </c>
      <c r="H59" s="16">
        <f t="shared" si="15"/>
        <v>0</v>
      </c>
      <c r="I59" s="2" t="s">
        <v>9</v>
      </c>
      <c r="J59" s="3">
        <v>6721</v>
      </c>
      <c r="K59" s="3">
        <v>706</v>
      </c>
      <c r="L59" s="3">
        <v>424</v>
      </c>
      <c r="M59" s="3"/>
      <c r="U59" s="51" t="s">
        <v>16</v>
      </c>
      <c r="V59" s="18">
        <f t="shared" si="7"/>
        <v>0</v>
      </c>
      <c r="W59" s="49">
        <f t="shared" si="8"/>
        <v>0</v>
      </c>
      <c r="X59" s="50">
        <f t="shared" si="9"/>
        <v>0</v>
      </c>
      <c r="Y59" s="52"/>
      <c r="Z59" s="51" t="s">
        <v>16</v>
      </c>
      <c r="AA59" s="50">
        <f t="shared" si="10"/>
        <v>0</v>
      </c>
      <c r="AB59" s="50">
        <f t="shared" si="11"/>
        <v>1.4367816091954023E-3</v>
      </c>
      <c r="AC59" s="47">
        <f t="shared" si="12"/>
        <v>1</v>
      </c>
    </row>
    <row r="60" spans="1:29" ht="15">
      <c r="A60" s="2" t="s">
        <v>10</v>
      </c>
      <c r="B60" s="3">
        <v>1106</v>
      </c>
      <c r="C60" s="3">
        <v>0</v>
      </c>
      <c r="D60" s="3">
        <v>1106</v>
      </c>
      <c r="E60" s="3">
        <v>0</v>
      </c>
      <c r="F60" s="16">
        <f t="shared" si="13"/>
        <v>0</v>
      </c>
      <c r="G60" s="16">
        <f t="shared" si="14"/>
        <v>1</v>
      </c>
      <c r="H60" s="16">
        <f t="shared" si="15"/>
        <v>0</v>
      </c>
      <c r="I60" s="2" t="s">
        <v>10</v>
      </c>
      <c r="J60" s="3">
        <v>7673</v>
      </c>
      <c r="K60" s="3">
        <v>661</v>
      </c>
      <c r="L60" s="3">
        <v>706</v>
      </c>
      <c r="M60" s="3"/>
      <c r="U60" s="51" t="s">
        <v>17</v>
      </c>
      <c r="V60" s="18">
        <f t="shared" si="7"/>
        <v>0</v>
      </c>
      <c r="W60" s="49">
        <f>C35/B35</f>
        <v>0</v>
      </c>
      <c r="X60" s="50">
        <f t="shared" si="9"/>
        <v>0</v>
      </c>
      <c r="Y60" s="52"/>
      <c r="Z60" s="51" t="s">
        <v>17</v>
      </c>
      <c r="AA60" s="50">
        <f t="shared" si="10"/>
        <v>0</v>
      </c>
      <c r="AB60" s="47">
        <f t="shared" si="11"/>
        <v>0.13386880856760375</v>
      </c>
      <c r="AC60" s="50">
        <f t="shared" si="12"/>
        <v>0</v>
      </c>
    </row>
    <row r="61" spans="1:29" ht="15">
      <c r="A61" s="2" t="s">
        <v>11</v>
      </c>
      <c r="B61" s="3">
        <v>786</v>
      </c>
      <c r="C61" s="3">
        <v>0</v>
      </c>
      <c r="D61" s="3">
        <v>786</v>
      </c>
      <c r="E61" s="3">
        <v>0</v>
      </c>
      <c r="F61" s="16">
        <f t="shared" si="13"/>
        <v>0</v>
      </c>
      <c r="G61" s="16">
        <f t="shared" si="14"/>
        <v>1</v>
      </c>
      <c r="H61" s="16">
        <f t="shared" si="15"/>
        <v>0</v>
      </c>
      <c r="I61" s="2" t="s">
        <v>11</v>
      </c>
      <c r="J61" s="3">
        <v>4964</v>
      </c>
      <c r="K61" s="3">
        <v>404</v>
      </c>
      <c r="L61" s="3">
        <v>280</v>
      </c>
      <c r="M61" s="3"/>
    </row>
    <row r="62" spans="1:29" ht="15">
      <c r="A62" s="2" t="s">
        <v>12</v>
      </c>
      <c r="B62" s="3">
        <v>1141</v>
      </c>
      <c r="C62" s="3">
        <v>0</v>
      </c>
      <c r="D62" s="3">
        <v>1141</v>
      </c>
      <c r="E62" s="3">
        <v>0</v>
      </c>
      <c r="F62" s="16">
        <f t="shared" si="13"/>
        <v>0</v>
      </c>
      <c r="G62" s="16">
        <f t="shared" si="14"/>
        <v>1</v>
      </c>
      <c r="H62" s="16">
        <f t="shared" si="15"/>
        <v>0</v>
      </c>
      <c r="I62" s="2" t="s">
        <v>12</v>
      </c>
      <c r="J62" s="3">
        <v>2130</v>
      </c>
      <c r="K62" s="3">
        <v>149</v>
      </c>
      <c r="L62" s="3">
        <v>168</v>
      </c>
      <c r="M62" s="3"/>
    </row>
    <row r="63" spans="1:29" ht="15">
      <c r="A63" s="2" t="s">
        <v>13</v>
      </c>
      <c r="B63" s="3">
        <v>791</v>
      </c>
      <c r="C63">
        <v>36</v>
      </c>
      <c r="D63" s="3">
        <v>205</v>
      </c>
      <c r="E63" s="3">
        <v>548</v>
      </c>
      <c r="F63" s="16">
        <f>C63/B63</f>
        <v>4.5512010113780026E-2</v>
      </c>
      <c r="G63" s="16">
        <f>D63/B63</f>
        <v>0.25916561314791403</v>
      </c>
      <c r="H63" s="16">
        <f t="shared" si="15"/>
        <v>0.69279393173198478</v>
      </c>
      <c r="I63" s="2" t="s">
        <v>13</v>
      </c>
      <c r="J63" s="3">
        <v>4328</v>
      </c>
      <c r="K63" s="3">
        <v>60</v>
      </c>
      <c r="L63" s="3">
        <v>37</v>
      </c>
      <c r="M63" s="3"/>
    </row>
    <row r="64" spans="1:29" ht="15">
      <c r="A64" s="2" t="s">
        <v>14</v>
      </c>
      <c r="B64" s="3">
        <v>1105</v>
      </c>
      <c r="C64" s="3">
        <v>92</v>
      </c>
      <c r="D64" s="3">
        <v>637</v>
      </c>
      <c r="E64" s="3">
        <v>372</v>
      </c>
      <c r="F64" s="16">
        <f t="shared" si="13"/>
        <v>8.3257918552036195E-2</v>
      </c>
      <c r="G64" s="16">
        <f t="shared" si="14"/>
        <v>0.57647058823529407</v>
      </c>
      <c r="H64" s="16">
        <f t="shared" si="15"/>
        <v>0.33665158371040727</v>
      </c>
      <c r="I64" s="2" t="s">
        <v>14</v>
      </c>
      <c r="J64" s="3">
        <v>2962</v>
      </c>
      <c r="K64" s="3">
        <v>32</v>
      </c>
      <c r="L64" s="3">
        <v>35</v>
      </c>
      <c r="M64" s="3"/>
    </row>
    <row r="65" spans="1:13" ht="15">
      <c r="A65" s="2" t="s">
        <v>15</v>
      </c>
      <c r="B65" s="3">
        <v>785</v>
      </c>
      <c r="C65" s="3">
        <v>34</v>
      </c>
      <c r="D65" s="3">
        <v>719</v>
      </c>
      <c r="E65" s="3">
        <v>32</v>
      </c>
      <c r="F65" s="18">
        <f t="shared" si="13"/>
        <v>4.3312101910828023E-2</v>
      </c>
      <c r="G65" s="18">
        <f t="shared" si="14"/>
        <v>0.91592356687898091</v>
      </c>
      <c r="H65" s="18">
        <f t="shared" si="15"/>
        <v>4.0764331210191081E-2</v>
      </c>
      <c r="I65" s="2" t="s">
        <v>25</v>
      </c>
      <c r="J65" s="3">
        <v>2455</v>
      </c>
      <c r="K65" s="3">
        <v>27</v>
      </c>
      <c r="L65" s="3">
        <v>26</v>
      </c>
      <c r="M65" s="3"/>
    </row>
    <row r="66" spans="1:13" ht="15">
      <c r="A66" s="2" t="s">
        <v>16</v>
      </c>
      <c r="B66" s="3">
        <v>1141</v>
      </c>
      <c r="C66" s="3">
        <v>0</v>
      </c>
      <c r="D66" s="3">
        <v>0</v>
      </c>
      <c r="E66" s="3">
        <v>1141</v>
      </c>
      <c r="F66" s="16">
        <f t="shared" si="13"/>
        <v>0</v>
      </c>
      <c r="G66" s="16">
        <f t="shared" si="14"/>
        <v>0</v>
      </c>
      <c r="H66" s="16">
        <f t="shared" si="15"/>
        <v>1</v>
      </c>
      <c r="I66" s="2" t="s">
        <v>26</v>
      </c>
      <c r="J66" s="3">
        <v>2362</v>
      </c>
      <c r="K66" s="3">
        <v>32</v>
      </c>
      <c r="L66" s="3">
        <v>32</v>
      </c>
      <c r="M66" s="3"/>
    </row>
    <row r="67" spans="1:13" ht="15">
      <c r="A67" s="2" t="s">
        <v>17</v>
      </c>
      <c r="B67" s="3">
        <v>765</v>
      </c>
      <c r="C67" s="3">
        <v>0</v>
      </c>
      <c r="D67" s="3">
        <v>765</v>
      </c>
      <c r="E67" s="3">
        <v>0</v>
      </c>
      <c r="F67" s="18">
        <f>C67/B67</f>
        <v>0</v>
      </c>
      <c r="G67" s="18">
        <f>D67/B67</f>
        <v>1</v>
      </c>
      <c r="H67" s="18">
        <f>E67/B67</f>
        <v>0</v>
      </c>
      <c r="I67" s="2" t="s">
        <v>27</v>
      </c>
      <c r="J67" s="3">
        <v>3359</v>
      </c>
      <c r="K67" s="3">
        <v>38</v>
      </c>
      <c r="L67" s="3">
        <v>48</v>
      </c>
      <c r="M67" s="3"/>
    </row>
    <row r="68" spans="1:13" ht="15">
      <c r="A68" s="2" t="s">
        <v>18</v>
      </c>
      <c r="B68" s="3">
        <v>1269</v>
      </c>
      <c r="C68" s="3">
        <v>434</v>
      </c>
      <c r="D68" s="3">
        <v>401</v>
      </c>
      <c r="E68" s="3">
        <v>431</v>
      </c>
      <c r="F68" s="16">
        <f t="shared" si="13"/>
        <v>0.34200157604412923</v>
      </c>
      <c r="G68" s="16">
        <f t="shared" si="14"/>
        <v>0.31599684791174154</v>
      </c>
      <c r="H68" s="16">
        <f t="shared" si="15"/>
        <v>0.3396375098502758</v>
      </c>
      <c r="I68" s="2" t="s">
        <v>18</v>
      </c>
      <c r="J68" s="3">
        <v>3373</v>
      </c>
      <c r="K68" s="3">
        <v>13</v>
      </c>
      <c r="L68" s="3">
        <v>3</v>
      </c>
      <c r="M68" s="3"/>
    </row>
    <row r="69" spans="1:13" ht="15">
      <c r="A69" s="2" t="s">
        <v>36</v>
      </c>
      <c r="B69" s="3">
        <f>SUM(B55:B68)</f>
        <v>13545</v>
      </c>
      <c r="C69" s="3">
        <f>SUM(C55:C68)</f>
        <v>596</v>
      </c>
      <c r="D69" s="3">
        <f>SUM(D55:D68)</f>
        <v>10416</v>
      </c>
      <c r="E69" s="3">
        <f>SUM(E55:E68)</f>
        <v>2524</v>
      </c>
      <c r="F69" s="16">
        <f t="shared" si="13"/>
        <v>4.4001476559616094E-2</v>
      </c>
      <c r="G69" s="16">
        <f t="shared" si="14"/>
        <v>0.76899224806201549</v>
      </c>
      <c r="H69" s="16">
        <f t="shared" si="15"/>
        <v>0.18634182355112588</v>
      </c>
      <c r="I69" s="2"/>
      <c r="J69" s="2"/>
      <c r="K69" s="2"/>
      <c r="L69" s="5"/>
      <c r="M69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S102"/>
  <sheetViews>
    <sheetView tabSelected="1" topLeftCell="G1" zoomScale="115" zoomScaleNormal="115" workbookViewId="0">
      <selection activeCell="I19" sqref="I19"/>
    </sheetView>
  </sheetViews>
  <sheetFormatPr defaultRowHeight="12.75"/>
  <cols>
    <col min="1" max="1" width="19.140625" customWidth="1"/>
    <col min="2" max="2" width="13" customWidth="1"/>
    <col min="3" max="3" width="20.5703125" customWidth="1"/>
    <col min="4" max="4" width="10.85546875" customWidth="1"/>
    <col min="5" max="5" width="32" customWidth="1"/>
    <col min="6" max="6" width="20.5703125" customWidth="1"/>
    <col min="7" max="7" width="16" customWidth="1"/>
    <col min="8" max="8" width="12.85546875" customWidth="1"/>
    <col min="9" max="9" width="30.140625" customWidth="1"/>
    <col min="10" max="10" width="50.140625" customWidth="1"/>
    <col min="16" max="16" width="10.140625" customWidth="1"/>
    <col min="19" max="19" width="42.28515625" bestFit="1" customWidth="1"/>
    <col min="20" max="20" width="26.5703125" bestFit="1" customWidth="1"/>
    <col min="21" max="21" width="28.5703125" bestFit="1" customWidth="1"/>
    <col min="22" max="22" width="12.140625" bestFit="1" customWidth="1"/>
    <col min="24" max="24" width="42.28515625" bestFit="1" customWidth="1"/>
    <col min="25" max="25" width="26.5703125" bestFit="1" customWidth="1"/>
    <col min="26" max="26" width="12.42578125" bestFit="1" customWidth="1"/>
  </cols>
  <sheetData>
    <row r="1" spans="1:19" ht="15">
      <c r="A1" s="6" t="s">
        <v>37</v>
      </c>
      <c r="B1" s="2" t="s">
        <v>1</v>
      </c>
      <c r="C1" s="2" t="s">
        <v>21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 t="s">
        <v>22</v>
      </c>
      <c r="K1" s="2" t="s">
        <v>23</v>
      </c>
      <c r="L1" s="2" t="s">
        <v>24</v>
      </c>
      <c r="M1" s="65" t="s">
        <v>108</v>
      </c>
      <c r="N1" s="13" t="s">
        <v>106</v>
      </c>
      <c r="O1" s="13" t="s">
        <v>107</v>
      </c>
      <c r="P1" s="13" t="s">
        <v>111</v>
      </c>
      <c r="Q1" s="13" t="s">
        <v>116</v>
      </c>
      <c r="R1" s="13" t="s">
        <v>117</v>
      </c>
      <c r="S1" s="13" t="s">
        <v>118</v>
      </c>
    </row>
    <row r="2" spans="1:19" ht="15">
      <c r="A2" s="2" t="s">
        <v>5</v>
      </c>
      <c r="B2" s="3">
        <v>6622</v>
      </c>
      <c r="C2" s="3">
        <v>0</v>
      </c>
      <c r="D2" s="3">
        <v>6619</v>
      </c>
      <c r="E2" s="3">
        <v>3</v>
      </c>
      <c r="F2" s="16">
        <f t="shared" ref="F2:F14" si="0">C2/B2</f>
        <v>0</v>
      </c>
      <c r="G2" s="16">
        <f t="shared" ref="G2:G14" si="1">D2/B2</f>
        <v>0.99954696466324378</v>
      </c>
      <c r="H2" s="16">
        <f t="shared" ref="H2:H16" si="2">E2/B2</f>
        <v>4.5303533675626698E-4</v>
      </c>
      <c r="I2" s="71" t="s">
        <v>5</v>
      </c>
      <c r="J2" s="71">
        <v>9679</v>
      </c>
      <c r="K2" s="71">
        <v>1789</v>
      </c>
      <c r="L2" s="71">
        <v>866</v>
      </c>
      <c r="M2" s="71">
        <f>721+163</f>
        <v>884</v>
      </c>
      <c r="N2" s="71"/>
      <c r="O2" s="71"/>
      <c r="P2" s="71"/>
      <c r="Q2" s="71"/>
      <c r="R2" s="71"/>
      <c r="S2" s="71"/>
    </row>
    <row r="3" spans="1:19" ht="15">
      <c r="A3" s="2" t="s">
        <v>6</v>
      </c>
      <c r="B3" s="3">
        <v>6127</v>
      </c>
      <c r="C3" s="3">
        <v>2149</v>
      </c>
      <c r="D3" s="3">
        <v>3968</v>
      </c>
      <c r="E3" s="3">
        <v>10</v>
      </c>
      <c r="F3" s="16">
        <f t="shared" si="0"/>
        <v>0.35074261465643869</v>
      </c>
      <c r="G3" s="16">
        <f t="shared" si="1"/>
        <v>0.64762526521952013</v>
      </c>
      <c r="H3" s="16">
        <f t="shared" si="2"/>
        <v>1.6321201240411295E-3</v>
      </c>
      <c r="I3" s="69" t="s">
        <v>6</v>
      </c>
      <c r="J3" s="69">
        <v>2079</v>
      </c>
      <c r="K3" s="69">
        <v>227</v>
      </c>
      <c r="L3" s="69">
        <v>223</v>
      </c>
      <c r="M3" s="69">
        <f>363+91+5</f>
        <v>459</v>
      </c>
      <c r="N3" s="69"/>
      <c r="O3" s="69"/>
      <c r="P3" s="69"/>
      <c r="Q3" s="69"/>
      <c r="R3" s="69"/>
      <c r="S3" s="69"/>
    </row>
    <row r="4" spans="1:19" ht="15">
      <c r="A4" s="2" t="s">
        <v>7</v>
      </c>
      <c r="B4" s="3">
        <v>6500</v>
      </c>
      <c r="C4" s="3">
        <v>687</v>
      </c>
      <c r="D4" s="3">
        <v>5810</v>
      </c>
      <c r="E4" s="3">
        <v>1</v>
      </c>
      <c r="F4" s="16">
        <f t="shared" si="0"/>
        <v>0.1056923076923077</v>
      </c>
      <c r="G4" s="16">
        <f t="shared" si="1"/>
        <v>0.89384615384615385</v>
      </c>
      <c r="H4" s="16">
        <f t="shared" si="2"/>
        <v>1.5384615384615385E-4</v>
      </c>
      <c r="I4" s="70" t="s">
        <v>7</v>
      </c>
      <c r="J4" s="70">
        <v>2588</v>
      </c>
      <c r="K4" s="70">
        <v>319</v>
      </c>
      <c r="L4" s="70">
        <v>330</v>
      </c>
      <c r="M4" s="70">
        <f>269+91</f>
        <v>360</v>
      </c>
      <c r="N4" s="70"/>
      <c r="O4" s="70"/>
      <c r="P4" s="70"/>
      <c r="Q4" s="70"/>
      <c r="R4" s="70"/>
      <c r="S4" s="70"/>
    </row>
    <row r="5" spans="1:19" ht="15">
      <c r="A5" s="2" t="s">
        <v>8</v>
      </c>
      <c r="B5" s="3">
        <v>6061</v>
      </c>
      <c r="C5" s="3">
        <v>1894</v>
      </c>
      <c r="D5" s="3">
        <v>4162</v>
      </c>
      <c r="E5" s="3">
        <v>4</v>
      </c>
      <c r="F5" s="16">
        <f t="shared" si="0"/>
        <v>0.31248968817026895</v>
      </c>
      <c r="G5" s="16">
        <f t="shared" si="1"/>
        <v>0.6866853654512457</v>
      </c>
      <c r="H5" s="16">
        <f t="shared" si="2"/>
        <v>6.5995710278831873E-4</v>
      </c>
      <c r="I5" s="72" t="s">
        <v>8</v>
      </c>
      <c r="J5" s="72">
        <v>3607</v>
      </c>
      <c r="K5" s="72">
        <v>436</v>
      </c>
      <c r="L5" s="72">
        <v>688</v>
      </c>
      <c r="M5" s="72">
        <f>400+121+1</f>
        <v>522</v>
      </c>
      <c r="N5" s="72"/>
      <c r="O5" s="72"/>
      <c r="P5" s="72"/>
      <c r="Q5" s="72"/>
      <c r="R5" s="72"/>
      <c r="S5" s="72"/>
    </row>
    <row r="6" spans="1:19" ht="15">
      <c r="A6" s="2" t="s">
        <v>9</v>
      </c>
      <c r="B6" s="3">
        <v>7394</v>
      </c>
      <c r="C6" s="3">
        <v>0</v>
      </c>
      <c r="D6" s="3">
        <v>7394</v>
      </c>
      <c r="E6" s="3">
        <v>0</v>
      </c>
      <c r="F6" s="16">
        <f t="shared" si="0"/>
        <v>0</v>
      </c>
      <c r="G6" s="16">
        <f t="shared" si="1"/>
        <v>1</v>
      </c>
      <c r="H6" s="16">
        <f t="shared" si="2"/>
        <v>0</v>
      </c>
      <c r="I6" s="73" t="s">
        <v>9</v>
      </c>
      <c r="J6" s="73">
        <v>2797</v>
      </c>
      <c r="K6" s="73">
        <v>682</v>
      </c>
      <c r="L6" s="73">
        <v>382</v>
      </c>
      <c r="M6" s="73">
        <f>299+109</f>
        <v>408</v>
      </c>
      <c r="N6" s="73"/>
      <c r="O6" s="73"/>
      <c r="P6" s="73"/>
      <c r="Q6" s="73"/>
      <c r="R6" s="73"/>
      <c r="S6" s="73"/>
    </row>
    <row r="7" spans="1:19" ht="15">
      <c r="A7" s="2" t="s">
        <v>10</v>
      </c>
      <c r="B7" s="3">
        <v>6038</v>
      </c>
      <c r="C7" s="3">
        <v>0</v>
      </c>
      <c r="D7" s="3">
        <v>6036</v>
      </c>
      <c r="E7" s="3">
        <v>0</v>
      </c>
      <c r="F7" s="16">
        <f t="shared" si="0"/>
        <v>0</v>
      </c>
      <c r="G7" s="16">
        <f t="shared" si="1"/>
        <v>0.99966876449155351</v>
      </c>
      <c r="H7" s="16">
        <f t="shared" si="2"/>
        <v>0</v>
      </c>
      <c r="I7" s="74" t="s">
        <v>10</v>
      </c>
      <c r="J7" s="74">
        <v>3752</v>
      </c>
      <c r="K7" s="74">
        <v>629</v>
      </c>
      <c r="L7" s="74">
        <v>790</v>
      </c>
      <c r="M7" s="74">
        <f>254+89+2</f>
        <v>345</v>
      </c>
      <c r="N7" s="74"/>
      <c r="O7" s="74"/>
      <c r="P7" s="74"/>
      <c r="Q7" s="74"/>
      <c r="R7" s="74"/>
      <c r="S7" s="74"/>
    </row>
    <row r="8" spans="1:19" ht="15">
      <c r="A8" s="2" t="s">
        <v>11</v>
      </c>
      <c r="B8" s="3">
        <v>6844</v>
      </c>
      <c r="C8" s="3">
        <v>0</v>
      </c>
      <c r="D8" s="3">
        <v>6844</v>
      </c>
      <c r="E8" s="3">
        <v>0</v>
      </c>
      <c r="F8" s="18">
        <f t="shared" si="0"/>
        <v>0</v>
      </c>
      <c r="G8" s="18">
        <f t="shared" si="1"/>
        <v>1</v>
      </c>
      <c r="H8" s="18">
        <f t="shared" si="2"/>
        <v>0</v>
      </c>
      <c r="I8" s="75" t="s">
        <v>11</v>
      </c>
      <c r="J8" s="75">
        <v>1516</v>
      </c>
      <c r="K8" s="75">
        <v>396</v>
      </c>
      <c r="L8" s="75">
        <v>236</v>
      </c>
      <c r="M8" s="75">
        <f>85+82</f>
        <v>167</v>
      </c>
      <c r="N8" s="75"/>
      <c r="O8" s="75"/>
      <c r="P8" s="75"/>
      <c r="Q8" s="75"/>
      <c r="R8" s="75"/>
      <c r="S8" s="75"/>
    </row>
    <row r="9" spans="1:19" ht="15">
      <c r="A9" s="2" t="s">
        <v>12</v>
      </c>
      <c r="B9" s="3">
        <v>6045</v>
      </c>
      <c r="C9" s="3">
        <v>0</v>
      </c>
      <c r="D9" s="3">
        <v>6045</v>
      </c>
      <c r="E9" s="3">
        <v>0</v>
      </c>
      <c r="F9" s="16">
        <f t="shared" si="0"/>
        <v>0</v>
      </c>
      <c r="G9" s="16">
        <f t="shared" si="1"/>
        <v>1</v>
      </c>
      <c r="H9" s="16">
        <f t="shared" si="2"/>
        <v>0</v>
      </c>
      <c r="I9" s="76" t="s">
        <v>12</v>
      </c>
      <c r="J9" s="76">
        <v>1068</v>
      </c>
      <c r="K9" s="76">
        <v>166</v>
      </c>
      <c r="L9" s="76">
        <v>165</v>
      </c>
      <c r="M9" s="76">
        <f>64+56+1</f>
        <v>121</v>
      </c>
      <c r="N9" s="76"/>
      <c r="O9" s="76"/>
      <c r="P9" s="76"/>
      <c r="Q9" s="76"/>
      <c r="R9" s="76"/>
      <c r="S9" s="76"/>
    </row>
    <row r="10" spans="1:19" ht="15">
      <c r="A10" s="2" t="s">
        <v>13</v>
      </c>
      <c r="B10" s="3">
        <v>6699</v>
      </c>
      <c r="C10" s="3">
        <v>0</v>
      </c>
      <c r="D10" s="3">
        <v>6699</v>
      </c>
      <c r="E10" s="3">
        <v>0</v>
      </c>
      <c r="F10" s="16">
        <f t="shared" si="0"/>
        <v>0</v>
      </c>
      <c r="G10" s="16">
        <f t="shared" si="1"/>
        <v>1</v>
      </c>
      <c r="H10" s="16">
        <f t="shared" si="2"/>
        <v>0</v>
      </c>
      <c r="I10" s="71" t="s">
        <v>13</v>
      </c>
      <c r="J10" s="71">
        <v>799</v>
      </c>
      <c r="K10" s="71">
        <v>134</v>
      </c>
      <c r="L10" s="71">
        <v>22</v>
      </c>
      <c r="M10" s="71">
        <f>37+72</f>
        <v>109</v>
      </c>
      <c r="N10" s="71"/>
      <c r="O10" s="71"/>
      <c r="P10" s="71"/>
      <c r="Q10" s="71"/>
      <c r="R10" s="71"/>
      <c r="S10" s="71"/>
    </row>
    <row r="11" spans="1:19" ht="15">
      <c r="A11" s="2" t="s">
        <v>14</v>
      </c>
      <c r="B11" s="3">
        <v>6016</v>
      </c>
      <c r="C11" s="3">
        <v>0</v>
      </c>
      <c r="D11" s="3">
        <v>6016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69" t="s">
        <v>14</v>
      </c>
      <c r="J11" s="69">
        <v>447</v>
      </c>
      <c r="K11" s="69">
        <v>34</v>
      </c>
      <c r="L11" s="69">
        <v>17</v>
      </c>
      <c r="M11" s="69">
        <f>76+38</f>
        <v>114</v>
      </c>
      <c r="N11" s="69"/>
      <c r="O11" s="69"/>
      <c r="P11" s="69"/>
      <c r="Q11" s="69"/>
      <c r="R11" s="69"/>
      <c r="S11" s="69"/>
    </row>
    <row r="12" spans="1:19" ht="15">
      <c r="A12" s="2" t="s">
        <v>15</v>
      </c>
      <c r="B12" s="3">
        <v>6628</v>
      </c>
      <c r="C12" s="3">
        <v>0</v>
      </c>
      <c r="D12" s="3">
        <v>6628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70" t="s">
        <v>25</v>
      </c>
      <c r="J12" s="70">
        <v>372</v>
      </c>
      <c r="K12" s="70">
        <v>34</v>
      </c>
      <c r="L12" s="70">
        <v>30</v>
      </c>
      <c r="M12" s="70">
        <f>68+35</f>
        <v>103</v>
      </c>
      <c r="N12" s="70"/>
      <c r="O12" s="70"/>
      <c r="P12" s="70"/>
      <c r="Q12" s="70"/>
      <c r="R12" s="70"/>
      <c r="S12" s="70"/>
    </row>
    <row r="13" spans="1:19" ht="15">
      <c r="A13" s="2" t="s">
        <v>16</v>
      </c>
      <c r="B13" s="3">
        <v>6185</v>
      </c>
      <c r="C13" s="3">
        <v>0</v>
      </c>
      <c r="D13" s="3">
        <v>6185</v>
      </c>
      <c r="E13" s="3">
        <v>0</v>
      </c>
      <c r="F13" s="16">
        <f t="shared" si="0"/>
        <v>0</v>
      </c>
      <c r="G13" s="16">
        <f t="shared" si="1"/>
        <v>1</v>
      </c>
      <c r="H13" s="16">
        <f t="shared" si="2"/>
        <v>0</v>
      </c>
      <c r="I13" s="72" t="s">
        <v>26</v>
      </c>
      <c r="J13" s="72">
        <v>441</v>
      </c>
      <c r="K13" s="72">
        <v>21</v>
      </c>
      <c r="L13" s="72">
        <v>7</v>
      </c>
      <c r="M13" s="72">
        <f>17+66</f>
        <v>83</v>
      </c>
      <c r="N13" s="72"/>
      <c r="O13" s="72"/>
      <c r="P13" s="72"/>
      <c r="Q13" s="72"/>
      <c r="R13" s="72"/>
      <c r="S13" s="72"/>
    </row>
    <row r="14" spans="1:19" ht="15">
      <c r="A14" s="2" t="s">
        <v>17</v>
      </c>
      <c r="B14" s="3">
        <v>6632</v>
      </c>
      <c r="C14" s="3">
        <v>0</v>
      </c>
      <c r="D14" s="3">
        <v>6632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73" t="s">
        <v>27</v>
      </c>
      <c r="J14" s="73">
        <v>534</v>
      </c>
      <c r="K14" s="73">
        <v>79</v>
      </c>
      <c r="L14" s="73">
        <v>35</v>
      </c>
      <c r="M14" s="73">
        <f>54+20</f>
        <v>74</v>
      </c>
      <c r="N14" s="73"/>
      <c r="O14" s="73"/>
      <c r="P14" s="73"/>
      <c r="Q14" s="73"/>
      <c r="R14" s="73"/>
      <c r="S14" s="73"/>
    </row>
    <row r="15" spans="1:19" ht="15">
      <c r="A15" s="2" t="s">
        <v>18</v>
      </c>
      <c r="B15" s="3">
        <v>6108</v>
      </c>
      <c r="C15" s="3">
        <v>6105</v>
      </c>
      <c r="D15" s="21">
        <v>0</v>
      </c>
      <c r="E15" s="3">
        <v>3</v>
      </c>
      <c r="F15" s="16">
        <f>C15/B15</f>
        <v>0.99950884086444003</v>
      </c>
      <c r="G15" s="16">
        <f>D15/B15</f>
        <v>0</v>
      </c>
      <c r="H15" s="16">
        <f t="shared" si="2"/>
        <v>4.9115913555992138E-4</v>
      </c>
      <c r="I15" s="74" t="s">
        <v>18</v>
      </c>
      <c r="J15" s="74">
        <v>481</v>
      </c>
      <c r="K15" s="74">
        <v>29</v>
      </c>
      <c r="L15" s="74">
        <v>17</v>
      </c>
      <c r="M15" s="74">
        <f>21+11</f>
        <v>32</v>
      </c>
      <c r="N15" s="74"/>
      <c r="O15" s="74"/>
      <c r="P15" s="74"/>
      <c r="Q15" s="74"/>
      <c r="R15" s="74"/>
      <c r="S15" s="74"/>
    </row>
    <row r="16" spans="1:19" ht="15">
      <c r="A16" s="2" t="s">
        <v>19</v>
      </c>
      <c r="B16" s="3">
        <f>SUM(B2:B15)</f>
        <v>89899</v>
      </c>
      <c r="C16" s="3">
        <f>SUM(C2:C15)</f>
        <v>10835</v>
      </c>
      <c r="D16" s="3">
        <f>SUM(D2:D15)</f>
        <v>79038</v>
      </c>
      <c r="E16" s="3">
        <f>SUM(E2:E15)</f>
        <v>21</v>
      </c>
      <c r="F16" s="16">
        <f>C16/B16</f>
        <v>0.12052414376133216</v>
      </c>
      <c r="G16" s="16">
        <f>D16/B16</f>
        <v>0.87918664278801761</v>
      </c>
      <c r="H16" s="16">
        <f t="shared" si="2"/>
        <v>2.3359547937129447E-4</v>
      </c>
      <c r="I16" s="2"/>
      <c r="J16" s="3">
        <f>SUM(J2:J15)</f>
        <v>30160</v>
      </c>
      <c r="K16" s="3">
        <f>SUM(K2:K15)</f>
        <v>4975</v>
      </c>
      <c r="L16" s="3">
        <f>SUM(L2:L15)</f>
        <v>3808</v>
      </c>
      <c r="M16" s="3">
        <f>SUM(M2:M15)</f>
        <v>3781</v>
      </c>
      <c r="N16" s="5"/>
      <c r="O16" s="5"/>
      <c r="P16" s="5"/>
      <c r="Q16" s="5"/>
      <c r="R16" s="5"/>
      <c r="S16" s="5"/>
    </row>
    <row r="17" spans="1:17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7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7" ht="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7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7" ht="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O21" s="66"/>
    </row>
    <row r="22" spans="1:17" ht="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7" ht="15">
      <c r="A23" s="2" t="s">
        <v>29</v>
      </c>
      <c r="B23" s="2" t="s">
        <v>1</v>
      </c>
      <c r="C23" s="2" t="s">
        <v>21</v>
      </c>
      <c r="D23" s="2" t="s">
        <v>3</v>
      </c>
      <c r="E23" s="2" t="s">
        <v>4</v>
      </c>
      <c r="F23" s="2" t="s">
        <v>33</v>
      </c>
      <c r="G23" s="2" t="s">
        <v>34</v>
      </c>
      <c r="H23" s="2" t="s">
        <v>35</v>
      </c>
      <c r="I23" s="2"/>
      <c r="J23" s="2" t="s">
        <v>30</v>
      </c>
      <c r="K23" s="2" t="s">
        <v>23</v>
      </c>
      <c r="L23" s="2" t="s">
        <v>24</v>
      </c>
      <c r="M23" s="65" t="s">
        <v>108</v>
      </c>
      <c r="N23" s="13" t="s">
        <v>106</v>
      </c>
      <c r="O23" s="13" t="s">
        <v>107</v>
      </c>
      <c r="P23" s="13" t="s">
        <v>111</v>
      </c>
      <c r="Q23" s="13" t="s">
        <v>116</v>
      </c>
    </row>
    <row r="24" spans="1:17" ht="15">
      <c r="A24" s="2" t="s">
        <v>5</v>
      </c>
      <c r="B24" s="3">
        <v>85</v>
      </c>
      <c r="C24" s="3">
        <v>69</v>
      </c>
      <c r="D24" s="2">
        <v>16</v>
      </c>
      <c r="E24" s="2">
        <v>0</v>
      </c>
      <c r="F24" s="16">
        <f t="shared" ref="F24:F38" si="3">C24/B24</f>
        <v>0.81176470588235294</v>
      </c>
      <c r="G24" s="16">
        <f t="shared" ref="G24:G38" si="4">D24/B24</f>
        <v>0.18823529411764706</v>
      </c>
      <c r="H24" s="16">
        <f t="shared" ref="H24:H38" si="5">E24/B24</f>
        <v>0</v>
      </c>
      <c r="I24" s="71" t="s">
        <v>5</v>
      </c>
      <c r="J24" s="71">
        <f>9664</f>
        <v>9664</v>
      </c>
      <c r="K24" s="71">
        <v>1784</v>
      </c>
      <c r="L24" s="71">
        <v>848</v>
      </c>
      <c r="M24" s="71">
        <f>738+169+5</f>
        <v>912</v>
      </c>
      <c r="N24" s="71"/>
      <c r="O24" s="71"/>
      <c r="P24" s="71"/>
      <c r="Q24" s="71"/>
    </row>
    <row r="25" spans="1:17" ht="15">
      <c r="A25" s="2" t="s">
        <v>6</v>
      </c>
      <c r="B25" s="3">
        <f>SUM(35+208)</f>
        <v>243</v>
      </c>
      <c r="C25" s="3">
        <f>SUM(189+32)</f>
        <v>221</v>
      </c>
      <c r="D25" s="3">
        <f>SUM(3+7+9)</f>
        <v>19</v>
      </c>
      <c r="E25" s="3">
        <v>3</v>
      </c>
      <c r="F25" s="16">
        <f t="shared" si="3"/>
        <v>0.90946502057613166</v>
      </c>
      <c r="G25" s="16">
        <f t="shared" si="4"/>
        <v>7.8189300411522639E-2</v>
      </c>
      <c r="H25" s="16">
        <f t="shared" si="5"/>
        <v>1.2345679012345678E-2</v>
      </c>
      <c r="I25" s="69" t="s">
        <v>6</v>
      </c>
      <c r="J25" s="69">
        <v>2016</v>
      </c>
      <c r="K25" s="69">
        <v>228</v>
      </c>
      <c r="L25" s="69">
        <v>227</v>
      </c>
      <c r="M25" s="69">
        <f>360+91</f>
        <v>451</v>
      </c>
      <c r="N25" s="69"/>
      <c r="O25" s="69"/>
      <c r="P25" s="69"/>
      <c r="Q25" s="69"/>
    </row>
    <row r="26" spans="1:17" ht="15">
      <c r="A26" s="2" t="s">
        <v>7</v>
      </c>
      <c r="B26" s="3">
        <f>SUM(205+131)</f>
        <v>336</v>
      </c>
      <c r="C26" s="3">
        <f>SUM(195+129)</f>
        <v>324</v>
      </c>
      <c r="D26" s="3">
        <f>SUM(10+2)</f>
        <v>12</v>
      </c>
      <c r="E26" s="3">
        <v>0</v>
      </c>
      <c r="F26" s="16">
        <f t="shared" si="3"/>
        <v>0.9642857142857143</v>
      </c>
      <c r="G26" s="16">
        <f t="shared" si="4"/>
        <v>3.5714285714285712E-2</v>
      </c>
      <c r="H26" s="16">
        <f t="shared" si="5"/>
        <v>0</v>
      </c>
      <c r="I26" s="70" t="s">
        <v>7</v>
      </c>
      <c r="J26" s="70">
        <v>2571</v>
      </c>
      <c r="K26" s="70">
        <v>321</v>
      </c>
      <c r="L26" s="70">
        <v>316</v>
      </c>
      <c r="M26" s="70">
        <f>268+86</f>
        <v>354</v>
      </c>
      <c r="N26" s="70"/>
      <c r="O26" s="70"/>
      <c r="P26" s="70"/>
      <c r="Q26" s="70"/>
    </row>
    <row r="27" spans="1:17" ht="15">
      <c r="A27" s="2" t="s">
        <v>8</v>
      </c>
      <c r="B27" s="3">
        <f>SUM(202+15+23)</f>
        <v>240</v>
      </c>
      <c r="C27" s="3">
        <f>SUM(11+6)</f>
        <v>17</v>
      </c>
      <c r="D27" s="3">
        <f>SUM(1+40+15)</f>
        <v>56</v>
      </c>
      <c r="E27" s="3">
        <f>SUM(16+137+15)</f>
        <v>168</v>
      </c>
      <c r="F27" s="16">
        <f t="shared" si="3"/>
        <v>7.0833333333333331E-2</v>
      </c>
      <c r="G27" s="16">
        <f t="shared" si="4"/>
        <v>0.23333333333333334</v>
      </c>
      <c r="H27" s="16">
        <f t="shared" si="5"/>
        <v>0.7</v>
      </c>
      <c r="I27" s="72" t="s">
        <v>8</v>
      </c>
      <c r="J27" s="72">
        <v>3558</v>
      </c>
      <c r="K27" s="72">
        <v>423</v>
      </c>
      <c r="L27" s="72">
        <v>689</v>
      </c>
      <c r="M27" s="72">
        <f>377+112+1</f>
        <v>490</v>
      </c>
      <c r="N27" s="72"/>
      <c r="O27" s="72"/>
      <c r="P27" s="72"/>
      <c r="Q27" s="72"/>
    </row>
    <row r="28" spans="1:17" ht="15">
      <c r="A28" s="2" t="s">
        <v>9</v>
      </c>
      <c r="B28" s="3">
        <f>SUM(24+187+154)</f>
        <v>365</v>
      </c>
      <c r="C28" s="3">
        <f>SUM(132+114)</f>
        <v>246</v>
      </c>
      <c r="D28" s="3">
        <f>SUM(55+40+24)</f>
        <v>119</v>
      </c>
      <c r="E28" s="3">
        <v>0</v>
      </c>
      <c r="F28" s="16">
        <f t="shared" si="3"/>
        <v>0.67397260273972603</v>
      </c>
      <c r="G28" s="16">
        <f t="shared" si="4"/>
        <v>0.32602739726027397</v>
      </c>
      <c r="H28" s="16">
        <f t="shared" si="5"/>
        <v>0</v>
      </c>
      <c r="I28" s="73" t="s">
        <v>9</v>
      </c>
      <c r="J28" s="73">
        <v>2891</v>
      </c>
      <c r="K28" s="73">
        <v>709</v>
      </c>
      <c r="L28" s="73">
        <v>389</v>
      </c>
      <c r="M28" s="73">
        <f>334+110</f>
        <v>444</v>
      </c>
      <c r="N28" s="73"/>
      <c r="O28" s="73"/>
      <c r="P28" s="73"/>
      <c r="Q28" s="73"/>
    </row>
    <row r="29" spans="1:17" ht="15">
      <c r="A29" s="2" t="s">
        <v>10</v>
      </c>
      <c r="B29" s="3">
        <f>SUM(231+19)</f>
        <v>250</v>
      </c>
      <c r="C29" s="3">
        <f>SUM(81+6)</f>
        <v>87</v>
      </c>
      <c r="D29" s="3">
        <f>SUM(85+3+65)</f>
        <v>153</v>
      </c>
      <c r="E29" s="3">
        <v>10</v>
      </c>
      <c r="F29" s="16">
        <f t="shared" si="3"/>
        <v>0.34799999999999998</v>
      </c>
      <c r="G29" s="16">
        <f t="shared" si="4"/>
        <v>0.61199999999999999</v>
      </c>
      <c r="H29" s="16">
        <f t="shared" si="5"/>
        <v>0.04</v>
      </c>
      <c r="I29" s="74" t="s">
        <v>10</v>
      </c>
      <c r="J29" s="74">
        <v>3708</v>
      </c>
      <c r="K29" s="74">
        <v>585</v>
      </c>
      <c r="L29" s="74">
        <v>751</v>
      </c>
      <c r="M29" s="74">
        <f>268+89+2</f>
        <v>359</v>
      </c>
      <c r="N29" s="74"/>
      <c r="O29" s="74"/>
      <c r="P29" s="74"/>
      <c r="Q29" s="74"/>
    </row>
    <row r="30" spans="1:17" ht="15">
      <c r="A30" s="2" t="s">
        <v>11</v>
      </c>
      <c r="B30" s="3">
        <f>SUM(210+154)</f>
        <v>364</v>
      </c>
      <c r="C30" s="3">
        <v>0</v>
      </c>
      <c r="D30" s="3">
        <f>SUM(138+72+154)</f>
        <v>364</v>
      </c>
      <c r="E30" s="3">
        <v>0</v>
      </c>
      <c r="F30" s="16">
        <f t="shared" si="3"/>
        <v>0</v>
      </c>
      <c r="G30" s="16">
        <f t="shared" si="4"/>
        <v>1</v>
      </c>
      <c r="H30" s="16">
        <f t="shared" si="5"/>
        <v>0</v>
      </c>
      <c r="I30" s="75" t="s">
        <v>11</v>
      </c>
      <c r="J30" s="75">
        <v>1591</v>
      </c>
      <c r="K30" s="75">
        <v>396</v>
      </c>
      <c r="L30" s="75">
        <v>233</v>
      </c>
      <c r="M30" s="75">
        <f>95+83</f>
        <v>178</v>
      </c>
      <c r="N30" s="75"/>
      <c r="O30" s="75"/>
      <c r="P30" s="75"/>
      <c r="Q30" s="75"/>
    </row>
    <row r="31" spans="1:17" ht="15">
      <c r="A31" s="2" t="s">
        <v>12</v>
      </c>
      <c r="B31" s="3">
        <f>SUM(193+34)</f>
        <v>227</v>
      </c>
      <c r="C31" s="3">
        <v>2</v>
      </c>
      <c r="D31" s="3">
        <f>SUM(112+34+79)</f>
        <v>225</v>
      </c>
      <c r="E31" s="3">
        <v>0</v>
      </c>
      <c r="F31" s="16">
        <f t="shared" si="3"/>
        <v>8.8105726872246704E-3</v>
      </c>
      <c r="G31" s="16">
        <f t="shared" si="4"/>
        <v>0.99118942731277537</v>
      </c>
      <c r="H31" s="16">
        <f t="shared" si="5"/>
        <v>0</v>
      </c>
      <c r="I31" s="76" t="s">
        <v>12</v>
      </c>
      <c r="J31" s="76">
        <v>1049</v>
      </c>
      <c r="K31" s="76">
        <v>173</v>
      </c>
      <c r="L31" s="76">
        <v>154</v>
      </c>
      <c r="M31" s="76">
        <f>63+57+1</f>
        <v>121</v>
      </c>
      <c r="N31" s="76"/>
      <c r="O31" s="76"/>
      <c r="P31" s="76"/>
      <c r="Q31" s="76"/>
    </row>
    <row r="32" spans="1:17" ht="15">
      <c r="A32" s="2" t="s">
        <v>13</v>
      </c>
      <c r="B32" s="3">
        <f>SUM(202+187)</f>
        <v>389</v>
      </c>
      <c r="C32" s="3">
        <f>SUM(46+30)</f>
        <v>76</v>
      </c>
      <c r="D32" s="3">
        <f>SUM(18+3)</f>
        <v>21</v>
      </c>
      <c r="E32" s="3">
        <f>SUM(145+19+123+5)</f>
        <v>292</v>
      </c>
      <c r="F32" s="18">
        <f t="shared" si="3"/>
        <v>0.19537275064267351</v>
      </c>
      <c r="G32" s="18">
        <f t="shared" si="4"/>
        <v>5.3984575835475578E-2</v>
      </c>
      <c r="H32" s="18">
        <f t="shared" si="5"/>
        <v>0.75064267352185088</v>
      </c>
      <c r="I32" s="71" t="s">
        <v>13</v>
      </c>
      <c r="J32" s="71">
        <v>747</v>
      </c>
      <c r="K32" s="71">
        <v>134</v>
      </c>
      <c r="L32" s="71">
        <v>20</v>
      </c>
      <c r="M32" s="71">
        <f>39+73</f>
        <v>112</v>
      </c>
      <c r="N32" s="71"/>
      <c r="O32" s="71"/>
      <c r="P32" s="71"/>
      <c r="Q32" s="71"/>
    </row>
    <row r="33" spans="1:17" ht="15">
      <c r="A33" s="2" t="s">
        <v>14</v>
      </c>
      <c r="B33" s="3">
        <f>SUM(228+32)</f>
        <v>260</v>
      </c>
      <c r="C33" s="3">
        <f>SUM(202+31)</f>
        <v>233</v>
      </c>
      <c r="D33" s="3">
        <f>SUM(6+8+13)</f>
        <v>27</v>
      </c>
      <c r="E33" s="2">
        <v>0</v>
      </c>
      <c r="F33" s="18">
        <f t="shared" si="3"/>
        <v>0.89615384615384619</v>
      </c>
      <c r="G33" s="18">
        <f t="shared" si="4"/>
        <v>0.10384615384615385</v>
      </c>
      <c r="H33" s="18">
        <f t="shared" si="5"/>
        <v>0</v>
      </c>
      <c r="I33" s="69" t="s">
        <v>14</v>
      </c>
      <c r="J33" s="69">
        <v>455</v>
      </c>
      <c r="K33" s="69">
        <v>36</v>
      </c>
      <c r="L33" s="69">
        <v>17</v>
      </c>
      <c r="M33" s="69">
        <f>77+38</f>
        <v>115</v>
      </c>
      <c r="N33" s="69"/>
      <c r="O33" s="69"/>
      <c r="P33" s="69"/>
      <c r="Q33" s="69"/>
    </row>
    <row r="34" spans="1:17" ht="15">
      <c r="A34" s="2" t="s">
        <v>15</v>
      </c>
      <c r="B34" s="2">
        <v>98</v>
      </c>
      <c r="C34" s="2">
        <v>91</v>
      </c>
      <c r="D34" s="2">
        <v>7</v>
      </c>
      <c r="E34" s="2">
        <v>0</v>
      </c>
      <c r="F34" s="16">
        <f t="shared" si="3"/>
        <v>0.9285714285714286</v>
      </c>
      <c r="G34" s="16">
        <f t="shared" si="4"/>
        <v>7.1428571428571425E-2</v>
      </c>
      <c r="H34" s="16">
        <f t="shared" si="5"/>
        <v>0</v>
      </c>
      <c r="I34" s="70" t="s">
        <v>25</v>
      </c>
      <c r="J34" s="70">
        <v>420</v>
      </c>
      <c r="K34" s="70">
        <v>35</v>
      </c>
      <c r="L34" s="70">
        <v>32</v>
      </c>
      <c r="M34" s="70">
        <f>69+35</f>
        <v>104</v>
      </c>
      <c r="N34" s="70"/>
      <c r="O34" s="70"/>
      <c r="P34" s="70"/>
      <c r="Q34" s="70"/>
    </row>
    <row r="35" spans="1:17" ht="15">
      <c r="A35" s="2" t="s">
        <v>16</v>
      </c>
      <c r="B35" s="3">
        <v>223</v>
      </c>
      <c r="C35" s="3">
        <v>0</v>
      </c>
      <c r="D35" s="3">
        <f>SUM(125+74+24)</f>
        <v>223</v>
      </c>
      <c r="E35" s="3">
        <v>0</v>
      </c>
      <c r="F35" s="16">
        <f t="shared" si="3"/>
        <v>0</v>
      </c>
      <c r="G35" s="16">
        <f t="shared" si="4"/>
        <v>1</v>
      </c>
      <c r="H35" s="16">
        <f t="shared" si="5"/>
        <v>0</v>
      </c>
      <c r="I35" s="72" t="s">
        <v>26</v>
      </c>
      <c r="J35" s="72">
        <v>437</v>
      </c>
      <c r="K35" s="72">
        <v>23</v>
      </c>
      <c r="L35" s="72">
        <v>7</v>
      </c>
      <c r="M35" s="72">
        <f>24+66</f>
        <v>90</v>
      </c>
      <c r="N35" s="72"/>
      <c r="O35" s="72"/>
      <c r="P35" s="72"/>
      <c r="Q35" s="72"/>
    </row>
    <row r="36" spans="1:17" ht="15">
      <c r="A36" s="2" t="s">
        <v>17</v>
      </c>
      <c r="B36" s="3">
        <f>SUM(210+130)</f>
        <v>340</v>
      </c>
      <c r="C36" s="3">
        <v>0</v>
      </c>
      <c r="D36" s="3">
        <f>SUM(210+130)</f>
        <v>340</v>
      </c>
      <c r="E36" s="3">
        <v>0</v>
      </c>
      <c r="F36" s="16">
        <f t="shared" si="3"/>
        <v>0</v>
      </c>
      <c r="G36" s="16">
        <f t="shared" si="4"/>
        <v>1</v>
      </c>
      <c r="H36" s="16">
        <f t="shared" si="5"/>
        <v>0</v>
      </c>
      <c r="I36" s="73" t="s">
        <v>27</v>
      </c>
      <c r="J36" s="73">
        <v>556</v>
      </c>
      <c r="K36" s="73">
        <v>72</v>
      </c>
      <c r="L36" s="73">
        <v>36</v>
      </c>
      <c r="M36" s="73">
        <f>56+20</f>
        <v>76</v>
      </c>
      <c r="N36" s="73"/>
      <c r="O36" s="73"/>
      <c r="P36" s="73"/>
      <c r="Q36" s="73"/>
    </row>
    <row r="37" spans="1:17" ht="15">
      <c r="A37" s="2" t="s">
        <v>18</v>
      </c>
      <c r="B37" s="3">
        <f>SUM(245+37)</f>
        <v>282</v>
      </c>
      <c r="C37" s="3">
        <f>SUM(217+35)</f>
        <v>252</v>
      </c>
      <c r="D37" s="3">
        <f>SUM(2+20+8)</f>
        <v>30</v>
      </c>
      <c r="E37" s="3">
        <v>0</v>
      </c>
      <c r="F37" s="16">
        <f t="shared" si="3"/>
        <v>0.8936170212765957</v>
      </c>
      <c r="G37" s="16">
        <f t="shared" si="4"/>
        <v>0.10638297872340426</v>
      </c>
      <c r="H37" s="16">
        <f t="shared" si="5"/>
        <v>0</v>
      </c>
      <c r="I37" s="74" t="s">
        <v>18</v>
      </c>
      <c r="J37" s="74">
        <v>516</v>
      </c>
      <c r="K37" s="74">
        <v>28</v>
      </c>
      <c r="L37" s="74">
        <v>19</v>
      </c>
      <c r="M37" s="74">
        <f>22+11</f>
        <v>33</v>
      </c>
      <c r="N37" s="74"/>
      <c r="O37" s="74"/>
      <c r="P37" s="74"/>
      <c r="Q37" s="74"/>
    </row>
    <row r="38" spans="1:17" ht="15">
      <c r="A38" s="2" t="s">
        <v>19</v>
      </c>
      <c r="B38" s="3">
        <f>SUM(B24:B37)</f>
        <v>3702</v>
      </c>
      <c r="C38" s="3">
        <f>SUM(C24:C37)</f>
        <v>1618</v>
      </c>
      <c r="D38" s="3">
        <f>SUM(D24:D37)</f>
        <v>1612</v>
      </c>
      <c r="E38" s="3">
        <f>SUM(E24:E37)</f>
        <v>473</v>
      </c>
      <c r="F38" s="16">
        <f t="shared" si="3"/>
        <v>0.43706104808211776</v>
      </c>
      <c r="G38" s="16">
        <f t="shared" si="4"/>
        <v>0.43544030253916804</v>
      </c>
      <c r="H38" s="16">
        <f t="shared" si="5"/>
        <v>0.1277687736358725</v>
      </c>
      <c r="I38" s="67"/>
      <c r="J38" s="68">
        <f>SUM(J24:J37)</f>
        <v>30179</v>
      </c>
      <c r="K38" s="68">
        <f>SUM(K24:K37)</f>
        <v>4947</v>
      </c>
      <c r="L38" s="68">
        <f t="shared" ref="L38:Q38" si="6">SUM(L24:L37)</f>
        <v>3738</v>
      </c>
      <c r="M38" s="68">
        <f t="shared" si="6"/>
        <v>3839</v>
      </c>
      <c r="N38" s="68">
        <f t="shared" si="6"/>
        <v>0</v>
      </c>
      <c r="O38" s="68">
        <f t="shared" si="6"/>
        <v>0</v>
      </c>
      <c r="P38" s="68">
        <f t="shared" si="6"/>
        <v>0</v>
      </c>
      <c r="Q38" s="68">
        <f t="shared" si="6"/>
        <v>0</v>
      </c>
    </row>
    <row r="39" spans="1:17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7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7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7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7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7" ht="15">
      <c r="A44" s="2" t="s">
        <v>31</v>
      </c>
      <c r="B44" s="2" t="s">
        <v>1</v>
      </c>
      <c r="C44" s="2" t="s">
        <v>21</v>
      </c>
      <c r="D44" s="2" t="s">
        <v>3</v>
      </c>
      <c r="E44" s="2" t="s">
        <v>4</v>
      </c>
      <c r="F44" s="2" t="s">
        <v>33</v>
      </c>
      <c r="G44" s="2" t="s">
        <v>34</v>
      </c>
      <c r="H44" s="2" t="s">
        <v>35</v>
      </c>
      <c r="I44" s="2"/>
      <c r="J44" s="2" t="s">
        <v>32</v>
      </c>
      <c r="K44" s="2" t="s">
        <v>23</v>
      </c>
      <c r="L44" s="2" t="s">
        <v>24</v>
      </c>
      <c r="M44" s="65" t="s">
        <v>108</v>
      </c>
      <c r="N44" s="13" t="s">
        <v>106</v>
      </c>
      <c r="O44" s="13" t="s">
        <v>107</v>
      </c>
      <c r="P44" s="13" t="s">
        <v>111</v>
      </c>
      <c r="Q44" s="13" t="s">
        <v>116</v>
      </c>
    </row>
    <row r="45" spans="1:17" ht="15">
      <c r="A45" s="2" t="s">
        <v>5</v>
      </c>
      <c r="B45" s="3">
        <f>196+85+247</f>
        <v>528</v>
      </c>
      <c r="C45" s="3">
        <f>72+32+81</f>
        <v>185</v>
      </c>
      <c r="D45" s="2">
        <f>53+124+166</f>
        <v>343</v>
      </c>
      <c r="E45" s="2">
        <v>0</v>
      </c>
      <c r="F45" s="16">
        <f t="shared" ref="F45:F59" si="7">C45/B45</f>
        <v>0.3503787878787879</v>
      </c>
      <c r="G45" s="16">
        <f t="shared" ref="G45:G59" si="8">D45/B45</f>
        <v>0.64962121212121215</v>
      </c>
      <c r="H45" s="16">
        <f t="shared" ref="H45:H59" si="9">E45/B45</f>
        <v>0</v>
      </c>
      <c r="I45" s="71" t="s">
        <v>5</v>
      </c>
      <c r="J45" s="71">
        <v>9710</v>
      </c>
      <c r="K45" s="71">
        <v>1767</v>
      </c>
      <c r="L45" s="71">
        <v>871</v>
      </c>
      <c r="M45" s="71">
        <f>742+169+5</f>
        <v>916</v>
      </c>
      <c r="N45" s="71"/>
      <c r="O45" s="71"/>
      <c r="P45" s="71"/>
      <c r="Q45" s="71"/>
    </row>
    <row r="46" spans="1:17" ht="15">
      <c r="A46" s="2" t="s">
        <v>6</v>
      </c>
      <c r="B46" s="3">
        <f>197+68+235</f>
        <v>500</v>
      </c>
      <c r="C46" s="3">
        <f>126+44+171</f>
        <v>341</v>
      </c>
      <c r="D46" s="3">
        <f>71+24+64</f>
        <v>159</v>
      </c>
      <c r="E46" s="3">
        <v>0</v>
      </c>
      <c r="F46" s="16">
        <f t="shared" si="7"/>
        <v>0.68200000000000005</v>
      </c>
      <c r="G46" s="16">
        <f t="shared" si="8"/>
        <v>0.318</v>
      </c>
      <c r="H46" s="16">
        <f t="shared" si="9"/>
        <v>0</v>
      </c>
      <c r="I46" s="69" t="s">
        <v>6</v>
      </c>
      <c r="J46" s="69">
        <v>2015</v>
      </c>
      <c r="K46" s="69">
        <v>223</v>
      </c>
      <c r="L46" s="69">
        <v>228</v>
      </c>
      <c r="M46" s="69">
        <f>365+91</f>
        <v>456</v>
      </c>
      <c r="N46" s="69"/>
      <c r="O46" s="69"/>
      <c r="P46" s="69"/>
      <c r="Q46" s="69"/>
    </row>
    <row r="47" spans="1:17" ht="15">
      <c r="A47" s="2" t="s">
        <v>7</v>
      </c>
      <c r="B47" s="3">
        <f>170+62+253</f>
        <v>485</v>
      </c>
      <c r="C47" s="3">
        <f>129+53+201</f>
        <v>383</v>
      </c>
      <c r="D47" s="3">
        <f>39+9+45</f>
        <v>93</v>
      </c>
      <c r="E47" s="3">
        <f>2+7</f>
        <v>9</v>
      </c>
      <c r="F47" s="16">
        <f t="shared" si="7"/>
        <v>0.78969072164948451</v>
      </c>
      <c r="G47" s="16">
        <f t="shared" si="8"/>
        <v>0.19175257731958764</v>
      </c>
      <c r="H47" s="16">
        <f t="shared" si="9"/>
        <v>1.8556701030927835E-2</v>
      </c>
      <c r="I47" s="70" t="s">
        <v>7</v>
      </c>
      <c r="J47" s="70">
        <v>2619</v>
      </c>
      <c r="K47" s="70">
        <v>320</v>
      </c>
      <c r="L47" s="70">
        <v>323</v>
      </c>
      <c r="M47" s="70">
        <f>274+85</f>
        <v>359</v>
      </c>
      <c r="N47" s="70"/>
      <c r="O47" s="70"/>
      <c r="P47" s="70"/>
      <c r="Q47" s="70"/>
    </row>
    <row r="48" spans="1:17" ht="15">
      <c r="A48" s="2" t="s">
        <v>8</v>
      </c>
      <c r="B48" s="3">
        <f>170+63+278</f>
        <v>511</v>
      </c>
      <c r="C48" s="3">
        <f>32+5+19</f>
        <v>56</v>
      </c>
      <c r="D48" s="3">
        <f>85+37+83</f>
        <v>205</v>
      </c>
      <c r="E48" s="3">
        <f>55+24+171</f>
        <v>250</v>
      </c>
      <c r="F48" s="18">
        <f t="shared" si="7"/>
        <v>0.1095890410958904</v>
      </c>
      <c r="G48" s="18">
        <f t="shared" si="8"/>
        <v>0.40117416829745595</v>
      </c>
      <c r="H48" s="18">
        <f t="shared" si="9"/>
        <v>0.48923679060665359</v>
      </c>
      <c r="I48" s="72" t="s">
        <v>8</v>
      </c>
      <c r="J48" s="72">
        <v>3560</v>
      </c>
      <c r="K48" s="72">
        <v>428</v>
      </c>
      <c r="L48" s="72">
        <v>676</v>
      </c>
      <c r="M48" s="72">
        <f>373+121+1</f>
        <v>495</v>
      </c>
      <c r="N48" s="72"/>
      <c r="O48" s="72"/>
      <c r="P48" s="72"/>
      <c r="Q48" s="72"/>
    </row>
    <row r="49" spans="1:17" ht="15">
      <c r="A49" s="2" t="s">
        <v>9</v>
      </c>
      <c r="B49" s="3">
        <f>186+79+227</f>
        <v>492</v>
      </c>
      <c r="C49" s="3">
        <f>60+12+29</f>
        <v>101</v>
      </c>
      <c r="D49" s="3">
        <f>82+47+58+11</f>
        <v>198</v>
      </c>
      <c r="E49" s="3">
        <f>44+20+129</f>
        <v>193</v>
      </c>
      <c r="F49" s="18">
        <f t="shared" si="7"/>
        <v>0.20528455284552846</v>
      </c>
      <c r="G49" s="18">
        <f t="shared" si="8"/>
        <v>0.40243902439024393</v>
      </c>
      <c r="H49" s="18">
        <f t="shared" si="9"/>
        <v>0.39227642276422764</v>
      </c>
      <c r="I49" s="73" t="s">
        <v>9</v>
      </c>
      <c r="J49" s="73">
        <v>2933</v>
      </c>
      <c r="K49" s="73">
        <v>725</v>
      </c>
      <c r="L49" s="73">
        <v>384</v>
      </c>
      <c r="M49" s="73">
        <f>305+112</f>
        <v>417</v>
      </c>
      <c r="N49" s="73"/>
      <c r="O49" s="73"/>
      <c r="P49" s="73"/>
      <c r="Q49" s="73"/>
    </row>
    <row r="50" spans="1:17" ht="15">
      <c r="A50" s="2" t="s">
        <v>10</v>
      </c>
      <c r="B50" s="3">
        <f>167+69+239</f>
        <v>475</v>
      </c>
      <c r="C50" s="3">
        <f>110+51+148</f>
        <v>309</v>
      </c>
      <c r="D50" s="3">
        <f>45+18+36</f>
        <v>99</v>
      </c>
      <c r="E50" s="3">
        <f>12+53</f>
        <v>65</v>
      </c>
      <c r="F50" s="16">
        <f t="shared" si="7"/>
        <v>0.65052631578947373</v>
      </c>
      <c r="G50" s="16">
        <f t="shared" si="8"/>
        <v>0.20842105263157895</v>
      </c>
      <c r="H50" s="16">
        <f t="shared" si="9"/>
        <v>0.1368421052631579</v>
      </c>
      <c r="I50" s="74" t="s">
        <v>10</v>
      </c>
      <c r="J50" s="74">
        <v>3733</v>
      </c>
      <c r="K50" s="74">
        <v>613</v>
      </c>
      <c r="L50" s="74">
        <v>764</v>
      </c>
      <c r="M50" s="74">
        <f>252+92+2</f>
        <v>346</v>
      </c>
      <c r="N50" s="74"/>
      <c r="O50" s="74"/>
      <c r="P50" s="74"/>
      <c r="Q50" s="74"/>
    </row>
    <row r="51" spans="1:17" ht="15">
      <c r="A51" s="2" t="s">
        <v>11</v>
      </c>
      <c r="B51" s="3">
        <f>168+75+215</f>
        <v>458</v>
      </c>
      <c r="C51" s="3">
        <f>15+8+13</f>
        <v>36</v>
      </c>
      <c r="D51" s="3">
        <f>153+67+202</f>
        <v>422</v>
      </c>
      <c r="E51" s="3">
        <v>0</v>
      </c>
      <c r="F51" s="16">
        <f t="shared" si="7"/>
        <v>7.8602620087336247E-2</v>
      </c>
      <c r="G51" s="16">
        <f t="shared" si="8"/>
        <v>0.92139737991266379</v>
      </c>
      <c r="H51" s="16">
        <f t="shared" si="9"/>
        <v>0</v>
      </c>
      <c r="I51" s="75" t="s">
        <v>11</v>
      </c>
      <c r="J51" s="75">
        <v>1541</v>
      </c>
      <c r="K51" s="75">
        <v>384</v>
      </c>
      <c r="L51" s="75">
        <v>229</v>
      </c>
      <c r="M51" s="75">
        <f>91+86</f>
        <v>177</v>
      </c>
      <c r="N51" s="75"/>
      <c r="O51" s="75"/>
      <c r="P51" s="75"/>
      <c r="Q51" s="75"/>
    </row>
    <row r="52" spans="1:17" ht="15">
      <c r="A52" s="2" t="s">
        <v>12</v>
      </c>
      <c r="B52" s="3">
        <f>204+62+263</f>
        <v>529</v>
      </c>
      <c r="C52" s="7">
        <f>19+10+12</f>
        <v>41</v>
      </c>
      <c r="D52" s="3">
        <f>186+52+251</f>
        <v>489</v>
      </c>
      <c r="E52" s="3">
        <v>0</v>
      </c>
      <c r="F52" s="16">
        <f t="shared" si="7"/>
        <v>7.7504725897920609E-2</v>
      </c>
      <c r="G52" s="16">
        <f t="shared" si="8"/>
        <v>0.92438563327032142</v>
      </c>
      <c r="H52" s="16">
        <f t="shared" si="9"/>
        <v>0</v>
      </c>
      <c r="I52" s="76" t="s">
        <v>12</v>
      </c>
      <c r="J52" s="76">
        <v>1066</v>
      </c>
      <c r="K52" s="76">
        <v>182</v>
      </c>
      <c r="L52" s="76">
        <v>162</v>
      </c>
      <c r="M52" s="76">
        <f>71+59</f>
        <v>130</v>
      </c>
      <c r="N52" s="76"/>
      <c r="O52" s="76"/>
      <c r="P52" s="76"/>
      <c r="Q52" s="76"/>
    </row>
    <row r="53" spans="1:17" ht="15">
      <c r="A53" s="2" t="s">
        <v>13</v>
      </c>
      <c r="B53" s="3">
        <f>171+74+220</f>
        <v>465</v>
      </c>
      <c r="C53" s="3">
        <f>159+72+208</f>
        <v>439</v>
      </c>
      <c r="D53" s="3">
        <f>12+2+12</f>
        <v>26</v>
      </c>
      <c r="E53" s="3">
        <v>0</v>
      </c>
      <c r="F53" s="18">
        <f t="shared" si="7"/>
        <v>0.94408602150537635</v>
      </c>
      <c r="G53" s="18">
        <f t="shared" si="8"/>
        <v>5.5913978494623658E-2</v>
      </c>
      <c r="H53" s="18">
        <f t="shared" si="9"/>
        <v>0</v>
      </c>
      <c r="I53" s="71" t="s">
        <v>13</v>
      </c>
      <c r="J53" s="71">
        <v>763</v>
      </c>
      <c r="K53" s="71">
        <v>135</v>
      </c>
      <c r="L53" s="71">
        <v>21</v>
      </c>
      <c r="M53" s="71">
        <f>43+77</f>
        <v>120</v>
      </c>
      <c r="N53" s="71"/>
      <c r="O53" s="71"/>
      <c r="P53" s="71"/>
      <c r="Q53" s="71"/>
    </row>
    <row r="54" spans="1:17" ht="15">
      <c r="A54" s="2" t="s">
        <v>14</v>
      </c>
      <c r="B54" s="3">
        <f>209+77+231+52</f>
        <v>569</v>
      </c>
      <c r="C54" s="3">
        <f>183+60+197</f>
        <v>440</v>
      </c>
      <c r="D54" s="19">
        <f>26+17+34</f>
        <v>77</v>
      </c>
      <c r="E54" s="2">
        <v>52</v>
      </c>
      <c r="F54" s="18">
        <f t="shared" si="7"/>
        <v>0.77328646748681895</v>
      </c>
      <c r="G54" s="18">
        <f t="shared" si="8"/>
        <v>0.13532513181019332</v>
      </c>
      <c r="H54" s="18">
        <f t="shared" si="9"/>
        <v>9.1388400702987704E-2</v>
      </c>
      <c r="I54" s="69" t="s">
        <v>14</v>
      </c>
      <c r="J54" s="69">
        <v>458</v>
      </c>
      <c r="K54" s="69">
        <v>35</v>
      </c>
      <c r="L54" s="69">
        <v>17</v>
      </c>
      <c r="M54" s="69">
        <f>80+38</f>
        <v>118</v>
      </c>
      <c r="N54" s="69"/>
      <c r="O54" s="69"/>
      <c r="P54" s="69"/>
      <c r="Q54" s="69"/>
    </row>
    <row r="55" spans="1:17" ht="15">
      <c r="A55" s="2" t="s">
        <v>15</v>
      </c>
      <c r="B55" s="2">
        <f>171+79+238</f>
        <v>488</v>
      </c>
      <c r="C55" s="2">
        <f>30+1</f>
        <v>31</v>
      </c>
      <c r="D55" s="2">
        <f>89+43+63</f>
        <v>195</v>
      </c>
      <c r="E55" s="2">
        <f>36+157+69</f>
        <v>262</v>
      </c>
      <c r="F55" s="18">
        <f t="shared" si="7"/>
        <v>6.3524590163934427E-2</v>
      </c>
      <c r="G55" s="18">
        <f t="shared" si="8"/>
        <v>0.39959016393442626</v>
      </c>
      <c r="H55" s="18">
        <f t="shared" si="9"/>
        <v>0.53688524590163933</v>
      </c>
      <c r="I55" s="70" t="s">
        <v>25</v>
      </c>
      <c r="J55" s="70">
        <v>435</v>
      </c>
      <c r="K55" s="70">
        <v>30</v>
      </c>
      <c r="L55" s="70">
        <v>37</v>
      </c>
      <c r="M55" s="70">
        <f>72+35</f>
        <v>107</v>
      </c>
      <c r="N55" s="70"/>
      <c r="O55" s="70"/>
      <c r="P55" s="70"/>
      <c r="Q55" s="70"/>
    </row>
    <row r="56" spans="1:17" ht="15">
      <c r="A56" s="2" t="s">
        <v>16</v>
      </c>
      <c r="B56" s="3">
        <f>183+74+201</f>
        <v>458</v>
      </c>
      <c r="C56" s="3">
        <f>29+10+15</f>
        <v>54</v>
      </c>
      <c r="D56" s="3">
        <f>154+64+180</f>
        <v>398</v>
      </c>
      <c r="E56" s="3">
        <v>6</v>
      </c>
      <c r="F56" s="18">
        <f t="shared" si="7"/>
        <v>0.11790393013100436</v>
      </c>
      <c r="G56" s="18">
        <f t="shared" si="8"/>
        <v>0.86899563318777295</v>
      </c>
      <c r="H56" s="18">
        <f t="shared" si="9"/>
        <v>1.3100436681222707E-2</v>
      </c>
      <c r="I56" s="72" t="s">
        <v>26</v>
      </c>
      <c r="J56" s="72">
        <v>460</v>
      </c>
      <c r="K56" s="72">
        <v>22</v>
      </c>
      <c r="L56" s="72">
        <v>11</v>
      </c>
      <c r="M56" s="72">
        <f>121+66+8</f>
        <v>195</v>
      </c>
      <c r="N56" s="72"/>
      <c r="O56" s="72"/>
      <c r="P56" s="72"/>
      <c r="Q56" s="72"/>
    </row>
    <row r="57" spans="1:17" ht="15">
      <c r="A57" s="2" t="s">
        <v>17</v>
      </c>
      <c r="B57" s="3">
        <f>209+76+218</f>
        <v>503</v>
      </c>
      <c r="C57" s="3">
        <f>29+10+11</f>
        <v>50</v>
      </c>
      <c r="D57" s="3">
        <f>180+66+207</f>
        <v>453</v>
      </c>
      <c r="E57" s="3">
        <v>0</v>
      </c>
      <c r="F57" s="16">
        <f t="shared" si="7"/>
        <v>9.9403578528827044E-2</v>
      </c>
      <c r="G57" s="16">
        <f t="shared" si="8"/>
        <v>0.90059642147117291</v>
      </c>
      <c r="H57" s="16">
        <f t="shared" si="9"/>
        <v>0</v>
      </c>
      <c r="I57" s="73" t="s">
        <v>27</v>
      </c>
      <c r="J57" s="73">
        <v>546</v>
      </c>
      <c r="K57" s="73">
        <v>89</v>
      </c>
      <c r="L57" s="73">
        <v>37</v>
      </c>
      <c r="M57" s="73">
        <f>63+20</f>
        <v>83</v>
      </c>
      <c r="N57" s="73"/>
      <c r="O57" s="73"/>
      <c r="P57" s="73"/>
      <c r="Q57" s="73"/>
    </row>
    <row r="58" spans="1:17" ht="15">
      <c r="A58" s="2" t="s">
        <v>18</v>
      </c>
      <c r="B58" s="3">
        <f>211+72+222</f>
        <v>505</v>
      </c>
      <c r="C58" s="3">
        <f>190+65+198</f>
        <v>453</v>
      </c>
      <c r="D58" s="3">
        <f>21+7+24</f>
        <v>52</v>
      </c>
      <c r="E58" s="3">
        <v>0</v>
      </c>
      <c r="F58" s="16">
        <f t="shared" si="7"/>
        <v>0.89702970297029705</v>
      </c>
      <c r="G58" s="16">
        <f t="shared" si="8"/>
        <v>0.10297029702970296</v>
      </c>
      <c r="H58" s="16">
        <f t="shared" si="9"/>
        <v>0</v>
      </c>
      <c r="I58" s="74" t="s">
        <v>18</v>
      </c>
      <c r="J58" s="74">
        <v>540</v>
      </c>
      <c r="K58" s="74">
        <v>26</v>
      </c>
      <c r="L58" s="74">
        <v>20</v>
      </c>
      <c r="M58" s="74">
        <f>30+11</f>
        <v>41</v>
      </c>
      <c r="N58" s="74"/>
      <c r="O58" s="74"/>
      <c r="P58" s="74"/>
      <c r="Q58" s="74"/>
    </row>
    <row r="59" spans="1:17" ht="15">
      <c r="A59" s="2" t="s">
        <v>19</v>
      </c>
      <c r="B59" s="3">
        <f>SUM(B45,B46,B47,B48,B49,B50,B50:B51,B52,B52,B53,B54,B55,B56,B57,B58)</f>
        <v>7970</v>
      </c>
      <c r="C59" s="3">
        <f>SUM(C45:C58)</f>
        <v>2919</v>
      </c>
      <c r="D59" s="3">
        <f>SUM(D45:D57)</f>
        <v>3157</v>
      </c>
      <c r="E59" s="3">
        <f>SUM(E45:E58)</f>
        <v>837</v>
      </c>
      <c r="F59" s="16">
        <f t="shared" si="7"/>
        <v>0.36624843161856963</v>
      </c>
      <c r="G59" s="16">
        <f t="shared" si="8"/>
        <v>0.39611041405269759</v>
      </c>
      <c r="H59" s="16">
        <f t="shared" si="9"/>
        <v>0.10501882057716437</v>
      </c>
      <c r="I59" s="2"/>
      <c r="J59" s="3">
        <f>SUM(J45:J58)</f>
        <v>30379</v>
      </c>
      <c r="K59" s="3">
        <f t="shared" ref="K59:Q59" si="10">SUM(K45:K58)</f>
        <v>4979</v>
      </c>
      <c r="L59" s="3">
        <f t="shared" si="10"/>
        <v>3780</v>
      </c>
      <c r="M59" s="3">
        <f t="shared" si="10"/>
        <v>3960</v>
      </c>
      <c r="N59" s="3">
        <f t="shared" si="10"/>
        <v>0</v>
      </c>
      <c r="O59" s="3">
        <f t="shared" si="10"/>
        <v>0</v>
      </c>
      <c r="P59" s="3">
        <f t="shared" si="10"/>
        <v>0</v>
      </c>
      <c r="Q59" s="3">
        <f t="shared" si="10"/>
        <v>0</v>
      </c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7" spans="3:17">
      <c r="D67" s="40" t="s">
        <v>81</v>
      </c>
      <c r="I67" s="40" t="s">
        <v>81</v>
      </c>
    </row>
    <row r="68" spans="3:17">
      <c r="C68" s="40" t="s">
        <v>39</v>
      </c>
      <c r="D68">
        <v>3</v>
      </c>
      <c r="H68" s="40" t="s">
        <v>39</v>
      </c>
      <c r="I68">
        <v>0</v>
      </c>
    </row>
    <row r="69" spans="3:17">
      <c r="C69" s="40" t="s">
        <v>40</v>
      </c>
      <c r="D69">
        <v>6</v>
      </c>
      <c r="E69" s="40" t="s">
        <v>82</v>
      </c>
      <c r="H69" s="40" t="s">
        <v>40</v>
      </c>
      <c r="I69">
        <v>2</v>
      </c>
    </row>
    <row r="70" spans="3:17">
      <c r="C70" s="40" t="s">
        <v>41</v>
      </c>
      <c r="D70">
        <v>6</v>
      </c>
      <c r="E70" s="40" t="s">
        <v>83</v>
      </c>
      <c r="H70" s="40" t="s">
        <v>41</v>
      </c>
      <c r="I70">
        <v>3</v>
      </c>
    </row>
    <row r="73" spans="3:17">
      <c r="C73" s="13" t="s">
        <v>84</v>
      </c>
      <c r="D73" s="13" t="s">
        <v>85</v>
      </c>
      <c r="E73" s="13" t="s">
        <v>86</v>
      </c>
      <c r="F73" s="13" t="s">
        <v>87</v>
      </c>
      <c r="H73" s="13" t="s">
        <v>84</v>
      </c>
      <c r="I73" s="13" t="s">
        <v>85</v>
      </c>
      <c r="J73" s="13" t="s">
        <v>86</v>
      </c>
      <c r="K73" s="13" t="s">
        <v>87</v>
      </c>
    </row>
    <row r="74" spans="3:17" ht="15">
      <c r="C74" s="48" t="s">
        <v>5</v>
      </c>
      <c r="D74" s="18">
        <f t="shared" ref="D74:D86" si="11">C2/B2</f>
        <v>0</v>
      </c>
      <c r="E74" s="46" t="e">
        <f>#REF!/#REF!</f>
        <v>#REF!</v>
      </c>
      <c r="F74" s="47">
        <f t="shared" ref="F74:F86" si="12">C45/B45</f>
        <v>0.3503787878787879</v>
      </c>
      <c r="H74" s="51" t="s">
        <v>5</v>
      </c>
      <c r="I74" s="44">
        <f t="shared" ref="I74:I86" si="13">E2/B2</f>
        <v>4.5303533675626698E-4</v>
      </c>
      <c r="J74" s="44" t="e">
        <f>#REF!/#REF!</f>
        <v>#REF!</v>
      </c>
      <c r="K74" s="44">
        <f t="shared" ref="K74:K86" si="14">E45/B45</f>
        <v>0</v>
      </c>
    </row>
    <row r="75" spans="3:17" ht="15">
      <c r="C75" s="48" t="s">
        <v>6</v>
      </c>
      <c r="D75" s="45">
        <f t="shared" si="11"/>
        <v>0.35074261465643869</v>
      </c>
      <c r="E75" s="46" t="e">
        <f>#REF!/#REF!</f>
        <v>#REF!</v>
      </c>
      <c r="F75" s="47">
        <f t="shared" si="12"/>
        <v>0.68200000000000005</v>
      </c>
      <c r="H75" s="51" t="s">
        <v>6</v>
      </c>
      <c r="I75" s="44">
        <f t="shared" si="13"/>
        <v>1.6321201240411295E-3</v>
      </c>
      <c r="J75" s="44" t="e">
        <f>#REF!/#REF!</f>
        <v>#REF!</v>
      </c>
      <c r="K75" s="44">
        <f t="shared" si="14"/>
        <v>0</v>
      </c>
    </row>
    <row r="76" spans="3:17" ht="15">
      <c r="C76" s="48" t="s">
        <v>7</v>
      </c>
      <c r="D76" s="45">
        <f t="shared" si="11"/>
        <v>0.1056923076923077</v>
      </c>
      <c r="E76" s="46" t="e">
        <f>#REF!/#REF!</f>
        <v>#REF!</v>
      </c>
      <c r="F76" s="47">
        <f t="shared" si="12"/>
        <v>0.78969072164948451</v>
      </c>
      <c r="H76" s="51" t="s">
        <v>7</v>
      </c>
      <c r="I76" s="44">
        <f t="shared" si="13"/>
        <v>1.5384615384615385E-4</v>
      </c>
      <c r="J76" s="44" t="e">
        <f>#REF!/#REF!</f>
        <v>#REF!</v>
      </c>
      <c r="K76" s="44">
        <f t="shared" si="14"/>
        <v>1.8556701030927835E-2</v>
      </c>
    </row>
    <row r="77" spans="3:17" ht="15">
      <c r="C77" s="48" t="s">
        <v>8</v>
      </c>
      <c r="D77" s="45">
        <f t="shared" si="11"/>
        <v>0.31248968817026895</v>
      </c>
      <c r="E77" s="49" t="e">
        <f>#REF!/#REF!</f>
        <v>#REF!</v>
      </c>
      <c r="F77" s="50">
        <f t="shared" si="12"/>
        <v>0.1095890410958904</v>
      </c>
      <c r="H77" s="48" t="s">
        <v>8</v>
      </c>
      <c r="I77" s="44">
        <f t="shared" si="13"/>
        <v>6.5995710278831873E-4</v>
      </c>
      <c r="J77" s="47" t="e">
        <f>#REF!/#REF!</f>
        <v>#REF!</v>
      </c>
      <c r="K77" s="47">
        <f t="shared" si="14"/>
        <v>0.48923679060665359</v>
      </c>
    </row>
    <row r="78" spans="3:17" ht="15">
      <c r="C78" s="48" t="s">
        <v>9</v>
      </c>
      <c r="D78" s="18">
        <f t="shared" si="11"/>
        <v>0</v>
      </c>
      <c r="E78" s="46" t="e">
        <f>#REF!/#REF!</f>
        <v>#REF!</v>
      </c>
      <c r="F78" s="50">
        <f t="shared" si="12"/>
        <v>0.20528455284552846</v>
      </c>
      <c r="H78" s="48" t="s">
        <v>9</v>
      </c>
      <c r="I78" s="44">
        <f t="shared" si="13"/>
        <v>0</v>
      </c>
      <c r="J78" s="44" t="e">
        <f>#REF!/#REF!</f>
        <v>#REF!</v>
      </c>
      <c r="K78" s="47">
        <f t="shared" si="14"/>
        <v>0.39227642276422764</v>
      </c>
      <c r="P78" s="20" t="s">
        <v>46</v>
      </c>
      <c r="Q78" s="13" t="s">
        <v>38</v>
      </c>
    </row>
    <row r="79" spans="3:17" ht="15">
      <c r="C79" s="48" t="s">
        <v>10</v>
      </c>
      <c r="D79" s="18">
        <f t="shared" si="11"/>
        <v>0</v>
      </c>
      <c r="E79" s="46" t="e">
        <f>#REF!/#REF!</f>
        <v>#REF!</v>
      </c>
      <c r="F79" s="47">
        <f t="shared" si="12"/>
        <v>0.65052631578947373</v>
      </c>
      <c r="H79" s="51" t="s">
        <v>10</v>
      </c>
      <c r="I79" s="44">
        <f t="shared" si="13"/>
        <v>0</v>
      </c>
      <c r="J79" s="44" t="e">
        <f>#REF!/#REF!</f>
        <v>#REF!</v>
      </c>
      <c r="K79" s="44">
        <f t="shared" si="14"/>
        <v>0.1368421052631579</v>
      </c>
      <c r="P79" s="13" t="s">
        <v>39</v>
      </c>
      <c r="Q79" s="5">
        <v>40606</v>
      </c>
    </row>
    <row r="80" spans="3:17" ht="15">
      <c r="C80" s="13" t="s">
        <v>11</v>
      </c>
      <c r="D80" s="18">
        <f t="shared" si="11"/>
        <v>0</v>
      </c>
      <c r="E80" s="43" t="e">
        <f>#REF!/#REF!</f>
        <v>#REF!</v>
      </c>
      <c r="F80" s="44">
        <f t="shared" si="12"/>
        <v>7.8602620087336247E-2</v>
      </c>
      <c r="H80" s="13" t="s">
        <v>11</v>
      </c>
      <c r="I80" s="44">
        <f t="shared" si="13"/>
        <v>0</v>
      </c>
      <c r="J80" s="44" t="e">
        <f>#REF!/#REF!</f>
        <v>#REF!</v>
      </c>
      <c r="K80" s="44">
        <f t="shared" si="14"/>
        <v>0</v>
      </c>
      <c r="P80" s="13" t="s">
        <v>42</v>
      </c>
      <c r="Q80" s="5">
        <v>11799</v>
      </c>
    </row>
    <row r="81" spans="1:17" ht="15">
      <c r="C81" s="13" t="s">
        <v>12</v>
      </c>
      <c r="D81" s="18">
        <f t="shared" si="11"/>
        <v>0</v>
      </c>
      <c r="E81" s="43" t="e">
        <f>#REF!/#REF!</f>
        <v>#REF!</v>
      </c>
      <c r="F81" s="44">
        <f t="shared" si="12"/>
        <v>7.7504725897920609E-2</v>
      </c>
      <c r="H81" s="13" t="s">
        <v>12</v>
      </c>
      <c r="I81" s="44">
        <f t="shared" si="13"/>
        <v>0</v>
      </c>
      <c r="J81" s="44" t="e">
        <f>#REF!/#REF!</f>
        <v>#REF!</v>
      </c>
      <c r="K81" s="44">
        <f t="shared" si="14"/>
        <v>0</v>
      </c>
      <c r="P81" s="13" t="s">
        <v>40</v>
      </c>
      <c r="Q81" s="5">
        <v>8010</v>
      </c>
    </row>
    <row r="82" spans="1:17" ht="15">
      <c r="C82" s="48" t="s">
        <v>13</v>
      </c>
      <c r="D82" s="18">
        <f t="shared" si="11"/>
        <v>0</v>
      </c>
      <c r="E82" s="49" t="e">
        <f>#REF!/#REF!</f>
        <v>#REF!</v>
      </c>
      <c r="F82" s="47">
        <f t="shared" si="12"/>
        <v>0.94408602150537635</v>
      </c>
      <c r="H82" s="48" t="s">
        <v>13</v>
      </c>
      <c r="I82" s="44">
        <f t="shared" si="13"/>
        <v>0</v>
      </c>
      <c r="J82" s="47" t="e">
        <f>#REF!/#REF!</f>
        <v>#REF!</v>
      </c>
      <c r="K82" s="44">
        <f t="shared" si="14"/>
        <v>0</v>
      </c>
      <c r="P82" s="13" t="s">
        <v>41</v>
      </c>
      <c r="Q82" s="5">
        <v>7550</v>
      </c>
    </row>
    <row r="83" spans="1:17" ht="15">
      <c r="A83" s="8"/>
      <c r="B83" s="8"/>
      <c r="C83" s="48" t="s">
        <v>14</v>
      </c>
      <c r="D83" s="18">
        <f t="shared" si="11"/>
        <v>0</v>
      </c>
      <c r="E83" s="46" t="e">
        <f>#REF!/#REF!</f>
        <v>#REF!</v>
      </c>
      <c r="F83" s="47">
        <f t="shared" si="12"/>
        <v>0.77328646748681895</v>
      </c>
      <c r="H83" s="51" t="s">
        <v>14</v>
      </c>
      <c r="I83" s="44">
        <f t="shared" si="13"/>
        <v>0</v>
      </c>
      <c r="J83" s="44" t="e">
        <f>#REF!/#REF!</f>
        <v>#REF!</v>
      </c>
      <c r="K83" s="44">
        <f t="shared" si="14"/>
        <v>9.1388400702987704E-2</v>
      </c>
    </row>
    <row r="84" spans="1:17" ht="15">
      <c r="A84" s="8"/>
      <c r="B84" s="9"/>
      <c r="C84" s="48" t="s">
        <v>15</v>
      </c>
      <c r="D84" s="18">
        <f t="shared" si="11"/>
        <v>0</v>
      </c>
      <c r="E84" s="46" t="e">
        <f>#REF!/#REF!</f>
        <v>#REF!</v>
      </c>
      <c r="F84" s="50">
        <f t="shared" si="12"/>
        <v>6.3524590163934427E-2</v>
      </c>
      <c r="H84" s="48" t="s">
        <v>15</v>
      </c>
      <c r="I84" s="44">
        <f t="shared" si="13"/>
        <v>0</v>
      </c>
      <c r="J84" s="44" t="e">
        <f>#REF!/#REF!</f>
        <v>#REF!</v>
      </c>
      <c r="K84" s="47">
        <f t="shared" si="14"/>
        <v>0.53688524590163933</v>
      </c>
    </row>
    <row r="85" spans="1:17" ht="15">
      <c r="A85" s="8"/>
      <c r="B85" s="9"/>
      <c r="C85" s="13" t="s">
        <v>16</v>
      </c>
      <c r="D85" s="16">
        <f t="shared" si="11"/>
        <v>0</v>
      </c>
      <c r="E85" s="43" t="e">
        <f>#REF!/#REF!</f>
        <v>#REF!</v>
      </c>
      <c r="F85" s="44">
        <f t="shared" si="12"/>
        <v>0.11790393013100436</v>
      </c>
      <c r="H85" s="13" t="s">
        <v>16</v>
      </c>
      <c r="I85" s="44">
        <f t="shared" si="13"/>
        <v>0</v>
      </c>
      <c r="J85" s="44" t="e">
        <f>#REF!/#REF!</f>
        <v>#REF!</v>
      </c>
      <c r="K85" s="44">
        <f t="shared" si="14"/>
        <v>1.3100436681222707E-2</v>
      </c>
    </row>
    <row r="86" spans="1:17" ht="15">
      <c r="A86" s="8"/>
      <c r="B86" s="9"/>
      <c r="C86" s="13" t="s">
        <v>17</v>
      </c>
      <c r="D86" s="16">
        <f t="shared" si="11"/>
        <v>0</v>
      </c>
      <c r="E86" s="43" t="e">
        <f>#REF!/#REF!</f>
        <v>#REF!</v>
      </c>
      <c r="F86" s="44">
        <f t="shared" si="12"/>
        <v>9.9403578528827044E-2</v>
      </c>
      <c r="H86" s="13" t="s">
        <v>17</v>
      </c>
      <c r="I86" s="44">
        <f t="shared" si="13"/>
        <v>0</v>
      </c>
      <c r="J86" s="44" t="e">
        <f>#REF!/#REF!</f>
        <v>#REF!</v>
      </c>
      <c r="K86" s="44">
        <f t="shared" si="14"/>
        <v>0</v>
      </c>
    </row>
    <row r="87" spans="1:17" ht="15">
      <c r="A87" s="8"/>
      <c r="B87" s="9"/>
    </row>
    <row r="88" spans="1:17" ht="15">
      <c r="A88" s="8"/>
      <c r="B88" s="9" t="s">
        <v>39</v>
      </c>
    </row>
    <row r="89" spans="1:17" ht="15">
      <c r="A89" s="8" t="s">
        <v>105</v>
      </c>
      <c r="B89" s="9">
        <v>1</v>
      </c>
      <c r="C89" s="9">
        <v>0</v>
      </c>
      <c r="D89" s="9"/>
      <c r="E89" s="9"/>
      <c r="F89" s="17"/>
      <c r="G89" s="17"/>
      <c r="H89" s="17"/>
      <c r="I89" s="8"/>
      <c r="J89" s="8"/>
      <c r="K89" s="9"/>
      <c r="L89" s="9"/>
    </row>
    <row r="90" spans="1:17" ht="15">
      <c r="A90" s="8" t="s">
        <v>106</v>
      </c>
      <c r="B90" s="9">
        <v>5</v>
      </c>
      <c r="C90" s="9">
        <v>3</v>
      </c>
      <c r="D90" s="9"/>
      <c r="E90" s="9"/>
      <c r="F90" s="17"/>
      <c r="G90" s="17"/>
      <c r="H90" s="17"/>
      <c r="I90" s="8"/>
      <c r="J90" s="8"/>
      <c r="K90" s="9"/>
      <c r="L90" s="9"/>
    </row>
    <row r="91" spans="1:17" ht="15">
      <c r="A91" s="8" t="s">
        <v>107</v>
      </c>
      <c r="B91" s="9">
        <v>2</v>
      </c>
      <c r="C91" s="15">
        <v>1</v>
      </c>
      <c r="D91" s="9"/>
      <c r="E91" s="9"/>
      <c r="F91" s="17"/>
      <c r="G91" s="17"/>
      <c r="H91" s="17"/>
      <c r="I91" s="8"/>
      <c r="J91" s="8"/>
      <c r="K91" s="9"/>
      <c r="L91" s="9"/>
    </row>
    <row r="92" spans="1:17" ht="15">
      <c r="A92" s="8" t="s">
        <v>23</v>
      </c>
      <c r="B92" s="9">
        <v>7</v>
      </c>
      <c r="C92" s="9">
        <v>1</v>
      </c>
      <c r="D92" s="9"/>
      <c r="E92" s="9"/>
      <c r="F92" s="17"/>
      <c r="G92" s="17"/>
      <c r="H92" s="17"/>
      <c r="I92" s="8"/>
      <c r="J92" s="8"/>
      <c r="K92" s="9"/>
      <c r="L92" s="9"/>
    </row>
    <row r="93" spans="1:17" ht="15">
      <c r="A93" s="8" t="s">
        <v>108</v>
      </c>
      <c r="B93" s="9">
        <v>4</v>
      </c>
      <c r="C93" s="9">
        <v>0</v>
      </c>
      <c r="D93" s="9"/>
      <c r="E93" s="8"/>
      <c r="F93" s="17"/>
      <c r="G93" s="17"/>
      <c r="H93" s="17"/>
      <c r="I93" s="8"/>
      <c r="J93" s="8"/>
      <c r="K93" s="9"/>
      <c r="L93" s="9"/>
    </row>
    <row r="94" spans="1:17" ht="15">
      <c r="A94" s="8" t="s">
        <v>109</v>
      </c>
      <c r="B94" s="8">
        <v>2</v>
      </c>
      <c r="C94" s="8">
        <v>0</v>
      </c>
      <c r="D94" s="8"/>
      <c r="E94" s="8"/>
      <c r="F94" s="17"/>
      <c r="G94" s="17"/>
      <c r="H94" s="17"/>
      <c r="I94" s="8"/>
      <c r="J94" s="8"/>
      <c r="K94" s="9"/>
      <c r="L94" s="9"/>
    </row>
    <row r="95" spans="1:17" ht="15">
      <c r="A95" s="8" t="s">
        <v>24</v>
      </c>
      <c r="B95" s="9">
        <v>7</v>
      </c>
      <c r="C95" s="9">
        <v>0</v>
      </c>
      <c r="D95" s="9"/>
      <c r="E95" s="9"/>
      <c r="F95" s="17"/>
      <c r="G95" s="17"/>
      <c r="H95" s="17"/>
      <c r="I95" s="8"/>
      <c r="J95" s="8"/>
      <c r="K95" s="9"/>
      <c r="L95" s="9"/>
    </row>
    <row r="96" spans="1:17" ht="15">
      <c r="A96" s="8" t="s">
        <v>110</v>
      </c>
      <c r="B96" s="9">
        <v>2</v>
      </c>
      <c r="C96" s="9">
        <v>0</v>
      </c>
      <c r="D96" s="9"/>
      <c r="E96" s="9"/>
      <c r="F96" s="17"/>
      <c r="G96" s="17"/>
      <c r="H96" s="17"/>
      <c r="I96" s="8"/>
      <c r="J96" s="8"/>
      <c r="K96" s="9"/>
      <c r="L96" s="9"/>
    </row>
    <row r="97" spans="1:12" ht="15">
      <c r="A97" s="8" t="s">
        <v>111</v>
      </c>
      <c r="B97" s="9">
        <v>2</v>
      </c>
      <c r="C97" s="9">
        <v>1</v>
      </c>
      <c r="D97" s="9"/>
      <c r="E97" s="9"/>
      <c r="F97" s="17"/>
      <c r="G97" s="17"/>
      <c r="H97" s="17"/>
      <c r="I97" s="8"/>
      <c r="J97" s="8"/>
      <c r="K97" s="9"/>
      <c r="L97" s="9"/>
    </row>
    <row r="98" spans="1:12" ht="15">
      <c r="A98" s="8" t="s">
        <v>112</v>
      </c>
      <c r="B98" s="9">
        <v>2</v>
      </c>
      <c r="C98" s="9">
        <v>0</v>
      </c>
      <c r="D98" s="9"/>
      <c r="E98" s="9"/>
      <c r="F98" s="8"/>
      <c r="G98" s="8"/>
      <c r="H98" s="8"/>
      <c r="I98" s="8"/>
      <c r="J98" s="9"/>
      <c r="K98" s="8"/>
      <c r="L98" s="11"/>
    </row>
    <row r="99" spans="1:12" ht="15">
      <c r="A99" s="8" t="s">
        <v>113</v>
      </c>
      <c r="B99" s="9">
        <v>1</v>
      </c>
      <c r="C99" s="9">
        <v>0</v>
      </c>
      <c r="D99" s="9"/>
      <c r="E99" s="9"/>
      <c r="F99" s="10"/>
      <c r="G99" s="10"/>
      <c r="H99" s="10"/>
      <c r="I99" s="8"/>
      <c r="J99" s="8"/>
      <c r="K99" s="9"/>
      <c r="L99" s="9"/>
    </row>
    <row r="100" spans="1:12" ht="15">
      <c r="A100" s="8" t="s">
        <v>114</v>
      </c>
      <c r="B100" s="9">
        <v>1</v>
      </c>
      <c r="C100" s="9">
        <v>1</v>
      </c>
      <c r="D100" s="9"/>
      <c r="E100" s="9"/>
      <c r="F100" s="8"/>
      <c r="G100" s="8"/>
      <c r="H100" s="8"/>
      <c r="I100" s="8"/>
      <c r="J100" s="9"/>
      <c r="K100" s="8"/>
      <c r="L100" s="11"/>
    </row>
    <row r="101" spans="1:12" ht="15">
      <c r="A101" s="63" t="s">
        <v>115</v>
      </c>
      <c r="B101" s="64">
        <v>0</v>
      </c>
      <c r="C101" s="64">
        <v>1</v>
      </c>
    </row>
    <row r="102" spans="1:12" ht="15">
      <c r="A102" s="63" t="s">
        <v>116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0"/>
  <sheetViews>
    <sheetView zoomScale="70" zoomScaleNormal="70" workbookViewId="0">
      <selection activeCell="L15" sqref="L15"/>
    </sheetView>
  </sheetViews>
  <sheetFormatPr defaultRowHeight="12.75"/>
  <cols>
    <col min="1" max="1" width="48.140625" customWidth="1"/>
    <col min="2" max="2" width="14.5703125" customWidth="1"/>
    <col min="3" max="3" width="27.5703125" customWidth="1"/>
    <col min="4" max="4" width="19.140625" customWidth="1"/>
    <col min="5" max="5" width="28.7109375" customWidth="1"/>
    <col min="7" max="7" width="17.42578125" customWidth="1"/>
    <col min="10" max="10" width="27.85546875" customWidth="1"/>
    <col min="14" max="14" width="19.5703125" customWidth="1"/>
    <col min="15" max="15" width="15" customWidth="1"/>
    <col min="16" max="16" width="13.85546875" customWidth="1"/>
  </cols>
  <sheetData>
    <row r="1" spans="1:17" ht="15">
      <c r="A1" s="2" t="s">
        <v>94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/>
      <c r="K1" s="2"/>
      <c r="L1" s="2"/>
    </row>
    <row r="2" spans="1:17" ht="15">
      <c r="A2" s="2" t="s">
        <v>5</v>
      </c>
      <c r="B2" s="3">
        <v>6816</v>
      </c>
      <c r="C2" s="3">
        <v>144</v>
      </c>
      <c r="D2" s="3">
        <v>6672</v>
      </c>
      <c r="E2" s="3">
        <v>0</v>
      </c>
      <c r="F2" s="16">
        <f t="shared" ref="F2:F16" si="0">C2/B2</f>
        <v>2.1126760563380281E-2</v>
      </c>
      <c r="G2" s="16">
        <f t="shared" ref="G2:G16" si="1">D2/B2</f>
        <v>0.97887323943661975</v>
      </c>
      <c r="H2" s="16">
        <f t="shared" ref="H2:H16" si="2">E2/B2</f>
        <v>0</v>
      </c>
      <c r="I2" s="2" t="s">
        <v>5</v>
      </c>
      <c r="J2" s="3"/>
      <c r="K2" s="3"/>
      <c r="L2" s="3"/>
      <c r="N2" s="20" t="s">
        <v>47</v>
      </c>
      <c r="O2" s="53" t="s">
        <v>38</v>
      </c>
      <c r="P2" s="20" t="s">
        <v>89</v>
      </c>
    </row>
    <row r="3" spans="1:17" ht="15">
      <c r="A3" s="2" t="s">
        <v>6</v>
      </c>
      <c r="B3" s="3">
        <v>6392</v>
      </c>
      <c r="C3" s="3">
        <v>327</v>
      </c>
      <c r="D3" s="3">
        <v>5952</v>
      </c>
      <c r="E3" s="3">
        <v>113</v>
      </c>
      <c r="F3" s="16">
        <f t="shared" si="0"/>
        <v>5.1157697121401752E-2</v>
      </c>
      <c r="G3" s="16">
        <f t="shared" si="1"/>
        <v>0.93116395494367965</v>
      </c>
      <c r="H3" s="16">
        <f t="shared" si="2"/>
        <v>1.767834793491865E-2</v>
      </c>
      <c r="I3" s="2" t="s">
        <v>6</v>
      </c>
      <c r="J3" s="3"/>
      <c r="K3" s="3"/>
      <c r="L3" s="3"/>
      <c r="N3" s="13" t="s">
        <v>39</v>
      </c>
      <c r="O3" s="54">
        <v>107882</v>
      </c>
      <c r="P3" s="55">
        <v>1.6197999999999999E-4</v>
      </c>
    </row>
    <row r="4" spans="1:17" ht="15">
      <c r="A4" s="2" t="s">
        <v>7</v>
      </c>
      <c r="B4" s="3">
        <v>6881</v>
      </c>
      <c r="C4" s="3">
        <v>726</v>
      </c>
      <c r="D4" s="3">
        <v>6072</v>
      </c>
      <c r="E4" s="3">
        <v>83</v>
      </c>
      <c r="F4" s="16">
        <f t="shared" si="0"/>
        <v>0.10550792036041273</v>
      </c>
      <c r="G4" s="16">
        <f t="shared" si="1"/>
        <v>0.88242987937799744</v>
      </c>
      <c r="H4" s="16">
        <f t="shared" si="2"/>
        <v>1.2062200261589886E-2</v>
      </c>
      <c r="I4" s="2" t="s">
        <v>7</v>
      </c>
      <c r="J4" s="3"/>
      <c r="K4" s="3"/>
      <c r="L4" s="3"/>
      <c r="N4" s="13" t="s">
        <v>42</v>
      </c>
      <c r="O4">
        <v>42968</v>
      </c>
      <c r="P4" s="55">
        <v>6.4519999999999999E-5</v>
      </c>
    </row>
    <row r="5" spans="1:17" ht="15">
      <c r="A5" s="2" t="s">
        <v>8</v>
      </c>
      <c r="B5" s="3">
        <v>6347</v>
      </c>
      <c r="C5" s="3">
        <v>440</v>
      </c>
      <c r="D5" s="3">
        <v>5810</v>
      </c>
      <c r="E5" s="3">
        <v>97</v>
      </c>
      <c r="F5" s="16">
        <f t="shared" si="0"/>
        <v>6.9324090121317156E-2</v>
      </c>
      <c r="G5" s="16">
        <f t="shared" si="1"/>
        <v>0.91539309910193789</v>
      </c>
      <c r="H5" s="16">
        <f t="shared" si="2"/>
        <v>1.5282810776744919E-2</v>
      </c>
      <c r="I5" s="2" t="s">
        <v>8</v>
      </c>
      <c r="J5" s="3"/>
      <c r="K5" s="3"/>
      <c r="L5" s="3"/>
      <c r="N5" s="13" t="s">
        <v>40</v>
      </c>
      <c r="O5" s="54">
        <v>38104</v>
      </c>
      <c r="P5" s="55">
        <v>5.7210000000000003E-5</v>
      </c>
    </row>
    <row r="6" spans="1:17" ht="15">
      <c r="A6" s="2" t="s">
        <v>9</v>
      </c>
      <c r="B6" s="3">
        <v>6865</v>
      </c>
      <c r="C6" s="3">
        <v>0</v>
      </c>
      <c r="D6" s="3">
        <v>6865</v>
      </c>
      <c r="E6" s="3">
        <v>0</v>
      </c>
      <c r="F6" s="16">
        <f t="shared" si="0"/>
        <v>0</v>
      </c>
      <c r="G6" s="16">
        <f t="shared" si="1"/>
        <v>1</v>
      </c>
      <c r="H6" s="16">
        <f t="shared" si="2"/>
        <v>0</v>
      </c>
      <c r="I6" s="2" t="s">
        <v>9</v>
      </c>
      <c r="J6" s="3"/>
      <c r="K6" s="3"/>
      <c r="L6" s="3"/>
      <c r="N6" s="13" t="s">
        <v>41</v>
      </c>
      <c r="O6" s="54">
        <v>40264</v>
      </c>
      <c r="P6" s="55">
        <v>6.0460000000000001E-5</v>
      </c>
    </row>
    <row r="7" spans="1:17" ht="15">
      <c r="A7" s="2" t="s">
        <v>10</v>
      </c>
      <c r="B7" s="3">
        <v>6155</v>
      </c>
      <c r="C7" s="3">
        <v>0</v>
      </c>
      <c r="D7" s="3">
        <v>6155</v>
      </c>
      <c r="E7" s="3">
        <v>0</v>
      </c>
      <c r="F7" s="16">
        <f t="shared" si="0"/>
        <v>0</v>
      </c>
      <c r="G7" s="16">
        <f t="shared" si="1"/>
        <v>1</v>
      </c>
      <c r="H7" s="16">
        <f t="shared" si="2"/>
        <v>0</v>
      </c>
      <c r="I7" s="2" t="s">
        <v>10</v>
      </c>
      <c r="J7" s="3"/>
      <c r="K7" s="3"/>
      <c r="L7" s="3"/>
    </row>
    <row r="8" spans="1:17" ht="15">
      <c r="A8" s="2" t="s">
        <v>11</v>
      </c>
      <c r="B8" s="3">
        <v>6926</v>
      </c>
      <c r="C8" s="3">
        <v>0</v>
      </c>
      <c r="D8" s="3">
        <v>6876</v>
      </c>
      <c r="E8" s="3">
        <v>0</v>
      </c>
      <c r="F8" s="16">
        <f t="shared" si="0"/>
        <v>0</v>
      </c>
      <c r="G8" s="16">
        <f t="shared" si="1"/>
        <v>0.99278082587352012</v>
      </c>
      <c r="H8" s="16">
        <f t="shared" si="2"/>
        <v>0</v>
      </c>
      <c r="I8" s="2" t="s">
        <v>11</v>
      </c>
      <c r="J8" s="3"/>
      <c r="K8" s="3"/>
      <c r="L8" s="3"/>
    </row>
    <row r="9" spans="1:17" ht="15">
      <c r="A9" s="2" t="s">
        <v>12</v>
      </c>
      <c r="B9" s="3">
        <v>6229</v>
      </c>
      <c r="C9" s="3">
        <v>0</v>
      </c>
      <c r="D9" s="3">
        <v>6229</v>
      </c>
      <c r="E9" s="3">
        <v>0</v>
      </c>
      <c r="F9" s="16">
        <f t="shared" si="0"/>
        <v>0</v>
      </c>
      <c r="G9" s="16">
        <f t="shared" si="1"/>
        <v>1</v>
      </c>
      <c r="H9" s="16">
        <f t="shared" si="2"/>
        <v>0</v>
      </c>
      <c r="I9" s="2" t="s">
        <v>12</v>
      </c>
      <c r="J9" s="3"/>
      <c r="K9" s="3"/>
      <c r="L9" s="3"/>
    </row>
    <row r="10" spans="1:17" ht="15">
      <c r="A10" s="2" t="s">
        <v>13</v>
      </c>
      <c r="B10" s="3">
        <v>6933</v>
      </c>
      <c r="C10" s="3">
        <v>0</v>
      </c>
      <c r="D10" s="3">
        <v>6933</v>
      </c>
      <c r="E10" s="3">
        <v>0</v>
      </c>
      <c r="F10" s="16">
        <f t="shared" si="0"/>
        <v>0</v>
      </c>
      <c r="G10" s="16">
        <f t="shared" si="1"/>
        <v>1</v>
      </c>
      <c r="H10" s="16">
        <f t="shared" si="2"/>
        <v>0</v>
      </c>
      <c r="I10" s="2" t="s">
        <v>13</v>
      </c>
      <c r="J10" s="3"/>
      <c r="K10" s="3"/>
      <c r="L10" s="3"/>
    </row>
    <row r="11" spans="1:17" ht="15">
      <c r="A11" s="2" t="s">
        <v>14</v>
      </c>
      <c r="B11" s="3">
        <v>6241</v>
      </c>
      <c r="C11" s="3">
        <v>0</v>
      </c>
      <c r="D11" s="3">
        <v>6241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2" t="s">
        <v>14</v>
      </c>
      <c r="J11" s="3"/>
      <c r="K11" s="3"/>
      <c r="L11" s="3"/>
    </row>
    <row r="12" spans="1:17" ht="15">
      <c r="A12" s="2" t="s">
        <v>15</v>
      </c>
      <c r="B12" s="3">
        <v>7388</v>
      </c>
      <c r="C12" s="3">
        <v>0</v>
      </c>
      <c r="D12" s="3">
        <v>7388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2" t="s">
        <v>25</v>
      </c>
      <c r="J12" s="3"/>
      <c r="K12" s="3"/>
      <c r="L12" s="3"/>
    </row>
    <row r="13" spans="1:17" ht="15">
      <c r="A13" s="2" t="s">
        <v>16</v>
      </c>
      <c r="B13" s="3">
        <v>6304</v>
      </c>
      <c r="C13" s="3">
        <v>0</v>
      </c>
      <c r="D13" s="3">
        <v>6304</v>
      </c>
      <c r="E13" s="3">
        <v>0</v>
      </c>
      <c r="F13" s="16">
        <f t="shared" si="0"/>
        <v>0</v>
      </c>
      <c r="G13" s="16">
        <f t="shared" si="1"/>
        <v>1</v>
      </c>
      <c r="H13" s="16">
        <f t="shared" si="2"/>
        <v>0</v>
      </c>
      <c r="I13" s="2" t="s">
        <v>26</v>
      </c>
      <c r="J13" s="3"/>
      <c r="K13" s="3"/>
      <c r="L13" s="3"/>
    </row>
    <row r="14" spans="1:17" ht="15">
      <c r="A14" s="2" t="s">
        <v>17</v>
      </c>
      <c r="B14" s="3">
        <v>7525</v>
      </c>
      <c r="C14" s="3">
        <v>0</v>
      </c>
      <c r="D14" s="3">
        <v>7525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2" t="s">
        <v>27</v>
      </c>
      <c r="J14" s="3"/>
      <c r="K14" s="3"/>
      <c r="L14" s="3"/>
    </row>
    <row r="15" spans="1:17" ht="15">
      <c r="A15" s="2" t="s">
        <v>18</v>
      </c>
      <c r="B15" s="3">
        <v>6195</v>
      </c>
      <c r="C15" s="3">
        <v>2200</v>
      </c>
      <c r="D15" s="3">
        <v>1802</v>
      </c>
      <c r="E15" s="3">
        <v>2193</v>
      </c>
      <c r="F15" s="16">
        <f t="shared" si="0"/>
        <v>0.35512510088781274</v>
      </c>
      <c r="G15" s="16">
        <f t="shared" si="1"/>
        <v>0.29087974172719938</v>
      </c>
      <c r="H15" s="16">
        <f t="shared" si="2"/>
        <v>0.35399515738498788</v>
      </c>
      <c r="I15" s="2" t="s">
        <v>18</v>
      </c>
      <c r="J15" s="3"/>
      <c r="K15" s="3"/>
      <c r="L15" s="3"/>
      <c r="Q15" s="12"/>
    </row>
    <row r="16" spans="1:17" ht="15">
      <c r="A16" s="2" t="s">
        <v>19</v>
      </c>
      <c r="B16" s="3">
        <f>SUM(B2:B15)</f>
        <v>93197</v>
      </c>
      <c r="C16" s="3">
        <f>SUM(C2:C15)</f>
        <v>3837</v>
      </c>
      <c r="D16" s="3">
        <f>SUM(D2:D15)</f>
        <v>86824</v>
      </c>
      <c r="E16" s="3">
        <f>SUM(E2:E15)</f>
        <v>2486</v>
      </c>
      <c r="F16" s="16">
        <f t="shared" si="0"/>
        <v>4.1170853139049543E-2</v>
      </c>
      <c r="G16" s="16">
        <f t="shared" si="1"/>
        <v>0.9316179705355323</v>
      </c>
      <c r="H16" s="16">
        <f t="shared" si="2"/>
        <v>2.6674678369475412E-2</v>
      </c>
      <c r="I16" s="2"/>
      <c r="J16" s="2"/>
      <c r="K16" s="2"/>
      <c r="L16" s="5"/>
    </row>
    <row r="17" spans="1:12" ht="15">
      <c r="A17" s="8"/>
      <c r="B17" s="9"/>
      <c r="C17" s="9"/>
      <c r="D17" s="9"/>
      <c r="E17" s="9"/>
      <c r="F17" s="10"/>
      <c r="G17" s="10"/>
      <c r="H17" s="10"/>
      <c r="I17" s="8"/>
      <c r="J17" s="9"/>
      <c r="K17" s="9"/>
      <c r="L17" s="9"/>
    </row>
    <row r="18" spans="1:12" ht="15">
      <c r="A18" s="2" t="s">
        <v>95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33</v>
      </c>
      <c r="G18" s="2" t="s">
        <v>34</v>
      </c>
      <c r="H18" s="2" t="s">
        <v>35</v>
      </c>
      <c r="I18" s="2"/>
      <c r="J18" s="2"/>
      <c r="K18" s="2"/>
      <c r="L18" s="2"/>
    </row>
    <row r="19" spans="1:12" ht="15">
      <c r="A19" s="2" t="s">
        <v>5</v>
      </c>
      <c r="B19" s="3">
        <v>2439</v>
      </c>
      <c r="C19" s="3">
        <v>134</v>
      </c>
      <c r="D19" s="3">
        <v>2305</v>
      </c>
      <c r="E19" s="3">
        <v>0</v>
      </c>
      <c r="F19" s="16">
        <f t="shared" ref="F19:F33" si="3">C19/B19</f>
        <v>5.4940549405494053E-2</v>
      </c>
      <c r="G19" s="16">
        <f t="shared" ref="G19:G33" si="4">D19/B19</f>
        <v>0.94505945059450591</v>
      </c>
      <c r="H19" s="16">
        <f t="shared" ref="H19:H33" si="5">E19/B19</f>
        <v>0</v>
      </c>
      <c r="I19" s="2" t="s">
        <v>5</v>
      </c>
      <c r="J19" s="58">
        <f>SUM(C19:E19)</f>
        <v>2439</v>
      </c>
      <c r="K19" s="3"/>
      <c r="L19" s="3"/>
    </row>
    <row r="20" spans="1:12" ht="15">
      <c r="A20" s="2" t="s">
        <v>6</v>
      </c>
      <c r="B20" s="3">
        <v>2841</v>
      </c>
      <c r="C20" s="3">
        <v>314</v>
      </c>
      <c r="D20" s="3">
        <v>2443</v>
      </c>
      <c r="E20" s="3">
        <v>84</v>
      </c>
      <c r="F20" s="16">
        <f t="shared" si="3"/>
        <v>0.11052446321717704</v>
      </c>
      <c r="G20" s="16">
        <f t="shared" si="4"/>
        <v>0.85990848292854627</v>
      </c>
      <c r="H20" s="16">
        <f t="shared" si="5"/>
        <v>2.9567053854276663E-2</v>
      </c>
      <c r="I20" s="2" t="s">
        <v>6</v>
      </c>
      <c r="J20" s="58">
        <f t="shared" ref="J20:J32" si="6">SUM(C20:E20)</f>
        <v>2841</v>
      </c>
      <c r="K20" s="3"/>
      <c r="L20" s="3"/>
    </row>
    <row r="21" spans="1:12" ht="15">
      <c r="A21" s="2" t="s">
        <v>7</v>
      </c>
      <c r="B21" s="3">
        <v>2651</v>
      </c>
      <c r="C21" s="3">
        <v>58</v>
      </c>
      <c r="D21" s="3">
        <v>2572</v>
      </c>
      <c r="E21" s="3">
        <v>21</v>
      </c>
      <c r="F21" s="16">
        <f t="shared" si="3"/>
        <v>2.1878536401357979E-2</v>
      </c>
      <c r="G21" s="16">
        <f t="shared" si="4"/>
        <v>0.97019992455677107</v>
      </c>
      <c r="H21" s="16">
        <f t="shared" si="5"/>
        <v>7.9215390418709928E-3</v>
      </c>
      <c r="I21" s="2" t="s">
        <v>7</v>
      </c>
      <c r="J21" s="58">
        <f t="shared" si="6"/>
        <v>2651</v>
      </c>
      <c r="K21" s="3"/>
      <c r="L21" s="3"/>
    </row>
    <row r="22" spans="1:12" ht="15">
      <c r="A22" s="2" t="s">
        <v>8</v>
      </c>
      <c r="B22" s="3">
        <v>2816</v>
      </c>
      <c r="C22" s="3">
        <v>159</v>
      </c>
      <c r="D22" s="3">
        <f>51+2606</f>
        <v>2657</v>
      </c>
      <c r="E22" s="3">
        <v>0</v>
      </c>
      <c r="F22" s="16">
        <f t="shared" si="3"/>
        <v>5.6463068181818184E-2</v>
      </c>
      <c r="G22" s="16">
        <f t="shared" si="4"/>
        <v>0.94353693181818177</v>
      </c>
      <c r="H22" s="16">
        <f t="shared" si="5"/>
        <v>0</v>
      </c>
      <c r="I22" s="2" t="s">
        <v>8</v>
      </c>
      <c r="J22" s="58">
        <f t="shared" si="6"/>
        <v>2816</v>
      </c>
      <c r="K22" s="3"/>
      <c r="L22" s="3"/>
    </row>
    <row r="23" spans="1:12" ht="15">
      <c r="A23" s="2" t="s">
        <v>9</v>
      </c>
      <c r="B23" s="3">
        <v>2034</v>
      </c>
      <c r="C23" s="3">
        <v>436</v>
      </c>
      <c r="D23" s="3">
        <v>1510</v>
      </c>
      <c r="E23" s="3">
        <v>88</v>
      </c>
      <c r="F23" s="16">
        <f t="shared" si="3"/>
        <v>0.21435594886922321</v>
      </c>
      <c r="G23" s="16">
        <f t="shared" si="4"/>
        <v>0.74237954768928216</v>
      </c>
      <c r="H23" s="16">
        <f t="shared" si="5"/>
        <v>4.3264503441494594E-2</v>
      </c>
      <c r="I23" s="2" t="s">
        <v>9</v>
      </c>
      <c r="J23" s="58">
        <f t="shared" si="6"/>
        <v>2034</v>
      </c>
      <c r="K23" s="3"/>
      <c r="L23" s="3"/>
    </row>
    <row r="24" spans="1:12" ht="15">
      <c r="A24" s="2" t="s">
        <v>10</v>
      </c>
      <c r="B24" s="3">
        <v>1852</v>
      </c>
      <c r="C24" s="3">
        <v>1424</v>
      </c>
      <c r="D24" s="3">
        <v>415</v>
      </c>
      <c r="E24" s="3">
        <v>13</v>
      </c>
      <c r="F24" s="16">
        <f t="shared" si="3"/>
        <v>0.7688984881209503</v>
      </c>
      <c r="G24" s="16">
        <f t="shared" si="4"/>
        <v>0.22408207343412526</v>
      </c>
      <c r="H24" s="16">
        <f t="shared" si="5"/>
        <v>7.0194384449244057E-3</v>
      </c>
      <c r="I24" s="2" t="s">
        <v>10</v>
      </c>
      <c r="J24" s="58">
        <f t="shared" si="6"/>
        <v>1852</v>
      </c>
      <c r="K24" s="3"/>
      <c r="L24" s="3"/>
    </row>
    <row r="25" spans="1:12" ht="15">
      <c r="A25" s="2" t="s">
        <v>11</v>
      </c>
      <c r="B25" s="3">
        <v>2045</v>
      </c>
      <c r="C25" s="3">
        <v>1201</v>
      </c>
      <c r="D25" s="3">
        <v>843</v>
      </c>
      <c r="E25" s="3">
        <v>1</v>
      </c>
      <c r="F25" s="16">
        <f t="shared" si="3"/>
        <v>0.58728606356968216</v>
      </c>
      <c r="G25" s="16">
        <f t="shared" si="4"/>
        <v>0.41222493887530565</v>
      </c>
      <c r="H25" s="16">
        <f t="shared" si="5"/>
        <v>4.8899755501222489E-4</v>
      </c>
      <c r="I25" s="2" t="s">
        <v>11</v>
      </c>
      <c r="J25" s="58">
        <f t="shared" si="6"/>
        <v>2045</v>
      </c>
      <c r="K25" s="3"/>
      <c r="L25" s="3"/>
    </row>
    <row r="26" spans="1:12" ht="15">
      <c r="A26" s="2" t="s">
        <v>12</v>
      </c>
      <c r="B26" s="3">
        <v>2873</v>
      </c>
      <c r="C26" s="3">
        <v>2271</v>
      </c>
      <c r="D26" s="3">
        <f>36+566</f>
        <v>602</v>
      </c>
      <c r="E26" s="3">
        <v>0</v>
      </c>
      <c r="F26" s="16">
        <f t="shared" si="3"/>
        <v>0.79046293073442397</v>
      </c>
      <c r="G26" s="16">
        <f t="shared" si="4"/>
        <v>0.20953706926557605</v>
      </c>
      <c r="H26" s="16">
        <f t="shared" si="5"/>
        <v>0</v>
      </c>
      <c r="I26" s="2" t="s">
        <v>12</v>
      </c>
      <c r="J26" s="58">
        <f t="shared" si="6"/>
        <v>2873</v>
      </c>
      <c r="K26" s="3"/>
      <c r="L26" s="3"/>
    </row>
    <row r="27" spans="1:12" ht="15">
      <c r="A27" s="2" t="s">
        <v>13</v>
      </c>
      <c r="B27" s="3">
        <v>2213</v>
      </c>
      <c r="C27" s="3">
        <v>876</v>
      </c>
      <c r="D27" s="3">
        <f>19+1039</f>
        <v>1058</v>
      </c>
      <c r="E27" s="3">
        <v>279</v>
      </c>
      <c r="F27" s="16">
        <f>C27/B27</f>
        <v>0.3958427474017171</v>
      </c>
      <c r="G27" s="16">
        <f>D27/B27</f>
        <v>0.47808404880253053</v>
      </c>
      <c r="H27" s="16">
        <f t="shared" si="5"/>
        <v>0.12607320379575238</v>
      </c>
      <c r="I27" s="2" t="s">
        <v>13</v>
      </c>
      <c r="J27" s="58">
        <f t="shared" si="6"/>
        <v>2213</v>
      </c>
      <c r="K27" s="3"/>
      <c r="L27" s="3"/>
    </row>
    <row r="28" spans="1:12" ht="15">
      <c r="A28" s="2" t="s">
        <v>14</v>
      </c>
      <c r="B28" s="3">
        <v>3024</v>
      </c>
      <c r="C28" s="3">
        <v>2029</v>
      </c>
      <c r="D28" s="3">
        <v>394</v>
      </c>
      <c r="E28" s="3">
        <v>601</v>
      </c>
      <c r="F28" s="16">
        <f>C28/B28</f>
        <v>0.67096560846560849</v>
      </c>
      <c r="G28" s="16">
        <f>D28/B28</f>
        <v>0.13029100529100529</v>
      </c>
      <c r="H28" s="16">
        <f t="shared" si="5"/>
        <v>0.19874338624338625</v>
      </c>
      <c r="I28" s="2" t="s">
        <v>14</v>
      </c>
      <c r="J28" s="58">
        <f t="shared" si="6"/>
        <v>3024</v>
      </c>
      <c r="K28" s="3"/>
      <c r="L28" s="3"/>
    </row>
    <row r="29" spans="1:12" ht="15">
      <c r="A29" s="2" t="s">
        <v>15</v>
      </c>
      <c r="B29" s="3">
        <v>2498</v>
      </c>
      <c r="C29" s="3">
        <v>323</v>
      </c>
      <c r="D29" s="3">
        <f>18+2157</f>
        <v>2175</v>
      </c>
      <c r="E29" s="3">
        <v>0</v>
      </c>
      <c r="F29" s="16">
        <f t="shared" si="3"/>
        <v>0.12930344275420336</v>
      </c>
      <c r="G29" s="16">
        <f t="shared" si="4"/>
        <v>0.87069655724579664</v>
      </c>
      <c r="H29" s="16">
        <f t="shared" si="5"/>
        <v>0</v>
      </c>
      <c r="I29" s="2" t="s">
        <v>25</v>
      </c>
      <c r="J29" s="58">
        <f t="shared" si="6"/>
        <v>2498</v>
      </c>
      <c r="K29" s="3"/>
      <c r="L29" s="3"/>
    </row>
    <row r="30" spans="1:12" ht="15">
      <c r="A30" s="2" t="s">
        <v>16</v>
      </c>
      <c r="B30" s="3">
        <v>3124</v>
      </c>
      <c r="C30" s="3">
        <v>2984</v>
      </c>
      <c r="D30" s="3">
        <v>140</v>
      </c>
      <c r="E30" s="3">
        <v>0</v>
      </c>
      <c r="F30" s="16">
        <f t="shared" si="3"/>
        <v>0.95518565941101152</v>
      </c>
      <c r="G30" s="16">
        <f t="shared" si="4"/>
        <v>4.4814340588988477E-2</v>
      </c>
      <c r="H30" s="16">
        <f t="shared" si="5"/>
        <v>0</v>
      </c>
      <c r="I30" s="2" t="s">
        <v>26</v>
      </c>
      <c r="J30" s="58">
        <f t="shared" si="6"/>
        <v>3124</v>
      </c>
      <c r="K30" s="3"/>
      <c r="L30" s="3"/>
    </row>
    <row r="31" spans="1:12" ht="15">
      <c r="A31" s="2" t="s">
        <v>17</v>
      </c>
      <c r="B31" s="3">
        <v>2820</v>
      </c>
      <c r="C31" s="3">
        <v>12</v>
      </c>
      <c r="D31" s="3">
        <v>2791</v>
      </c>
      <c r="E31" s="3">
        <v>17</v>
      </c>
      <c r="F31" s="16">
        <f t="shared" si="3"/>
        <v>4.2553191489361703E-3</v>
      </c>
      <c r="G31" s="16">
        <f t="shared" si="4"/>
        <v>0.9897163120567376</v>
      </c>
      <c r="H31" s="16">
        <f t="shared" si="5"/>
        <v>6.0283687943262412E-3</v>
      </c>
      <c r="I31" s="2" t="s">
        <v>27</v>
      </c>
      <c r="J31" s="58">
        <f t="shared" si="6"/>
        <v>2820</v>
      </c>
      <c r="K31" s="3"/>
      <c r="L31" s="3"/>
    </row>
    <row r="32" spans="1:12" ht="15">
      <c r="A32" s="2" t="s">
        <v>18</v>
      </c>
      <c r="B32" s="3">
        <v>2000</v>
      </c>
      <c r="C32" s="3">
        <v>126</v>
      </c>
      <c r="D32" s="3">
        <v>1847</v>
      </c>
      <c r="E32" s="22">
        <v>27</v>
      </c>
      <c r="F32" s="16">
        <f t="shared" si="3"/>
        <v>6.3E-2</v>
      </c>
      <c r="G32" s="16">
        <f t="shared" si="4"/>
        <v>0.92349999999999999</v>
      </c>
      <c r="H32" s="16">
        <f t="shared" si="5"/>
        <v>1.35E-2</v>
      </c>
      <c r="I32" s="2" t="s">
        <v>18</v>
      </c>
      <c r="J32" s="58">
        <f t="shared" si="6"/>
        <v>2000</v>
      </c>
      <c r="K32" s="3"/>
      <c r="L32" s="3"/>
    </row>
    <row r="33" spans="1:12" ht="15">
      <c r="A33" s="2" t="s">
        <v>19</v>
      </c>
      <c r="B33" s="3">
        <f>SUM(B19:B32)</f>
        <v>35230</v>
      </c>
      <c r="C33" s="3">
        <f>SUM(C19:C32)</f>
        <v>12347</v>
      </c>
      <c r="D33" s="3">
        <f>SUM(D19:D32)</f>
        <v>21752</v>
      </c>
      <c r="E33" s="3">
        <f>SUM(E19:E32)</f>
        <v>1131</v>
      </c>
      <c r="F33" s="16">
        <f t="shared" si="3"/>
        <v>0.3504683508373545</v>
      </c>
      <c r="G33" s="16">
        <f t="shared" si="4"/>
        <v>0.61742832812943516</v>
      </c>
      <c r="H33" s="16">
        <f t="shared" si="5"/>
        <v>3.2103321033210334E-2</v>
      </c>
      <c r="I33" s="2"/>
      <c r="J33" s="2"/>
      <c r="K33" s="2"/>
      <c r="L33" s="5"/>
    </row>
    <row r="35" spans="1:12" ht="15">
      <c r="A35" s="2" t="s">
        <v>96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33</v>
      </c>
      <c r="G35" s="2" t="s">
        <v>34</v>
      </c>
      <c r="H35" s="2" t="s">
        <v>35</v>
      </c>
      <c r="I35" s="2"/>
      <c r="J35" s="2" t="s">
        <v>97</v>
      </c>
      <c r="K35" s="2"/>
      <c r="L35" s="2"/>
    </row>
    <row r="36" spans="1:12" ht="15">
      <c r="A36" s="2" t="s">
        <v>5</v>
      </c>
      <c r="B36" s="3">
        <v>573</v>
      </c>
      <c r="C36" s="3">
        <v>18</v>
      </c>
      <c r="D36" s="3">
        <v>553</v>
      </c>
      <c r="E36" s="3">
        <v>2</v>
      </c>
      <c r="F36" s="16">
        <f t="shared" ref="F36:F43" si="7">C36/B36</f>
        <v>3.1413612565445025E-2</v>
      </c>
      <c r="G36" s="16">
        <f t="shared" ref="G36:G43" si="8">D36/B36</f>
        <v>0.96509598603839442</v>
      </c>
      <c r="H36" s="16">
        <f t="shared" ref="H36:H50" si="9">E36/B36</f>
        <v>3.4904013961605585E-3</v>
      </c>
      <c r="I36" s="2" t="s">
        <v>5</v>
      </c>
      <c r="J36" s="58">
        <f>SUM(C36:E36)</f>
        <v>573</v>
      </c>
      <c r="K36" s="3"/>
      <c r="L36" s="3"/>
    </row>
    <row r="37" spans="1:12" ht="15">
      <c r="A37" s="2" t="s">
        <v>6</v>
      </c>
      <c r="B37" s="3">
        <v>3792</v>
      </c>
      <c r="C37" s="3">
        <v>396</v>
      </c>
      <c r="D37" s="3">
        <v>3340</v>
      </c>
      <c r="E37" s="3">
        <v>56</v>
      </c>
      <c r="F37" s="16">
        <f t="shared" si="7"/>
        <v>0.10443037974683544</v>
      </c>
      <c r="G37" s="16">
        <f t="shared" si="8"/>
        <v>0.88080168776371304</v>
      </c>
      <c r="H37" s="16">
        <f t="shared" si="9"/>
        <v>1.4767932489451477E-2</v>
      </c>
      <c r="I37" s="2" t="s">
        <v>6</v>
      </c>
      <c r="J37" s="58">
        <f t="shared" ref="J37:J49" si="10">SUM(C37:E37)</f>
        <v>3792</v>
      </c>
      <c r="K37" s="3"/>
      <c r="L37" s="3"/>
    </row>
    <row r="38" spans="1:12" ht="15">
      <c r="A38" s="2" t="s">
        <v>7</v>
      </c>
      <c r="B38" s="3">
        <v>646</v>
      </c>
      <c r="C38" s="3">
        <v>21</v>
      </c>
      <c r="D38" s="3">
        <v>623</v>
      </c>
      <c r="E38" s="3">
        <v>2</v>
      </c>
      <c r="F38" s="16">
        <f t="shared" si="7"/>
        <v>3.2507739938080496E-2</v>
      </c>
      <c r="G38" s="16">
        <f t="shared" si="8"/>
        <v>0.9643962848297214</v>
      </c>
      <c r="H38" s="16">
        <f t="shared" si="9"/>
        <v>3.0959752321981426E-3</v>
      </c>
      <c r="I38" s="2" t="s">
        <v>7</v>
      </c>
      <c r="J38" s="58">
        <f t="shared" si="10"/>
        <v>646</v>
      </c>
      <c r="K38" s="3"/>
      <c r="L38" s="3"/>
    </row>
    <row r="39" spans="1:12" ht="15">
      <c r="A39" s="2" t="s">
        <v>8</v>
      </c>
      <c r="B39" s="3">
        <v>4565</v>
      </c>
      <c r="C39" s="3">
        <v>211</v>
      </c>
      <c r="D39" s="3">
        <v>4351</v>
      </c>
      <c r="E39" s="3">
        <v>3</v>
      </c>
      <c r="F39" s="16">
        <f t="shared" si="7"/>
        <v>4.6221248630887182E-2</v>
      </c>
      <c r="G39" s="16">
        <f t="shared" si="8"/>
        <v>0.95312157721796276</v>
      </c>
      <c r="H39" s="16">
        <f t="shared" si="9"/>
        <v>6.5717415115005477E-4</v>
      </c>
      <c r="I39" s="2" t="s">
        <v>8</v>
      </c>
      <c r="J39" s="58">
        <f t="shared" si="10"/>
        <v>4565</v>
      </c>
      <c r="K39" s="3"/>
      <c r="L39" s="3"/>
    </row>
    <row r="40" spans="1:12" ht="15">
      <c r="A40" s="2" t="s">
        <v>9</v>
      </c>
      <c r="B40" s="3">
        <v>512</v>
      </c>
      <c r="C40" s="3">
        <v>93</v>
      </c>
      <c r="D40" s="3">
        <v>399</v>
      </c>
      <c r="E40" s="3">
        <v>20</v>
      </c>
      <c r="F40" s="16">
        <f t="shared" si="7"/>
        <v>0.181640625</v>
      </c>
      <c r="G40" s="16">
        <f t="shared" si="8"/>
        <v>0.779296875</v>
      </c>
      <c r="H40" s="16">
        <f t="shared" si="9"/>
        <v>3.90625E-2</v>
      </c>
      <c r="I40" s="2" t="s">
        <v>9</v>
      </c>
      <c r="J40" s="58">
        <f t="shared" si="10"/>
        <v>512</v>
      </c>
      <c r="K40" s="3"/>
      <c r="L40" s="3"/>
    </row>
    <row r="41" spans="1:12" ht="15">
      <c r="A41" s="2" t="s">
        <v>10</v>
      </c>
      <c r="B41" s="3">
        <v>1560</v>
      </c>
      <c r="C41" s="3">
        <v>1358</v>
      </c>
      <c r="D41" s="3">
        <v>202</v>
      </c>
      <c r="E41" s="3">
        <v>0</v>
      </c>
      <c r="F41" s="16">
        <f t="shared" si="7"/>
        <v>0.87051282051282053</v>
      </c>
      <c r="G41" s="16">
        <f t="shared" si="8"/>
        <v>0.1294871794871795</v>
      </c>
      <c r="H41" s="16">
        <f t="shared" si="9"/>
        <v>0</v>
      </c>
      <c r="I41" s="2" t="s">
        <v>10</v>
      </c>
      <c r="J41" s="58">
        <f t="shared" si="10"/>
        <v>1560</v>
      </c>
      <c r="K41" s="3"/>
      <c r="L41" s="3"/>
    </row>
    <row r="42" spans="1:12" ht="15">
      <c r="A42" s="2" t="s">
        <v>11</v>
      </c>
      <c r="B42" s="3">
        <v>651</v>
      </c>
      <c r="C42" s="3">
        <v>121</v>
      </c>
      <c r="D42" s="3">
        <v>527</v>
      </c>
      <c r="E42" s="3">
        <v>3</v>
      </c>
      <c r="F42" s="16">
        <f t="shared" si="7"/>
        <v>0.18586789554531491</v>
      </c>
      <c r="G42" s="16">
        <f t="shared" si="8"/>
        <v>0.80952380952380953</v>
      </c>
      <c r="H42" s="16">
        <f t="shared" si="9"/>
        <v>4.608294930875576E-3</v>
      </c>
      <c r="I42" s="2" t="s">
        <v>11</v>
      </c>
      <c r="J42" s="58">
        <f t="shared" si="10"/>
        <v>651</v>
      </c>
      <c r="K42" s="3"/>
      <c r="L42" s="3"/>
    </row>
    <row r="43" spans="1:12" ht="15">
      <c r="A43" s="2" t="s">
        <v>12</v>
      </c>
      <c r="B43" s="3">
        <v>7919</v>
      </c>
      <c r="C43" s="3">
        <v>2962</v>
      </c>
      <c r="D43" s="3">
        <v>4957</v>
      </c>
      <c r="E43" s="3">
        <v>0</v>
      </c>
      <c r="F43" s="16">
        <f t="shared" si="7"/>
        <v>0.37403712589973481</v>
      </c>
      <c r="G43" s="16">
        <f t="shared" si="8"/>
        <v>0.62596287410026519</v>
      </c>
      <c r="H43" s="16">
        <f t="shared" si="9"/>
        <v>0</v>
      </c>
      <c r="I43" s="2" t="s">
        <v>12</v>
      </c>
      <c r="J43" s="58">
        <f t="shared" si="10"/>
        <v>7919</v>
      </c>
      <c r="K43" s="3"/>
      <c r="L43" s="3"/>
    </row>
    <row r="44" spans="1:12" ht="15">
      <c r="A44" s="2" t="s">
        <v>13</v>
      </c>
      <c r="B44" s="3">
        <v>508</v>
      </c>
      <c r="C44" s="3">
        <v>31</v>
      </c>
      <c r="D44" s="3">
        <v>169</v>
      </c>
      <c r="E44" s="3">
        <v>308</v>
      </c>
      <c r="F44" s="16">
        <f t="shared" ref="F44:F50" si="11">C44/B44</f>
        <v>6.1023622047244097E-2</v>
      </c>
      <c r="G44" s="16">
        <f t="shared" ref="G44:G50" si="12">D44/B44</f>
        <v>0.33267716535433073</v>
      </c>
      <c r="H44" s="16">
        <f t="shared" si="9"/>
        <v>0.60629921259842523</v>
      </c>
      <c r="I44" s="2" t="s">
        <v>13</v>
      </c>
      <c r="J44" s="58">
        <f t="shared" si="10"/>
        <v>508</v>
      </c>
      <c r="K44" s="3"/>
      <c r="L44" s="3"/>
    </row>
    <row r="45" spans="1:12" ht="15">
      <c r="A45" s="2" t="s">
        <v>14</v>
      </c>
      <c r="B45" s="3">
        <v>1660</v>
      </c>
      <c r="C45" s="3">
        <v>1318</v>
      </c>
      <c r="D45" s="3">
        <v>232</v>
      </c>
      <c r="E45" s="3">
        <v>110</v>
      </c>
      <c r="F45" s="16">
        <f t="shared" si="11"/>
        <v>0.7939759036144578</v>
      </c>
      <c r="G45" s="16">
        <f t="shared" si="12"/>
        <v>0.13975903614457832</v>
      </c>
      <c r="H45" s="16">
        <f t="shared" si="9"/>
        <v>6.6265060240963861E-2</v>
      </c>
      <c r="I45" s="2" t="s">
        <v>14</v>
      </c>
      <c r="J45" s="58">
        <f t="shared" si="10"/>
        <v>1660</v>
      </c>
      <c r="K45" s="3"/>
      <c r="L45" s="3"/>
    </row>
    <row r="46" spans="1:12" ht="15">
      <c r="A46" s="2" t="s">
        <v>15</v>
      </c>
      <c r="B46" s="3">
        <v>442</v>
      </c>
      <c r="C46" s="3">
        <v>397</v>
      </c>
      <c r="D46" s="3">
        <v>35</v>
      </c>
      <c r="E46" s="3">
        <v>10</v>
      </c>
      <c r="F46" s="16">
        <f t="shared" si="11"/>
        <v>0.89819004524886881</v>
      </c>
      <c r="G46" s="16">
        <f t="shared" si="12"/>
        <v>7.9185520361990946E-2</v>
      </c>
      <c r="H46" s="16">
        <f t="shared" si="9"/>
        <v>2.2624434389140271E-2</v>
      </c>
      <c r="I46" s="2" t="s">
        <v>25</v>
      </c>
      <c r="J46" s="58">
        <f t="shared" si="10"/>
        <v>442</v>
      </c>
      <c r="K46" s="3"/>
      <c r="L46" s="3"/>
    </row>
    <row r="47" spans="1:12" ht="15">
      <c r="A47" s="2" t="s">
        <v>16</v>
      </c>
      <c r="B47" s="3">
        <v>3087</v>
      </c>
      <c r="C47" s="3">
        <v>2900</v>
      </c>
      <c r="D47" s="3">
        <v>134</v>
      </c>
      <c r="E47" s="3">
        <v>53</v>
      </c>
      <c r="F47" s="16">
        <f t="shared" si="11"/>
        <v>0.93942338840298023</v>
      </c>
      <c r="G47" s="16">
        <f t="shared" si="12"/>
        <v>4.3407839326206676E-2</v>
      </c>
      <c r="H47" s="16">
        <f t="shared" si="9"/>
        <v>1.7168772270813086E-2</v>
      </c>
      <c r="I47" s="2" t="s">
        <v>26</v>
      </c>
      <c r="J47" s="58">
        <f t="shared" si="10"/>
        <v>3087</v>
      </c>
      <c r="K47" s="3"/>
      <c r="L47" s="3"/>
    </row>
    <row r="48" spans="1:12" ht="15">
      <c r="A48" s="2" t="s">
        <v>17</v>
      </c>
      <c r="B48" s="3">
        <v>730</v>
      </c>
      <c r="C48" s="3">
        <v>0</v>
      </c>
      <c r="D48" s="3">
        <v>724</v>
      </c>
      <c r="E48" s="3">
        <v>6</v>
      </c>
      <c r="F48" s="16">
        <f t="shared" si="11"/>
        <v>0</v>
      </c>
      <c r="G48" s="16">
        <f t="shared" si="12"/>
        <v>0.99178082191780825</v>
      </c>
      <c r="H48" s="16">
        <f t="shared" si="9"/>
        <v>8.21917808219178E-3</v>
      </c>
      <c r="I48" s="2" t="s">
        <v>27</v>
      </c>
      <c r="J48" s="58">
        <f t="shared" si="10"/>
        <v>730</v>
      </c>
      <c r="K48" s="3"/>
      <c r="L48" s="3"/>
    </row>
    <row r="49" spans="1:12" ht="15">
      <c r="A49" s="2" t="s">
        <v>18</v>
      </c>
      <c r="B49" s="3">
        <v>1404</v>
      </c>
      <c r="C49" s="3">
        <v>225</v>
      </c>
      <c r="D49" s="3">
        <v>815</v>
      </c>
      <c r="E49" s="22">
        <v>364</v>
      </c>
      <c r="F49" s="16">
        <f t="shared" si="11"/>
        <v>0.16025641025641027</v>
      </c>
      <c r="G49" s="16">
        <f t="shared" si="12"/>
        <v>0.58048433048433046</v>
      </c>
      <c r="H49" s="16">
        <f t="shared" si="9"/>
        <v>0.25925925925925924</v>
      </c>
      <c r="I49" s="2" t="s">
        <v>18</v>
      </c>
      <c r="J49" s="58">
        <f t="shared" si="10"/>
        <v>1404</v>
      </c>
      <c r="K49" s="3"/>
      <c r="L49" s="3"/>
    </row>
    <row r="50" spans="1:12" ht="15">
      <c r="A50" s="2" t="s">
        <v>19</v>
      </c>
      <c r="B50" s="3">
        <f>SUM(B36:B49)</f>
        <v>28049</v>
      </c>
      <c r="C50" s="3">
        <f>SUM(C36:C49)</f>
        <v>10051</v>
      </c>
      <c r="D50" s="3">
        <f>SUM(D36:D49)</f>
        <v>17061</v>
      </c>
      <c r="E50" s="3">
        <f>SUM(E36:E49)</f>
        <v>937</v>
      </c>
      <c r="F50" s="16">
        <f t="shared" si="11"/>
        <v>0.35833719562194732</v>
      </c>
      <c r="G50" s="16">
        <f t="shared" si="12"/>
        <v>0.60825697885842633</v>
      </c>
      <c r="H50" s="16">
        <f t="shared" si="9"/>
        <v>3.340582551962637E-2</v>
      </c>
      <c r="I50" s="2"/>
      <c r="J50" s="2"/>
      <c r="K50" s="2"/>
      <c r="L50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50"/>
  <sheetViews>
    <sheetView topLeftCell="O1" zoomScale="115" zoomScaleNormal="115" workbookViewId="0">
      <selection activeCell="O28" sqref="O28"/>
    </sheetView>
  </sheetViews>
  <sheetFormatPr defaultRowHeight="12.75"/>
  <cols>
    <col min="1" max="1" width="25.42578125" customWidth="1"/>
    <col min="2" max="2" width="8.42578125" bestFit="1" customWidth="1"/>
    <col min="3" max="3" width="22.42578125" bestFit="1" customWidth="1"/>
    <col min="4" max="4" width="8.5703125" bestFit="1" customWidth="1"/>
    <col min="5" max="5" width="23.42578125" bestFit="1" customWidth="1"/>
    <col min="6" max="6" width="9.42578125" customWidth="1"/>
    <col min="7" max="7" width="10.5703125" bestFit="1" customWidth="1"/>
    <col min="8" max="8" width="8.28515625" bestFit="1" customWidth="1"/>
    <col min="9" max="9" width="7" customWidth="1"/>
    <col min="18" max="18" width="12" bestFit="1" customWidth="1"/>
  </cols>
  <sheetData>
    <row r="1" spans="1:19" ht="15">
      <c r="A1" s="2" t="s">
        <v>98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/>
      <c r="K1" s="2"/>
      <c r="L1" s="2"/>
    </row>
    <row r="2" spans="1:19" ht="15">
      <c r="A2" s="2" t="s">
        <v>5</v>
      </c>
      <c r="B2" s="3">
        <v>2710</v>
      </c>
      <c r="C2" s="3">
        <v>114</v>
      </c>
      <c r="D2" s="3">
        <v>2594</v>
      </c>
      <c r="E2" s="3">
        <v>2</v>
      </c>
      <c r="F2" s="16">
        <f t="shared" ref="F2:F16" si="0">C2/B2</f>
        <v>4.2066420664206641E-2</v>
      </c>
      <c r="G2" s="16">
        <f t="shared" ref="G2:G16" si="1">D2/B2</f>
        <v>0.95719557195571958</v>
      </c>
      <c r="H2" s="16">
        <f t="shared" ref="H2:H16" si="2">E2/B2</f>
        <v>7.3800738007380072E-4</v>
      </c>
      <c r="I2" s="2" t="s">
        <v>5</v>
      </c>
      <c r="J2" s="58">
        <f>SUM(C2:E2)</f>
        <v>2710</v>
      </c>
      <c r="K2" s="3"/>
      <c r="L2" s="3"/>
    </row>
    <row r="3" spans="1:19" ht="15">
      <c r="A3" s="2" t="s">
        <v>6</v>
      </c>
      <c r="B3" s="3">
        <v>2763</v>
      </c>
      <c r="C3" s="3">
        <v>128</v>
      </c>
      <c r="D3" s="3">
        <v>2635</v>
      </c>
      <c r="E3" s="3">
        <v>0</v>
      </c>
      <c r="F3" s="16">
        <f t="shared" si="0"/>
        <v>4.6326456749909518E-2</v>
      </c>
      <c r="G3" s="16">
        <f t="shared" si="1"/>
        <v>0.95367354325009046</v>
      </c>
      <c r="H3" s="16">
        <f t="shared" si="2"/>
        <v>0</v>
      </c>
      <c r="I3" s="2" t="s">
        <v>6</v>
      </c>
      <c r="J3" s="58">
        <f t="shared" ref="J3:J15" si="3">SUM(C3:E3)</f>
        <v>2763</v>
      </c>
      <c r="K3" s="3"/>
      <c r="L3" s="3"/>
      <c r="Q3" s="20" t="s">
        <v>93</v>
      </c>
      <c r="R3" s="53" t="s">
        <v>38</v>
      </c>
      <c r="S3" s="20" t="s">
        <v>89</v>
      </c>
    </row>
    <row r="4" spans="1:19" ht="15">
      <c r="A4" s="2" t="s">
        <v>7</v>
      </c>
      <c r="B4" s="3">
        <v>2737</v>
      </c>
      <c r="C4" s="3">
        <v>345</v>
      </c>
      <c r="D4" s="3">
        <v>2267</v>
      </c>
      <c r="E4" s="3">
        <v>125</v>
      </c>
      <c r="F4" s="16">
        <f t="shared" si="0"/>
        <v>0.12605042016806722</v>
      </c>
      <c r="G4" s="16">
        <f t="shared" si="1"/>
        <v>0.82827913774205331</v>
      </c>
      <c r="H4" s="16">
        <f t="shared" si="2"/>
        <v>4.5670442089879429E-2</v>
      </c>
      <c r="I4" s="2" t="s">
        <v>7</v>
      </c>
      <c r="J4" s="58">
        <f t="shared" si="3"/>
        <v>2737</v>
      </c>
      <c r="K4" s="3"/>
      <c r="L4" s="3"/>
      <c r="Q4" s="13" t="s">
        <v>39</v>
      </c>
      <c r="R4" s="54">
        <v>14496</v>
      </c>
      <c r="S4" s="55"/>
    </row>
    <row r="5" spans="1:19" ht="15">
      <c r="A5" s="2" t="s">
        <v>8</v>
      </c>
      <c r="B5" s="3">
        <v>2841</v>
      </c>
      <c r="C5" s="3">
        <v>717</v>
      </c>
      <c r="D5" s="3">
        <v>1837</v>
      </c>
      <c r="E5" s="3">
        <v>287</v>
      </c>
      <c r="F5" s="16">
        <f t="shared" si="0"/>
        <v>0.25237592397043296</v>
      </c>
      <c r="G5" s="16">
        <f t="shared" si="1"/>
        <v>0.64660330869412175</v>
      </c>
      <c r="H5" s="16">
        <f t="shared" si="2"/>
        <v>0.10102076733544527</v>
      </c>
      <c r="I5" s="2" t="s">
        <v>8</v>
      </c>
      <c r="J5" s="58">
        <f t="shared" si="3"/>
        <v>2841</v>
      </c>
      <c r="K5" s="3"/>
      <c r="L5" s="3"/>
      <c r="Q5" s="13"/>
      <c r="S5" s="55"/>
    </row>
    <row r="6" spans="1:19" ht="15">
      <c r="A6" s="2" t="s">
        <v>9</v>
      </c>
      <c r="B6" s="3">
        <v>2643</v>
      </c>
      <c r="C6" s="3">
        <v>0</v>
      </c>
      <c r="D6" s="3">
        <v>2643</v>
      </c>
      <c r="E6" s="3">
        <v>0</v>
      </c>
      <c r="F6" s="16">
        <f>C6/B6</f>
        <v>0</v>
      </c>
      <c r="G6" s="16">
        <f>D6/B6</f>
        <v>1</v>
      </c>
      <c r="H6" s="16">
        <f t="shared" si="2"/>
        <v>0</v>
      </c>
      <c r="I6" s="2" t="s">
        <v>9</v>
      </c>
      <c r="J6" s="58">
        <f>SUM(C6:E6)</f>
        <v>2643</v>
      </c>
      <c r="K6" s="3"/>
      <c r="L6" s="3"/>
      <c r="Q6" s="13" t="s">
        <v>40</v>
      </c>
      <c r="R6">
        <v>6782</v>
      </c>
      <c r="S6" s="55"/>
    </row>
    <row r="7" spans="1:19" ht="15">
      <c r="A7" s="2" t="s">
        <v>10</v>
      </c>
      <c r="B7" s="3">
        <v>2783</v>
      </c>
      <c r="C7" s="3">
        <v>0</v>
      </c>
      <c r="D7" s="3">
        <v>2731</v>
      </c>
      <c r="E7" s="3">
        <v>52</v>
      </c>
      <c r="F7" s="16">
        <f t="shared" si="0"/>
        <v>0</v>
      </c>
      <c r="G7" s="16">
        <f t="shared" si="1"/>
        <v>0.9813151275601868</v>
      </c>
      <c r="H7" s="16">
        <f t="shared" si="2"/>
        <v>1.8684872439813153E-2</v>
      </c>
      <c r="I7" s="2" t="s">
        <v>10</v>
      </c>
      <c r="J7" s="58">
        <f t="shared" si="3"/>
        <v>2783</v>
      </c>
      <c r="K7" s="3"/>
      <c r="L7" s="3"/>
      <c r="Q7" s="13" t="s">
        <v>41</v>
      </c>
      <c r="R7" s="54">
        <v>6738</v>
      </c>
      <c r="S7" s="55"/>
    </row>
    <row r="8" spans="1:19" ht="15">
      <c r="A8" s="2" t="s">
        <v>11</v>
      </c>
      <c r="B8" s="3">
        <v>2743</v>
      </c>
      <c r="C8" s="3">
        <v>0</v>
      </c>
      <c r="D8" s="3">
        <v>2743</v>
      </c>
      <c r="E8" s="3">
        <v>0</v>
      </c>
      <c r="F8" s="16">
        <f t="shared" si="0"/>
        <v>0</v>
      </c>
      <c r="G8" s="16">
        <f t="shared" si="1"/>
        <v>1</v>
      </c>
      <c r="H8" s="16">
        <f t="shared" si="2"/>
        <v>0</v>
      </c>
      <c r="I8" s="2" t="s">
        <v>11</v>
      </c>
      <c r="J8" s="58">
        <f t="shared" si="3"/>
        <v>2743</v>
      </c>
      <c r="K8" s="3"/>
      <c r="L8" s="3"/>
    </row>
    <row r="9" spans="1:19" ht="15">
      <c r="A9" s="2" t="s">
        <v>12</v>
      </c>
      <c r="B9" s="3">
        <v>2766</v>
      </c>
      <c r="C9" s="3">
        <v>0</v>
      </c>
      <c r="D9" s="3">
        <v>2762</v>
      </c>
      <c r="E9" s="3">
        <v>4</v>
      </c>
      <c r="F9" s="16">
        <f t="shared" si="0"/>
        <v>0</v>
      </c>
      <c r="G9" s="16">
        <f t="shared" si="1"/>
        <v>0.99855386840202454</v>
      </c>
      <c r="H9" s="16">
        <f t="shared" si="2"/>
        <v>1.4461315979754157E-3</v>
      </c>
      <c r="I9" s="2" t="s">
        <v>12</v>
      </c>
      <c r="J9" s="58">
        <f t="shared" si="3"/>
        <v>2766</v>
      </c>
      <c r="K9" s="3"/>
      <c r="L9" s="3"/>
    </row>
    <row r="10" spans="1:19" ht="15">
      <c r="A10" s="2" t="s">
        <v>13</v>
      </c>
      <c r="B10" s="3">
        <v>2643</v>
      </c>
      <c r="C10" s="3">
        <v>0</v>
      </c>
      <c r="D10" s="3">
        <v>2643</v>
      </c>
      <c r="E10" s="3">
        <v>0</v>
      </c>
      <c r="F10" s="16">
        <f t="shared" si="0"/>
        <v>0</v>
      </c>
      <c r="G10" s="16">
        <f t="shared" si="1"/>
        <v>1</v>
      </c>
      <c r="H10" s="16">
        <f t="shared" si="2"/>
        <v>0</v>
      </c>
      <c r="I10" s="2" t="s">
        <v>13</v>
      </c>
      <c r="J10" s="58">
        <f t="shared" si="3"/>
        <v>2643</v>
      </c>
      <c r="K10" s="3"/>
      <c r="L10" s="3"/>
    </row>
    <row r="11" spans="1:19" ht="15">
      <c r="A11" s="2" t="s">
        <v>14</v>
      </c>
      <c r="B11" s="3">
        <v>2888</v>
      </c>
      <c r="C11" s="3">
        <v>0</v>
      </c>
      <c r="D11" s="3">
        <v>2888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2" t="s">
        <v>14</v>
      </c>
      <c r="J11" s="58">
        <f t="shared" si="3"/>
        <v>2888</v>
      </c>
      <c r="K11" s="3"/>
      <c r="L11" s="3"/>
    </row>
    <row r="12" spans="1:19" ht="15">
      <c r="A12" s="2" t="s">
        <v>15</v>
      </c>
      <c r="B12" s="3">
        <v>2836</v>
      </c>
      <c r="C12" s="3">
        <v>0</v>
      </c>
      <c r="D12" s="3">
        <v>2836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2" t="s">
        <v>25</v>
      </c>
      <c r="J12" s="58">
        <f t="shared" si="3"/>
        <v>2836</v>
      </c>
      <c r="K12" s="3"/>
      <c r="L12" s="3"/>
    </row>
    <row r="13" spans="1:19" ht="15">
      <c r="A13" s="2" t="s">
        <v>16</v>
      </c>
      <c r="B13" s="3">
        <v>2637</v>
      </c>
      <c r="C13" s="3">
        <v>31</v>
      </c>
      <c r="D13" s="3">
        <v>122</v>
      </c>
      <c r="E13" s="3">
        <v>2484</v>
      </c>
      <c r="F13" s="16">
        <f t="shared" si="0"/>
        <v>1.1755783086841108E-2</v>
      </c>
      <c r="G13" s="16">
        <f t="shared" si="1"/>
        <v>4.6264694728858552E-2</v>
      </c>
      <c r="H13" s="16">
        <f t="shared" si="2"/>
        <v>0.94197952218430037</v>
      </c>
      <c r="I13" s="2" t="s">
        <v>26</v>
      </c>
      <c r="J13" s="58">
        <f t="shared" si="3"/>
        <v>2637</v>
      </c>
      <c r="K13" s="3"/>
      <c r="L13" s="3"/>
    </row>
    <row r="14" spans="1:19" ht="15">
      <c r="A14" s="2" t="s">
        <v>17</v>
      </c>
      <c r="B14" s="3">
        <v>2751</v>
      </c>
      <c r="C14" s="3">
        <v>0</v>
      </c>
      <c r="D14" s="3">
        <v>2751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2" t="s">
        <v>27</v>
      </c>
      <c r="J14" s="58">
        <f t="shared" si="3"/>
        <v>2751</v>
      </c>
      <c r="K14" s="3"/>
      <c r="L14" s="3"/>
    </row>
    <row r="15" spans="1:19" ht="15">
      <c r="A15" s="2" t="s">
        <v>18</v>
      </c>
      <c r="B15" s="3">
        <v>2709</v>
      </c>
      <c r="C15" s="3">
        <v>1090</v>
      </c>
      <c r="D15" s="3">
        <v>1496</v>
      </c>
      <c r="E15" s="3">
        <v>123</v>
      </c>
      <c r="F15" s="16">
        <f t="shared" si="0"/>
        <v>0.4023624953857512</v>
      </c>
      <c r="G15" s="16">
        <f t="shared" si="1"/>
        <v>0.55223329641934293</v>
      </c>
      <c r="H15" s="16">
        <f t="shared" si="2"/>
        <v>4.5404208194905871E-2</v>
      </c>
      <c r="I15" s="2" t="s">
        <v>18</v>
      </c>
      <c r="J15" s="58">
        <f t="shared" si="3"/>
        <v>2709</v>
      </c>
      <c r="K15" s="3"/>
      <c r="L15" s="3"/>
    </row>
    <row r="16" spans="1:19" ht="15">
      <c r="A16" s="2" t="s">
        <v>19</v>
      </c>
      <c r="B16" s="3">
        <f>SUM(B2:B15)</f>
        <v>38450</v>
      </c>
      <c r="C16" s="3">
        <f>SUM(C2:C15)</f>
        <v>2425</v>
      </c>
      <c r="D16" s="3">
        <f>SUM(D2:D15)</f>
        <v>32948</v>
      </c>
      <c r="E16" s="3">
        <f>SUM(E2:E15)</f>
        <v>3077</v>
      </c>
      <c r="F16" s="16">
        <f t="shared" si="0"/>
        <v>6.3068920676202858E-2</v>
      </c>
      <c r="G16" s="16">
        <f t="shared" si="1"/>
        <v>0.85690507152145645</v>
      </c>
      <c r="H16" s="16">
        <f t="shared" si="2"/>
        <v>8.0026007802340704E-2</v>
      </c>
      <c r="I16" s="2"/>
      <c r="J16" s="2"/>
      <c r="K16" s="2"/>
      <c r="L16" s="5"/>
    </row>
    <row r="17" spans="1:16" ht="15">
      <c r="A17" s="8"/>
      <c r="B17" s="9"/>
      <c r="C17" s="9"/>
      <c r="D17" s="9"/>
      <c r="E17" s="9"/>
      <c r="F17" s="10"/>
      <c r="G17" s="10"/>
      <c r="H17" s="10"/>
      <c r="I17" s="8"/>
      <c r="J17" s="9"/>
      <c r="K17" s="9"/>
      <c r="L17" s="9"/>
    </row>
    <row r="18" spans="1:16" ht="15">
      <c r="A18" s="2" t="s">
        <v>99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33</v>
      </c>
      <c r="G18" s="2" t="s">
        <v>34</v>
      </c>
      <c r="H18" s="2" t="s">
        <v>35</v>
      </c>
      <c r="I18" s="2"/>
      <c r="J18" s="2"/>
      <c r="K18" s="2"/>
      <c r="L18" s="2"/>
    </row>
    <row r="19" spans="1:16" ht="15">
      <c r="A19" s="2" t="s">
        <v>5</v>
      </c>
      <c r="B19" s="3">
        <v>2669</v>
      </c>
      <c r="C19" s="3">
        <v>961</v>
      </c>
      <c r="D19" s="3">
        <v>1507</v>
      </c>
      <c r="E19" s="3">
        <v>181</v>
      </c>
      <c r="F19" s="16">
        <f t="shared" ref="F19:F33" si="4">C19/B19</f>
        <v>0.36005994754589732</v>
      </c>
      <c r="G19" s="16">
        <f t="shared" ref="G19:G33" si="5">D19/B19</f>
        <v>0.56463094792056945</v>
      </c>
      <c r="H19" s="16">
        <f t="shared" ref="H19:H33" si="6">E19/B19</f>
        <v>6.7815661296365681E-2</v>
      </c>
      <c r="I19" s="2" t="s">
        <v>5</v>
      </c>
      <c r="J19" s="58">
        <f>SUM(C19:E19)</f>
        <v>2649</v>
      </c>
      <c r="K19" s="3"/>
      <c r="L19" s="3"/>
    </row>
    <row r="20" spans="1:16" ht="15">
      <c r="A20" s="2" t="s">
        <v>6</v>
      </c>
      <c r="B20" s="3">
        <v>2549</v>
      </c>
      <c r="C20" s="3">
        <v>713</v>
      </c>
      <c r="D20" s="3">
        <v>1296</v>
      </c>
      <c r="E20" s="3">
        <v>537</v>
      </c>
      <c r="F20" s="16">
        <f t="shared" si="4"/>
        <v>0.27971753628874069</v>
      </c>
      <c r="G20" s="16">
        <f t="shared" si="5"/>
        <v>0.5084346802667713</v>
      </c>
      <c r="H20" s="16">
        <f t="shared" si="6"/>
        <v>0.21067085131424088</v>
      </c>
      <c r="I20" s="2" t="s">
        <v>6</v>
      </c>
      <c r="J20" s="58">
        <f t="shared" ref="J20:J32" si="7">SUM(C20:E20)</f>
        <v>2546</v>
      </c>
      <c r="K20" s="3"/>
      <c r="L20" s="3"/>
    </row>
    <row r="21" spans="1:16" ht="15">
      <c r="A21" s="2" t="s">
        <v>7</v>
      </c>
      <c r="B21" s="3">
        <v>2621</v>
      </c>
      <c r="C21" s="3">
        <v>762</v>
      </c>
      <c r="D21" s="3">
        <v>1193</v>
      </c>
      <c r="E21" s="3">
        <v>664</v>
      </c>
      <c r="F21" s="16">
        <f t="shared" si="4"/>
        <v>0.29072872949256007</v>
      </c>
      <c r="G21" s="16">
        <f t="shared" si="5"/>
        <v>0.45516978252575352</v>
      </c>
      <c r="H21" s="16">
        <f t="shared" si="6"/>
        <v>0.25333842045020982</v>
      </c>
      <c r="I21" s="2" t="s">
        <v>7</v>
      </c>
      <c r="J21" s="58">
        <f t="shared" si="7"/>
        <v>2619</v>
      </c>
      <c r="K21" s="3"/>
      <c r="L21" s="3"/>
    </row>
    <row r="22" spans="1:16" ht="15">
      <c r="A22" s="2" t="s">
        <v>8</v>
      </c>
      <c r="B22" s="3">
        <v>2550</v>
      </c>
      <c r="C22" s="3">
        <v>726</v>
      </c>
      <c r="D22" s="3">
        <v>1202</v>
      </c>
      <c r="E22" s="3">
        <v>622</v>
      </c>
      <c r="F22" s="16">
        <f t="shared" si="4"/>
        <v>0.2847058823529412</v>
      </c>
      <c r="G22" s="16">
        <f t="shared" si="5"/>
        <v>0.47137254901960784</v>
      </c>
      <c r="H22" s="16">
        <f t="shared" si="6"/>
        <v>0.24392156862745099</v>
      </c>
      <c r="I22" s="2" t="s">
        <v>8</v>
      </c>
      <c r="J22" s="58">
        <f t="shared" si="7"/>
        <v>2550</v>
      </c>
      <c r="K22" s="3"/>
      <c r="L22" s="3"/>
      <c r="N22" s="40"/>
      <c r="O22" s="40"/>
      <c r="P22" s="40"/>
    </row>
    <row r="23" spans="1:16" ht="15">
      <c r="A23" s="2" t="s">
        <v>9</v>
      </c>
      <c r="B23" s="3">
        <v>2522</v>
      </c>
      <c r="C23" s="3">
        <v>1959</v>
      </c>
      <c r="D23" s="3">
        <v>463</v>
      </c>
      <c r="E23" s="3">
        <v>98</v>
      </c>
      <c r="F23" s="16">
        <f t="shared" si="4"/>
        <v>0.77676447264076132</v>
      </c>
      <c r="G23" s="16">
        <f t="shared" si="5"/>
        <v>0.18358445678033306</v>
      </c>
      <c r="H23" s="16">
        <f t="shared" si="6"/>
        <v>3.8858049167327519E-2</v>
      </c>
      <c r="I23" s="2" t="s">
        <v>9</v>
      </c>
      <c r="J23" s="58">
        <f t="shared" si="7"/>
        <v>2520</v>
      </c>
      <c r="K23" s="3"/>
      <c r="L23" s="3"/>
    </row>
    <row r="24" spans="1:16" ht="15">
      <c r="A24" s="2" t="s">
        <v>10</v>
      </c>
      <c r="B24" s="3">
        <v>2593</v>
      </c>
      <c r="C24" s="3">
        <v>1027</v>
      </c>
      <c r="D24" s="3">
        <v>1144</v>
      </c>
      <c r="E24" s="3">
        <v>422</v>
      </c>
      <c r="F24" s="16">
        <f t="shared" si="4"/>
        <v>0.39606633243347472</v>
      </c>
      <c r="G24" s="16">
        <f t="shared" si="5"/>
        <v>0.44118781334361745</v>
      </c>
      <c r="H24" s="16">
        <f t="shared" si="6"/>
        <v>0.16274585422290783</v>
      </c>
      <c r="I24" s="2" t="s">
        <v>10</v>
      </c>
      <c r="J24" s="58">
        <f t="shared" si="7"/>
        <v>2593</v>
      </c>
      <c r="K24" s="3"/>
      <c r="L24" s="3"/>
    </row>
    <row r="25" spans="1:16" ht="15">
      <c r="A25" s="2" t="s">
        <v>11</v>
      </c>
      <c r="B25" s="3">
        <v>2495</v>
      </c>
      <c r="C25" s="3">
        <v>1163</v>
      </c>
      <c r="D25" s="3">
        <v>1147</v>
      </c>
      <c r="E25" s="3">
        <v>185</v>
      </c>
      <c r="F25" s="16">
        <f t="shared" si="4"/>
        <v>0.46613226452905809</v>
      </c>
      <c r="G25" s="16">
        <f t="shared" si="5"/>
        <v>0.45971943887775552</v>
      </c>
      <c r="H25" s="16">
        <f t="shared" si="6"/>
        <v>7.4148296593186377E-2</v>
      </c>
      <c r="I25" s="2" t="s">
        <v>11</v>
      </c>
      <c r="J25" s="58">
        <f t="shared" si="7"/>
        <v>2495</v>
      </c>
      <c r="K25" s="3"/>
      <c r="L25" s="3"/>
    </row>
    <row r="26" spans="1:16" ht="15">
      <c r="A26" s="2" t="s">
        <v>12</v>
      </c>
      <c r="B26" s="3">
        <v>2713</v>
      </c>
      <c r="C26" s="3">
        <v>748</v>
      </c>
      <c r="D26" s="3">
        <v>854</v>
      </c>
      <c r="E26" s="3">
        <v>1096</v>
      </c>
      <c r="F26" s="16">
        <f t="shared" si="4"/>
        <v>0.27570954662734981</v>
      </c>
      <c r="G26" s="16">
        <f t="shared" si="5"/>
        <v>0.31478068558791006</v>
      </c>
      <c r="H26" s="16">
        <f t="shared" si="6"/>
        <v>0.40398083302617027</v>
      </c>
      <c r="I26" s="2" t="s">
        <v>12</v>
      </c>
      <c r="J26" s="58">
        <f t="shared" si="7"/>
        <v>2698</v>
      </c>
      <c r="K26" s="3"/>
      <c r="L26" s="3"/>
    </row>
    <row r="27" spans="1:16" ht="15">
      <c r="A27" s="2" t="s">
        <v>13</v>
      </c>
      <c r="B27" s="3">
        <v>2623</v>
      </c>
      <c r="C27" s="3">
        <v>617</v>
      </c>
      <c r="D27" s="3">
        <v>324</v>
      </c>
      <c r="E27" s="3">
        <v>1448</v>
      </c>
      <c r="F27" s="16">
        <f>C27/B27</f>
        <v>0.23522683949675943</v>
      </c>
      <c r="G27" s="16">
        <f>D27/B27</f>
        <v>0.12352268394967594</v>
      </c>
      <c r="H27" s="16">
        <f t="shared" si="6"/>
        <v>0.55203964925657645</v>
      </c>
      <c r="I27" s="2" t="s">
        <v>13</v>
      </c>
      <c r="J27" s="58">
        <f t="shared" si="7"/>
        <v>2389</v>
      </c>
      <c r="K27" s="3"/>
      <c r="L27" s="3"/>
    </row>
    <row r="28" spans="1:16" ht="15">
      <c r="A28" s="2" t="s">
        <v>14</v>
      </c>
      <c r="B28" s="3">
        <v>2539</v>
      </c>
      <c r="C28" s="3">
        <v>2284</v>
      </c>
      <c r="D28" s="3">
        <v>248</v>
      </c>
      <c r="E28" s="3">
        <v>7</v>
      </c>
      <c r="F28" s="16">
        <f>C28/B28</f>
        <v>0.8995667585663647</v>
      </c>
      <c r="G28" s="16">
        <f>D28/B28</f>
        <v>9.7676250492319816E-2</v>
      </c>
      <c r="H28" s="16">
        <f t="shared" si="6"/>
        <v>2.7569909413154787E-3</v>
      </c>
      <c r="I28" s="2" t="s">
        <v>14</v>
      </c>
      <c r="J28" s="58">
        <f t="shared" si="7"/>
        <v>2539</v>
      </c>
      <c r="K28" s="3"/>
      <c r="L28" s="3"/>
    </row>
    <row r="29" spans="1:16" ht="15">
      <c r="A29" s="2" t="s">
        <v>15</v>
      </c>
      <c r="B29" s="3">
        <v>2509</v>
      </c>
      <c r="C29" s="3">
        <v>1099</v>
      </c>
      <c r="D29" s="3">
        <v>215</v>
      </c>
      <c r="E29" s="3">
        <v>1192</v>
      </c>
      <c r="F29" s="16">
        <f t="shared" si="4"/>
        <v>0.43802311677959349</v>
      </c>
      <c r="G29" s="16">
        <f t="shared" si="5"/>
        <v>8.569151056197688E-2</v>
      </c>
      <c r="H29" s="16">
        <f t="shared" si="6"/>
        <v>0.47508967716221601</v>
      </c>
      <c r="I29" s="2" t="s">
        <v>25</v>
      </c>
      <c r="J29" s="58">
        <f t="shared" si="7"/>
        <v>2506</v>
      </c>
      <c r="K29" s="3"/>
      <c r="L29" s="3"/>
    </row>
    <row r="30" spans="1:16" ht="15">
      <c r="A30" s="2" t="s">
        <v>16</v>
      </c>
      <c r="B30" s="3">
        <v>2563</v>
      </c>
      <c r="C30" s="3">
        <v>480</v>
      </c>
      <c r="D30" s="3">
        <v>355</v>
      </c>
      <c r="E30" s="3">
        <v>1726</v>
      </c>
      <c r="F30" s="16">
        <f t="shared" si="4"/>
        <v>0.1872805306281701</v>
      </c>
      <c r="G30" s="16">
        <f t="shared" si="5"/>
        <v>0.13850955911041749</v>
      </c>
      <c r="H30" s="16">
        <f t="shared" si="6"/>
        <v>0.67342957471712839</v>
      </c>
      <c r="I30" s="2" t="s">
        <v>26</v>
      </c>
      <c r="J30" s="58">
        <f t="shared" si="7"/>
        <v>2561</v>
      </c>
      <c r="K30" s="3"/>
      <c r="L30" s="3"/>
    </row>
    <row r="31" spans="1:16" ht="15">
      <c r="A31" s="2" t="s">
        <v>17</v>
      </c>
      <c r="B31" s="3">
        <v>2494</v>
      </c>
      <c r="C31" s="3">
        <v>273</v>
      </c>
      <c r="D31" s="3">
        <v>1847</v>
      </c>
      <c r="E31" s="3">
        <v>374</v>
      </c>
      <c r="F31" s="16">
        <f t="shared" si="4"/>
        <v>0.10946271050521252</v>
      </c>
      <c r="G31" s="16">
        <f t="shared" si="5"/>
        <v>0.74057738572574183</v>
      </c>
      <c r="H31" s="16">
        <f t="shared" si="6"/>
        <v>0.14995990376904572</v>
      </c>
      <c r="I31" s="2" t="s">
        <v>27</v>
      </c>
      <c r="J31" s="58">
        <f t="shared" si="7"/>
        <v>2494</v>
      </c>
      <c r="K31" s="3"/>
      <c r="L31" s="3"/>
    </row>
    <row r="32" spans="1:16" ht="15">
      <c r="A32" s="2" t="s">
        <v>18</v>
      </c>
      <c r="B32" s="3">
        <v>2673</v>
      </c>
      <c r="C32" s="3">
        <v>1356</v>
      </c>
      <c r="D32" s="3">
        <v>1201</v>
      </c>
      <c r="E32" s="22">
        <v>65</v>
      </c>
      <c r="F32" s="16">
        <f t="shared" si="4"/>
        <v>0.50729517396184065</v>
      </c>
      <c r="G32" s="16">
        <f t="shared" si="5"/>
        <v>0.44930789375233821</v>
      </c>
      <c r="H32" s="16">
        <f t="shared" si="6"/>
        <v>2.4317246539468762E-2</v>
      </c>
      <c r="I32" s="2" t="s">
        <v>18</v>
      </c>
      <c r="J32" s="58">
        <f t="shared" si="7"/>
        <v>2622</v>
      </c>
      <c r="K32" s="3"/>
      <c r="L32" s="3"/>
    </row>
    <row r="33" spans="1:12" ht="15">
      <c r="A33" s="2" t="s">
        <v>19</v>
      </c>
      <c r="B33" s="3">
        <f>SUM(B19:B32)</f>
        <v>36113</v>
      </c>
      <c r="C33" s="3">
        <f>SUM(C19:C32)</f>
        <v>14168</v>
      </c>
      <c r="D33" s="3">
        <f>SUM(D19:D32)</f>
        <v>12996</v>
      </c>
      <c r="E33" s="3">
        <f>SUM(E19:E32)</f>
        <v>8617</v>
      </c>
      <c r="F33" s="16">
        <f t="shared" si="4"/>
        <v>0.39232409381663114</v>
      </c>
      <c r="G33" s="16">
        <f t="shared" si="5"/>
        <v>0.35987040677872234</v>
      </c>
      <c r="H33" s="16">
        <f t="shared" si="6"/>
        <v>0.2386121341345222</v>
      </c>
      <c r="I33" s="2"/>
      <c r="J33" s="2"/>
      <c r="K33" s="2"/>
      <c r="L33" s="5"/>
    </row>
    <row r="35" spans="1:12" ht="15">
      <c r="A35" s="2" t="s">
        <v>100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33</v>
      </c>
      <c r="G35" s="2" t="s">
        <v>34</v>
      </c>
      <c r="H35" s="2" t="s">
        <v>35</v>
      </c>
      <c r="I35" s="2"/>
      <c r="J35" s="2" t="s">
        <v>97</v>
      </c>
      <c r="K35" s="2"/>
      <c r="L35" s="2"/>
    </row>
    <row r="36" spans="1:12" ht="15">
      <c r="A36" s="2" t="s">
        <v>5</v>
      </c>
      <c r="B36" s="3">
        <v>2569</v>
      </c>
      <c r="C36" s="3">
        <v>102</v>
      </c>
      <c r="D36" s="3">
        <v>2434</v>
      </c>
      <c r="E36" s="3">
        <v>23</v>
      </c>
      <c r="F36" s="16">
        <f t="shared" ref="F36:F43" si="8">C36/B36</f>
        <v>3.9704165044764497E-2</v>
      </c>
      <c r="G36" s="16">
        <f t="shared" ref="G36:G43" si="9">D36/B36</f>
        <v>0.94745036979369401</v>
      </c>
      <c r="H36" s="16">
        <f t="shared" ref="H36:H50" si="10">E36/B36</f>
        <v>8.9528999610743489E-3</v>
      </c>
      <c r="I36" s="2" t="s">
        <v>5</v>
      </c>
      <c r="J36" s="58">
        <f>SUM(C36:E36)</f>
        <v>2559</v>
      </c>
      <c r="K36" s="3"/>
      <c r="L36" s="3"/>
    </row>
    <row r="37" spans="1:12" ht="15">
      <c r="A37" s="2" t="s">
        <v>6</v>
      </c>
      <c r="B37" s="3">
        <v>2410</v>
      </c>
      <c r="C37" s="3">
        <v>106</v>
      </c>
      <c r="D37" s="22">
        <v>2298</v>
      </c>
      <c r="E37" s="3">
        <v>6</v>
      </c>
      <c r="F37" s="16">
        <f t="shared" si="8"/>
        <v>4.3983402489626559E-2</v>
      </c>
      <c r="G37" s="16">
        <f t="shared" si="9"/>
        <v>0.9535269709543569</v>
      </c>
      <c r="H37" s="16">
        <f t="shared" si="10"/>
        <v>2.4896265560165973E-3</v>
      </c>
      <c r="I37" s="2" t="s">
        <v>6</v>
      </c>
      <c r="J37" s="58">
        <f t="shared" ref="J37:J49" si="11">SUM(C37:E37)</f>
        <v>2410</v>
      </c>
      <c r="K37" s="3"/>
      <c r="L37" s="3"/>
    </row>
    <row r="38" spans="1:12" ht="15">
      <c r="A38" s="2" t="s">
        <v>7</v>
      </c>
      <c r="B38" s="3">
        <v>2457</v>
      </c>
      <c r="C38" s="3">
        <v>426</v>
      </c>
      <c r="D38" s="3">
        <v>2025</v>
      </c>
      <c r="E38" s="3">
        <v>4</v>
      </c>
      <c r="F38" s="16">
        <f t="shared" si="8"/>
        <v>0.17338217338217338</v>
      </c>
      <c r="G38" s="16">
        <f t="shared" si="9"/>
        <v>0.82417582417582413</v>
      </c>
      <c r="H38" s="16">
        <f t="shared" si="10"/>
        <v>1.6280016280016279E-3</v>
      </c>
      <c r="I38" s="2" t="s">
        <v>7</v>
      </c>
      <c r="J38" s="58">
        <f t="shared" si="11"/>
        <v>2455</v>
      </c>
      <c r="K38" s="3"/>
      <c r="L38" s="3"/>
    </row>
    <row r="39" spans="1:12" ht="15">
      <c r="A39" s="2" t="s">
        <v>8</v>
      </c>
      <c r="B39" s="3">
        <v>2569</v>
      </c>
      <c r="C39" s="3">
        <v>863</v>
      </c>
      <c r="D39" s="3">
        <v>1699</v>
      </c>
      <c r="E39" s="3">
        <v>7</v>
      </c>
      <c r="F39" s="16">
        <f t="shared" si="8"/>
        <v>0.3359283768003114</v>
      </c>
      <c r="G39" s="16">
        <f t="shared" si="9"/>
        <v>0.66134682755936158</v>
      </c>
      <c r="H39" s="16">
        <f t="shared" si="10"/>
        <v>2.7247956403269754E-3</v>
      </c>
      <c r="I39" s="2" t="s">
        <v>8</v>
      </c>
      <c r="J39" s="58">
        <f t="shared" si="11"/>
        <v>2569</v>
      </c>
      <c r="K39" s="3"/>
      <c r="L39" s="3"/>
    </row>
    <row r="40" spans="1:12" ht="15">
      <c r="A40" s="2" t="s">
        <v>9</v>
      </c>
      <c r="B40" s="3">
        <v>2469</v>
      </c>
      <c r="C40" s="3">
        <v>0</v>
      </c>
      <c r="D40" s="3">
        <v>2464</v>
      </c>
      <c r="E40" s="3">
        <v>5</v>
      </c>
      <c r="F40" s="16">
        <f t="shared" si="8"/>
        <v>0</v>
      </c>
      <c r="G40" s="16">
        <f t="shared" si="9"/>
        <v>0.99797488861887407</v>
      </c>
      <c r="H40" s="16">
        <f t="shared" si="10"/>
        <v>2.025111381125962E-3</v>
      </c>
      <c r="I40" s="2" t="s">
        <v>9</v>
      </c>
      <c r="J40" s="58">
        <f t="shared" si="11"/>
        <v>2469</v>
      </c>
      <c r="K40" s="3"/>
      <c r="L40" s="3"/>
    </row>
    <row r="41" spans="1:12" ht="15">
      <c r="A41" s="2" t="s">
        <v>10</v>
      </c>
      <c r="B41" s="3">
        <v>2452</v>
      </c>
      <c r="C41" s="3">
        <v>0</v>
      </c>
      <c r="D41" s="3">
        <v>2449</v>
      </c>
      <c r="E41" s="3">
        <v>3</v>
      </c>
      <c r="F41" s="16">
        <f t="shared" si="8"/>
        <v>0</v>
      </c>
      <c r="G41" s="16">
        <f t="shared" si="9"/>
        <v>0.99877650897226755</v>
      </c>
      <c r="H41" s="16">
        <f t="shared" si="10"/>
        <v>1.2234910277324632E-3</v>
      </c>
      <c r="I41" s="2" t="s">
        <v>10</v>
      </c>
      <c r="J41" s="58">
        <f t="shared" si="11"/>
        <v>2452</v>
      </c>
      <c r="K41" s="3"/>
      <c r="L41" s="3"/>
    </row>
    <row r="42" spans="1:12" ht="15">
      <c r="A42" s="2" t="s">
        <v>11</v>
      </c>
      <c r="B42" s="3">
        <v>2498</v>
      </c>
      <c r="C42" s="3">
        <v>0</v>
      </c>
      <c r="D42" s="3">
        <v>2498</v>
      </c>
      <c r="E42" s="3">
        <v>0</v>
      </c>
      <c r="F42" s="16">
        <f t="shared" si="8"/>
        <v>0</v>
      </c>
      <c r="G42" s="16">
        <f t="shared" si="9"/>
        <v>1</v>
      </c>
      <c r="H42" s="16">
        <f t="shared" si="10"/>
        <v>0</v>
      </c>
      <c r="I42" s="2" t="s">
        <v>11</v>
      </c>
      <c r="J42" s="58">
        <f t="shared" si="11"/>
        <v>2498</v>
      </c>
      <c r="K42" s="3"/>
      <c r="L42" s="3"/>
    </row>
    <row r="43" spans="1:12" ht="15">
      <c r="A43" s="2" t="s">
        <v>12</v>
      </c>
      <c r="B43" s="3">
        <v>2543</v>
      </c>
      <c r="C43" s="3">
        <v>0</v>
      </c>
      <c r="D43" s="3">
        <v>2539</v>
      </c>
      <c r="E43" s="3">
        <v>4</v>
      </c>
      <c r="F43" s="16">
        <f t="shared" si="8"/>
        <v>0</v>
      </c>
      <c r="G43" s="16">
        <f t="shared" si="9"/>
        <v>0.9984270546598506</v>
      </c>
      <c r="H43" s="16">
        <f t="shared" si="10"/>
        <v>1.5729453401494297E-3</v>
      </c>
      <c r="I43" s="2" t="s">
        <v>12</v>
      </c>
      <c r="J43" s="58">
        <f t="shared" si="11"/>
        <v>2543</v>
      </c>
      <c r="K43" s="3"/>
      <c r="L43" s="3"/>
    </row>
    <row r="44" spans="1:12" ht="15">
      <c r="A44" s="2" t="s">
        <v>13</v>
      </c>
      <c r="B44" s="3">
        <v>2485</v>
      </c>
      <c r="C44" s="3">
        <v>0</v>
      </c>
      <c r="D44" s="3">
        <v>2481</v>
      </c>
      <c r="E44" s="3">
        <v>4</v>
      </c>
      <c r="F44" s="16">
        <f t="shared" ref="F44:F50" si="12">C44/B44</f>
        <v>0</v>
      </c>
      <c r="G44" s="16">
        <f t="shared" ref="G44:G50" si="13">D44/B44</f>
        <v>0.99839034205231392</v>
      </c>
      <c r="H44" s="16">
        <f t="shared" si="10"/>
        <v>1.6096579476861167E-3</v>
      </c>
      <c r="I44" s="2" t="s">
        <v>13</v>
      </c>
      <c r="J44" s="58">
        <f t="shared" si="11"/>
        <v>2485</v>
      </c>
      <c r="K44" s="3"/>
      <c r="L44" s="3"/>
    </row>
    <row r="45" spans="1:12" ht="15">
      <c r="A45" s="2" t="s">
        <v>14</v>
      </c>
      <c r="B45" s="3">
        <v>2422</v>
      </c>
      <c r="C45" s="3">
        <v>0</v>
      </c>
      <c r="D45" s="3">
        <v>2417</v>
      </c>
      <c r="E45" s="3">
        <v>5</v>
      </c>
      <c r="F45" s="16">
        <f t="shared" si="12"/>
        <v>0</v>
      </c>
      <c r="G45" s="16">
        <f t="shared" si="13"/>
        <v>0.99793559042113955</v>
      </c>
      <c r="H45" s="16">
        <f t="shared" si="10"/>
        <v>2.0644095788604458E-3</v>
      </c>
      <c r="I45" s="2" t="s">
        <v>14</v>
      </c>
      <c r="J45" s="58">
        <f t="shared" si="11"/>
        <v>2422</v>
      </c>
      <c r="K45" s="3"/>
      <c r="L45" s="3"/>
    </row>
    <row r="46" spans="1:12" ht="15">
      <c r="A46" s="2" t="s">
        <v>15</v>
      </c>
      <c r="B46" s="3">
        <v>2356</v>
      </c>
      <c r="C46" s="3">
        <v>0</v>
      </c>
      <c r="D46" s="3">
        <v>2348</v>
      </c>
      <c r="E46" s="3">
        <v>8</v>
      </c>
      <c r="F46" s="16">
        <f t="shared" si="12"/>
        <v>0</v>
      </c>
      <c r="G46" s="16">
        <f t="shared" si="13"/>
        <v>0.99660441426146007</v>
      </c>
      <c r="H46" s="16">
        <f t="shared" si="10"/>
        <v>3.3955857385398981E-3</v>
      </c>
      <c r="I46" s="2" t="s">
        <v>25</v>
      </c>
      <c r="J46" s="58">
        <f t="shared" si="11"/>
        <v>2356</v>
      </c>
      <c r="K46" s="3"/>
      <c r="L46" s="3"/>
    </row>
    <row r="47" spans="1:12" ht="15">
      <c r="A47" s="2" t="s">
        <v>16</v>
      </c>
      <c r="B47" s="3">
        <v>2506</v>
      </c>
      <c r="C47" s="3">
        <v>64</v>
      </c>
      <c r="D47" s="3">
        <v>124</v>
      </c>
      <c r="E47" s="3">
        <v>2166</v>
      </c>
      <c r="F47" s="16">
        <f t="shared" si="12"/>
        <v>2.5538707102952914E-2</v>
      </c>
      <c r="G47" s="16">
        <f t="shared" si="13"/>
        <v>4.9481245011971271E-2</v>
      </c>
      <c r="H47" s="16">
        <f t="shared" si="10"/>
        <v>0.86432561851556267</v>
      </c>
      <c r="I47" s="2" t="s">
        <v>26</v>
      </c>
      <c r="J47" s="58">
        <f t="shared" si="11"/>
        <v>2354</v>
      </c>
      <c r="K47" s="3"/>
      <c r="L47" s="3"/>
    </row>
    <row r="48" spans="1:12" ht="15">
      <c r="A48" s="2" t="s">
        <v>17</v>
      </c>
      <c r="B48" s="3">
        <v>2430</v>
      </c>
      <c r="C48" s="3">
        <v>0</v>
      </c>
      <c r="D48" s="3">
        <v>2427</v>
      </c>
      <c r="E48" s="3">
        <v>3</v>
      </c>
      <c r="F48" s="16">
        <f t="shared" si="12"/>
        <v>0</v>
      </c>
      <c r="G48" s="16">
        <f t="shared" si="13"/>
        <v>0.99876543209876545</v>
      </c>
      <c r="H48" s="16">
        <f t="shared" si="10"/>
        <v>1.2345679012345679E-3</v>
      </c>
      <c r="I48" s="2" t="s">
        <v>27</v>
      </c>
      <c r="J48" s="58">
        <f t="shared" si="11"/>
        <v>2430</v>
      </c>
      <c r="K48" s="3"/>
      <c r="L48" s="3"/>
    </row>
    <row r="49" spans="1:12" ht="15">
      <c r="A49" s="2" t="s">
        <v>18</v>
      </c>
      <c r="B49" s="3">
        <v>2380</v>
      </c>
      <c r="C49" s="3">
        <v>1117</v>
      </c>
      <c r="D49" s="3">
        <v>1134</v>
      </c>
      <c r="E49" s="22">
        <f>83+19+27</f>
        <v>129</v>
      </c>
      <c r="F49" s="16">
        <f t="shared" si="12"/>
        <v>0.46932773109243697</v>
      </c>
      <c r="G49" s="16">
        <f t="shared" si="13"/>
        <v>0.47647058823529409</v>
      </c>
      <c r="H49" s="16">
        <f t="shared" si="10"/>
        <v>5.4201680672268909E-2</v>
      </c>
      <c r="I49" s="2" t="s">
        <v>18</v>
      </c>
      <c r="J49" s="58">
        <f t="shared" si="11"/>
        <v>2380</v>
      </c>
      <c r="K49" s="3"/>
      <c r="L49" s="3"/>
    </row>
    <row r="50" spans="1:12" ht="15">
      <c r="A50" s="2" t="s">
        <v>19</v>
      </c>
      <c r="B50" s="3">
        <f>SUM(B36:B49)</f>
        <v>34546</v>
      </c>
      <c r="C50" s="3">
        <f>SUM(C36:C49)</f>
        <v>2678</v>
      </c>
      <c r="D50" s="3">
        <f>SUM(D36:D49)</f>
        <v>29337</v>
      </c>
      <c r="E50" s="3">
        <f>SUM(E36:E49)</f>
        <v>2367</v>
      </c>
      <c r="F50" s="16">
        <f t="shared" si="12"/>
        <v>7.7519828634284721E-2</v>
      </c>
      <c r="G50" s="16">
        <f t="shared" si="13"/>
        <v>0.84921553870202049</v>
      </c>
      <c r="H50" s="16">
        <f t="shared" si="10"/>
        <v>6.8517339199907365E-2</v>
      </c>
      <c r="I50" s="2"/>
      <c r="J50" s="2"/>
      <c r="K50" s="2"/>
      <c r="L50" s="5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N11:P15"/>
  <sheetViews>
    <sheetView workbookViewId="0">
      <selection activeCell="O15" sqref="O15"/>
    </sheetView>
  </sheetViews>
  <sheetFormatPr defaultRowHeight="12.75"/>
  <cols>
    <col min="15" max="15" width="12" bestFit="1" customWidth="1"/>
  </cols>
  <sheetData>
    <row r="11" spans="14:16">
      <c r="N11" s="59" t="s">
        <v>101</v>
      </c>
      <c r="O11" s="53" t="s">
        <v>38</v>
      </c>
      <c r="P11" s="20" t="s">
        <v>89</v>
      </c>
    </row>
    <row r="12" spans="14:16">
      <c r="N12" s="13" t="s">
        <v>39</v>
      </c>
      <c r="O12" s="54">
        <v>724533</v>
      </c>
      <c r="P12" s="62">
        <v>2174.87</v>
      </c>
    </row>
    <row r="13" spans="14:16">
      <c r="N13" s="13"/>
      <c r="P13" s="61"/>
    </row>
    <row r="14" spans="14:16">
      <c r="N14" s="13" t="s">
        <v>40</v>
      </c>
      <c r="O14">
        <v>251634</v>
      </c>
      <c r="P14" s="60" t="s">
        <v>102</v>
      </c>
    </row>
    <row r="15" spans="14:16">
      <c r="N15" s="13" t="s">
        <v>41</v>
      </c>
      <c r="O15" s="54">
        <v>229917</v>
      </c>
      <c r="P15" s="60" t="s">
        <v>103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N9:P13"/>
  <sheetViews>
    <sheetView workbookViewId="0">
      <selection activeCell="K11" sqref="K11"/>
    </sheetView>
  </sheetViews>
  <sheetFormatPr defaultRowHeight="12.75"/>
  <cols>
    <col min="15" max="15" width="12" bestFit="1" customWidth="1"/>
    <col min="16" max="16" width="10" bestFit="1" customWidth="1"/>
  </cols>
  <sheetData>
    <row r="9" spans="14:16">
      <c r="N9" s="59" t="s">
        <v>104</v>
      </c>
      <c r="O9" s="53" t="s">
        <v>38</v>
      </c>
      <c r="P9" s="20" t="s">
        <v>89</v>
      </c>
    </row>
    <row r="10" spans="14:16">
      <c r="N10" s="13" t="s">
        <v>39</v>
      </c>
      <c r="O10" s="54">
        <v>1131645</v>
      </c>
      <c r="P10" s="62">
        <v>3398.33</v>
      </c>
    </row>
    <row r="11" spans="14:16">
      <c r="N11" s="13"/>
      <c r="P11" s="61"/>
    </row>
    <row r="12" spans="14:16">
      <c r="N12" s="13" t="s">
        <v>40</v>
      </c>
      <c r="O12">
        <v>705765</v>
      </c>
      <c r="P12" s="62">
        <v>2119.41</v>
      </c>
    </row>
    <row r="13" spans="14:16">
      <c r="N13" s="13" t="s">
        <v>41</v>
      </c>
      <c r="O13" s="54">
        <v>433657</v>
      </c>
      <c r="P13" s="62">
        <v>1302.27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0"/>
  <sheetViews>
    <sheetView topLeftCell="G1" zoomScaleNormal="100" workbookViewId="0">
      <selection activeCell="O15" sqref="O15"/>
    </sheetView>
  </sheetViews>
  <sheetFormatPr defaultRowHeight="12.75"/>
  <cols>
    <col min="1" max="1" width="26.28515625" customWidth="1"/>
    <col min="2" max="2" width="20" bestFit="1" customWidth="1"/>
    <col min="3" max="3" width="42.42578125" customWidth="1"/>
    <col min="5" max="5" width="23.140625" customWidth="1"/>
    <col min="6" max="6" width="20" bestFit="1" customWidth="1"/>
    <col min="7" max="7" width="30.42578125" customWidth="1"/>
    <col min="9" max="9" width="13.28515625" bestFit="1" customWidth="1"/>
    <col min="10" max="10" width="20" bestFit="1" customWidth="1"/>
    <col min="11" max="11" width="57.28515625" customWidth="1"/>
    <col min="13" max="13" width="14" bestFit="1" customWidth="1"/>
    <col min="14" max="14" width="20" bestFit="1" customWidth="1"/>
    <col min="15" max="15" width="19.7109375" customWidth="1"/>
  </cols>
  <sheetData>
    <row r="1" spans="1:15">
      <c r="A1" s="26" t="s">
        <v>54</v>
      </c>
      <c r="B1" s="26" t="s">
        <v>55</v>
      </c>
      <c r="C1" s="27">
        <v>42450.828831018516</v>
      </c>
      <c r="D1" s="26"/>
      <c r="E1" s="26" t="s">
        <v>56</v>
      </c>
      <c r="F1" s="26" t="s">
        <v>55</v>
      </c>
      <c r="G1" s="27">
        <v>42450.864421296297</v>
      </c>
      <c r="H1" s="26"/>
      <c r="I1" s="26" t="s">
        <v>57</v>
      </c>
      <c r="J1" s="26" t="s">
        <v>55</v>
      </c>
      <c r="K1" s="27">
        <v>42450.745995370373</v>
      </c>
      <c r="L1" s="26"/>
      <c r="M1" s="26" t="s">
        <v>58</v>
      </c>
      <c r="N1" s="26" t="s">
        <v>55</v>
      </c>
      <c r="O1" s="27">
        <v>42450.786932870367</v>
      </c>
    </row>
    <row r="2" spans="1:15">
      <c r="A2" s="26"/>
      <c r="B2" s="26" t="s">
        <v>59</v>
      </c>
      <c r="C2" s="27">
        <v>42450.861134259256</v>
      </c>
      <c r="D2" s="26"/>
      <c r="E2" s="26"/>
      <c r="F2" s="26" t="s">
        <v>59</v>
      </c>
      <c r="G2" s="27">
        <v>42450.891736111109</v>
      </c>
      <c r="H2" s="26"/>
      <c r="I2" s="26"/>
      <c r="J2" s="26" t="s">
        <v>59</v>
      </c>
      <c r="K2" s="27">
        <v>42450.77616898148</v>
      </c>
      <c r="L2" s="26"/>
      <c r="M2" s="26"/>
      <c r="N2" s="26" t="s">
        <v>59</v>
      </c>
      <c r="O2" s="27">
        <v>42450.82576388889</v>
      </c>
    </row>
    <row r="3" spans="1:15">
      <c r="A3" s="26"/>
      <c r="B3" s="26" t="s">
        <v>60</v>
      </c>
      <c r="C3" s="28">
        <f>C2-C1</f>
        <v>3.2303240739565808E-2</v>
      </c>
      <c r="D3" s="26"/>
      <c r="E3" s="26"/>
      <c r="F3" s="26" t="s">
        <v>60</v>
      </c>
      <c r="G3" s="28">
        <f>G2-G1</f>
        <v>2.7314814811688848E-2</v>
      </c>
      <c r="H3" s="26"/>
      <c r="I3" s="26"/>
      <c r="J3" s="26" t="s">
        <v>60</v>
      </c>
      <c r="K3" s="28">
        <f>K2-K1</f>
        <v>3.0173611106874887E-2</v>
      </c>
      <c r="L3" s="26"/>
      <c r="M3" s="26"/>
      <c r="N3" s="26" t="s">
        <v>60</v>
      </c>
      <c r="O3" s="28">
        <f>O2-O1</f>
        <v>3.8831018522614613E-2</v>
      </c>
    </row>
    <row r="4" spans="1:15">
      <c r="A4" s="26"/>
      <c r="B4" s="26" t="s">
        <v>61</v>
      </c>
      <c r="C4" s="29">
        <f>(HOUR(C3)*60*60)+(MINUTE(C3)*60)+SECOND(C3)</f>
        <v>2791</v>
      </c>
      <c r="D4" s="26"/>
      <c r="E4" s="26"/>
      <c r="F4" s="26" t="s">
        <v>61</v>
      </c>
      <c r="G4" s="29">
        <f>(HOUR(G3)*60*60)+(MINUTE(G3)*60)+SECOND(G3)</f>
        <v>2360</v>
      </c>
      <c r="H4" s="26"/>
      <c r="I4" s="26"/>
      <c r="J4" s="26" t="s">
        <v>61</v>
      </c>
      <c r="K4" s="29">
        <f>(HOUR(K3)*60*60)+(MINUTE(K3)*60)+SECOND(K3)</f>
        <v>2607</v>
      </c>
      <c r="L4" s="26"/>
      <c r="M4" s="26"/>
      <c r="N4" s="26" t="s">
        <v>61</v>
      </c>
      <c r="O4" s="29">
        <f>(HOUR(O3)*60*60)+(MINUTE(O3)*60)+SECOND(O3)</f>
        <v>3355</v>
      </c>
    </row>
    <row r="5" spans="1:15">
      <c r="A5" s="26"/>
      <c r="B5" s="26" t="s">
        <v>62</v>
      </c>
      <c r="C5" s="29">
        <v>1120</v>
      </c>
      <c r="D5" s="26"/>
      <c r="E5" s="26"/>
      <c r="F5" s="26" t="s">
        <v>62</v>
      </c>
      <c r="G5" s="29">
        <v>1120</v>
      </c>
      <c r="H5" s="26"/>
      <c r="I5" s="26"/>
      <c r="J5" s="26" t="s">
        <v>62</v>
      </c>
      <c r="K5" s="29">
        <v>1250</v>
      </c>
      <c r="L5" s="26"/>
      <c r="M5" s="26"/>
      <c r="N5" s="26" t="s">
        <v>62</v>
      </c>
      <c r="O5" s="29">
        <v>1490</v>
      </c>
    </row>
    <row r="6" spans="1:15">
      <c r="A6" s="26"/>
      <c r="B6" s="26" t="s">
        <v>63</v>
      </c>
      <c r="C6" s="29">
        <f>C4-C5</f>
        <v>1671</v>
      </c>
      <c r="D6" s="26"/>
      <c r="E6" s="26"/>
      <c r="F6" s="26" t="s">
        <v>63</v>
      </c>
      <c r="G6" s="29">
        <f>G4-G5</f>
        <v>1240</v>
      </c>
      <c r="H6" s="26"/>
      <c r="I6" s="26"/>
      <c r="J6" s="26" t="s">
        <v>63</v>
      </c>
      <c r="K6" s="29">
        <f>K4-K5</f>
        <v>1357</v>
      </c>
      <c r="L6" s="26"/>
      <c r="M6" s="26"/>
      <c r="N6" s="26" t="s">
        <v>63</v>
      </c>
      <c r="O6" s="29">
        <f>O4-O5</f>
        <v>1865</v>
      </c>
    </row>
    <row r="7" spans="1: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>
      <c r="A8" s="26"/>
      <c r="B8" s="26" t="s">
        <v>64</v>
      </c>
      <c r="C8" s="26">
        <v>3</v>
      </c>
      <c r="D8" s="26"/>
      <c r="E8" s="26"/>
      <c r="F8" s="26" t="s">
        <v>64</v>
      </c>
      <c r="G8" s="26">
        <v>19</v>
      </c>
      <c r="H8" s="26"/>
      <c r="I8" s="26"/>
      <c r="J8" s="26" t="s">
        <v>64</v>
      </c>
      <c r="K8" s="26">
        <v>23</v>
      </c>
      <c r="L8" s="26"/>
      <c r="M8" s="26"/>
      <c r="N8" s="26" t="s">
        <v>64</v>
      </c>
      <c r="O8" s="26">
        <v>93</v>
      </c>
    </row>
    <row r="9" spans="1:15">
      <c r="A9" s="26"/>
      <c r="B9" s="26" t="s">
        <v>65</v>
      </c>
      <c r="C9" s="26">
        <v>3</v>
      </c>
      <c r="D9" s="26"/>
      <c r="E9" s="26"/>
      <c r="F9" s="26" t="s">
        <v>65</v>
      </c>
      <c r="G9" s="26">
        <v>5</v>
      </c>
      <c r="H9" s="26"/>
      <c r="I9" s="26"/>
      <c r="J9" s="26" t="s">
        <v>65</v>
      </c>
      <c r="K9" s="26">
        <v>0</v>
      </c>
      <c r="L9" s="26"/>
      <c r="M9" s="26"/>
      <c r="N9" s="26" t="s">
        <v>65</v>
      </c>
      <c r="O9" s="26">
        <v>0</v>
      </c>
    </row>
    <row r="10" spans="1:15">
      <c r="A10" s="26"/>
      <c r="B10" s="26" t="s">
        <v>66</v>
      </c>
      <c r="C10" s="30">
        <f>C8/C6</f>
        <v>1.7953321364452424E-3</v>
      </c>
      <c r="D10" s="26"/>
      <c r="E10" s="26"/>
      <c r="F10" s="26" t="s">
        <v>66</v>
      </c>
      <c r="G10" s="30">
        <f>G8/G6</f>
        <v>1.532258064516129E-2</v>
      </c>
      <c r="H10" s="26"/>
      <c r="I10" s="26"/>
      <c r="J10" s="26" t="s">
        <v>66</v>
      </c>
      <c r="K10" s="30">
        <f>K8/K6</f>
        <v>1.6949152542372881E-2</v>
      </c>
      <c r="L10" s="26"/>
      <c r="M10" s="26"/>
      <c r="N10" s="26" t="s">
        <v>66</v>
      </c>
      <c r="O10" s="30">
        <f>O8/O6</f>
        <v>4.9865951742627347E-2</v>
      </c>
    </row>
    <row r="11" spans="1:15">
      <c r="A11" s="26"/>
      <c r="B11" s="26" t="s">
        <v>67</v>
      </c>
      <c r="C11" s="30">
        <f>C9/C6</f>
        <v>1.7953321364452424E-3</v>
      </c>
      <c r="D11" s="26"/>
      <c r="E11" s="26"/>
      <c r="F11" s="26" t="s">
        <v>67</v>
      </c>
      <c r="G11" s="30">
        <f>G9/G6</f>
        <v>4.0322580645161289E-3</v>
      </c>
      <c r="H11" s="26"/>
      <c r="I11" s="26"/>
      <c r="J11" s="26" t="s">
        <v>67</v>
      </c>
      <c r="K11" s="30">
        <f>K9/K6</f>
        <v>0</v>
      </c>
      <c r="L11" s="26"/>
      <c r="M11" s="26"/>
      <c r="N11" s="26" t="s">
        <v>67</v>
      </c>
      <c r="O11" s="30">
        <f>O9/O6</f>
        <v>0</v>
      </c>
    </row>
    <row r="12" spans="1: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>
      <c r="A13" s="26"/>
      <c r="B13" s="26" t="s">
        <v>68</v>
      </c>
      <c r="C13" s="31">
        <v>2010.1131339999999</v>
      </c>
      <c r="D13" s="26"/>
      <c r="E13" s="26"/>
      <c r="F13" s="26" t="s">
        <v>68</v>
      </c>
      <c r="G13" s="31">
        <v>1835.8261849999999</v>
      </c>
      <c r="H13" s="26"/>
      <c r="I13" s="26"/>
      <c r="J13" s="26" t="s">
        <v>68</v>
      </c>
      <c r="K13" s="31">
        <v>1467.25326</v>
      </c>
      <c r="L13" s="26"/>
      <c r="M13" s="26"/>
      <c r="N13" s="26" t="s">
        <v>68</v>
      </c>
      <c r="O13" s="31">
        <v>1904.0432780000001</v>
      </c>
    </row>
    <row r="14" spans="1: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>
      <c r="A15" s="26"/>
      <c r="B15" s="26" t="s">
        <v>69</v>
      </c>
      <c r="C15" s="26">
        <f>C10/C13</f>
        <v>8.9314979643590674E-7</v>
      </c>
      <c r="D15" s="26"/>
      <c r="E15" s="26"/>
      <c r="F15" s="26" t="s">
        <v>69</v>
      </c>
      <c r="G15" s="26">
        <f>G10/G13</f>
        <v>8.3464223194753545E-6</v>
      </c>
      <c r="H15" s="26"/>
      <c r="I15" s="26"/>
      <c r="J15" s="26" t="s">
        <v>69</v>
      </c>
      <c r="K15" s="26">
        <f>K10/K13</f>
        <v>1.1551620299261002E-5</v>
      </c>
      <c r="L15" s="26"/>
      <c r="M15" s="26"/>
      <c r="N15" s="26" t="s">
        <v>69</v>
      </c>
      <c r="O15" s="26">
        <f>O10/O13</f>
        <v>2.61895054166029E-5</v>
      </c>
    </row>
    <row r="16" spans="1:15">
      <c r="A16" s="26"/>
      <c r="B16" s="26" t="s">
        <v>70</v>
      </c>
      <c r="C16" s="26">
        <f>C11/C13</f>
        <v>8.9314979643590674E-7</v>
      </c>
      <c r="D16" s="26"/>
      <c r="E16" s="26"/>
      <c r="F16" s="26" t="s">
        <v>70</v>
      </c>
      <c r="G16" s="26">
        <f>G11/G13</f>
        <v>2.1964269261777248E-6</v>
      </c>
      <c r="H16" s="26"/>
      <c r="I16" s="26"/>
      <c r="J16" s="26" t="s">
        <v>70</v>
      </c>
      <c r="K16" s="26">
        <f>K11/K13</f>
        <v>0</v>
      </c>
      <c r="L16" s="26"/>
      <c r="M16" s="26"/>
      <c r="N16" s="26" t="s">
        <v>70</v>
      </c>
      <c r="O16" s="26">
        <f>O11/O13</f>
        <v>0</v>
      </c>
    </row>
    <row r="17" spans="1:15">
      <c r="A17" s="32"/>
      <c r="B17" s="32" t="s">
        <v>71</v>
      </c>
      <c r="C17" s="33">
        <f>5.2*10^-3</f>
        <v>5.2000000000000006E-3</v>
      </c>
      <c r="D17" s="32"/>
      <c r="E17" s="32"/>
      <c r="F17" s="32" t="s">
        <v>71</v>
      </c>
      <c r="G17" s="41">
        <f>0.4*10^(-3)</f>
        <v>4.0000000000000002E-4</v>
      </c>
      <c r="H17" s="32"/>
      <c r="I17" s="32"/>
      <c r="J17" s="32" t="s">
        <v>71</v>
      </c>
      <c r="K17" s="33">
        <f>2.1*10^(-3)</f>
        <v>2.1000000000000003E-3</v>
      </c>
      <c r="L17" s="32"/>
      <c r="M17" s="32"/>
      <c r="N17" s="32" t="s">
        <v>71</v>
      </c>
      <c r="O17" s="24">
        <f>0.6*10^(-3)</f>
        <v>5.9999999999999995E-4</v>
      </c>
    </row>
    <row r="18" spans="1:15">
      <c r="A18" s="26"/>
      <c r="B18" s="26" t="s">
        <v>72</v>
      </c>
      <c r="C18" s="26">
        <f>1/(C15*13)</f>
        <v>86125.616587538461</v>
      </c>
      <c r="D18" s="26"/>
      <c r="E18" s="26"/>
      <c r="F18" s="26" t="s">
        <v>72</v>
      </c>
      <c r="G18" s="26">
        <f>1/(G15*13)</f>
        <v>9216.2933983805669</v>
      </c>
      <c r="H18" s="26"/>
      <c r="I18" s="26"/>
      <c r="J18" s="26" t="s">
        <v>72</v>
      </c>
      <c r="K18" s="26">
        <f>1/(K15*13)</f>
        <v>6659.0724876923077</v>
      </c>
      <c r="L18" s="26"/>
      <c r="M18" s="26"/>
      <c r="N18" s="26" t="s">
        <v>72</v>
      </c>
      <c r="O18" s="26">
        <f>1/(O15*13)</f>
        <v>2937.1718060132343</v>
      </c>
    </row>
    <row r="19" spans="1:15">
      <c r="A19" s="26"/>
      <c r="B19" s="26" t="s">
        <v>73</v>
      </c>
      <c r="C19" s="26">
        <f>C18*60*60</f>
        <v>310052219.71513844</v>
      </c>
      <c r="D19" s="26"/>
      <c r="E19" s="26"/>
      <c r="F19" s="26" t="s">
        <v>73</v>
      </c>
      <c r="G19" s="26">
        <f>G18*60*60</f>
        <v>33178656.234170042</v>
      </c>
      <c r="H19" s="26"/>
      <c r="I19" s="26"/>
      <c r="J19" s="26" t="s">
        <v>73</v>
      </c>
      <c r="K19" s="26">
        <f>K18*60*60</f>
        <v>23972660.95569231</v>
      </c>
      <c r="L19" s="26"/>
      <c r="M19" s="26"/>
      <c r="N19" s="26" t="s">
        <v>73</v>
      </c>
      <c r="O19" s="26">
        <f>O18*60*60</f>
        <v>10573818.501647644</v>
      </c>
    </row>
    <row r="20" spans="1:15">
      <c r="A20" s="26"/>
      <c r="B20" s="26" t="s">
        <v>74</v>
      </c>
      <c r="C20" s="26">
        <f>C19/C17</f>
        <v>59625426868.295845</v>
      </c>
      <c r="D20" s="26"/>
      <c r="E20" s="26"/>
      <c r="F20" s="26" t="s">
        <v>74</v>
      </c>
      <c r="G20" s="26">
        <f>G19/G17</f>
        <v>82946640585.425095</v>
      </c>
      <c r="H20" s="26"/>
      <c r="I20" s="26"/>
      <c r="J20" s="26" t="s">
        <v>74</v>
      </c>
      <c r="K20" s="26">
        <f>K19/K17</f>
        <v>11415552836.043955</v>
      </c>
      <c r="L20" s="26"/>
      <c r="M20" s="26"/>
      <c r="N20" s="26" t="s">
        <v>74</v>
      </c>
      <c r="O20" s="26">
        <f>O19/O17</f>
        <v>17623030836.079407</v>
      </c>
    </row>
    <row r="21" spans="1:15">
      <c r="A21" s="26"/>
      <c r="B21" s="26" t="s">
        <v>51</v>
      </c>
      <c r="C21" s="26">
        <f>C20</f>
        <v>59625426868.295845</v>
      </c>
      <c r="D21" s="26"/>
      <c r="E21" s="26"/>
      <c r="F21" s="26" t="s">
        <v>51</v>
      </c>
      <c r="G21" s="26">
        <f>G20</f>
        <v>82946640585.425095</v>
      </c>
      <c r="H21" s="26"/>
      <c r="I21" s="26"/>
      <c r="J21" s="26" t="s">
        <v>51</v>
      </c>
      <c r="K21" s="26">
        <f>K20</f>
        <v>11415552836.043955</v>
      </c>
      <c r="L21" s="26"/>
      <c r="M21" s="26"/>
      <c r="N21" s="26" t="s">
        <v>51</v>
      </c>
      <c r="O21" s="26">
        <f>O20</f>
        <v>17623030836.079407</v>
      </c>
    </row>
    <row r="22" spans="1: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>
      <c r="A24" s="26"/>
      <c r="B24" s="26" t="s">
        <v>80</v>
      </c>
      <c r="C24" s="26"/>
      <c r="D24" s="26"/>
      <c r="E24" s="26"/>
      <c r="F24" s="26" t="s">
        <v>80</v>
      </c>
      <c r="G24" s="26"/>
      <c r="H24" s="26"/>
      <c r="I24" s="26"/>
      <c r="J24" s="26"/>
      <c r="L24" s="26"/>
      <c r="M24" s="26"/>
      <c r="N24" s="26"/>
      <c r="O24" s="26"/>
    </row>
    <row r="25" spans="1:15">
      <c r="B25" s="26" t="s">
        <v>72</v>
      </c>
      <c r="C25" s="26">
        <f>1/(C16*13)</f>
        <v>86125.616587538461</v>
      </c>
      <c r="D25" s="26"/>
      <c r="F25" s="26" t="s">
        <v>72</v>
      </c>
      <c r="G25" s="26">
        <f>1/(G16*13)</f>
        <v>35021.914913846158</v>
      </c>
    </row>
    <row r="26" spans="1:15">
      <c r="B26" s="26" t="s">
        <v>73</v>
      </c>
      <c r="C26" s="26">
        <f>C25*60*60</f>
        <v>310052219.71513844</v>
      </c>
      <c r="D26" s="26"/>
      <c r="F26" s="26" t="s">
        <v>73</v>
      </c>
      <c r="G26" s="26">
        <f>G25*60*60</f>
        <v>126078893.68984616</v>
      </c>
    </row>
    <row r="27" spans="1:15">
      <c r="B27" s="26" t="s">
        <v>74</v>
      </c>
      <c r="C27" s="39">
        <f>C26/C17</f>
        <v>59625426868.295845</v>
      </c>
      <c r="D27" s="26"/>
      <c r="F27" s="26" t="s">
        <v>74</v>
      </c>
      <c r="G27" s="39">
        <f>G26/G17</f>
        <v>315197234224.61536</v>
      </c>
    </row>
    <row r="28" spans="1:15">
      <c r="B28" s="26" t="s">
        <v>51</v>
      </c>
      <c r="C28" s="42">
        <f>C27</f>
        <v>59625426868.295845</v>
      </c>
      <c r="D28" s="26"/>
      <c r="F28" s="26" t="s">
        <v>51</v>
      </c>
      <c r="G28" s="26">
        <f>G27</f>
        <v>315197234224.61536</v>
      </c>
    </row>
    <row r="32" spans="1:15">
      <c r="B32" s="40"/>
    </row>
    <row r="35" spans="2:3">
      <c r="B35" s="40"/>
    </row>
    <row r="38" spans="2:3">
      <c r="C38" s="24"/>
    </row>
    <row r="39" spans="2:3">
      <c r="C39" s="23"/>
    </row>
    <row r="40" spans="2:3">
      <c r="C40" s="2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Resumo Tables</vt:lpstr>
      <vt:lpstr>AES</vt:lpstr>
      <vt:lpstr>MxM</vt:lpstr>
      <vt:lpstr>QuickSort</vt:lpstr>
      <vt:lpstr>FFT</vt:lpstr>
      <vt:lpstr>JPEG</vt:lpstr>
      <vt:lpstr>fibonacci</vt:lpstr>
      <vt:lpstr>ADPCM</vt:lpstr>
      <vt:lpstr>OptimizationsBeamResults</vt:lpstr>
      <vt:lpstr>MWBF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filipelins</cp:lastModifiedBy>
  <dcterms:created xsi:type="dcterms:W3CDTF">2016-03-29T18:47:46Z</dcterms:created>
  <dcterms:modified xsi:type="dcterms:W3CDTF">2016-08-23T15:06:06Z</dcterms:modified>
</cp:coreProperties>
</file>