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" yWindow="615" windowWidth="23250" windowHeight="9150" tabRatio="748" firstSheet="8" activeTab="13"/>
  </bookViews>
  <sheets>
    <sheet name="MxM" sheetId="3" r:id="rId1"/>
    <sheet name="AES" sheetId="2" r:id="rId2"/>
    <sheet name="QuickSort" sheetId="5" r:id="rId3"/>
    <sheet name="FFT" sheetId="8" r:id="rId4"/>
    <sheet name="JPEG" sheetId="9" r:id="rId5"/>
    <sheet name="fibonacci" sheetId="10" r:id="rId6"/>
    <sheet name="OptimizationsBeamResults" sheetId="7" r:id="rId7"/>
    <sheet name="MWBF" sheetId="6" r:id="rId8"/>
    <sheet name="TNS Results" sheetId="11" r:id="rId9"/>
    <sheet name="MxM OVP" sheetId="12" r:id="rId10"/>
    <sheet name="AES OVP" sheetId="13" r:id="rId11"/>
    <sheet name="Quicksort OVP" sheetId="14" r:id="rId12"/>
    <sheet name="MxMNeonDoubleUnroll" sheetId="15" r:id="rId13"/>
    <sheet name="MxM roll Neon Double" sheetId="16" r:id="rId14"/>
  </sheets>
  <calcPr calcId="124519"/>
</workbook>
</file>

<file path=xl/calcChain.xml><?xml version="1.0" encoding="utf-8"?>
<calcChain xmlns="http://schemas.openxmlformats.org/spreadsheetml/2006/main">
  <c r="E83" i="16"/>
  <c r="D83"/>
  <c r="C83"/>
  <c r="B83"/>
  <c r="E83" i="15"/>
  <c r="D83"/>
  <c r="C83"/>
  <c r="B83"/>
  <c r="K19" i="6"/>
  <c r="K26"/>
  <c r="K28"/>
  <c r="K17"/>
  <c r="L26"/>
  <c r="F19"/>
  <c r="L19" s="1"/>
  <c r="F26"/>
  <c r="F28"/>
  <c r="L28" s="1"/>
  <c r="F17"/>
  <c r="L17" s="1"/>
  <c r="E19"/>
  <c r="E26"/>
  <c r="E28"/>
  <c r="E17"/>
  <c r="B45" i="14"/>
  <c r="C38" s="1"/>
  <c r="C43"/>
  <c r="C42"/>
  <c r="C40"/>
  <c r="C39"/>
  <c r="C35"/>
  <c r="C34"/>
  <c r="C33"/>
  <c r="C32"/>
  <c r="C31"/>
  <c r="C27"/>
  <c r="C26"/>
  <c r="B21"/>
  <c r="C16" s="1"/>
  <c r="B70"/>
  <c r="C68" s="1"/>
  <c r="C28" l="1"/>
  <c r="C36"/>
  <c r="C29"/>
  <c r="C37"/>
  <c r="C30"/>
  <c r="C2"/>
  <c r="C3"/>
  <c r="C9"/>
  <c r="C10"/>
  <c r="C11"/>
  <c r="C18"/>
  <c r="C19"/>
  <c r="C52"/>
  <c r="C60"/>
  <c r="C53"/>
  <c r="C61"/>
  <c r="C54"/>
  <c r="C62"/>
  <c r="C55"/>
  <c r="C63"/>
  <c r="C4"/>
  <c r="C12"/>
  <c r="C56"/>
  <c r="C64"/>
  <c r="C5"/>
  <c r="C13"/>
  <c r="C57"/>
  <c r="C65"/>
  <c r="C6"/>
  <c r="C14"/>
  <c r="C58"/>
  <c r="C67"/>
  <c r="C7"/>
  <c r="C15"/>
  <c r="C51"/>
  <c r="C59"/>
  <c r="C8"/>
  <c r="F2" i="2"/>
  <c r="B69" i="13"/>
  <c r="C67" s="1"/>
  <c r="B45"/>
  <c r="C43" s="1"/>
  <c r="C19"/>
  <c r="B21"/>
  <c r="C14"/>
  <c r="C52" l="1"/>
  <c r="C60"/>
  <c r="C53"/>
  <c r="C61"/>
  <c r="C51"/>
  <c r="C59"/>
  <c r="C54"/>
  <c r="C62"/>
  <c r="C55"/>
  <c r="C63"/>
  <c r="C56"/>
  <c r="C64"/>
  <c r="C57"/>
  <c r="C66"/>
  <c r="C50"/>
  <c r="C58"/>
  <c r="C27"/>
  <c r="C35"/>
  <c r="C37"/>
  <c r="C28"/>
  <c r="C36"/>
  <c r="C29"/>
  <c r="C30"/>
  <c r="C38"/>
  <c r="C31"/>
  <c r="C39"/>
  <c r="C32"/>
  <c r="C40"/>
  <c r="C33"/>
  <c r="C42"/>
  <c r="C26"/>
  <c r="C34"/>
  <c r="C7"/>
  <c r="C4"/>
  <c r="C12"/>
  <c r="C5"/>
  <c r="C13"/>
  <c r="C15"/>
  <c r="C8"/>
  <c r="C16"/>
  <c r="C9"/>
  <c r="C18"/>
  <c r="C2"/>
  <c r="C10"/>
  <c r="C3"/>
  <c r="C11"/>
  <c r="C6"/>
  <c r="B72" i="12"/>
  <c r="C70" s="1"/>
  <c r="B46"/>
  <c r="C36" s="1"/>
  <c r="B21"/>
  <c r="C19" s="1"/>
  <c r="F20" i="11"/>
  <c r="F19"/>
  <c r="F18"/>
  <c r="I16"/>
  <c r="I17"/>
  <c r="J16"/>
  <c r="J17"/>
  <c r="J15"/>
  <c r="I15"/>
  <c r="J23"/>
  <c r="J22"/>
  <c r="I22"/>
  <c r="I23"/>
  <c r="J21"/>
  <c r="I21"/>
  <c r="J19"/>
  <c r="J20"/>
  <c r="J18"/>
  <c r="I19"/>
  <c r="I20"/>
  <c r="I18"/>
  <c r="J13"/>
  <c r="J14"/>
  <c r="I13"/>
  <c r="I14"/>
  <c r="J12"/>
  <c r="I12"/>
  <c r="J10"/>
  <c r="J11"/>
  <c r="I10"/>
  <c r="I11"/>
  <c r="J9"/>
  <c r="I9"/>
  <c r="J7"/>
  <c r="J8"/>
  <c r="I7"/>
  <c r="I8"/>
  <c r="J6"/>
  <c r="I6"/>
  <c r="F13"/>
  <c r="G36" i="10"/>
  <c r="G35"/>
  <c r="G32"/>
  <c r="G31"/>
  <c r="G28"/>
  <c r="G27"/>
  <c r="G24"/>
  <c r="G23"/>
  <c r="O5" i="8"/>
  <c r="N5" s="1"/>
  <c r="O6"/>
  <c r="N6" s="1"/>
  <c r="O7"/>
  <c r="N7" s="1"/>
  <c r="O8"/>
  <c r="N8" s="1"/>
  <c r="Q5" i="2"/>
  <c r="R6"/>
  <c r="Q6" s="1"/>
  <c r="R5"/>
  <c r="R4"/>
  <c r="Q4" s="1"/>
  <c r="M22" i="5"/>
  <c r="O28"/>
  <c r="O25"/>
  <c r="O22"/>
  <c r="O20"/>
  <c r="O19"/>
  <c r="O30"/>
  <c r="Q27"/>
  <c r="Q26"/>
  <c r="Q23"/>
  <c r="Q22"/>
  <c r="Q21"/>
  <c r="Q29"/>
  <c r="Q19"/>
  <c r="P33"/>
  <c r="N33"/>
  <c r="M33"/>
  <c r="L33"/>
  <c r="R3" i="2"/>
  <c r="Q3" s="1"/>
  <c r="N13" i="10"/>
  <c r="N12"/>
  <c r="N10"/>
  <c r="O15" i="9"/>
  <c r="O14"/>
  <c r="O12"/>
  <c r="F17" i="11"/>
  <c r="F23"/>
  <c r="F22"/>
  <c r="F21"/>
  <c r="F10"/>
  <c r="F9"/>
  <c r="F8"/>
  <c r="F7"/>
  <c r="F6"/>
  <c r="F11"/>
  <c r="F12"/>
  <c r="F14"/>
  <c r="F15"/>
  <c r="F16"/>
  <c r="E55" i="10"/>
  <c r="D55"/>
  <c r="C55"/>
  <c r="B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E37"/>
  <c r="D37"/>
  <c r="C37"/>
  <c r="B37"/>
  <c r="F36"/>
  <c r="F35"/>
  <c r="H34"/>
  <c r="G34"/>
  <c r="F34"/>
  <c r="H33"/>
  <c r="G33"/>
  <c r="F33"/>
  <c r="F32"/>
  <c r="F31"/>
  <c r="H30"/>
  <c r="G30"/>
  <c r="F30"/>
  <c r="H29"/>
  <c r="G29"/>
  <c r="F29"/>
  <c r="F28"/>
  <c r="F27"/>
  <c r="H26"/>
  <c r="G26"/>
  <c r="F26"/>
  <c r="H25"/>
  <c r="G25"/>
  <c r="F25"/>
  <c r="F24"/>
  <c r="F23"/>
  <c r="E19"/>
  <c r="D19"/>
  <c r="C19"/>
  <c r="B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E24" i="9"/>
  <c r="E36" s="1"/>
  <c r="D53"/>
  <c r="C53"/>
  <c r="B53"/>
  <c r="G52"/>
  <c r="F52"/>
  <c r="E53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D36"/>
  <c r="C36"/>
  <c r="B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G24"/>
  <c r="F24"/>
  <c r="H23"/>
  <c r="G23"/>
  <c r="F23"/>
  <c r="H22"/>
  <c r="G22"/>
  <c r="F22"/>
  <c r="E19"/>
  <c r="D19"/>
  <c r="C19"/>
  <c r="B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C32" i="12" l="1"/>
  <c r="C64"/>
  <c r="C57"/>
  <c r="C56"/>
  <c r="C40"/>
  <c r="C65"/>
  <c r="C54"/>
  <c r="C62"/>
  <c r="C55"/>
  <c r="C63"/>
  <c r="C58"/>
  <c r="C66"/>
  <c r="C59"/>
  <c r="C67"/>
  <c r="C60"/>
  <c r="C69"/>
  <c r="C53"/>
  <c r="C61"/>
  <c r="C41"/>
  <c r="C43"/>
  <c r="C29"/>
  <c r="C37"/>
  <c r="C33"/>
  <c r="C30"/>
  <c r="C38"/>
  <c r="C31"/>
  <c r="C39"/>
  <c r="C27"/>
  <c r="C35"/>
  <c r="C44"/>
  <c r="C34"/>
  <c r="C28"/>
  <c r="C16"/>
  <c r="C10"/>
  <c r="C3"/>
  <c r="C11"/>
  <c r="C4"/>
  <c r="C12"/>
  <c r="C5"/>
  <c r="C13"/>
  <c r="C6"/>
  <c r="C15"/>
  <c r="C8"/>
  <c r="C18"/>
  <c r="C2"/>
  <c r="C14"/>
  <c r="C7"/>
  <c r="C9"/>
  <c r="H24" i="9"/>
  <c r="G19" i="10"/>
  <c r="F19"/>
  <c r="H23"/>
  <c r="H24"/>
  <c r="H27"/>
  <c r="H28"/>
  <c r="H31"/>
  <c r="H32"/>
  <c r="H35"/>
  <c r="H36"/>
  <c r="G37"/>
  <c r="G55"/>
  <c r="H55"/>
  <c r="F55"/>
  <c r="O33" i="5"/>
  <c r="Q33"/>
  <c r="F37" i="10"/>
  <c r="H37"/>
  <c r="H19"/>
  <c r="G53" i="9"/>
  <c r="F36"/>
  <c r="H36"/>
  <c r="G36"/>
  <c r="F19"/>
  <c r="G19"/>
  <c r="H53"/>
  <c r="F53"/>
  <c r="H19"/>
  <c r="H52"/>
  <c r="L11" i="6" l="1"/>
  <c r="J11"/>
  <c r="H11"/>
  <c r="C11"/>
  <c r="G11" s="1"/>
  <c r="F11" s="1"/>
  <c r="C28" s="1"/>
  <c r="I28" s="1"/>
  <c r="C10"/>
  <c r="G10" s="1"/>
  <c r="F10" s="1"/>
  <c r="C27" s="1"/>
  <c r="I27" s="1"/>
  <c r="L9"/>
  <c r="J9"/>
  <c r="H9"/>
  <c r="C9"/>
  <c r="F9" s="1"/>
  <c r="L7"/>
  <c r="J7"/>
  <c r="H7"/>
  <c r="C7"/>
  <c r="G7" s="1"/>
  <c r="F7" s="1"/>
  <c r="C19" s="1"/>
  <c r="I19" s="1"/>
  <c r="C6"/>
  <c r="G6" s="1"/>
  <c r="L5"/>
  <c r="J5"/>
  <c r="H5"/>
  <c r="C5"/>
  <c r="F5" s="1"/>
  <c r="C17" s="1"/>
  <c r="I17" s="1"/>
  <c r="O17" i="7"/>
  <c r="K17"/>
  <c r="G17"/>
  <c r="C17"/>
  <c r="F6" i="6" l="1"/>
  <c r="C18" s="1"/>
  <c r="I18" s="1"/>
  <c r="G9"/>
  <c r="C26" s="1"/>
  <c r="I26" s="1"/>
  <c r="O3" i="7"/>
  <c r="K3"/>
  <c r="G3"/>
  <c r="C3"/>
  <c r="D50" i="8"/>
  <c r="C50"/>
  <c r="B50"/>
  <c r="G49"/>
  <c r="F49"/>
  <c r="H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E33"/>
  <c r="D33"/>
  <c r="C33"/>
  <c r="B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E50" i="5"/>
  <c r="D50"/>
  <c r="C50"/>
  <c r="B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E33"/>
  <c r="C33"/>
  <c r="B33"/>
  <c r="G32"/>
  <c r="F32"/>
  <c r="G31"/>
  <c r="F31"/>
  <c r="G30"/>
  <c r="F30"/>
  <c r="F29"/>
  <c r="D29"/>
  <c r="G29" s="1"/>
  <c r="G28"/>
  <c r="F28"/>
  <c r="F27"/>
  <c r="D27"/>
  <c r="F26"/>
  <c r="D26"/>
  <c r="G25"/>
  <c r="F25"/>
  <c r="G24"/>
  <c r="F24"/>
  <c r="G23"/>
  <c r="F23"/>
  <c r="F22"/>
  <c r="D22"/>
  <c r="G21"/>
  <c r="F21"/>
  <c r="G20"/>
  <c r="F20"/>
  <c r="G19"/>
  <c r="F19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16" l="1"/>
  <c r="F33" i="8"/>
  <c r="H16"/>
  <c r="G50" i="5"/>
  <c r="G16"/>
  <c r="F16"/>
  <c r="G27"/>
  <c r="D33"/>
  <c r="G33" s="1"/>
  <c r="G22"/>
  <c r="G26"/>
  <c r="F50"/>
  <c r="F50" i="8"/>
  <c r="F16"/>
  <c r="H33"/>
  <c r="G33"/>
  <c r="G16"/>
  <c r="G50"/>
  <c r="H50" i="5"/>
  <c r="F33"/>
  <c r="H33"/>
  <c r="E50" i="8"/>
  <c r="H50" s="1"/>
  <c r="D58" i="3" l="1"/>
  <c r="C58"/>
  <c r="B58"/>
  <c r="H58" s="1"/>
  <c r="D57"/>
  <c r="C57"/>
  <c r="B57"/>
  <c r="G57" l="1"/>
  <c r="H57"/>
  <c r="G58"/>
  <c r="F58"/>
  <c r="F57"/>
  <c r="D56"/>
  <c r="C56"/>
  <c r="B56"/>
  <c r="E55"/>
  <c r="D55"/>
  <c r="C55"/>
  <c r="B55"/>
  <c r="D54"/>
  <c r="C54"/>
  <c r="B54"/>
  <c r="D53"/>
  <c r="C53"/>
  <c r="B53"/>
  <c r="D52"/>
  <c r="C52"/>
  <c r="B52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D46"/>
  <c r="C46"/>
  <c r="B46"/>
  <c r="D45"/>
  <c r="C45"/>
  <c r="B45"/>
  <c r="H45" s="1"/>
  <c r="G55" l="1"/>
  <c r="G47"/>
  <c r="H48"/>
  <c r="G48"/>
  <c r="F48" s="1"/>
  <c r="G49"/>
  <c r="H50"/>
  <c r="G50" s="1"/>
  <c r="H51"/>
  <c r="F51"/>
  <c r="D59"/>
  <c r="F49"/>
  <c r="G51"/>
  <c r="H55"/>
  <c r="F56"/>
  <c r="C59"/>
  <c r="B59"/>
  <c r="E59"/>
  <c r="G46"/>
  <c r="H52"/>
  <c r="H54"/>
  <c r="G54" s="1"/>
  <c r="F46"/>
  <c r="F47"/>
  <c r="F50"/>
  <c r="G52"/>
  <c r="F52" s="1"/>
  <c r="F54"/>
  <c r="G45"/>
  <c r="H49"/>
  <c r="H53"/>
  <c r="G53" s="1"/>
  <c r="F55"/>
  <c r="F45"/>
  <c r="H46"/>
  <c r="H47"/>
  <c r="F53"/>
  <c r="H56"/>
  <c r="G56" s="1"/>
  <c r="D37"/>
  <c r="C37"/>
  <c r="B37"/>
  <c r="D36"/>
  <c r="B36"/>
  <c r="H35"/>
  <c r="F35"/>
  <c r="D35"/>
  <c r="H34"/>
  <c r="G34"/>
  <c r="F34"/>
  <c r="D33"/>
  <c r="C33"/>
  <c r="B33"/>
  <c r="E32"/>
  <c r="D32"/>
  <c r="C32"/>
  <c r="B32"/>
  <c r="D31"/>
  <c r="B31"/>
  <c r="F31" s="1"/>
  <c r="D30"/>
  <c r="B30"/>
  <c r="F30" s="1"/>
  <c r="D29"/>
  <c r="C29"/>
  <c r="B29"/>
  <c r="H29" s="1"/>
  <c r="D28"/>
  <c r="C28"/>
  <c r="B28"/>
  <c r="E27"/>
  <c r="D27"/>
  <c r="C27"/>
  <c r="B27"/>
  <c r="D26"/>
  <c r="C26"/>
  <c r="B26"/>
  <c r="D25"/>
  <c r="C25"/>
  <c r="B25"/>
  <c r="H25" s="1"/>
  <c r="H24"/>
  <c r="G24"/>
  <c r="F24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E69" i="2"/>
  <c r="D69"/>
  <c r="C69"/>
  <c r="B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E37"/>
  <c r="D37"/>
  <c r="C37"/>
  <c r="B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H37" l="1"/>
  <c r="G37"/>
  <c r="F37" s="1"/>
  <c r="H69"/>
  <c r="G69" s="1"/>
  <c r="F69" s="1"/>
  <c r="H16"/>
  <c r="G16" s="1"/>
  <c r="F16" s="1"/>
  <c r="G59" i="3"/>
  <c r="G26"/>
  <c r="F28"/>
  <c r="F27"/>
  <c r="D38"/>
  <c r="G33"/>
  <c r="F37"/>
  <c r="G36"/>
  <c r="F36" s="1"/>
  <c r="F29"/>
  <c r="H36"/>
  <c r="G37"/>
  <c r="F33"/>
  <c r="G16"/>
  <c r="F16" s="1"/>
  <c r="H27"/>
  <c r="H33"/>
  <c r="H37"/>
  <c r="H59"/>
  <c r="F59"/>
  <c r="C38"/>
  <c r="H31"/>
  <c r="H32"/>
  <c r="G35"/>
  <c r="F26"/>
  <c r="G29"/>
  <c r="G32"/>
  <c r="F32" s="1"/>
  <c r="B38"/>
  <c r="G27"/>
  <c r="G31"/>
  <c r="H16"/>
  <c r="G25"/>
  <c r="F25" s="1"/>
  <c r="H26"/>
  <c r="H28"/>
  <c r="G28" s="1"/>
  <c r="H30"/>
  <c r="G30" s="1"/>
  <c r="F38" l="1"/>
  <c r="E38" s="1"/>
  <c r="H38" s="1"/>
  <c r="G38"/>
  <c r="O4" i="7"/>
  <c r="O6" s="1"/>
  <c r="K4"/>
  <c r="K6" s="1"/>
  <c r="G4"/>
  <c r="G6" s="1"/>
  <c r="C4"/>
  <c r="C6" s="1"/>
  <c r="K10" l="1"/>
  <c r="K15" s="1"/>
  <c r="K18" s="1"/>
  <c r="K19" s="1"/>
  <c r="K20" s="1"/>
  <c r="K21" s="1"/>
  <c r="K11"/>
  <c r="K16" s="1"/>
  <c r="G11"/>
  <c r="G16" s="1"/>
  <c r="G25" s="1"/>
  <c r="G26" s="1"/>
  <c r="G27" s="1"/>
  <c r="G28" s="1"/>
  <c r="G10"/>
  <c r="G15" s="1"/>
  <c r="G18" s="1"/>
  <c r="G19" s="1"/>
  <c r="G20" s="1"/>
  <c r="G21" s="1"/>
  <c r="C11"/>
  <c r="C16" s="1"/>
  <c r="C25" s="1"/>
  <c r="C26" s="1"/>
  <c r="C27" s="1"/>
  <c r="C28" s="1"/>
  <c r="C10"/>
  <c r="C15" s="1"/>
  <c r="C18" s="1"/>
  <c r="C19" s="1"/>
  <c r="C20" s="1"/>
  <c r="C21" s="1"/>
  <c r="O11"/>
  <c r="O16" s="1"/>
  <c r="O10"/>
  <c r="O15" s="1"/>
  <c r="O18" s="1"/>
  <c r="O19" s="1"/>
  <c r="O20" s="1"/>
  <c r="O21" s="1"/>
</calcChain>
</file>

<file path=xl/sharedStrings.xml><?xml version="1.0" encoding="utf-8"?>
<sst xmlns="http://schemas.openxmlformats.org/spreadsheetml/2006/main" count="1712" uniqueCount="324">
  <si>
    <t>AES RESUME</t>
  </si>
  <si>
    <t>Injeções</t>
  </si>
  <si>
    <t>Errors per Register SDCs</t>
  </si>
  <si>
    <t>SUCCESS</t>
  </si>
  <si>
    <t>Errors per Register Hangs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</si>
  <si>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</si>
  <si>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</si>
  <si>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</si>
  <si>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</si>
  <si>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</si>
  <si>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</si>
  <si>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</si>
  <si>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</si>
  <si>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</si>
  <si>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</si>
  <si>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</si>
  <si>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</si>
  <si>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</si>
  <si>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lr</t>
  </si>
  <si>
    <t>Total Injeções</t>
  </si>
  <si>
    <t>Errors per Register</t>
  </si>
  <si>
    <t>sl</t>
  </si>
  <si>
    <t>fp</t>
  </si>
  <si>
    <t>ip</t>
  </si>
  <si>
    <t>Multiplicação O2</t>
  </si>
  <si>
    <t>Multiplicação O3</t>
  </si>
  <si>
    <t>SDCs %</t>
  </si>
  <si>
    <t>SUCCESS %</t>
  </si>
  <si>
    <t>Hangs %</t>
  </si>
  <si>
    <t>Total</t>
  </si>
  <si>
    <t>Multiplicação O0</t>
  </si>
  <si>
    <t>Clock Cycles</t>
  </si>
  <si>
    <t>O0</t>
  </si>
  <si>
    <t>O2</t>
  </si>
  <si>
    <t>O3</t>
  </si>
  <si>
    <t>O1</t>
  </si>
  <si>
    <t>AES RESUME O3</t>
  </si>
  <si>
    <t>AES RESUME O2</t>
  </si>
  <si>
    <t>AES</t>
  </si>
  <si>
    <t>MxM</t>
  </si>
  <si>
    <t>Quicksort</t>
  </si>
  <si>
    <t>AVF SDC total</t>
  </si>
  <si>
    <t>AVF SEFI total</t>
  </si>
  <si>
    <t>t exec</t>
  </si>
  <si>
    <t>MWBF</t>
  </si>
  <si>
    <t>MWBF SDC</t>
  </si>
  <si>
    <t>MWBF SEFI</t>
  </si>
  <si>
    <t>aes_script_O0</t>
  </si>
  <si>
    <t>begin</t>
  </si>
  <si>
    <t>aes_script_O3</t>
  </si>
  <si>
    <t>mm_script_O0</t>
  </si>
  <si>
    <t>mm_script_O3</t>
  </si>
  <si>
    <t>end</t>
  </si>
  <si>
    <t>total time (min)</t>
  </si>
  <si>
    <t>total time (s)</t>
  </si>
  <si>
    <t>dead time (s)</t>
  </si>
  <si>
    <t>real time (s)</t>
  </si>
  <si>
    <t>SDC</t>
  </si>
  <si>
    <t>SEFI</t>
  </si>
  <si>
    <t>SDC rate (errors/s)</t>
  </si>
  <si>
    <t>SEFI rate (errors/s)</t>
  </si>
  <si>
    <t>FLUX</t>
  </si>
  <si>
    <t>CROSS SECTION sdc</t>
  </si>
  <si>
    <t>CROSS SECTION sefi</t>
  </si>
  <si>
    <t>tempo exec (s)</t>
  </si>
  <si>
    <t>MTBF (h)</t>
  </si>
  <si>
    <t>MTBF (s)</t>
  </si>
  <si>
    <t>MEBF (execucoes)</t>
  </si>
  <si>
    <t xml:space="preserve">Fault Injection </t>
  </si>
  <si>
    <t>sigma_sdc</t>
  </si>
  <si>
    <t>sigma_sefi</t>
  </si>
  <si>
    <t>MWBF_SDC</t>
  </si>
  <si>
    <t>MWBF_SEFI</t>
  </si>
  <si>
    <t>sefi</t>
  </si>
  <si>
    <t xml:space="preserve">Seconds </t>
  </si>
  <si>
    <t>Radiation Experiments</t>
  </si>
  <si>
    <t xml:space="preserve">CROSS SECTION SDC </t>
  </si>
  <si>
    <t>CROSS SECTION SEFI</t>
  </si>
  <si>
    <t>FFT</t>
  </si>
  <si>
    <t>QuickSort RESUME O0</t>
  </si>
  <si>
    <t>QuickSort RESUME 02</t>
  </si>
  <si>
    <t>QuickSort RESUME 03</t>
  </si>
  <si>
    <t>FFT RESUME O0</t>
  </si>
  <si>
    <t>FFT RESUME 02</t>
  </si>
  <si>
    <t>FFT RESUME 03</t>
  </si>
  <si>
    <t>JPEG</t>
  </si>
  <si>
    <t>Fibonacci</t>
  </si>
  <si>
    <t>JPEG RESUME O0</t>
  </si>
  <si>
    <t>JPEG RESUME 02</t>
  </si>
  <si>
    <t>JPEG RESUME 03</t>
  </si>
  <si>
    <t>FIBONACCI SUME O0</t>
  </si>
  <si>
    <t>Tabela Benchmark</t>
  </si>
  <si>
    <t>QuickSort</t>
  </si>
  <si>
    <t>fibonacci</t>
  </si>
  <si>
    <t>clock cycles</t>
  </si>
  <si>
    <t>Otimização</t>
  </si>
  <si>
    <t>register file usage</t>
  </si>
  <si>
    <t>AVF TOTAL SDC</t>
  </si>
  <si>
    <t>Memory Footprint</t>
  </si>
  <si>
    <t>AVF TOTAL SEFI</t>
  </si>
  <si>
    <t>Execution Time</t>
  </si>
  <si>
    <t>O0 READ</t>
  </si>
  <si>
    <t>O0 WRITE</t>
  </si>
  <si>
    <t xml:space="preserve">O2 WRITE </t>
  </si>
  <si>
    <t>O2 READ</t>
  </si>
  <si>
    <t>O3 WRITE</t>
  </si>
  <si>
    <t>O3 READ</t>
  </si>
  <si>
    <t>Benchmark</t>
  </si>
  <si>
    <t>SEFIs</t>
  </si>
  <si>
    <t>SDCs</t>
  </si>
  <si>
    <t>Nº Instructions</t>
  </si>
  <si>
    <t>FIBONACCI SUME O3</t>
  </si>
  <si>
    <t>FIBONACCI SUME O2</t>
  </si>
  <si>
    <t>FLOAT</t>
  </si>
  <si>
    <t>INT</t>
  </si>
  <si>
    <t>DINAMICA</t>
  </si>
  <si>
    <t xml:space="preserve"> Effective Lifetime</t>
  </si>
  <si>
    <t>PC</t>
  </si>
  <si>
    <t>CPSR</t>
  </si>
  <si>
    <t>FPS</t>
  </si>
  <si>
    <t>---------------------------------------------------</t>
  </si>
  <si>
    <t>Info CPU 'cpu0' STATISTICS</t>
  </si>
  <si>
    <t>Info   Type                  : arm (Cortex-A9UP)</t>
  </si>
  <si>
    <t>Info   Nominal MIPS          : 100</t>
  </si>
  <si>
    <t>Info   Final program counter : 0x101710</t>
  </si>
  <si>
    <t>Info   Simulated instructions: 247,354</t>
  </si>
  <si>
    <t>Info   Simulated MIPS        : 0.0</t>
  </si>
  <si>
    <t>Info ---------------------------------------------------</t>
  </si>
  <si>
    <t xml:space="preserve">Info </t>
  </si>
  <si>
    <t>Info SIMULATION TIME STATISTICS</t>
  </si>
  <si>
    <t>Info   Simulated time        : 0.00 seconds</t>
  </si>
  <si>
    <t>Info   User time             : 9.54 seconds</t>
  </si>
  <si>
    <t>Info   System time           : 9.30 seconds</t>
  </si>
  <si>
    <t>Info   Elapsed time          : 340.54 seconds</t>
  </si>
  <si>
    <t>#instructions</t>
  </si>
  <si>
    <t>Executiontime (Cc)=#Instructions*ICP</t>
  </si>
  <si>
    <t>ICP OVP</t>
  </si>
  <si>
    <t xml:space="preserve">  Effective Lifetime Normalized</t>
  </si>
  <si>
    <t>SP</t>
  </si>
  <si>
    <t>ICP Zynq</t>
  </si>
  <si>
    <t>Writes in Register</t>
  </si>
  <si>
    <t>Info   Final program counter : 0x101544</t>
  </si>
  <si>
    <t>Info   Simulated instructions: 65,868</t>
  </si>
  <si>
    <t>Info   User time             : 2.68 seconds</t>
  </si>
  <si>
    <t>Info   System time           : 2.64 seconds</t>
  </si>
  <si>
    <t>Info   Elapsed time          : 92.96 seconds</t>
  </si>
  <si>
    <t>Info   Simulated instructions: 65,949</t>
  </si>
  <si>
    <t>Info   User time             : 2.58 seconds</t>
  </si>
  <si>
    <t>Info   System time           : 2.26 seconds</t>
  </si>
  <si>
    <t>Info   Elapsed time          : 87.44 seconds</t>
  </si>
  <si>
    <t>AES O0</t>
  </si>
  <si>
    <t>Info   Final program counter : 0x105cd8</t>
  </si>
  <si>
    <t>Info   Simulated instructions: 104,948</t>
  </si>
  <si>
    <t>Info   User time             : 4.96 seconds</t>
  </si>
  <si>
    <t>Info   System time           : 4.72 seconds</t>
  </si>
  <si>
    <t>Info   Elapsed time          : 141.48 seconds</t>
  </si>
  <si>
    <t>AES O2</t>
  </si>
  <si>
    <t>Info   Final program counter : 0x102c88</t>
  </si>
  <si>
    <t>Info   Simulated instructions: 37,527</t>
  </si>
  <si>
    <t>Info   User time             : 1.68 seconds</t>
  </si>
  <si>
    <t>Info   System time           : 1.70 seconds</t>
  </si>
  <si>
    <t>Info   Elapsed time          : 50.01 seconds</t>
  </si>
  <si>
    <t>AES O3</t>
  </si>
  <si>
    <t>Info   Final program counter : 0x103004</t>
  </si>
  <si>
    <t>Info   Simulated instructions: 37,504</t>
  </si>
  <si>
    <t>Info   User time             : 1.64 seconds</t>
  </si>
  <si>
    <t>Info   System time           : 1.74 seconds</t>
  </si>
  <si>
    <t>Info   Elapsed time          : 49.24 seconds</t>
  </si>
  <si>
    <t>Quicksort O0</t>
  </si>
  <si>
    <t>Quicksort O3</t>
  </si>
  <si>
    <t>Info   Final program counter : 0x101814</t>
  </si>
  <si>
    <t>Info   Simulated instructions: 144,281</t>
  </si>
  <si>
    <t>Info   User time             : 6.10 seconds</t>
  </si>
  <si>
    <t>Info   System time           : 5.86 seconds</t>
  </si>
  <si>
    <t>Info   Elapsed time          : 197.76 seconds</t>
  </si>
  <si>
    <t>Quicksort O2</t>
  </si>
  <si>
    <t>Info   Final program counter : 0x101638</t>
  </si>
  <si>
    <t>Info   Simulated instructions: 126,600</t>
  </si>
  <si>
    <t>Info   User time             : 5.30 seconds</t>
  </si>
  <si>
    <t>Info   System time           : 5.30 seconds</t>
  </si>
  <si>
    <t>Info   Elapsed time          : 172.16 seconds</t>
  </si>
  <si>
    <t>Info   Final program counter : 0x1017e8</t>
  </si>
  <si>
    <t>Info   Simulated instructions: 323,708</t>
  </si>
  <si>
    <t>Info   User time             : 14.04 seconds</t>
  </si>
  <si>
    <t>Info   System time           : 13.48 seconds</t>
  </si>
  <si>
    <t>Info   Elapsed time          : 448.23 seconds</t>
  </si>
  <si>
    <t xml:space="preserve">MWBF </t>
  </si>
  <si>
    <t>Fault Injection</t>
  </si>
  <si>
    <t>AVF</t>
  </si>
  <si>
    <t>CROSS SECTION</t>
  </si>
  <si>
    <t>MxM Unroll Neon Double</t>
  </si>
  <si>
    <t>sp</t>
  </si>
  <si>
    <t>s0</t>
  </si>
  <si>
    <t>s1</t>
  </si>
  <si>
    <t>s2</t>
  </si>
  <si>
    <t>s4</t>
  </si>
  <si>
    <t>s3</t>
  </si>
  <si>
    <t>s5</t>
  </si>
  <si>
    <t>s6</t>
  </si>
  <si>
    <t>s8</t>
  </si>
  <si>
    <t>s7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</si>
  <si>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</si>
  <si>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</si>
  <si>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</si>
  <si>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</si>
  <si>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</si>
  <si>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</si>
  <si>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</si>
  <si>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</si>
  <si>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</si>
  <si>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</si>
  <si>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</si>
  <si>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</si>
  <si>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</si>
  <si>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</si>
  <si>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</si>
  <si>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</si>
  <si>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</si>
  <si>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</si>
  <si>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</si>
  <si>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</si>
  <si>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</si>
  <si>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</si>
  <si>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</si>
  <si>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</si>
  <si>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</si>
  <si>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</si>
  <si>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</si>
  <si>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</si>
  <si>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</si>
  <si>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</si>
  <si>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</si>
  <si>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</si>
  <si>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</si>
  <si>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</si>
  <si>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</si>
  <si>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</si>
  <si>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</si>
  <si>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</si>
  <si>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</si>
  <si>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</si>
  <si>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</si>
  <si>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</si>
  <si>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</si>
  <si>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</si>
  <si>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</si>
  <si>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</si>
  <si>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</si>
  <si>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</si>
  <si>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</si>
  <si>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</si>
  <si>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</si>
  <si>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</si>
  <si>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</si>
  <si>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</si>
  <si>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</si>
  <si>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Decimal</t>
  </si>
  <si>
    <t>Hex</t>
  </si>
  <si>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</si>
  <si>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</si>
  <si>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</si>
  <si>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</si>
  <si>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</si>
  <si>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</si>
  <si>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</si>
  <si>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</si>
  <si>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</si>
  <si>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</si>
  <si>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</si>
  <si>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</si>
  <si>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</si>
  <si>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</si>
  <si>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</si>
  <si>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</si>
  <si>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</si>
  <si>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</si>
  <si>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</si>
  <si>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</si>
  <si>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</si>
  <si>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</si>
  <si>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</si>
  <si>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</si>
  <si>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</si>
  <si>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</si>
  <si>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</si>
  <si>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</si>
  <si>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</si>
  <si>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</si>
  <si>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</si>
  <si>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</si>
  <si>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</si>
  <si>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</si>
  <si>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</si>
  <si>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</si>
  <si>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</si>
  <si>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</si>
  <si>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</si>
  <si>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</si>
  <si>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</si>
  <si>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</si>
  <si>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</si>
  <si>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</si>
  <si>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</si>
  <si>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</si>
  <si>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</si>
  <si>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</si>
  <si>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</si>
  <si>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</si>
  <si>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</si>
  <si>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</si>
  <si>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</si>
  <si>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</si>
  <si>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</si>
  <si>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</si>
  <si>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</si>
  <si>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</si>
  <si>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</si>
  <si>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</si>
  <si>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</si>
  <si>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TOTAL</t>
  </si>
  <si>
    <t xml:space="preserve"> o3 neon</t>
  </si>
  <si>
    <t xml:space="preserve">81.38 us </t>
  </si>
  <si>
    <t>o3 neon  -funroll-all-loops double</t>
  </si>
  <si>
    <t>75.53 us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</si>
</sst>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* #,##0.00000000_-;\-* #,##0.00000000_-;_-* &quot;-&quot;??_-;_-@_-"/>
    <numFmt numFmtId="165" formatCode="_-* #,##0.0000000000_-;\-* #,##0.0000000000_-;_-* &quot;-&quot;??_-;_-@_-"/>
    <numFmt numFmtId="166" formatCode="[$-F400]h:mm:ss\ AM/PM"/>
    <numFmt numFmtId="167" formatCode="0.000"/>
    <numFmt numFmtId="168" formatCode="0.0000"/>
  </numFmts>
  <fonts count="15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24272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252525"/>
      <name val="Arial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9" fontId="1" fillId="0" borderId="0" xfId="1" applyFont="1" applyBorder="1" applyAlignment="1"/>
    <xf numFmtId="0" fontId="0" fillId="0" borderId="0" xfId="0" applyFont="1" applyBorder="1" applyAlignment="1"/>
    <xf numFmtId="0" fontId="4" fillId="0" borderId="0" xfId="0" applyFont="1" applyAlignment="1"/>
    <xf numFmtId="0" fontId="0" fillId="0" borderId="1" xfId="0" applyBorder="1" applyAlignment="1"/>
    <xf numFmtId="2" fontId="1" fillId="0" borderId="1" xfId="1" applyNumberFormat="1" applyFont="1" applyBorder="1" applyAlignment="1"/>
    <xf numFmtId="2" fontId="1" fillId="2" borderId="1" xfId="1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1" fillId="0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7" fillId="0" borderId="0" xfId="0" applyFont="1"/>
    <xf numFmtId="0" fontId="0" fillId="2" borderId="0" xfId="0" applyFill="1"/>
    <xf numFmtId="164" fontId="5" fillId="2" borderId="0" xfId="0" applyNumberFormat="1" applyFont="1" applyFill="1" applyAlignment="1"/>
    <xf numFmtId="0" fontId="5" fillId="0" borderId="0" xfId="0" applyFont="1" applyBorder="1" applyAlignment="1"/>
    <xf numFmtId="0" fontId="0" fillId="0" borderId="0" xfId="0" applyBorder="1" applyAlignment="1"/>
    <xf numFmtId="11" fontId="5" fillId="0" borderId="0" xfId="0" applyNumberFormat="1" applyFont="1" applyAlignment="1"/>
    <xf numFmtId="11" fontId="0" fillId="0" borderId="0" xfId="0" applyNumberFormat="1" applyFont="1" applyAlignment="1"/>
    <xf numFmtId="168" fontId="0" fillId="0" borderId="0" xfId="0" applyNumberFormat="1"/>
    <xf numFmtId="43" fontId="0" fillId="0" borderId="0" xfId="0" applyNumberFormat="1"/>
    <xf numFmtId="0" fontId="0" fillId="0" borderId="0" xfId="0" applyAlignment="1"/>
    <xf numFmtId="11" fontId="5" fillId="2" borderId="0" xfId="0" applyNumberFormat="1" applyFont="1" applyFill="1" applyAlignment="1"/>
    <xf numFmtId="11" fontId="0" fillId="0" borderId="0" xfId="0" applyNumberFormat="1"/>
    <xf numFmtId="0" fontId="0" fillId="0" borderId="3" xfId="0" applyBorder="1" applyAlignment="1"/>
    <xf numFmtId="0" fontId="0" fillId="0" borderId="3" xfId="0" applyFont="1" applyBorder="1" applyAlignment="1"/>
    <xf numFmtId="11" fontId="0" fillId="0" borderId="1" xfId="0" applyNumberFormat="1" applyFont="1" applyBorder="1" applyAlignment="1"/>
    <xf numFmtId="11" fontId="0" fillId="0" borderId="0" xfId="0" applyNumberFormat="1" applyFont="1" applyBorder="1" applyAlignment="1"/>
    <xf numFmtId="11" fontId="5" fillId="0" borderId="0" xfId="0" applyNumberFormat="1" applyFont="1" applyBorder="1" applyAlignment="1"/>
    <xf numFmtId="0" fontId="3" fillId="0" borderId="1" xfId="0" applyFont="1" applyBorder="1" applyAlignment="1"/>
    <xf numFmtId="11" fontId="0" fillId="0" borderId="1" xfId="0" applyNumberFormat="1" applyBorder="1" applyAlignment="1"/>
    <xf numFmtId="11" fontId="3" fillId="0" borderId="1" xfId="0" applyNumberFormat="1" applyFont="1" applyBorder="1" applyAlignment="1"/>
    <xf numFmtId="0" fontId="8" fillId="2" borderId="1" xfId="0" applyFont="1" applyFill="1" applyBorder="1" applyAlignment="1"/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8" fillId="7" borderId="1" xfId="0" applyFont="1" applyFill="1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9" fillId="0" borderId="0" xfId="0" applyFont="1" applyAlignment="1"/>
    <xf numFmtId="0" fontId="10" fillId="0" borderId="1" xfId="0" applyFont="1" applyBorder="1"/>
    <xf numFmtId="0" fontId="11" fillId="0" borderId="1" xfId="0" applyFont="1" applyBorder="1"/>
    <xf numFmtId="0" fontId="8" fillId="0" borderId="1" xfId="0" applyFont="1" applyFill="1" applyBorder="1" applyAlignment="1"/>
    <xf numFmtId="0" fontId="11" fillId="0" borderId="1" xfId="0" applyFont="1" applyBorder="1" applyAlignment="1"/>
    <xf numFmtId="0" fontId="11" fillId="11" borderId="1" xfId="0" applyFont="1" applyFill="1" applyBorder="1" applyAlignment="1">
      <alignment horizontal="center"/>
    </xf>
    <xf numFmtId="0" fontId="11" fillId="11" borderId="1" xfId="0" applyFont="1" applyFill="1" applyBorder="1" applyAlignment="1"/>
    <xf numFmtId="2" fontId="8" fillId="11" borderId="1" xfId="1" applyNumberFormat="1" applyFont="1" applyFill="1" applyBorder="1" applyAlignment="1"/>
    <xf numFmtId="0" fontId="11" fillId="0" borderId="1" xfId="0" applyFont="1" applyBorder="1" applyAlignment="1">
      <alignment horizontal="center"/>
    </xf>
    <xf numFmtId="2" fontId="8" fillId="0" borderId="1" xfId="1" applyNumberFormat="1" applyFont="1" applyBorder="1" applyAlignment="1"/>
    <xf numFmtId="2" fontId="8" fillId="2" borderId="1" xfId="1" applyNumberFormat="1" applyFont="1" applyFill="1" applyBorder="1" applyAlignment="1"/>
    <xf numFmtId="0" fontId="11" fillId="12" borderId="1" xfId="0" applyFont="1" applyFill="1" applyBorder="1" applyAlignment="1">
      <alignment horizontal="center"/>
    </xf>
    <xf numFmtId="0" fontId="11" fillId="12" borderId="1" xfId="0" applyFont="1" applyFill="1" applyBorder="1" applyAlignment="1"/>
    <xf numFmtId="2" fontId="8" fillId="12" borderId="1" xfId="1" applyNumberFormat="1" applyFont="1" applyFill="1" applyBorder="1" applyAlignment="1"/>
    <xf numFmtId="0" fontId="11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1" borderId="1" xfId="1" applyNumberFormat="1" applyFont="1" applyFill="1" applyBorder="1" applyAlignment="1"/>
    <xf numFmtId="0" fontId="11" fillId="0" borderId="1" xfId="1" applyNumberFormat="1" applyFont="1" applyBorder="1" applyAlignment="1"/>
    <xf numFmtId="0" fontId="11" fillId="12" borderId="1" xfId="1" applyNumberFormat="1" applyFont="1" applyFill="1" applyBorder="1" applyAlignment="1"/>
    <xf numFmtId="2" fontId="11" fillId="0" borderId="1" xfId="0" applyNumberFormat="1" applyFont="1" applyBorder="1" applyAlignment="1"/>
    <xf numFmtId="0" fontId="11" fillId="2" borderId="1" xfId="0" applyFont="1" applyFill="1" applyBorder="1" applyAlignment="1"/>
    <xf numFmtId="2" fontId="11" fillId="11" borderId="1" xfId="0" applyNumberFormat="1" applyFont="1" applyFill="1" applyBorder="1" applyAlignment="1"/>
    <xf numFmtId="2" fontId="11" fillId="11" borderId="1" xfId="1" applyNumberFormat="1" applyFont="1" applyFill="1" applyBorder="1" applyAlignment="1"/>
    <xf numFmtId="2" fontId="11" fillId="0" borderId="1" xfId="1" applyNumberFormat="1" applyFont="1" applyBorder="1" applyAlignment="1"/>
    <xf numFmtId="2" fontId="11" fillId="12" borderId="1" xfId="0" applyNumberFormat="1" applyFont="1" applyFill="1" applyBorder="1" applyAlignment="1"/>
    <xf numFmtId="2" fontId="11" fillId="12" borderId="1" xfId="1" applyNumberFormat="1" applyFont="1" applyFill="1" applyBorder="1" applyAlignment="1"/>
    <xf numFmtId="2" fontId="11" fillId="2" borderId="1" xfId="0" applyNumberFormat="1" applyFont="1" applyFill="1" applyBorder="1" applyAlignment="1"/>
    <xf numFmtId="11" fontId="11" fillId="11" borderId="1" xfId="0" applyNumberFormat="1" applyFont="1" applyFill="1" applyBorder="1" applyAlignment="1"/>
    <xf numFmtId="11" fontId="11" fillId="12" borderId="1" xfId="0" applyNumberFormat="1" applyFont="1" applyFill="1" applyBorder="1" applyAlignment="1"/>
    <xf numFmtId="11" fontId="11" fillId="0" borderId="1" xfId="0" applyNumberFormat="1" applyFont="1" applyBorder="1" applyAlignment="1"/>
    <xf numFmtId="0" fontId="12" fillId="0" borderId="0" xfId="0" applyFont="1" applyAlignment="1"/>
    <xf numFmtId="11" fontId="11" fillId="2" borderId="1" xfId="0" applyNumberFormat="1" applyFont="1" applyFill="1" applyBorder="1" applyAlignment="1"/>
    <xf numFmtId="0" fontId="3" fillId="0" borderId="0" xfId="0" applyFont="1" applyAlignment="1"/>
    <xf numFmtId="2" fontId="1" fillId="2" borderId="6" xfId="1" applyNumberFormat="1" applyFont="1" applyFill="1" applyBorder="1" applyAlignment="1"/>
    <xf numFmtId="0" fontId="0" fillId="2" borderId="6" xfId="0" applyFont="1" applyFill="1" applyBorder="1" applyAlignment="1"/>
    <xf numFmtId="0" fontId="0" fillId="2" borderId="2" xfId="0" applyFont="1" applyFill="1" applyBorder="1" applyAlignment="1"/>
    <xf numFmtId="167" fontId="0" fillId="2" borderId="2" xfId="0" applyNumberFormat="1" applyFont="1" applyFill="1" applyBorder="1" applyAlignment="1"/>
    <xf numFmtId="0" fontId="1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4" xfId="0" applyFont="1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167" fontId="0" fillId="2" borderId="4" xfId="0" applyNumberFormat="1" applyFont="1" applyFill="1" applyBorder="1" applyAlignment="1"/>
    <xf numFmtId="0" fontId="0" fillId="0" borderId="8" xfId="0" applyFont="1" applyBorder="1" applyAlignment="1"/>
    <xf numFmtId="167" fontId="0" fillId="2" borderId="5" xfId="0" applyNumberFormat="1" applyFont="1" applyFill="1" applyBorder="1" applyAlignment="1"/>
    <xf numFmtId="0" fontId="0" fillId="2" borderId="5" xfId="0" applyFont="1" applyFill="1" applyBorder="1" applyAlignment="1"/>
    <xf numFmtId="2" fontId="1" fillId="2" borderId="7" xfId="1" applyNumberFormat="1" applyFont="1" applyFill="1" applyBorder="1" applyAlignment="1"/>
    <xf numFmtId="0" fontId="0" fillId="2" borderId="9" xfId="0" applyFont="1" applyFill="1" applyBorder="1" applyAlignment="1"/>
    <xf numFmtId="0" fontId="13" fillId="0" borderId="0" xfId="0" applyFont="1" applyAlignment="1">
      <alignment horizontal="left" indent="2"/>
    </xf>
    <xf numFmtId="0" fontId="0" fillId="0" borderId="10" xfId="0" applyFont="1" applyBorder="1" applyAlignment="1"/>
    <xf numFmtId="2" fontId="1" fillId="0" borderId="10" xfId="1" applyNumberFormat="1" applyFont="1" applyBorder="1" applyAlignment="1"/>
    <xf numFmtId="2" fontId="1" fillId="0" borderId="0" xfId="1" applyNumberFormat="1" applyFont="1" applyFill="1" applyBorder="1" applyAlignment="1"/>
    <xf numFmtId="0" fontId="0" fillId="0" borderId="10" xfId="0" applyNumberFormat="1" applyFont="1" applyBorder="1" applyAlignment="1"/>
    <xf numFmtId="2" fontId="8" fillId="0" borderId="10" xfId="1" applyNumberFormat="1" applyFont="1" applyBorder="1" applyAlignment="1"/>
    <xf numFmtId="0" fontId="11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2" fontId="14" fillId="13" borderId="10" xfId="1" applyNumberFormat="1" applyFont="1" applyFill="1" applyBorder="1" applyAlignment="1"/>
    <xf numFmtId="2" fontId="1" fillId="13" borderId="10" xfId="1" applyNumberFormat="1" applyFont="1" applyFill="1" applyBorder="1" applyAlignment="1"/>
    <xf numFmtId="0" fontId="0" fillId="13" borderId="11" xfId="0" applyFont="1" applyFill="1" applyBorder="1" applyAlignment="1"/>
    <xf numFmtId="0" fontId="0" fillId="13" borderId="12" xfId="0" applyFont="1" applyFill="1" applyBorder="1" applyAlignment="1"/>
    <xf numFmtId="0" fontId="0" fillId="13" borderId="0" xfId="0" applyFont="1" applyFill="1" applyBorder="1" applyAlignment="1"/>
    <xf numFmtId="0" fontId="0" fillId="14" borderId="11" xfId="0" applyFont="1" applyFill="1" applyBorder="1" applyAlignment="1"/>
    <xf numFmtId="0" fontId="0" fillId="14" borderId="12" xfId="0" applyFont="1" applyFill="1" applyBorder="1" applyAlignment="1"/>
    <xf numFmtId="0" fontId="3" fillId="13" borderId="11" xfId="0" applyFont="1" applyFill="1" applyBorder="1" applyAlignment="1"/>
    <xf numFmtId="0" fontId="0" fillId="2" borderId="12" xfId="0" applyFont="1" applyFill="1" applyBorder="1" applyAlignment="1"/>
    <xf numFmtId="0" fontId="0" fillId="2" borderId="11" xfId="0" applyFont="1" applyFill="1" applyBorder="1" applyAlignment="1"/>
    <xf numFmtId="0" fontId="0" fillId="2" borderId="0" xfId="0" applyFont="1" applyFill="1" applyBorder="1" applyAlignment="1"/>
    <xf numFmtId="0" fontId="3" fillId="14" borderId="11" xfId="0" applyFont="1" applyFill="1" applyBorder="1" applyAlignment="1"/>
    <xf numFmtId="2" fontId="1" fillId="2" borderId="10" xfId="1" applyNumberFormat="1" applyFont="1" applyFill="1" applyBorder="1" applyAlignment="1"/>
    <xf numFmtId="2" fontId="1" fillId="14" borderId="10" xfId="1" applyNumberFormat="1" applyFont="1" applyFill="1" applyBorder="1" applyAlignment="1"/>
    <xf numFmtId="0" fontId="11" fillId="0" borderId="0" xfId="0" applyFont="1" applyAlignment="1"/>
    <xf numFmtId="0" fontId="0" fillId="0" borderId="0" xfId="0" applyFont="1" applyFill="1" applyBorder="1" applyAlignment="1"/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MxM!$F$2:$F$14</c:f>
              <c:numCache>
                <c:formatCode>0.00</c:formatCode>
                <c:ptCount val="13"/>
                <c:pt idx="0">
                  <c:v>0</c:v>
                </c:pt>
                <c:pt idx="1">
                  <c:v>0.35074261465643869</c:v>
                </c:pt>
                <c:pt idx="2">
                  <c:v>0.1056923076923077</c:v>
                </c:pt>
                <c:pt idx="3">
                  <c:v>0.31248968817026895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MxM!$F$24:$F$36</c:f>
              <c:numCache>
                <c:formatCode>0.00</c:formatCode>
                <c:ptCount val="13"/>
                <c:pt idx="0">
                  <c:v>0.81176470588235294</c:v>
                </c:pt>
                <c:pt idx="1">
                  <c:v>0.90946502057613166</c:v>
                </c:pt>
                <c:pt idx="2">
                  <c:v>0.9642857142857143</c:v>
                </c:pt>
                <c:pt idx="3">
                  <c:v>7.0833333333333331E-2</c:v>
                </c:pt>
                <c:pt idx="4">
                  <c:v>0.67397260273972603</c:v>
                </c:pt>
                <c:pt idx="5">
                  <c:v>0.34799999999999998</c:v>
                </c:pt>
                <c:pt idx="6">
                  <c:v>0</c:v>
                </c:pt>
                <c:pt idx="7">
                  <c:v>8.8105726872246704E-3</c:v>
                </c:pt>
                <c:pt idx="8">
                  <c:v>0.19537275064267351</c:v>
                </c:pt>
                <c:pt idx="9">
                  <c:v>0.89615384615384619</c:v>
                </c:pt>
                <c:pt idx="10">
                  <c:v>0.9285714285714286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MxM!$F$45:$F$57</c:f>
              <c:numCache>
                <c:formatCode>0.00</c:formatCode>
                <c:ptCount val="13"/>
                <c:pt idx="0">
                  <c:v>0.3503787878787879</c:v>
                </c:pt>
                <c:pt idx="1">
                  <c:v>0.68200000000000005</c:v>
                </c:pt>
                <c:pt idx="2">
                  <c:v>0.78969072164948451</c:v>
                </c:pt>
                <c:pt idx="3">
                  <c:v>0.1095890410958904</c:v>
                </c:pt>
                <c:pt idx="4">
                  <c:v>0.20528455284552846</c:v>
                </c:pt>
                <c:pt idx="5">
                  <c:v>0.65052631578947373</c:v>
                </c:pt>
                <c:pt idx="6">
                  <c:v>7.8602620087336247E-2</c:v>
                </c:pt>
                <c:pt idx="7">
                  <c:v>7.7504725897920609E-2</c:v>
                </c:pt>
                <c:pt idx="8">
                  <c:v>0.94408602150537635</c:v>
                </c:pt>
                <c:pt idx="9">
                  <c:v>0.77328646748681895</c:v>
                </c:pt>
                <c:pt idx="10">
                  <c:v>6.3524590163934427E-2</c:v>
                </c:pt>
                <c:pt idx="11">
                  <c:v>0.11790393013100436</c:v>
                </c:pt>
                <c:pt idx="12">
                  <c:v>9.9403578528827044E-2</c:v>
                </c:pt>
              </c:numCache>
            </c:numRef>
          </c:val>
        </c:ser>
        <c:axId val="82991360"/>
        <c:axId val="83014400"/>
      </c:barChart>
      <c:catAx>
        <c:axId val="8299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3014400"/>
        <c:crosses val="autoZero"/>
        <c:auto val="1"/>
        <c:lblAlgn val="ctr"/>
        <c:lblOffset val="100"/>
      </c:catAx>
      <c:valAx>
        <c:axId val="8301440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2991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58" footer="0.3149606200000045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0499077620118134E-2"/>
          <c:y val="2.3500580373549521E-2"/>
          <c:w val="0.94487791660299691"/>
          <c:h val="0.89928123434598561"/>
        </c:manualLayout>
      </c:layout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FFT!$H$2:$H$14</c:f>
              <c:numCache>
                <c:formatCode>0.00</c:formatCode>
                <c:ptCount val="13"/>
                <c:pt idx="0">
                  <c:v>7.3800738007380072E-4</c:v>
                </c:pt>
                <c:pt idx="1">
                  <c:v>0</c:v>
                </c:pt>
                <c:pt idx="2">
                  <c:v>4.5670442089879429E-2</c:v>
                </c:pt>
                <c:pt idx="3">
                  <c:v>0.10102076733544527</c:v>
                </c:pt>
                <c:pt idx="4">
                  <c:v>0</c:v>
                </c:pt>
                <c:pt idx="5">
                  <c:v>1.8684872439813153E-2</c:v>
                </c:pt>
                <c:pt idx="6">
                  <c:v>0</c:v>
                </c:pt>
                <c:pt idx="7">
                  <c:v>1.4461315979754157E-3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0.18354190367842246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FFT!$H$19:$H$31</c:f>
              <c:numCache>
                <c:formatCode>0.00</c:formatCode>
                <c:ptCount val="13"/>
                <c:pt idx="0">
                  <c:v>6.7815661296365681E-2</c:v>
                </c:pt>
                <c:pt idx="1">
                  <c:v>0.21067085131424088</c:v>
                </c:pt>
                <c:pt idx="2">
                  <c:v>0.25333842045020982</c:v>
                </c:pt>
                <c:pt idx="3">
                  <c:v>0.24392156862745099</c:v>
                </c:pt>
                <c:pt idx="4">
                  <c:v>3.8858049167327519E-2</c:v>
                </c:pt>
                <c:pt idx="5">
                  <c:v>0.16274585422290783</c:v>
                </c:pt>
                <c:pt idx="6">
                  <c:v>7.4148296593186377E-2</c:v>
                </c:pt>
                <c:pt idx="7">
                  <c:v>0.40398083302617027</c:v>
                </c:pt>
                <c:pt idx="8">
                  <c:v>0.55203964925657645</c:v>
                </c:pt>
                <c:pt idx="9">
                  <c:v>2.7569909413154787E-3</c:v>
                </c:pt>
                <c:pt idx="10">
                  <c:v>0.47508967716221601</c:v>
                </c:pt>
                <c:pt idx="11">
                  <c:v>0.67342957471712839</c:v>
                </c:pt>
                <c:pt idx="12">
                  <c:v>0.14995990376904572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FFT!$H$36:$H$48</c:f>
              <c:numCache>
                <c:formatCode>0.00</c:formatCode>
                <c:ptCount val="13"/>
                <c:pt idx="0">
                  <c:v>5.4517133956386292E-2</c:v>
                </c:pt>
                <c:pt idx="1">
                  <c:v>0.21614173228346456</c:v>
                </c:pt>
                <c:pt idx="2">
                  <c:v>0.26241134751773049</c:v>
                </c:pt>
                <c:pt idx="3">
                  <c:v>0.21125050586806962</c:v>
                </c:pt>
                <c:pt idx="4">
                  <c:v>3.9760348583877995E-2</c:v>
                </c:pt>
                <c:pt idx="5">
                  <c:v>0.16902654867256636</c:v>
                </c:pt>
                <c:pt idx="6">
                  <c:v>8.7540528022232514E-2</c:v>
                </c:pt>
                <c:pt idx="7">
                  <c:v>0.41898734177215191</c:v>
                </c:pt>
                <c:pt idx="8">
                  <c:v>0.57289240801117836</c:v>
                </c:pt>
                <c:pt idx="9">
                  <c:v>1.3747758517632994E-2</c:v>
                </c:pt>
                <c:pt idx="10">
                  <c:v>0.40172884440400364</c:v>
                </c:pt>
                <c:pt idx="11">
                  <c:v>0.65939063210550253</c:v>
                </c:pt>
                <c:pt idx="12">
                  <c:v>0.12399492170969106</c:v>
                </c:pt>
              </c:numCache>
            </c:numRef>
          </c:val>
        </c:ser>
        <c:axId val="85725952"/>
        <c:axId val="85727872"/>
      </c:barChart>
      <c:catAx>
        <c:axId val="8572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727872"/>
        <c:crosses val="autoZero"/>
        <c:auto val="1"/>
        <c:lblAlgn val="ctr"/>
        <c:lblOffset val="100"/>
      </c:catAx>
      <c:valAx>
        <c:axId val="8572787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725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JPEG!$F$5:$F$17</c:f>
              <c:numCache>
                <c:formatCode>0.00</c:formatCode>
                <c:ptCount val="13"/>
                <c:pt idx="0">
                  <c:v>9.499136442141623E-2</c:v>
                </c:pt>
                <c:pt idx="1">
                  <c:v>4.8865619546247817E-2</c:v>
                </c:pt>
                <c:pt idx="2">
                  <c:v>0.1875</c:v>
                </c:pt>
                <c:pt idx="3">
                  <c:v>0.31534569983136596</c:v>
                </c:pt>
                <c:pt idx="4">
                  <c:v>0.13310580204778158</c:v>
                </c:pt>
                <c:pt idx="5">
                  <c:v>2.1201413427561839E-2</c:v>
                </c:pt>
                <c:pt idx="6">
                  <c:v>1.601423487544484E-2</c:v>
                </c:pt>
                <c:pt idx="7">
                  <c:v>3.3391915641476276E-2</c:v>
                </c:pt>
                <c:pt idx="8">
                  <c:v>1.9097222222222224E-2</c:v>
                </c:pt>
                <c:pt idx="9">
                  <c:v>5.2188552188552187E-2</c:v>
                </c:pt>
                <c:pt idx="10">
                  <c:v>2.0477815699658702E-2</c:v>
                </c:pt>
                <c:pt idx="11">
                  <c:v>0.12959999999999999</c:v>
                </c:pt>
                <c:pt idx="12">
                  <c:v>3.4542314335060449E-2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JPEG!$F$22:$F$34</c:f>
              <c:numCache>
                <c:formatCode>0.00</c:formatCode>
                <c:ptCount val="13"/>
                <c:pt idx="0">
                  <c:v>0.36213757816941444</c:v>
                </c:pt>
                <c:pt idx="1">
                  <c:v>0.34454756380510443</c:v>
                </c:pt>
                <c:pt idx="2">
                  <c:v>0.34544405997693195</c:v>
                </c:pt>
                <c:pt idx="3">
                  <c:v>0.39277899343544859</c:v>
                </c:pt>
                <c:pt idx="4">
                  <c:v>0.4580152671755725</c:v>
                </c:pt>
                <c:pt idx="5">
                  <c:v>0.25066137566137564</c:v>
                </c:pt>
                <c:pt idx="6">
                  <c:v>0.33549146556798115</c:v>
                </c:pt>
                <c:pt idx="7">
                  <c:v>0.57723112128146448</c:v>
                </c:pt>
                <c:pt idx="8">
                  <c:v>0.4434931506849315</c:v>
                </c:pt>
                <c:pt idx="9">
                  <c:v>0.55726092089728452</c:v>
                </c:pt>
                <c:pt idx="10">
                  <c:v>0.16395283548568221</c:v>
                </c:pt>
                <c:pt idx="11">
                  <c:v>0.64864864864864868</c:v>
                </c:pt>
                <c:pt idx="12">
                  <c:v>0.22908011869436201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JPEG!$F$39:$F$51</c:f>
              <c:numCache>
                <c:formatCode>0.00</c:formatCode>
                <c:ptCount val="13"/>
                <c:pt idx="0">
                  <c:v>0.36168455821635015</c:v>
                </c:pt>
                <c:pt idx="1">
                  <c:v>0.30731306491372229</c:v>
                </c:pt>
                <c:pt idx="2">
                  <c:v>0.29558701082431305</c:v>
                </c:pt>
                <c:pt idx="3">
                  <c:v>0.40560593569661996</c:v>
                </c:pt>
                <c:pt idx="4">
                  <c:v>0.25050751116524561</c:v>
                </c:pt>
                <c:pt idx="5">
                  <c:v>0.23497053045186642</c:v>
                </c:pt>
                <c:pt idx="6">
                  <c:v>0.34225700164744643</c:v>
                </c:pt>
                <c:pt idx="7">
                  <c:v>0.29050279329608941</c:v>
                </c:pt>
                <c:pt idx="8">
                  <c:v>0.34213836477987419</c:v>
                </c:pt>
                <c:pt idx="9">
                  <c:v>0.41190667739340303</c:v>
                </c:pt>
                <c:pt idx="10">
                  <c:v>0.20243710691823899</c:v>
                </c:pt>
                <c:pt idx="11">
                  <c:v>0.40670059372349449</c:v>
                </c:pt>
                <c:pt idx="12">
                  <c:v>0.39052287581699346</c:v>
                </c:pt>
              </c:numCache>
            </c:numRef>
          </c:val>
        </c:ser>
        <c:axId val="86053248"/>
        <c:axId val="86055168"/>
      </c:barChart>
      <c:catAx>
        <c:axId val="8605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6055168"/>
        <c:crosses val="autoZero"/>
        <c:auto val="1"/>
        <c:lblAlgn val="ctr"/>
        <c:lblOffset val="100"/>
      </c:catAx>
      <c:valAx>
        <c:axId val="8605516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6053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JPEG!$H$5:$H$17</c:f>
              <c:numCache>
                <c:formatCode>0.00</c:formatCode>
                <c:ptCount val="13"/>
                <c:pt idx="0">
                  <c:v>1.8998272884283247E-2</c:v>
                </c:pt>
                <c:pt idx="1">
                  <c:v>3.1413612565445025E-2</c:v>
                </c:pt>
                <c:pt idx="2">
                  <c:v>1.8581081081081082E-2</c:v>
                </c:pt>
                <c:pt idx="3">
                  <c:v>0</c:v>
                </c:pt>
                <c:pt idx="4">
                  <c:v>4.778156996587031E-2</c:v>
                </c:pt>
                <c:pt idx="5">
                  <c:v>0</c:v>
                </c:pt>
                <c:pt idx="6">
                  <c:v>0</c:v>
                </c:pt>
                <c:pt idx="7">
                  <c:v>1.7574692442882249E-3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0.64639999999999997</c:v>
                </c:pt>
                <c:pt idx="12">
                  <c:v>5.1813471502590676E-3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JPEG!$H$22:$H$34</c:f>
              <c:numCache>
                <c:formatCode>0.00</c:formatCode>
                <c:ptCount val="13"/>
                <c:pt idx="0">
                  <c:v>0.11768050028425242</c:v>
                </c:pt>
                <c:pt idx="1">
                  <c:v>9.2807424593967514E-2</c:v>
                </c:pt>
                <c:pt idx="2">
                  <c:v>7.0357554786620535E-2</c:v>
                </c:pt>
                <c:pt idx="3">
                  <c:v>0.12472647702407003</c:v>
                </c:pt>
                <c:pt idx="4">
                  <c:v>0.10305343511450382</c:v>
                </c:pt>
                <c:pt idx="5">
                  <c:v>0.13822751322751323</c:v>
                </c:pt>
                <c:pt idx="6">
                  <c:v>0.20659211300765157</c:v>
                </c:pt>
                <c:pt idx="7">
                  <c:v>0.15503432494279176</c:v>
                </c:pt>
                <c:pt idx="8">
                  <c:v>0.12157534246575342</c:v>
                </c:pt>
                <c:pt idx="9">
                  <c:v>6.7886658795749705E-2</c:v>
                </c:pt>
                <c:pt idx="10">
                  <c:v>0.37450870297585626</c:v>
                </c:pt>
                <c:pt idx="11">
                  <c:v>0.10350776308223117</c:v>
                </c:pt>
                <c:pt idx="12">
                  <c:v>1.7210682492581602E-2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JPEG!$H$39:$H$51</c:f>
              <c:numCache>
                <c:formatCode>0.00</c:formatCode>
                <c:ptCount val="13"/>
                <c:pt idx="0">
                  <c:v>7.5557390586292322E-2</c:v>
                </c:pt>
                <c:pt idx="1">
                  <c:v>0.23336072308956451</c:v>
                </c:pt>
                <c:pt idx="2">
                  <c:v>0.29392173189009158</c:v>
                </c:pt>
                <c:pt idx="3">
                  <c:v>0.20362737015663643</c:v>
                </c:pt>
                <c:pt idx="4">
                  <c:v>0.1372310190824198</c:v>
                </c:pt>
                <c:pt idx="5">
                  <c:v>0.22357563850687623</c:v>
                </c:pt>
                <c:pt idx="6">
                  <c:v>0.11490939044481055</c:v>
                </c:pt>
                <c:pt idx="7">
                  <c:v>0.18555466879489227</c:v>
                </c:pt>
                <c:pt idx="8">
                  <c:v>0.30524109014675055</c:v>
                </c:pt>
                <c:pt idx="9">
                  <c:v>0.19951729686242961</c:v>
                </c:pt>
                <c:pt idx="10">
                  <c:v>0.28773584905660377</c:v>
                </c:pt>
                <c:pt idx="11">
                  <c:v>0.15351993214588636</c:v>
                </c:pt>
                <c:pt idx="12">
                  <c:v>6.4950980392156868E-2</c:v>
                </c:pt>
              </c:numCache>
            </c:numRef>
          </c:val>
        </c:ser>
        <c:axId val="86084992"/>
        <c:axId val="86095360"/>
      </c:barChart>
      <c:catAx>
        <c:axId val="8608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6095360"/>
        <c:crosses val="autoZero"/>
        <c:auto val="1"/>
        <c:lblAlgn val="ctr"/>
        <c:lblOffset val="100"/>
      </c:catAx>
      <c:valAx>
        <c:axId val="8609536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608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fibonacci!$F$5:$F$17</c:f>
              <c:numCache>
                <c:formatCode>0.00</c:formatCode>
                <c:ptCount val="13"/>
                <c:pt idx="0">
                  <c:v>8.7591240875912413E-2</c:v>
                </c:pt>
                <c:pt idx="1">
                  <c:v>0.10064553990610328</c:v>
                </c:pt>
                <c:pt idx="2">
                  <c:v>0.24571228561428071</c:v>
                </c:pt>
                <c:pt idx="3">
                  <c:v>0.12885825591848965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fibonacci!$F$23:$F$35</c:f>
              <c:numCache>
                <c:formatCode>0.00</c:formatCode>
                <c:ptCount val="13"/>
                <c:pt idx="0">
                  <c:v>0.5506607929515418</c:v>
                </c:pt>
                <c:pt idx="1">
                  <c:v>7.1132596685082872E-2</c:v>
                </c:pt>
                <c:pt idx="2">
                  <c:v>0.10828729281767956</c:v>
                </c:pt>
                <c:pt idx="3">
                  <c:v>0.13398692810457516</c:v>
                </c:pt>
                <c:pt idx="4">
                  <c:v>0.73987398739873989</c:v>
                </c:pt>
                <c:pt idx="5">
                  <c:v>0.72797356828193838</c:v>
                </c:pt>
                <c:pt idx="6">
                  <c:v>0.94964871194379397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fibonacci!$F$41:$F$53</c:f>
              <c:numCache>
                <c:formatCode>0.00</c:formatCode>
                <c:ptCount val="13"/>
                <c:pt idx="0">
                  <c:v>0.13374485596707819</c:v>
                </c:pt>
                <c:pt idx="1">
                  <c:v>0.14787234042553191</c:v>
                </c:pt>
                <c:pt idx="2">
                  <c:v>0.12029161603888214</c:v>
                </c:pt>
                <c:pt idx="3">
                  <c:v>5.9766763848396499E-2</c:v>
                </c:pt>
                <c:pt idx="4">
                  <c:v>7.5392670157068062E-2</c:v>
                </c:pt>
                <c:pt idx="5">
                  <c:v>0.11871227364185111</c:v>
                </c:pt>
                <c:pt idx="6">
                  <c:v>0.1165158371040724</c:v>
                </c:pt>
                <c:pt idx="7">
                  <c:v>3.541912632821724E-2</c:v>
                </c:pt>
                <c:pt idx="8">
                  <c:v>1.7391304347826087E-2</c:v>
                </c:pt>
                <c:pt idx="9">
                  <c:v>0.24802110817941952</c:v>
                </c:pt>
                <c:pt idx="10">
                  <c:v>0.17846750727449079</c:v>
                </c:pt>
                <c:pt idx="11">
                  <c:v>1.9607843137254902E-2</c:v>
                </c:pt>
                <c:pt idx="12">
                  <c:v>0</c:v>
                </c:pt>
              </c:numCache>
            </c:numRef>
          </c:val>
        </c:ser>
        <c:axId val="94403584"/>
        <c:axId val="94405760"/>
      </c:barChart>
      <c:catAx>
        <c:axId val="9440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405760"/>
        <c:crosses val="autoZero"/>
        <c:auto val="1"/>
        <c:lblAlgn val="ctr"/>
        <c:lblOffset val="100"/>
      </c:catAx>
      <c:valAx>
        <c:axId val="9440576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40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fibonacci!$H$5:$H$17</c:f>
              <c:numCache>
                <c:formatCode>0.00</c:formatCode>
                <c:ptCount val="13"/>
                <c:pt idx="0">
                  <c:v>0</c:v>
                </c:pt>
                <c:pt idx="1">
                  <c:v>3.3157276995305164E-2</c:v>
                </c:pt>
                <c:pt idx="2">
                  <c:v>2.905145257262863E-2</c:v>
                </c:pt>
                <c:pt idx="3">
                  <c:v>2.9068025172310458E-2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fibonacci!$H$23:$H$35</c:f>
              <c:numCache>
                <c:formatCode>0.00</c:formatCode>
                <c:ptCount val="13"/>
                <c:pt idx="0">
                  <c:v>0</c:v>
                </c:pt>
                <c:pt idx="1">
                  <c:v>7.18232044198895E-2</c:v>
                </c:pt>
                <c:pt idx="2">
                  <c:v>4.5303867403314914E-2</c:v>
                </c:pt>
                <c:pt idx="3">
                  <c:v>0</c:v>
                </c:pt>
                <c:pt idx="4">
                  <c:v>7.1107110711071106E-2</c:v>
                </c:pt>
                <c:pt idx="5">
                  <c:v>1.8722466960352423E-2</c:v>
                </c:pt>
                <c:pt idx="6">
                  <c:v>1.17096018735363E-3</c:v>
                </c:pt>
                <c:pt idx="7">
                  <c:v>0</c:v>
                </c:pt>
                <c:pt idx="8">
                  <c:v>0.23160762942779292</c:v>
                </c:pt>
                <c:pt idx="9">
                  <c:v>0.29878438899552145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fibonacci!$H$41:$H$53</c:f>
              <c:numCache>
                <c:formatCode>0.00</c:formatCode>
                <c:ptCount val="13"/>
                <c:pt idx="0">
                  <c:v>9.2592592592592587E-3</c:v>
                </c:pt>
                <c:pt idx="1">
                  <c:v>6.2765957446808504E-2</c:v>
                </c:pt>
                <c:pt idx="2">
                  <c:v>9.7205346294046164E-3</c:v>
                </c:pt>
                <c:pt idx="3">
                  <c:v>1.8950437317784258E-2</c:v>
                </c:pt>
                <c:pt idx="4">
                  <c:v>2.0942408376963352E-2</c:v>
                </c:pt>
                <c:pt idx="5">
                  <c:v>0</c:v>
                </c:pt>
                <c:pt idx="6">
                  <c:v>7.9185520361990946E-3</c:v>
                </c:pt>
                <c:pt idx="7">
                  <c:v>0</c:v>
                </c:pt>
                <c:pt idx="8">
                  <c:v>0.20193236714975846</c:v>
                </c:pt>
                <c:pt idx="9">
                  <c:v>0.10466138962181179</c:v>
                </c:pt>
                <c:pt idx="10">
                  <c:v>1.842870999030068E-2</c:v>
                </c:pt>
                <c:pt idx="11">
                  <c:v>6.0049019607843139E-2</c:v>
                </c:pt>
                <c:pt idx="12">
                  <c:v>0</c:v>
                </c:pt>
              </c:numCache>
            </c:numRef>
          </c:val>
        </c:ser>
        <c:axId val="94451968"/>
        <c:axId val="94454144"/>
      </c:barChart>
      <c:catAx>
        <c:axId val="9445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454144"/>
        <c:crosses val="autoZero"/>
        <c:auto val="1"/>
        <c:lblAlgn val="ctr"/>
        <c:lblOffset val="100"/>
      </c:catAx>
      <c:valAx>
        <c:axId val="9445414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>
            <c:manualLayout>
              <c:xMode val="edge"/>
              <c:yMode val="edge"/>
              <c:x val="2.9522413361983781E-3"/>
              <c:y val="0.38601449763262369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451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Results'!$G$6,'TNS Results'!$G$9,'TNS Results'!$G$12,'TNS Results'!$G$15,'TNS Results'!$G$18,'TNS Results'!$G$21)</c:f>
              <c:numCache>
                <c:formatCode>0.00</c:formatCode>
                <c:ptCount val="6"/>
                <c:pt idx="0">
                  <c:v>0.12052414376133216</c:v>
                </c:pt>
                <c:pt idx="1">
                  <c:v>0.11679463326432746</c:v>
                </c:pt>
                <c:pt idx="2">
                  <c:v>4.1170853139049543E-2</c:v>
                </c:pt>
                <c:pt idx="3">
                  <c:v>6.3068920676202858E-2</c:v>
                </c:pt>
                <c:pt idx="4" formatCode="General">
                  <c:v>0.08</c:v>
                </c:pt>
                <c:pt idx="5">
                  <c:v>0.1113558492413118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Results'!$G$7,'TNS Results'!$G$10,'TNS Results'!$G$13,'TNS Results'!$G$16,'TNS Results'!$G$19,'TNS Results'!$G$22)</c:f>
              <c:numCache>
                <c:formatCode>0.00</c:formatCode>
                <c:ptCount val="6"/>
                <c:pt idx="0">
                  <c:v>0.43706104808211776</c:v>
                </c:pt>
                <c:pt idx="1">
                  <c:v>3.466428287644021E-2</c:v>
                </c:pt>
                <c:pt idx="2">
                  <c:v>0.35041618135848412</c:v>
                </c:pt>
                <c:pt idx="3">
                  <c:v>0.39232409381663114</c:v>
                </c:pt>
                <c:pt idx="4">
                  <c:v>0.22775086505190312</c:v>
                </c:pt>
                <c:pt idx="5">
                  <c:v>0.39878442073927067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Results'!$G$8,'TNS Results'!$G$11,'TNS Results'!$G$14,'TNS Results'!$G$17,'TNS Results'!$G$20,'TNS Results'!$G$23)</c:f>
              <c:numCache>
                <c:formatCode>0.00</c:formatCode>
                <c:ptCount val="6"/>
                <c:pt idx="0">
                  <c:v>0.36624843161856963</c:v>
                </c:pt>
                <c:pt idx="1">
                  <c:v>4.4001476559616094E-2</c:v>
                </c:pt>
                <c:pt idx="2">
                  <c:v>0.35841386442249401</c:v>
                </c:pt>
                <c:pt idx="3">
                  <c:v>0.35952566703073802</c:v>
                </c:pt>
                <c:pt idx="4">
                  <c:v>0.12</c:v>
                </c:pt>
                <c:pt idx="5">
                  <c:v>0.33832439990678165</c:v>
                </c:pt>
              </c:numCache>
            </c:numRef>
          </c:val>
        </c:ser>
        <c:axId val="94365568"/>
        <c:axId val="94502912"/>
      </c:barChart>
      <c:catAx>
        <c:axId val="9436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Applications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502912"/>
        <c:crosses val="autoZero"/>
        <c:auto val="1"/>
        <c:lblAlgn val="ctr"/>
        <c:lblOffset val="100"/>
      </c:catAx>
      <c:valAx>
        <c:axId val="9450291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365568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Results'!$H$6,'TNS Results'!$H$9,'TNS Results'!$H$12,'TNS Results'!$H$15,'TNS Results'!$H$18,'TNS Results'!$H$21)</c:f>
              <c:numCache>
                <c:formatCode>0.00</c:formatCode>
                <c:ptCount val="6"/>
                <c:pt idx="0">
                  <c:v>2.3359547937129447E-4</c:v>
                </c:pt>
                <c:pt idx="1">
                  <c:v>3.3725531301590631E-2</c:v>
                </c:pt>
                <c:pt idx="2">
                  <c:v>2.6674678369475412E-2</c:v>
                </c:pt>
                <c:pt idx="3">
                  <c:v>2.8010403120936282E-2</c:v>
                </c:pt>
                <c:pt idx="4" formatCode="General">
                  <c:v>0.03</c:v>
                </c:pt>
                <c:pt idx="5">
                  <c:v>6.1184532550171318E-2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Results'!$H$7,'TNS Results'!$H$10,'TNS Results'!$H$13,'TNS Results'!$H$16,'TNS Results'!$H$19,'TNS Results'!$H$22)</c:f>
              <c:numCache>
                <c:formatCode>0.00</c:formatCode>
                <c:ptCount val="6"/>
                <c:pt idx="0">
                  <c:v>0.1277687736358725</c:v>
                </c:pt>
                <c:pt idx="1">
                  <c:v>0.10826380611839491</c:v>
                </c:pt>
                <c:pt idx="2">
                  <c:v>3.1646828215107524E-2</c:v>
                </c:pt>
                <c:pt idx="3">
                  <c:v>0.2386121341345222</c:v>
                </c:pt>
                <c:pt idx="4">
                  <c:v>6.9198149575944487E-2</c:v>
                </c:pt>
                <c:pt idx="5">
                  <c:v>0.12928967171090713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Results'!$H$8,'TNS Results'!$H$11,'TNS Results'!$H$14,'TNS Results'!$H$17,'TNS Results'!$H$20,'TNS Results'!$H$23)</c:f>
              <c:numCache>
                <c:formatCode>0.00</c:formatCode>
                <c:ptCount val="6"/>
                <c:pt idx="0">
                  <c:v>0.10501882057716437</c:v>
                </c:pt>
                <c:pt idx="1">
                  <c:v>0.18634182355112588</c:v>
                </c:pt>
                <c:pt idx="2">
                  <c:v>3.3199015797168635E-2</c:v>
                </c:pt>
                <c:pt idx="3">
                  <c:v>0.23491964425027306</c:v>
                </c:pt>
                <c:pt idx="4">
                  <c:v>6.559341070760015E-2</c:v>
                </c:pt>
                <c:pt idx="5">
                  <c:v>0.18489279888137963</c:v>
                </c:pt>
              </c:numCache>
            </c:numRef>
          </c:val>
        </c:ser>
        <c:axId val="94536832"/>
        <c:axId val="94538752"/>
      </c:barChart>
      <c:catAx>
        <c:axId val="9453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 b="1" i="0" u="none" strike="noStrike" baseline="0"/>
                  <a:t>Applications</a:t>
                </a:r>
                <a:endParaRPr lang="en-US" sz="1200"/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538752"/>
        <c:crosses val="autoZero"/>
        <c:auto val="1"/>
        <c:lblAlgn val="ctr"/>
        <c:lblOffset val="100"/>
      </c:catAx>
      <c:valAx>
        <c:axId val="9453875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0"/>
                </a:pPr>
                <a:r>
                  <a:rPr lang="en-US" sz="1200" b="1"/>
                  <a:t>AVF  SEFI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536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OVP'!$B$2:$B$15</c:f>
              <c:numCache>
                <c:formatCode>General</c:formatCode>
                <c:ptCount val="14"/>
                <c:pt idx="0">
                  <c:v>247294</c:v>
                </c:pt>
                <c:pt idx="1">
                  <c:v>221715</c:v>
                </c:pt>
                <c:pt idx="2">
                  <c:v>210934</c:v>
                </c:pt>
                <c:pt idx="3">
                  <c:v>135312</c:v>
                </c:pt>
                <c:pt idx="4">
                  <c:v>247338</c:v>
                </c:pt>
                <c:pt idx="5">
                  <c:v>247338</c:v>
                </c:pt>
                <c:pt idx="6">
                  <c:v>247340</c:v>
                </c:pt>
                <c:pt idx="7">
                  <c:v>247094</c:v>
                </c:pt>
                <c:pt idx="8">
                  <c:v>247354</c:v>
                </c:pt>
                <c:pt idx="9">
                  <c:v>246070</c:v>
                </c:pt>
                <c:pt idx="10">
                  <c:v>247350</c:v>
                </c:pt>
                <c:pt idx="11">
                  <c:v>245296</c:v>
                </c:pt>
                <c:pt idx="12">
                  <c:v>247352</c:v>
                </c:pt>
                <c:pt idx="13">
                  <c:v>247329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OVP'!$B$27:$B$40</c:f>
              <c:numCache>
                <c:formatCode>General</c:formatCode>
                <c:ptCount val="14"/>
                <c:pt idx="0">
                  <c:v>65811</c:v>
                </c:pt>
                <c:pt idx="1">
                  <c:v>64631</c:v>
                </c:pt>
                <c:pt idx="2">
                  <c:v>65804</c:v>
                </c:pt>
                <c:pt idx="3">
                  <c:v>56242</c:v>
                </c:pt>
                <c:pt idx="4">
                  <c:v>65845</c:v>
                </c:pt>
                <c:pt idx="5">
                  <c:v>65850</c:v>
                </c:pt>
                <c:pt idx="6">
                  <c:v>65433</c:v>
                </c:pt>
                <c:pt idx="7">
                  <c:v>65206</c:v>
                </c:pt>
                <c:pt idx="8">
                  <c:v>65827</c:v>
                </c:pt>
                <c:pt idx="9">
                  <c:v>64582</c:v>
                </c:pt>
                <c:pt idx="10">
                  <c:v>65843</c:v>
                </c:pt>
                <c:pt idx="11">
                  <c:v>63820</c:v>
                </c:pt>
                <c:pt idx="12">
                  <c:v>57443</c:v>
                </c:pt>
                <c:pt idx="13">
                  <c:v>57462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OVP'!$B$53:$B$66</c:f>
              <c:numCache>
                <c:formatCode>General</c:formatCode>
                <c:ptCount val="14"/>
                <c:pt idx="0">
                  <c:v>65868</c:v>
                </c:pt>
                <c:pt idx="1">
                  <c:v>64711</c:v>
                </c:pt>
                <c:pt idx="2">
                  <c:v>65845</c:v>
                </c:pt>
                <c:pt idx="3">
                  <c:v>56702</c:v>
                </c:pt>
                <c:pt idx="4">
                  <c:v>65849</c:v>
                </c:pt>
                <c:pt idx="5">
                  <c:v>65869</c:v>
                </c:pt>
                <c:pt idx="6">
                  <c:v>65512</c:v>
                </c:pt>
                <c:pt idx="7">
                  <c:v>65285</c:v>
                </c:pt>
                <c:pt idx="8">
                  <c:v>65906</c:v>
                </c:pt>
                <c:pt idx="9">
                  <c:v>64663</c:v>
                </c:pt>
                <c:pt idx="10">
                  <c:v>65924</c:v>
                </c:pt>
                <c:pt idx="11">
                  <c:v>63901</c:v>
                </c:pt>
                <c:pt idx="12">
                  <c:v>57386</c:v>
                </c:pt>
                <c:pt idx="13">
                  <c:v>57504</c:v>
                </c:pt>
              </c:numCache>
            </c:numRef>
          </c:val>
        </c:ser>
        <c:axId val="94778112"/>
        <c:axId val="94780032"/>
      </c:barChart>
      <c:catAx>
        <c:axId val="9477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780032"/>
        <c:crosses val="autoZero"/>
        <c:auto val="1"/>
        <c:lblAlgn val="ctr"/>
        <c:lblOffset val="100"/>
      </c:catAx>
      <c:valAx>
        <c:axId val="947800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778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13" footer="0.3149606200000051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OVP'!$C$2:$C$15</c:f>
              <c:numCache>
                <c:formatCode>0.000</c:formatCode>
                <c:ptCount val="14"/>
                <c:pt idx="0">
                  <c:v>0.15147839888899262</c:v>
                </c:pt>
                <c:pt idx="1">
                  <c:v>0.13581014181368331</c:v>
                </c:pt>
                <c:pt idx="2">
                  <c:v>0.12920630743669789</c:v>
                </c:pt>
                <c:pt idx="3">
                  <c:v>8.2884522513556214E-2</c:v>
                </c:pt>
                <c:pt idx="4">
                  <c:v>0.15150535081484248</c:v>
                </c:pt>
                <c:pt idx="5">
                  <c:v>0.15150535081484248</c:v>
                </c:pt>
                <c:pt idx="6">
                  <c:v>0.15150657590238112</c:v>
                </c:pt>
                <c:pt idx="7">
                  <c:v>0.15135589013512962</c:v>
                </c:pt>
                <c:pt idx="8">
                  <c:v>0.15151515151515152</c:v>
                </c:pt>
                <c:pt idx="9">
                  <c:v>0.15072864531535102</c:v>
                </c:pt>
                <c:pt idx="10">
                  <c:v>0.15151270134007427</c:v>
                </c:pt>
                <c:pt idx="11">
                  <c:v>0.15025453643790118</c:v>
                </c:pt>
                <c:pt idx="12">
                  <c:v>0.15151392642761288</c:v>
                </c:pt>
                <c:pt idx="13">
                  <c:v>0.15149983792091865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OVP'!$C$27:$C$40</c:f>
              <c:numCache>
                <c:formatCode>0.000</c:formatCode>
                <c:ptCount val="14"/>
                <c:pt idx="0">
                  <c:v>0.15138403528820726</c:v>
                </c:pt>
                <c:pt idx="1">
                  <c:v>0.14866969936199304</c:v>
                </c:pt>
                <c:pt idx="2">
                  <c:v>0.15136793329542464</c:v>
                </c:pt>
                <c:pt idx="3">
                  <c:v>0.12937261115435647</c:v>
                </c:pt>
                <c:pt idx="4">
                  <c:v>0.15146224496743718</c:v>
                </c:pt>
                <c:pt idx="5">
                  <c:v>0.15147374639085334</c:v>
                </c:pt>
                <c:pt idx="6">
                  <c:v>0.15051452767794543</c:v>
                </c:pt>
                <c:pt idx="7">
                  <c:v>0.14999236305485167</c:v>
                </c:pt>
                <c:pt idx="8">
                  <c:v>0.151420839843139</c:v>
                </c:pt>
                <c:pt idx="9">
                  <c:v>0.14855698541251466</c:v>
                </c:pt>
                <c:pt idx="10">
                  <c:v>0.15145764439807072</c:v>
                </c:pt>
                <c:pt idx="11">
                  <c:v>0.14680416848389158</c:v>
                </c:pt>
                <c:pt idx="12">
                  <c:v>0.13213525305891857</c:v>
                </c:pt>
                <c:pt idx="13">
                  <c:v>0.13217895846789998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OVP'!$C$53:$C$66</c:f>
              <c:numCache>
                <c:formatCode>0.000</c:formatCode>
                <c:ptCount val="14"/>
                <c:pt idx="0">
                  <c:v>0.15132905730185447</c:v>
                </c:pt>
                <c:pt idx="1">
                  <c:v>0.14867089674895709</c:v>
                </c:pt>
                <c:pt idx="2">
                  <c:v>0.15127621573511579</c:v>
                </c:pt>
                <c:pt idx="3">
                  <c:v>0.13027054422678314</c:v>
                </c:pt>
                <c:pt idx="4">
                  <c:v>0.15128540557280948</c:v>
                </c:pt>
                <c:pt idx="5">
                  <c:v>0.1513313547612779</c:v>
                </c:pt>
                <c:pt idx="6">
                  <c:v>0.15051116174711682</c:v>
                </c:pt>
                <c:pt idx="7">
                  <c:v>0.1499896384580004</c:v>
                </c:pt>
                <c:pt idx="8">
                  <c:v>0.15141636075994444</c:v>
                </c:pt>
                <c:pt idx="9">
                  <c:v>0.1485606186966329</c:v>
                </c:pt>
                <c:pt idx="10">
                  <c:v>0.15145771502956601</c:v>
                </c:pt>
                <c:pt idx="11">
                  <c:v>0.14680995461598656</c:v>
                </c:pt>
                <c:pt idx="12">
                  <c:v>0.13184200647240271</c:v>
                </c:pt>
                <c:pt idx="13">
                  <c:v>0.13211310668436629</c:v>
                </c:pt>
              </c:numCache>
            </c:numRef>
          </c:val>
        </c:ser>
        <c:axId val="94818304"/>
        <c:axId val="94820224"/>
      </c:barChart>
      <c:catAx>
        <c:axId val="9481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820224"/>
        <c:crosses val="autoZero"/>
        <c:auto val="1"/>
        <c:lblAlgn val="ctr"/>
        <c:lblOffset val="100"/>
      </c:catAx>
      <c:valAx>
        <c:axId val="948202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8183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OVP'!$B$2:$B$15</c:f>
              <c:numCache>
                <c:formatCode>General</c:formatCode>
                <c:ptCount val="14"/>
                <c:pt idx="0">
                  <c:v>102006</c:v>
                </c:pt>
                <c:pt idx="1">
                  <c:v>99075</c:v>
                </c:pt>
                <c:pt idx="2">
                  <c:v>91704</c:v>
                </c:pt>
                <c:pt idx="3">
                  <c:v>60463</c:v>
                </c:pt>
                <c:pt idx="4">
                  <c:v>101032</c:v>
                </c:pt>
                <c:pt idx="5">
                  <c:v>104932</c:v>
                </c:pt>
                <c:pt idx="6">
                  <c:v>104934</c:v>
                </c:pt>
                <c:pt idx="7">
                  <c:v>104688</c:v>
                </c:pt>
                <c:pt idx="8">
                  <c:v>104948</c:v>
                </c:pt>
                <c:pt idx="9">
                  <c:v>103664</c:v>
                </c:pt>
                <c:pt idx="10">
                  <c:v>104944</c:v>
                </c:pt>
                <c:pt idx="11">
                  <c:v>102644</c:v>
                </c:pt>
                <c:pt idx="12">
                  <c:v>104220</c:v>
                </c:pt>
                <c:pt idx="13">
                  <c:v>104300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OVP'!$B$26:$B$39</c:f>
              <c:numCache>
                <c:formatCode>General</c:formatCode>
                <c:ptCount val="14"/>
                <c:pt idx="0">
                  <c:v>36319</c:v>
                </c:pt>
                <c:pt idx="1">
                  <c:v>34294</c:v>
                </c:pt>
                <c:pt idx="2">
                  <c:v>34899</c:v>
                </c:pt>
                <c:pt idx="3">
                  <c:v>32276</c:v>
                </c:pt>
                <c:pt idx="4">
                  <c:v>36070</c:v>
                </c:pt>
                <c:pt idx="5">
                  <c:v>36734</c:v>
                </c:pt>
                <c:pt idx="6">
                  <c:v>37167</c:v>
                </c:pt>
                <c:pt idx="7">
                  <c:v>36913</c:v>
                </c:pt>
                <c:pt idx="8">
                  <c:v>37159</c:v>
                </c:pt>
                <c:pt idx="9">
                  <c:v>35972</c:v>
                </c:pt>
                <c:pt idx="10">
                  <c:v>37230</c:v>
                </c:pt>
                <c:pt idx="11">
                  <c:v>35207</c:v>
                </c:pt>
                <c:pt idx="12">
                  <c:v>36779</c:v>
                </c:pt>
                <c:pt idx="13">
                  <c:v>35418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OVP'!$B$50:$B$63</c:f>
              <c:numCache>
                <c:formatCode>General</c:formatCode>
                <c:ptCount val="14"/>
                <c:pt idx="0">
                  <c:v>35749</c:v>
                </c:pt>
                <c:pt idx="1">
                  <c:v>34294</c:v>
                </c:pt>
                <c:pt idx="2">
                  <c:v>34643</c:v>
                </c:pt>
                <c:pt idx="3">
                  <c:v>34248</c:v>
                </c:pt>
                <c:pt idx="4">
                  <c:v>35750</c:v>
                </c:pt>
                <c:pt idx="5">
                  <c:v>36144</c:v>
                </c:pt>
                <c:pt idx="6">
                  <c:v>36476</c:v>
                </c:pt>
                <c:pt idx="7">
                  <c:v>36524</c:v>
                </c:pt>
                <c:pt idx="8">
                  <c:v>36336</c:v>
                </c:pt>
                <c:pt idx="9">
                  <c:v>35856</c:v>
                </c:pt>
                <c:pt idx="10">
                  <c:v>37247</c:v>
                </c:pt>
                <c:pt idx="11">
                  <c:v>34738</c:v>
                </c:pt>
                <c:pt idx="12">
                  <c:v>36348</c:v>
                </c:pt>
                <c:pt idx="13">
                  <c:v>36061</c:v>
                </c:pt>
              </c:numCache>
            </c:numRef>
          </c:val>
        </c:ser>
        <c:axId val="94723456"/>
        <c:axId val="94737920"/>
      </c:barChart>
      <c:catAx>
        <c:axId val="9472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737920"/>
        <c:crosses val="autoZero"/>
        <c:auto val="1"/>
        <c:lblAlgn val="ctr"/>
        <c:lblOffset val="100"/>
      </c:catAx>
      <c:valAx>
        <c:axId val="947379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723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166217805461753E-2"/>
          <c:y val="9.268008165645962E-2"/>
          <c:w val="0.8733220727059644"/>
          <c:h val="0.70960010207057678"/>
        </c:manualLayout>
      </c:layout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MxM!$H$2:$H$14</c:f>
              <c:numCache>
                <c:formatCode>0.00</c:formatCode>
                <c:ptCount val="13"/>
                <c:pt idx="0">
                  <c:v>4.5303533675626698E-4</c:v>
                </c:pt>
                <c:pt idx="1">
                  <c:v>1.6321201240411295E-3</c:v>
                </c:pt>
                <c:pt idx="2">
                  <c:v>1.5384615384615385E-4</c:v>
                </c:pt>
                <c:pt idx="3">
                  <c:v>6.5995710278831873E-4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MxM!$H$24:$H$36</c:f>
              <c:numCache>
                <c:formatCode>0.00</c:formatCode>
                <c:ptCount val="13"/>
                <c:pt idx="0">
                  <c:v>0</c:v>
                </c:pt>
                <c:pt idx="1">
                  <c:v>1.2345679012345678E-2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0.75064267352185088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MxM!$H$45:$H$57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1.8556701030927835E-2</c:v>
                </c:pt>
                <c:pt idx="3">
                  <c:v>0.48923679060665359</c:v>
                </c:pt>
                <c:pt idx="4">
                  <c:v>0.39227642276422764</c:v>
                </c:pt>
                <c:pt idx="5">
                  <c:v>0.1368421052631579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9.1388400702987704E-2</c:v>
                </c:pt>
                <c:pt idx="10">
                  <c:v>0.53688524590163933</c:v>
                </c:pt>
                <c:pt idx="11">
                  <c:v>1.3100436681222707E-2</c:v>
                </c:pt>
                <c:pt idx="12">
                  <c:v>0</c:v>
                </c:pt>
              </c:numCache>
            </c:numRef>
          </c:val>
        </c:ser>
        <c:axId val="83052416"/>
        <c:axId val="83058688"/>
      </c:barChart>
      <c:catAx>
        <c:axId val="8305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 b="1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3058688"/>
        <c:crosses val="autoZero"/>
        <c:auto val="1"/>
        <c:lblAlgn val="ctr"/>
        <c:lblOffset val="100"/>
      </c:catAx>
      <c:valAx>
        <c:axId val="8305868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SEFI</a:t>
                </a:r>
              </a:p>
            </c:rich>
          </c:tx>
          <c:layout>
            <c:manualLayout>
              <c:xMode val="edge"/>
              <c:yMode val="edge"/>
              <c:x val="8.7723066980775304E-3"/>
              <c:y val="0.36585228929717223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3052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OVP'!$C$2:$C$15</c:f>
              <c:numCache>
                <c:formatCode>0.000</c:formatCode>
                <c:ptCount val="14"/>
                <c:pt idx="0">
                  <c:v>0.14726773778875774</c:v>
                </c:pt>
                <c:pt idx="1">
                  <c:v>0.14303620494305405</c:v>
                </c:pt>
                <c:pt idx="2">
                  <c:v>0.13239457116424758</c:v>
                </c:pt>
                <c:pt idx="3">
                  <c:v>8.7291426287881682E-2</c:v>
                </c:pt>
                <c:pt idx="4">
                  <c:v>0.14586155798946898</c:v>
                </c:pt>
                <c:pt idx="5">
                  <c:v>0.15149205205232955</c:v>
                </c:pt>
                <c:pt idx="6">
                  <c:v>0.15149493948518228</c:v>
                </c:pt>
                <c:pt idx="7">
                  <c:v>0.15113978524429417</c:v>
                </c:pt>
                <c:pt idx="8">
                  <c:v>0.15151515151515152</c:v>
                </c:pt>
                <c:pt idx="9">
                  <c:v>0.14966141962368668</c:v>
                </c:pt>
                <c:pt idx="10">
                  <c:v>0.15150937664944603</c:v>
                </c:pt>
                <c:pt idx="11">
                  <c:v>0.14818882886878468</c:v>
                </c:pt>
                <c:pt idx="12">
                  <c:v>0.15046412595675088</c:v>
                </c:pt>
                <c:pt idx="13">
                  <c:v>0.15026778052276396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OVP'!$C$26:$C$39</c:f>
              <c:numCache>
                <c:formatCode>0.000</c:formatCode>
                <c:ptCount val="14"/>
                <c:pt idx="0">
                  <c:v>0.14663785508777116</c:v>
                </c:pt>
                <c:pt idx="1">
                  <c:v>0.138461923576641</c:v>
                </c:pt>
                <c:pt idx="2">
                  <c:v>0.14090460928737369</c:v>
                </c:pt>
                <c:pt idx="3">
                  <c:v>0.13031425454480855</c:v>
                </c:pt>
                <c:pt idx="4">
                  <c:v>0.14563251832418034</c:v>
                </c:pt>
                <c:pt idx="5">
                  <c:v>0.14831341636042253</c:v>
                </c:pt>
                <c:pt idx="6">
                  <c:v>0.1500616525798395</c:v>
                </c:pt>
                <c:pt idx="7">
                  <c:v>0.14903612833103602</c:v>
                </c:pt>
                <c:pt idx="8">
                  <c:v>0.15002935260349923</c:v>
                </c:pt>
                <c:pt idx="9">
                  <c:v>0.14523684361401207</c:v>
                </c:pt>
                <c:pt idx="10">
                  <c:v>0.15031601489351909</c:v>
                </c:pt>
                <c:pt idx="11">
                  <c:v>0.14214815837647399</c:v>
                </c:pt>
                <c:pt idx="12">
                  <c:v>0.14849510372733654</c:v>
                </c:pt>
                <c:pt idx="13">
                  <c:v>0.1501827774911155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OVP'!$C$50:$C$63</c:f>
              <c:numCache>
                <c:formatCode>0.000</c:formatCode>
                <c:ptCount val="14"/>
                <c:pt idx="0">
                  <c:v>0.1444249987072086</c:v>
                </c:pt>
                <c:pt idx="1">
                  <c:v>0.13854683783224739</c:v>
                </c:pt>
                <c:pt idx="2">
                  <c:v>0.13995678844761611</c:v>
                </c:pt>
                <c:pt idx="3">
                  <c:v>0.13836099906919019</c:v>
                </c:pt>
                <c:pt idx="4">
                  <c:v>0.14442903868031853</c:v>
                </c:pt>
                <c:pt idx="5">
                  <c:v>0.14602078808563451</c:v>
                </c:pt>
                <c:pt idx="6">
                  <c:v>0.14736205915813425</c:v>
                </c:pt>
                <c:pt idx="7">
                  <c:v>0.14755597786741131</c:v>
                </c:pt>
                <c:pt idx="8">
                  <c:v>0.14679646292274279</c:v>
                </c:pt>
                <c:pt idx="9">
                  <c:v>0.14485727582997207</c:v>
                </c:pt>
                <c:pt idx="10">
                  <c:v>0.15047687842589719</c:v>
                </c:pt>
                <c:pt idx="11">
                  <c:v>0.14034058589306031</c:v>
                </c:pt>
                <c:pt idx="12">
                  <c:v>0.14684494260006206</c:v>
                </c:pt>
                <c:pt idx="13">
                  <c:v>0.15018196038887166</c:v>
                </c:pt>
              </c:numCache>
            </c:numRef>
          </c:val>
        </c:ser>
        <c:axId val="94853760"/>
        <c:axId val="94864128"/>
      </c:barChart>
      <c:catAx>
        <c:axId val="9485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864128"/>
        <c:crosses val="autoZero"/>
        <c:auto val="1"/>
        <c:lblAlgn val="ctr"/>
        <c:lblOffset val="100"/>
      </c:catAx>
      <c:valAx>
        <c:axId val="948641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85376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13" footer="0.3149606200000051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OVP'!$B$2:$B$15</c:f>
              <c:numCache>
                <c:formatCode>General</c:formatCode>
                <c:ptCount val="14"/>
                <c:pt idx="0">
                  <c:v>309979</c:v>
                </c:pt>
                <c:pt idx="1">
                  <c:v>321525</c:v>
                </c:pt>
                <c:pt idx="2">
                  <c:v>267836</c:v>
                </c:pt>
                <c:pt idx="3">
                  <c:v>247367</c:v>
                </c:pt>
                <c:pt idx="4">
                  <c:v>323692</c:v>
                </c:pt>
                <c:pt idx="5">
                  <c:v>323692</c:v>
                </c:pt>
                <c:pt idx="6">
                  <c:v>323694</c:v>
                </c:pt>
                <c:pt idx="7">
                  <c:v>323448</c:v>
                </c:pt>
                <c:pt idx="8">
                  <c:v>323708</c:v>
                </c:pt>
                <c:pt idx="9">
                  <c:v>322424</c:v>
                </c:pt>
                <c:pt idx="10">
                  <c:v>323690</c:v>
                </c:pt>
                <c:pt idx="11">
                  <c:v>305246</c:v>
                </c:pt>
                <c:pt idx="12">
                  <c:v>323690</c:v>
                </c:pt>
                <c:pt idx="13">
                  <c:v>317764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OVP'!$B$26:$B$39</c:f>
              <c:numCache>
                <c:formatCode>General</c:formatCode>
                <c:ptCount val="14"/>
                <c:pt idx="0">
                  <c:v>103667</c:v>
                </c:pt>
                <c:pt idx="1">
                  <c:v>121671</c:v>
                </c:pt>
                <c:pt idx="2">
                  <c:v>125017</c:v>
                </c:pt>
                <c:pt idx="3">
                  <c:v>122251</c:v>
                </c:pt>
                <c:pt idx="4">
                  <c:v>125629</c:v>
                </c:pt>
                <c:pt idx="5">
                  <c:v>124403</c:v>
                </c:pt>
                <c:pt idx="6">
                  <c:v>126533</c:v>
                </c:pt>
                <c:pt idx="7">
                  <c:v>126287</c:v>
                </c:pt>
                <c:pt idx="8">
                  <c:v>126547</c:v>
                </c:pt>
                <c:pt idx="9">
                  <c:v>120799</c:v>
                </c:pt>
                <c:pt idx="10">
                  <c:v>121238</c:v>
                </c:pt>
                <c:pt idx="11">
                  <c:v>121730</c:v>
                </c:pt>
                <c:pt idx="12">
                  <c:v>125395</c:v>
                </c:pt>
                <c:pt idx="13">
                  <c:v>121415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OVP'!$B$51:$B$64</c:f>
              <c:numCache>
                <c:formatCode>General</c:formatCode>
                <c:ptCount val="14"/>
                <c:pt idx="0">
                  <c:v>123585</c:v>
                </c:pt>
                <c:pt idx="1">
                  <c:v>140502</c:v>
                </c:pt>
                <c:pt idx="2">
                  <c:v>137432</c:v>
                </c:pt>
                <c:pt idx="3">
                  <c:v>135367</c:v>
                </c:pt>
                <c:pt idx="4">
                  <c:v>141054</c:v>
                </c:pt>
                <c:pt idx="5">
                  <c:v>138884</c:v>
                </c:pt>
                <c:pt idx="6">
                  <c:v>142184</c:v>
                </c:pt>
                <c:pt idx="7">
                  <c:v>141840</c:v>
                </c:pt>
                <c:pt idx="8">
                  <c:v>139764</c:v>
                </c:pt>
                <c:pt idx="9">
                  <c:v>142944</c:v>
                </c:pt>
                <c:pt idx="10">
                  <c:v>144247</c:v>
                </c:pt>
                <c:pt idx="11">
                  <c:v>142231</c:v>
                </c:pt>
                <c:pt idx="12">
                  <c:v>144252</c:v>
                </c:pt>
                <c:pt idx="13">
                  <c:v>139663</c:v>
                </c:pt>
              </c:numCache>
            </c:numRef>
          </c:val>
        </c:ser>
        <c:axId val="94222592"/>
        <c:axId val="94351744"/>
      </c:barChart>
      <c:catAx>
        <c:axId val="9422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351744"/>
        <c:crosses val="autoZero"/>
        <c:auto val="1"/>
        <c:lblAlgn val="ctr"/>
        <c:lblOffset val="100"/>
      </c:catAx>
      <c:valAx>
        <c:axId val="943517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422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OVP'!$C$2:$C$15</c:f>
              <c:numCache>
                <c:formatCode>0.000</c:formatCode>
                <c:ptCount val="14"/>
                <c:pt idx="0">
                  <c:v>0.14508913944516402</c:v>
                </c:pt>
                <c:pt idx="1">
                  <c:v>0.15049337393857765</c:v>
                </c:pt>
                <c:pt idx="2">
                  <c:v>0.12536363673808532</c:v>
                </c:pt>
                <c:pt idx="3">
                  <c:v>0.11578289225119086</c:v>
                </c:pt>
                <c:pt idx="4">
                  <c:v>0.1515076625361203</c:v>
                </c:pt>
                <c:pt idx="5">
                  <c:v>0.1515076625361203</c:v>
                </c:pt>
                <c:pt idx="6">
                  <c:v>0.15150859865849919</c:v>
                </c:pt>
                <c:pt idx="7">
                  <c:v>0.15139345560589398</c:v>
                </c:pt>
                <c:pt idx="8">
                  <c:v>0.15151515151515152</c:v>
                </c:pt>
                <c:pt idx="9">
                  <c:v>0.15091416094789506</c:v>
                </c:pt>
                <c:pt idx="10">
                  <c:v>0.15150672641374138</c:v>
                </c:pt>
                <c:pt idx="11">
                  <c:v>0.14287380583548737</c:v>
                </c:pt>
                <c:pt idx="12">
                  <c:v>0.15150672641374138</c:v>
                </c:pt>
                <c:pt idx="13">
                  <c:v>0.13613325664618806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OVP'!$C$26:$C$39</c:f>
              <c:numCache>
                <c:formatCode>0.000</c:formatCode>
                <c:ptCount val="14"/>
                <c:pt idx="0">
                  <c:v>0.12406888793144717</c:v>
                </c:pt>
                <c:pt idx="1">
                  <c:v>0.14561611374407582</c:v>
                </c:pt>
                <c:pt idx="2">
                  <c:v>0.14962061372013979</c:v>
                </c:pt>
                <c:pt idx="3">
                  <c:v>0.14631025898798411</c:v>
                </c:pt>
                <c:pt idx="4">
                  <c:v>0.15035305663267748</c:v>
                </c:pt>
                <c:pt idx="5">
                  <c:v>0.14888577720331275</c:v>
                </c:pt>
                <c:pt idx="6">
                  <c:v>0.15143496577145865</c:v>
                </c:pt>
                <c:pt idx="7">
                  <c:v>0.15114055244386998</c:v>
                </c:pt>
                <c:pt idx="8">
                  <c:v>0.15145172100148405</c:v>
                </c:pt>
                <c:pt idx="9">
                  <c:v>0.14457250227392407</c:v>
                </c:pt>
                <c:pt idx="10">
                  <c:v>0.14509789841543397</c:v>
                </c:pt>
                <c:pt idx="11">
                  <c:v>0.14568672507061134</c:v>
                </c:pt>
                <c:pt idx="12">
                  <c:v>0.15007300493082484</c:v>
                </c:pt>
                <c:pt idx="13">
                  <c:v>0.14954760878931495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OVP'!$C$51:$C$64</c:f>
              <c:numCache>
                <c:formatCode>0.000</c:formatCode>
                <c:ptCount val="14"/>
                <c:pt idx="0">
                  <c:v>0.12978146810737382</c:v>
                </c:pt>
                <c:pt idx="1">
                  <c:v>0.14754667501737456</c:v>
                </c:pt>
                <c:pt idx="2">
                  <c:v>0.14432274729888414</c:v>
                </c:pt>
                <c:pt idx="3">
                  <c:v>0.1421542095989875</c:v>
                </c:pt>
                <c:pt idx="4">
                  <c:v>0.14812635192310963</c:v>
                </c:pt>
                <c:pt idx="5">
                  <c:v>0.14584754959440469</c:v>
                </c:pt>
                <c:pt idx="6">
                  <c:v>0.14931300935695138</c:v>
                </c:pt>
                <c:pt idx="7">
                  <c:v>0.14895176143018896</c:v>
                </c:pt>
                <c:pt idx="8">
                  <c:v>0.14677167219775047</c:v>
                </c:pt>
                <c:pt idx="9">
                  <c:v>0.15011111524165913</c:v>
                </c:pt>
                <c:pt idx="10">
                  <c:v>0.15147944677820407</c:v>
                </c:pt>
                <c:pt idx="11">
                  <c:v>0.14936236590508464</c:v>
                </c:pt>
                <c:pt idx="12">
                  <c:v>0.151484697474814</c:v>
                </c:pt>
                <c:pt idx="13">
                  <c:v>0.14978872246981006</c:v>
                </c:pt>
              </c:numCache>
            </c:numRef>
          </c:val>
        </c:ser>
        <c:axId val="95061504"/>
        <c:axId val="95063424"/>
      </c:barChart>
      <c:catAx>
        <c:axId val="9506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5063424"/>
        <c:crosses val="autoZero"/>
        <c:auto val="1"/>
        <c:lblAlgn val="ctr"/>
        <c:lblOffset val="100"/>
      </c:catAx>
      <c:valAx>
        <c:axId val="950634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50615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AES!$F$2:$F$14</c:f>
              <c:numCache>
                <c:formatCode>0.00</c:formatCode>
                <c:ptCount val="13"/>
                <c:pt idx="0">
                  <c:v>0.12789927104042412</c:v>
                </c:pt>
                <c:pt idx="1">
                  <c:v>0.23655913978494625</c:v>
                </c:pt>
                <c:pt idx="2">
                  <c:v>0.31824146981627299</c:v>
                </c:pt>
                <c:pt idx="3">
                  <c:v>0.32168421052631579</c:v>
                </c:pt>
                <c:pt idx="4">
                  <c:v>0.30618892508143325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AES!$F$23:$F$35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1.2269938650306749E-2</c:v>
                </c:pt>
                <c:pt idx="9">
                  <c:v>0.13307984790874525</c:v>
                </c:pt>
                <c:pt idx="10">
                  <c:v>2.302158273381295E-2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AES!$F$55:$F$67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4.5512010113780026E-2</c:v>
                </c:pt>
                <c:pt idx="9">
                  <c:v>8.3257918552036195E-2</c:v>
                </c:pt>
                <c:pt idx="10">
                  <c:v>4.3312101910828023E-2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83154432"/>
        <c:axId val="83156352"/>
      </c:barChart>
      <c:catAx>
        <c:axId val="8315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3156352"/>
        <c:crosses val="autoZero"/>
        <c:auto val="1"/>
        <c:lblAlgn val="ctr"/>
        <c:lblOffset val="100"/>
      </c:catAx>
      <c:valAx>
        <c:axId val="8315635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3154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74" footer="0.3149606200000047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AES!$H$2:$H$14</c:f>
              <c:numCache>
                <c:formatCode>0.00</c:formatCode>
                <c:ptCount val="13"/>
                <c:pt idx="0">
                  <c:v>1.7229953611663355E-2</c:v>
                </c:pt>
                <c:pt idx="1">
                  <c:v>6.0215053763440864E-2</c:v>
                </c:pt>
                <c:pt idx="2">
                  <c:v>0.11778215223097113</c:v>
                </c:pt>
                <c:pt idx="3">
                  <c:v>0.20589473684210527</c:v>
                </c:pt>
                <c:pt idx="4">
                  <c:v>0</c:v>
                </c:pt>
                <c:pt idx="5">
                  <c:v>0</c:v>
                </c:pt>
                <c:pt idx="6">
                  <c:v>9.2478421701602961E-4</c:v>
                </c:pt>
                <c:pt idx="7">
                  <c:v>0</c:v>
                </c:pt>
                <c:pt idx="8">
                  <c:v>4.5016077170418004E-3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AES!$H$23:$H$35</c:f>
              <c:numCache>
                <c:formatCode>0.00</c:formatCode>
                <c:ptCount val="13"/>
                <c:pt idx="0">
                  <c:v>0</c:v>
                </c:pt>
                <c:pt idx="1">
                  <c:v>1.5698587127158557E-3</c:v>
                </c:pt>
                <c:pt idx="2">
                  <c:v>1.4044943820224719E-3</c:v>
                </c:pt>
                <c:pt idx="3">
                  <c:v>0</c:v>
                </c:pt>
                <c:pt idx="4">
                  <c:v>0</c:v>
                </c:pt>
                <c:pt idx="5">
                  <c:v>1.3947001394700139E-3</c:v>
                </c:pt>
                <c:pt idx="6">
                  <c:v>0</c:v>
                </c:pt>
                <c:pt idx="7">
                  <c:v>0</c:v>
                </c:pt>
                <c:pt idx="8">
                  <c:v>0.18711656441717792</c:v>
                </c:pt>
                <c:pt idx="9">
                  <c:v>0.2902408111533587</c:v>
                </c:pt>
                <c:pt idx="10">
                  <c:v>0.62589928057553956</c:v>
                </c:pt>
                <c:pt idx="11">
                  <c:v>1.4367816091954023E-3</c:v>
                </c:pt>
                <c:pt idx="12">
                  <c:v>0.1349527665317139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AES!$H$55:$H$67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0.69279393173198478</c:v>
                </c:pt>
                <c:pt idx="9">
                  <c:v>0.33665158371040727</c:v>
                </c:pt>
                <c:pt idx="10">
                  <c:v>4.0764331210191081E-2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axId val="81384192"/>
        <c:axId val="81386112"/>
      </c:barChart>
      <c:catAx>
        <c:axId val="8138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1386112"/>
        <c:crosses val="autoZero"/>
        <c:auto val="1"/>
        <c:lblAlgn val="ctr"/>
        <c:lblOffset val="100"/>
      </c:catAx>
      <c:valAx>
        <c:axId val="8138611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1384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QuickSort!$F$2:$F$14</c:f>
              <c:numCache>
                <c:formatCode>0.00</c:formatCode>
                <c:ptCount val="13"/>
                <c:pt idx="0">
                  <c:v>2.1126760563380281E-2</c:v>
                </c:pt>
                <c:pt idx="1">
                  <c:v>5.1157697121401752E-2</c:v>
                </c:pt>
                <c:pt idx="2">
                  <c:v>0.10550792036041273</c:v>
                </c:pt>
                <c:pt idx="3">
                  <c:v>6.9324090121317156E-2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QuickSort!$F$19:$F$31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QuickSort!$F$36:$F$48</c:f>
              <c:numCache>
                <c:formatCode>0.00</c:formatCode>
                <c:ptCount val="13"/>
                <c:pt idx="0">
                  <c:v>3.1413612565445025E-2</c:v>
                </c:pt>
                <c:pt idx="1">
                  <c:v>0.10443037974683544</c:v>
                </c:pt>
                <c:pt idx="2">
                  <c:v>3.2507739938080496E-2</c:v>
                </c:pt>
                <c:pt idx="3">
                  <c:v>4.6221248630887182E-2</c:v>
                </c:pt>
                <c:pt idx="4">
                  <c:v>0.181640625</c:v>
                </c:pt>
                <c:pt idx="5">
                  <c:v>0.87051282051282053</c:v>
                </c:pt>
                <c:pt idx="6">
                  <c:v>0.18586789554531491</c:v>
                </c:pt>
                <c:pt idx="7">
                  <c:v>0.37403712589973481</c:v>
                </c:pt>
                <c:pt idx="8">
                  <c:v>6.1023622047244097E-2</c:v>
                </c:pt>
                <c:pt idx="9">
                  <c:v>0.7939759036144578</c:v>
                </c:pt>
                <c:pt idx="10">
                  <c:v>0.89819004524886881</c:v>
                </c:pt>
                <c:pt idx="11">
                  <c:v>0.93942338840298023</c:v>
                </c:pt>
                <c:pt idx="12">
                  <c:v>0</c:v>
                </c:pt>
              </c:numCache>
            </c:numRef>
          </c:val>
        </c:ser>
        <c:axId val="85377408"/>
        <c:axId val="85379328"/>
      </c:barChart>
      <c:catAx>
        <c:axId val="8537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379328"/>
        <c:crosses val="autoZero"/>
        <c:auto val="1"/>
        <c:lblAlgn val="ctr"/>
        <c:lblOffset val="100"/>
      </c:catAx>
      <c:valAx>
        <c:axId val="8537932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377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74" footer="0.314960620000004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QuickSort!$H$2:$H$14</c:f>
              <c:numCache>
                <c:formatCode>0.00</c:formatCode>
                <c:ptCount val="13"/>
                <c:pt idx="0">
                  <c:v>0</c:v>
                </c:pt>
                <c:pt idx="1">
                  <c:v>1.767834793491865E-2</c:v>
                </c:pt>
                <c:pt idx="2">
                  <c:v>1.2062200261589886E-2</c:v>
                </c:pt>
                <c:pt idx="3">
                  <c:v>1.5282810776744919E-2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QuickSort!$H$19:$H$31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QuickSort!$H$36:$H$48</c:f>
              <c:numCache>
                <c:formatCode>0.00</c:formatCode>
                <c:ptCount val="13"/>
                <c:pt idx="0">
                  <c:v>3.4904013961605585E-3</c:v>
                </c:pt>
                <c:pt idx="1">
                  <c:v>1.4767932489451477E-2</c:v>
                </c:pt>
                <c:pt idx="2">
                  <c:v>3.0959752321981426E-3</c:v>
                </c:pt>
                <c:pt idx="3">
                  <c:v>6.5717415115005477E-4</c:v>
                </c:pt>
                <c:pt idx="4">
                  <c:v>3.90625E-2</c:v>
                </c:pt>
                <c:pt idx="5">
                  <c:v>0</c:v>
                </c:pt>
                <c:pt idx="6">
                  <c:v>4.608294930875576E-3</c:v>
                </c:pt>
                <c:pt idx="7">
                  <c:v>0</c:v>
                </c:pt>
                <c:pt idx="8">
                  <c:v>0.60629921259842523</c:v>
                </c:pt>
                <c:pt idx="9">
                  <c:v>6.6265060240963861E-2</c:v>
                </c:pt>
                <c:pt idx="10">
                  <c:v>2.2624434389140271E-2</c:v>
                </c:pt>
                <c:pt idx="11">
                  <c:v>1.7168772270813086E-2</c:v>
                </c:pt>
                <c:pt idx="12">
                  <c:v>0</c:v>
                </c:pt>
              </c:numCache>
            </c:numRef>
          </c:val>
        </c:ser>
        <c:axId val="85491712"/>
        <c:axId val="85493632"/>
      </c:barChart>
      <c:catAx>
        <c:axId val="8549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493632"/>
        <c:crosses val="autoZero"/>
        <c:auto val="1"/>
        <c:lblAlgn val="ctr"/>
        <c:lblOffset val="100"/>
      </c:catAx>
      <c:valAx>
        <c:axId val="8549363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491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13" footer="0.3149606200000051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READ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QuickSort!$M$19:$M$31</c:f>
              <c:numCache>
                <c:formatCode>General</c:formatCode>
                <c:ptCount val="13"/>
                <c:pt idx="0">
                  <c:v>7561</c:v>
                </c:pt>
                <c:pt idx="1">
                  <c:v>16605</c:v>
                </c:pt>
                <c:pt idx="2">
                  <c:v>7780</c:v>
                </c:pt>
                <c:pt idx="3">
                  <c:v>42281</c:v>
                </c:pt>
              </c:numCache>
            </c:numRef>
          </c:val>
        </c:ser>
        <c:ser>
          <c:idx val="0"/>
          <c:order val="1"/>
          <c:tx>
            <c:v>O2 READ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QuickSort!$O$19:$O$31</c:f>
              <c:numCache>
                <c:formatCode>General</c:formatCode>
                <c:ptCount val="13"/>
                <c:pt idx="0">
                  <c:v>6815</c:v>
                </c:pt>
                <c:pt idx="1">
                  <c:v>3470</c:v>
                </c:pt>
                <c:pt idx="2">
                  <c:v>3072</c:v>
                </c:pt>
                <c:pt idx="3">
                  <c:v>8814</c:v>
                </c:pt>
                <c:pt idx="4">
                  <c:v>7152</c:v>
                </c:pt>
                <c:pt idx="5">
                  <c:v>9345</c:v>
                </c:pt>
                <c:pt idx="6">
                  <c:v>4594</c:v>
                </c:pt>
                <c:pt idx="7">
                  <c:v>7885</c:v>
                </c:pt>
                <c:pt idx="8">
                  <c:v>400</c:v>
                </c:pt>
                <c:pt idx="9">
                  <c:v>8452</c:v>
                </c:pt>
                <c:pt idx="10">
                  <c:v>4365</c:v>
                </c:pt>
                <c:pt idx="11">
                  <c:v>13622</c:v>
                </c:pt>
                <c:pt idx="12">
                  <c:v>270</c:v>
                </c:pt>
              </c:numCache>
            </c:numRef>
          </c:val>
        </c:ser>
        <c:ser>
          <c:idx val="2"/>
          <c:order val="2"/>
          <c:tx>
            <c:v>O3 READ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QuickSort!$Q$19:$Q$31</c:f>
              <c:numCache>
                <c:formatCode>General</c:formatCode>
                <c:ptCount val="13"/>
                <c:pt idx="0">
                  <c:v>8415</c:v>
                </c:pt>
                <c:pt idx="1">
                  <c:v>1603</c:v>
                </c:pt>
                <c:pt idx="2">
                  <c:v>4570</c:v>
                </c:pt>
                <c:pt idx="3">
                  <c:v>13049</c:v>
                </c:pt>
                <c:pt idx="4">
                  <c:v>14058</c:v>
                </c:pt>
                <c:pt idx="5">
                  <c:v>10388</c:v>
                </c:pt>
                <c:pt idx="6">
                  <c:v>8944</c:v>
                </c:pt>
                <c:pt idx="7">
                  <c:v>5562</c:v>
                </c:pt>
                <c:pt idx="8">
                  <c:v>4932</c:v>
                </c:pt>
                <c:pt idx="9">
                  <c:v>8285</c:v>
                </c:pt>
                <c:pt idx="10">
                  <c:v>8451</c:v>
                </c:pt>
                <c:pt idx="11">
                  <c:v>1603</c:v>
                </c:pt>
              </c:numCache>
            </c:numRef>
          </c:val>
        </c:ser>
        <c:axId val="85396480"/>
        <c:axId val="85410944"/>
      </c:barChart>
      <c:catAx>
        <c:axId val="8539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410944"/>
        <c:crosses val="autoZero"/>
        <c:auto val="1"/>
        <c:lblAlgn val="ctr"/>
        <c:lblOffset val="100"/>
      </c:catAx>
      <c:valAx>
        <c:axId val="854109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Read  Registers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39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Write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QuickSort!$L$19:$L$31</c:f>
              <c:numCache>
                <c:formatCode>General</c:formatCode>
                <c:ptCount val="13"/>
                <c:pt idx="0">
                  <c:v>22712</c:v>
                </c:pt>
                <c:pt idx="1">
                  <c:v>15151</c:v>
                </c:pt>
                <c:pt idx="2">
                  <c:v>79058</c:v>
                </c:pt>
                <c:pt idx="3">
                  <c:v>103278</c:v>
                </c:pt>
              </c:numCache>
            </c:numRef>
          </c:val>
        </c:ser>
        <c:ser>
          <c:idx val="0"/>
          <c:order val="1"/>
          <c:tx>
            <c:v>O2 Write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QuickSort!$N$19:$N$31</c:f>
              <c:numCache>
                <c:formatCode>General</c:formatCode>
                <c:ptCount val="13"/>
                <c:pt idx="0">
                  <c:v>29258</c:v>
                </c:pt>
                <c:pt idx="1">
                  <c:v>14182</c:v>
                </c:pt>
                <c:pt idx="2">
                  <c:v>10808</c:v>
                </c:pt>
                <c:pt idx="3">
                  <c:v>19624</c:v>
                </c:pt>
                <c:pt idx="4">
                  <c:v>9655</c:v>
                </c:pt>
                <c:pt idx="5">
                  <c:v>1201</c:v>
                </c:pt>
                <c:pt idx="6">
                  <c:v>8016</c:v>
                </c:pt>
                <c:pt idx="7">
                  <c:v>802</c:v>
                </c:pt>
                <c:pt idx="8">
                  <c:v>1203</c:v>
                </c:pt>
                <c:pt idx="9">
                  <c:v>1769</c:v>
                </c:pt>
                <c:pt idx="10">
                  <c:v>5167</c:v>
                </c:pt>
                <c:pt idx="11">
                  <c:v>5518</c:v>
                </c:pt>
                <c:pt idx="12">
                  <c:v>800</c:v>
                </c:pt>
              </c:numCache>
            </c:numRef>
          </c:val>
        </c:ser>
        <c:ser>
          <c:idx val="2"/>
          <c:order val="2"/>
          <c:tx>
            <c:v>O3 Write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QuickSort!$P$19:$P$31</c:f>
              <c:numCache>
                <c:formatCode>General</c:formatCode>
                <c:ptCount val="13"/>
                <c:pt idx="0">
                  <c:v>26458</c:v>
                </c:pt>
                <c:pt idx="1">
                  <c:v>15650</c:v>
                </c:pt>
                <c:pt idx="2">
                  <c:v>19711</c:v>
                </c:pt>
                <c:pt idx="3">
                  <c:v>25366</c:v>
                </c:pt>
                <c:pt idx="4">
                  <c:v>7286</c:v>
                </c:pt>
                <c:pt idx="5">
                  <c:v>6986</c:v>
                </c:pt>
                <c:pt idx="6">
                  <c:v>4802</c:v>
                </c:pt>
                <c:pt idx="7">
                  <c:v>8182</c:v>
                </c:pt>
                <c:pt idx="8">
                  <c:v>5167</c:v>
                </c:pt>
                <c:pt idx="9">
                  <c:v>802</c:v>
                </c:pt>
                <c:pt idx="10">
                  <c:v>3137</c:v>
                </c:pt>
              </c:numCache>
            </c:numRef>
          </c:val>
        </c:ser>
        <c:axId val="85440384"/>
        <c:axId val="85532672"/>
      </c:barChart>
      <c:catAx>
        <c:axId val="8544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532672"/>
        <c:crosses val="autoZero"/>
        <c:auto val="1"/>
        <c:lblAlgn val="ctr"/>
        <c:lblOffset val="100"/>
      </c:catAx>
      <c:valAx>
        <c:axId val="855326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Write Registers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440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FFT!$F$2:$F$14</c:f>
              <c:numCache>
                <c:formatCode>0.00</c:formatCode>
                <c:ptCount val="13"/>
                <c:pt idx="0">
                  <c:v>4.2066420664206641E-2</c:v>
                </c:pt>
                <c:pt idx="1">
                  <c:v>4.6326456749909518E-2</c:v>
                </c:pt>
                <c:pt idx="2">
                  <c:v>0.12605042016806722</c:v>
                </c:pt>
                <c:pt idx="3">
                  <c:v>0.25237592397043296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1.1755783086841108E-2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FFT!$F$19:$F$31</c:f>
              <c:numCache>
                <c:formatCode>0.00</c:formatCode>
                <c:ptCount val="13"/>
                <c:pt idx="0">
                  <c:v>0.36005994754589732</c:v>
                </c:pt>
                <c:pt idx="1">
                  <c:v>0.27971753628874069</c:v>
                </c:pt>
                <c:pt idx="2">
                  <c:v>0.29072872949256007</c:v>
                </c:pt>
                <c:pt idx="3">
                  <c:v>0.2847058823529412</c:v>
                </c:pt>
                <c:pt idx="4">
                  <c:v>0.77676447264076132</c:v>
                </c:pt>
                <c:pt idx="5">
                  <c:v>0.39606633243347472</c:v>
                </c:pt>
                <c:pt idx="6">
                  <c:v>0.46613226452905809</c:v>
                </c:pt>
                <c:pt idx="7">
                  <c:v>0.27570954662734981</c:v>
                </c:pt>
                <c:pt idx="8">
                  <c:v>0.23522683949675943</c:v>
                </c:pt>
                <c:pt idx="9">
                  <c:v>0.8995667585663647</c:v>
                </c:pt>
                <c:pt idx="10">
                  <c:v>0.43802311677959349</c:v>
                </c:pt>
                <c:pt idx="11">
                  <c:v>0.1872805306281701</c:v>
                </c:pt>
                <c:pt idx="12">
                  <c:v>0.10946271050521252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FFT!$F$36:$F$48</c:f>
              <c:numCache>
                <c:formatCode>0.00</c:formatCode>
                <c:ptCount val="13"/>
                <c:pt idx="0">
                  <c:v>0.35864485981308414</c:v>
                </c:pt>
                <c:pt idx="1">
                  <c:v>0.2736220472440945</c:v>
                </c:pt>
                <c:pt idx="2">
                  <c:v>0.29227323628219487</c:v>
                </c:pt>
                <c:pt idx="3">
                  <c:v>0.30230675839740995</c:v>
                </c:pt>
                <c:pt idx="4">
                  <c:v>0.7080610021786492</c:v>
                </c:pt>
                <c:pt idx="5">
                  <c:v>0.32477876106194692</c:v>
                </c:pt>
                <c:pt idx="6">
                  <c:v>0.38119499768411302</c:v>
                </c:pt>
                <c:pt idx="7">
                  <c:v>0.22067510548523206</c:v>
                </c:pt>
                <c:pt idx="8">
                  <c:v>0.27619934792734047</c:v>
                </c:pt>
                <c:pt idx="9">
                  <c:v>0.83801554094441122</c:v>
                </c:pt>
                <c:pt idx="10">
                  <c:v>0.5004549590536852</c:v>
                </c:pt>
                <c:pt idx="11">
                  <c:v>0.17917235106866758</c:v>
                </c:pt>
                <c:pt idx="12">
                  <c:v>9.4371561574269999E-2</c:v>
                </c:pt>
              </c:numCache>
            </c:numRef>
          </c:val>
        </c:ser>
        <c:axId val="85616128"/>
        <c:axId val="85618048"/>
      </c:barChart>
      <c:catAx>
        <c:axId val="8561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618048"/>
        <c:crosses val="autoZero"/>
        <c:auto val="1"/>
        <c:lblAlgn val="ctr"/>
        <c:lblOffset val="100"/>
      </c:catAx>
      <c:valAx>
        <c:axId val="8561804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5616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368631</xdr:colOff>
      <xdr:row>5</xdr:row>
      <xdr:rowOff>43295</xdr:rowOff>
    </xdr:from>
    <xdr:to>
      <xdr:col>23</xdr:col>
      <xdr:colOff>1063485</xdr:colOff>
      <xdr:row>19</xdr:row>
      <xdr:rowOff>119495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434629</xdr:colOff>
      <xdr:row>21</xdr:row>
      <xdr:rowOff>54429</xdr:rowOff>
    </xdr:from>
    <xdr:to>
      <xdr:col>23</xdr:col>
      <xdr:colOff>1148693</xdr:colOff>
      <xdr:row>35</xdr:row>
      <xdr:rowOff>130629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22</xdr:col>
      <xdr:colOff>226559</xdr:colOff>
      <xdr:row>25</xdr:row>
      <xdr:rowOff>46264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23</xdr:col>
      <xdr:colOff>226559</xdr:colOff>
      <xdr:row>49</xdr:row>
      <xdr:rowOff>74839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896470</xdr:colOff>
      <xdr:row>11</xdr:row>
      <xdr:rowOff>78441</xdr:rowOff>
    </xdr:from>
    <xdr:to>
      <xdr:col>22</xdr:col>
      <xdr:colOff>1018805</xdr:colOff>
      <xdr:row>26</xdr:row>
      <xdr:rowOff>68050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823498</xdr:colOff>
      <xdr:row>28</xdr:row>
      <xdr:rowOff>181934</xdr:rowOff>
    </xdr:from>
    <xdr:to>
      <xdr:col>22</xdr:col>
      <xdr:colOff>932845</xdr:colOff>
      <xdr:row>44</xdr:row>
      <xdr:rowOff>43822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276904</xdr:colOff>
      <xdr:row>4</xdr:row>
      <xdr:rowOff>114299</xdr:rowOff>
    </xdr:from>
    <xdr:to>
      <xdr:col>34</xdr:col>
      <xdr:colOff>81642</xdr:colOff>
      <xdr:row>23</xdr:row>
      <xdr:rowOff>151038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414399</xdr:colOff>
      <xdr:row>4</xdr:row>
      <xdr:rowOff>125247</xdr:rowOff>
    </xdr:from>
    <xdr:to>
      <xdr:col>49</xdr:col>
      <xdr:colOff>398813</xdr:colOff>
      <xdr:row>23</xdr:row>
      <xdr:rowOff>114082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853850</xdr:colOff>
      <xdr:row>30</xdr:row>
      <xdr:rowOff>95251</xdr:rowOff>
    </xdr:from>
    <xdr:to>
      <xdr:col>34</xdr:col>
      <xdr:colOff>91850</xdr:colOff>
      <xdr:row>48</xdr:row>
      <xdr:rowOff>10206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49481</xdr:colOff>
      <xdr:row>32</xdr:row>
      <xdr:rowOff>159574</xdr:rowOff>
    </xdr:from>
    <xdr:to>
      <xdr:col>49</xdr:col>
      <xdr:colOff>212767</xdr:colOff>
      <xdr:row>49</xdr:row>
      <xdr:rowOff>115041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353785</xdr:colOff>
      <xdr:row>17</xdr:row>
      <xdr:rowOff>154626</xdr:rowOff>
    </xdr:from>
    <xdr:to>
      <xdr:col>36</xdr:col>
      <xdr:colOff>599952</xdr:colOff>
      <xdr:row>36</xdr:row>
      <xdr:rowOff>65561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189962</xdr:colOff>
      <xdr:row>40</xdr:row>
      <xdr:rowOff>62870</xdr:rowOff>
    </xdr:from>
    <xdr:to>
      <xdr:col>35</xdr:col>
      <xdr:colOff>592529</xdr:colOff>
      <xdr:row>59</xdr:row>
      <xdr:rowOff>119773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38</xdr:col>
      <xdr:colOff>407472</xdr:colOff>
      <xdr:row>22</xdr:row>
      <xdr:rowOff>81642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90011</xdr:colOff>
      <xdr:row>25</xdr:row>
      <xdr:rowOff>62871</xdr:rowOff>
    </xdr:from>
    <xdr:to>
      <xdr:col>38</xdr:col>
      <xdr:colOff>5442</xdr:colOff>
      <xdr:row>42</xdr:row>
      <xdr:rowOff>165666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39</xdr:col>
      <xdr:colOff>543543</xdr:colOff>
      <xdr:row>27</xdr:row>
      <xdr:rowOff>150915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33</xdr:col>
      <xdr:colOff>414092</xdr:colOff>
      <xdr:row>51</xdr:row>
      <xdr:rowOff>142817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371876</xdr:colOff>
      <xdr:row>5</xdr:row>
      <xdr:rowOff>100854</xdr:rowOff>
    </xdr:from>
    <xdr:to>
      <xdr:col>23</xdr:col>
      <xdr:colOff>315936</xdr:colOff>
      <xdr:row>20</xdr:row>
      <xdr:rowOff>87407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159283</xdr:colOff>
      <xdr:row>22</xdr:row>
      <xdr:rowOff>89648</xdr:rowOff>
    </xdr:from>
    <xdr:to>
      <xdr:col>24</xdr:col>
      <xdr:colOff>103344</xdr:colOff>
      <xdr:row>39</xdr:row>
      <xdr:rowOff>132231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21</xdr:col>
      <xdr:colOff>226559</xdr:colOff>
      <xdr:row>25</xdr:row>
      <xdr:rowOff>4241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156883</xdr:colOff>
      <xdr:row>28</xdr:row>
      <xdr:rowOff>103654</xdr:rowOff>
    </xdr:from>
    <xdr:to>
      <xdr:col>20</xdr:col>
      <xdr:colOff>383442</xdr:colOff>
      <xdr:row>48</xdr:row>
      <xdr:rowOff>50747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180975</xdr:rowOff>
    </xdr:from>
    <xdr:to>
      <xdr:col>20</xdr:col>
      <xdr:colOff>264659</xdr:colOff>
      <xdr:row>24</xdr:row>
      <xdr:rowOff>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27</xdr:row>
      <xdr:rowOff>145676</xdr:rowOff>
    </xdr:from>
    <xdr:to>
      <xdr:col>21</xdr:col>
      <xdr:colOff>264659</xdr:colOff>
      <xdr:row>47</xdr:row>
      <xdr:rowOff>123024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63"/>
  <sheetViews>
    <sheetView topLeftCell="A25" zoomScale="85" zoomScaleNormal="85" workbookViewId="0">
      <selection sqref="A1:E15"/>
    </sheetView>
  </sheetViews>
  <sheetFormatPr defaultColWidth="9.140625" defaultRowHeight="12.75"/>
  <cols>
    <col min="1" max="1" width="19.140625" customWidth="1"/>
    <col min="2" max="2" width="13" customWidth="1"/>
    <col min="3" max="3" width="20.5703125" customWidth="1"/>
    <col min="4" max="4" width="10.85546875" customWidth="1"/>
    <col min="5" max="5" width="32" customWidth="1"/>
    <col min="6" max="6" width="20.5703125" customWidth="1"/>
    <col min="7" max="7" width="16" customWidth="1"/>
    <col min="8" max="8" width="12.85546875" customWidth="1"/>
    <col min="9" max="9" width="30.140625" customWidth="1"/>
    <col min="10" max="10" width="28.140625" customWidth="1"/>
    <col min="11" max="11" width="31" bestFit="1" customWidth="1"/>
    <col min="15" max="15" width="13.85546875" customWidth="1"/>
    <col min="16" max="16" width="10.140625" customWidth="1"/>
    <col min="18" max="18" width="8.140625" customWidth="1"/>
    <col min="19" max="19" width="4.28515625" bestFit="1" customWidth="1"/>
    <col min="20" max="20" width="6.140625" bestFit="1" customWidth="1"/>
    <col min="21" max="21" width="12.140625" bestFit="1" customWidth="1"/>
    <col min="22" max="22" width="21.5703125" customWidth="1"/>
    <col min="23" max="23" width="12.42578125" customWidth="1"/>
    <col min="24" max="24" width="26.5703125" bestFit="1" customWidth="1"/>
    <col min="25" max="25" width="12.42578125" bestFit="1" customWidth="1"/>
  </cols>
  <sheetData>
    <row r="1" spans="1:13" ht="15">
      <c r="A1" s="2" t="s">
        <v>30</v>
      </c>
      <c r="B1" s="2" t="s">
        <v>1</v>
      </c>
      <c r="C1" s="2" t="s">
        <v>20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3" ht="15">
      <c r="A2" s="12" t="s">
        <v>5</v>
      </c>
      <c r="B2" s="3">
        <v>6622</v>
      </c>
      <c r="C2" s="3">
        <v>0</v>
      </c>
      <c r="D2" s="3">
        <v>6619</v>
      </c>
      <c r="E2" s="3">
        <v>3</v>
      </c>
      <c r="F2" s="12">
        <f t="shared" ref="F2:F14" si="0">C2/B2</f>
        <v>0</v>
      </c>
      <c r="G2" s="12">
        <f t="shared" ref="G2:G14" si="1">D2/B2</f>
        <v>0.99954696466324378</v>
      </c>
      <c r="H2" s="12">
        <f t="shared" ref="H2:H16" si="2">E2/B2</f>
        <v>4.5303533675626698E-4</v>
      </c>
      <c r="I2" s="49" t="s">
        <v>5</v>
      </c>
    </row>
    <row r="3" spans="1:13" ht="15">
      <c r="A3" s="12" t="s">
        <v>6</v>
      </c>
      <c r="B3" s="3">
        <v>6127</v>
      </c>
      <c r="C3" s="3">
        <v>2149</v>
      </c>
      <c r="D3" s="3">
        <v>3968</v>
      </c>
      <c r="E3" s="3">
        <v>10</v>
      </c>
      <c r="F3" s="12">
        <f t="shared" si="0"/>
        <v>0.35074261465643869</v>
      </c>
      <c r="G3" s="12">
        <f t="shared" si="1"/>
        <v>0.64762526521952013</v>
      </c>
      <c r="H3" s="12">
        <f t="shared" si="2"/>
        <v>1.6321201240411295E-3</v>
      </c>
      <c r="I3" s="47" t="s">
        <v>6</v>
      </c>
    </row>
    <row r="4" spans="1:13" ht="15">
      <c r="A4" s="13" t="s">
        <v>7</v>
      </c>
      <c r="B4" s="3">
        <v>6500</v>
      </c>
      <c r="C4" s="3">
        <v>687</v>
      </c>
      <c r="D4" s="3">
        <v>5810</v>
      </c>
      <c r="E4" s="3">
        <v>1</v>
      </c>
      <c r="F4" s="13">
        <f t="shared" si="0"/>
        <v>0.1056923076923077</v>
      </c>
      <c r="G4" s="12">
        <f t="shared" si="1"/>
        <v>0.89384615384615385</v>
      </c>
      <c r="H4" s="12">
        <f t="shared" si="2"/>
        <v>1.5384615384615385E-4</v>
      </c>
      <c r="I4" s="48" t="s">
        <v>7</v>
      </c>
    </row>
    <row r="5" spans="1:13" ht="15">
      <c r="A5" s="12" t="s">
        <v>8</v>
      </c>
      <c r="B5" s="3">
        <v>6061</v>
      </c>
      <c r="C5" s="3">
        <v>1894</v>
      </c>
      <c r="D5" s="3">
        <v>4162</v>
      </c>
      <c r="E5" s="3">
        <v>4</v>
      </c>
      <c r="F5" s="12">
        <f t="shared" si="0"/>
        <v>0.31248968817026895</v>
      </c>
      <c r="G5" s="12">
        <f t="shared" si="1"/>
        <v>0.6866853654512457</v>
      </c>
      <c r="H5" s="12">
        <f t="shared" si="2"/>
        <v>6.5995710278831873E-4</v>
      </c>
      <c r="I5" s="50" t="s">
        <v>8</v>
      </c>
    </row>
    <row r="6" spans="1:13" ht="15">
      <c r="A6" s="12" t="s">
        <v>9</v>
      </c>
      <c r="B6" s="3">
        <v>7394</v>
      </c>
      <c r="C6" s="3">
        <v>0</v>
      </c>
      <c r="D6" s="3">
        <v>7394</v>
      </c>
      <c r="E6" s="3">
        <v>0</v>
      </c>
      <c r="F6" s="12">
        <f t="shared" si="0"/>
        <v>0</v>
      </c>
      <c r="G6" s="12">
        <f t="shared" si="1"/>
        <v>1</v>
      </c>
      <c r="H6" s="12">
        <f t="shared" si="2"/>
        <v>0</v>
      </c>
      <c r="I6" s="51" t="s">
        <v>9</v>
      </c>
    </row>
    <row r="7" spans="1:13" ht="15">
      <c r="A7" s="13" t="s">
        <v>10</v>
      </c>
      <c r="B7" s="3">
        <v>6038</v>
      </c>
      <c r="C7" s="3">
        <v>0</v>
      </c>
      <c r="D7" s="3">
        <v>6036</v>
      </c>
      <c r="E7" s="3">
        <v>0</v>
      </c>
      <c r="F7" s="13">
        <f t="shared" si="0"/>
        <v>0</v>
      </c>
      <c r="G7" s="12">
        <f t="shared" si="1"/>
        <v>0.99966876449155351</v>
      </c>
      <c r="H7" s="12">
        <f t="shared" si="2"/>
        <v>0</v>
      </c>
      <c r="I7" s="52" t="s">
        <v>10</v>
      </c>
    </row>
    <row r="8" spans="1:13" ht="15">
      <c r="A8" s="12" t="s">
        <v>11</v>
      </c>
      <c r="B8" s="3">
        <v>6844</v>
      </c>
      <c r="C8" s="3">
        <v>0</v>
      </c>
      <c r="D8" s="3">
        <v>6844</v>
      </c>
      <c r="E8" s="3">
        <v>0</v>
      </c>
      <c r="F8" s="12">
        <f t="shared" si="0"/>
        <v>0</v>
      </c>
      <c r="G8" s="13">
        <f t="shared" si="1"/>
        <v>1</v>
      </c>
      <c r="H8" s="13">
        <f t="shared" si="2"/>
        <v>0</v>
      </c>
      <c r="I8" s="53" t="s">
        <v>11</v>
      </c>
    </row>
    <row r="9" spans="1:13" ht="15">
      <c r="A9" s="12" t="s">
        <v>12</v>
      </c>
      <c r="B9" s="3">
        <v>6045</v>
      </c>
      <c r="C9" s="3">
        <v>0</v>
      </c>
      <c r="D9" s="3">
        <v>6045</v>
      </c>
      <c r="E9" s="3">
        <v>0</v>
      </c>
      <c r="F9" s="12">
        <f t="shared" si="0"/>
        <v>0</v>
      </c>
      <c r="G9" s="12">
        <f t="shared" si="1"/>
        <v>1</v>
      </c>
      <c r="H9" s="12">
        <f t="shared" si="2"/>
        <v>0</v>
      </c>
      <c r="I9" s="54" t="s">
        <v>12</v>
      </c>
    </row>
    <row r="10" spans="1:13" ht="15">
      <c r="A10" s="13" t="s">
        <v>13</v>
      </c>
      <c r="B10" s="3">
        <v>6699</v>
      </c>
      <c r="C10" s="3">
        <v>0</v>
      </c>
      <c r="D10" s="3">
        <v>6699</v>
      </c>
      <c r="E10" s="3">
        <v>0</v>
      </c>
      <c r="F10" s="13">
        <f t="shared" si="0"/>
        <v>0</v>
      </c>
      <c r="G10" s="12">
        <f t="shared" si="1"/>
        <v>1</v>
      </c>
      <c r="H10" s="12">
        <f t="shared" si="2"/>
        <v>0</v>
      </c>
      <c r="I10" s="49" t="s">
        <v>13</v>
      </c>
    </row>
    <row r="11" spans="1:13" ht="15">
      <c r="A11" s="12" t="s">
        <v>14</v>
      </c>
      <c r="B11" s="3">
        <v>6016</v>
      </c>
      <c r="C11" s="3">
        <v>0</v>
      </c>
      <c r="D11" s="3">
        <v>6016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47" t="s">
        <v>14</v>
      </c>
      <c r="L11" s="15" t="s">
        <v>39</v>
      </c>
      <c r="M11" s="11" t="s">
        <v>31</v>
      </c>
    </row>
    <row r="12" spans="1:13" ht="15">
      <c r="A12" s="12" t="s">
        <v>15</v>
      </c>
      <c r="B12" s="3">
        <v>6628</v>
      </c>
      <c r="C12" s="3">
        <v>0</v>
      </c>
      <c r="D12" s="3">
        <v>6628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48" t="s">
        <v>21</v>
      </c>
      <c r="L12" s="11" t="s">
        <v>32</v>
      </c>
      <c r="M12" s="4">
        <v>40606</v>
      </c>
    </row>
    <row r="13" spans="1:13" ht="15">
      <c r="A13" s="13" t="s">
        <v>16</v>
      </c>
      <c r="B13" s="3">
        <v>6185</v>
      </c>
      <c r="C13" s="3">
        <v>0</v>
      </c>
      <c r="D13" s="3">
        <v>6185</v>
      </c>
      <c r="E13" s="3">
        <v>0</v>
      </c>
      <c r="F13" s="13">
        <f t="shared" si="0"/>
        <v>0</v>
      </c>
      <c r="G13" s="12">
        <f t="shared" si="1"/>
        <v>1</v>
      </c>
      <c r="H13" s="12">
        <f t="shared" si="2"/>
        <v>0</v>
      </c>
      <c r="I13" s="50" t="s">
        <v>22</v>
      </c>
      <c r="L13" s="11" t="s">
        <v>35</v>
      </c>
      <c r="M13" s="4">
        <v>11799</v>
      </c>
    </row>
    <row r="14" spans="1:13" ht="15">
      <c r="A14" s="12" t="s">
        <v>17</v>
      </c>
      <c r="B14" s="3">
        <v>6632</v>
      </c>
      <c r="C14" s="3">
        <v>0</v>
      </c>
      <c r="D14" s="3">
        <v>6632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51" t="s">
        <v>23</v>
      </c>
      <c r="L14" s="11" t="s">
        <v>33</v>
      </c>
      <c r="M14" s="4">
        <v>8010</v>
      </c>
    </row>
    <row r="15" spans="1:13" ht="15">
      <c r="A15" s="12" t="s">
        <v>18</v>
      </c>
      <c r="B15" s="3">
        <v>6108</v>
      </c>
      <c r="C15" s="3">
        <v>6105</v>
      </c>
      <c r="D15" s="16">
        <v>0</v>
      </c>
      <c r="E15" s="3">
        <v>3</v>
      </c>
      <c r="F15" s="12">
        <f>C15/B15</f>
        <v>0.99950884086444003</v>
      </c>
      <c r="G15" s="12">
        <f>D15/B15</f>
        <v>0</v>
      </c>
      <c r="H15" s="12">
        <f t="shared" si="2"/>
        <v>4.9115913555992138E-4</v>
      </c>
      <c r="I15" s="52" t="s">
        <v>18</v>
      </c>
      <c r="L15" s="11" t="s">
        <v>34</v>
      </c>
      <c r="M15" s="4">
        <v>7550</v>
      </c>
    </row>
    <row r="16" spans="1:13" ht="15">
      <c r="A16" s="13" t="s">
        <v>19</v>
      </c>
      <c r="B16" s="3">
        <f>SUM(B2:B15)</f>
        <v>89899</v>
      </c>
      <c r="C16" s="3">
        <f>SUM(C2:C15)</f>
        <v>10835</v>
      </c>
      <c r="D16" s="3">
        <f>SUM(D2:D15)</f>
        <v>79038</v>
      </c>
      <c r="E16" s="3">
        <f>SUM(E2:E15)</f>
        <v>21</v>
      </c>
      <c r="F16" s="13">
        <f>C16/B16</f>
        <v>0.12052414376133216</v>
      </c>
      <c r="G16" s="12">
        <f>D16/B16</f>
        <v>0.87918664278801761</v>
      </c>
      <c r="H16" s="12">
        <f t="shared" si="2"/>
        <v>2.3359547937129447E-4</v>
      </c>
      <c r="I16" s="2"/>
    </row>
    <row r="17" spans="1:10" ht="15">
      <c r="A17" s="1"/>
      <c r="B17" s="1"/>
      <c r="C17" s="1"/>
      <c r="D17" s="1"/>
      <c r="E17" s="1"/>
      <c r="F17" s="1"/>
      <c r="G17" s="1"/>
      <c r="H17" s="1"/>
      <c r="I17" s="1"/>
    </row>
    <row r="18" spans="1:10" ht="15">
      <c r="A18" s="1"/>
      <c r="B18" s="1"/>
      <c r="C18" s="1"/>
      <c r="D18" s="1"/>
      <c r="E18" s="1"/>
      <c r="F18" s="1"/>
      <c r="G18" s="1"/>
      <c r="H18" s="1"/>
      <c r="I18" s="1"/>
    </row>
    <row r="19" spans="1:10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">
      <c r="A22" s="1"/>
      <c r="B22" s="1"/>
      <c r="C22" s="1"/>
      <c r="D22" s="1"/>
      <c r="E22" s="1"/>
      <c r="F22" s="1"/>
      <c r="G22" s="1"/>
      <c r="H22" s="1"/>
      <c r="I22" s="1"/>
    </row>
    <row r="23" spans="1:10" ht="15">
      <c r="A23" s="2" t="s">
        <v>24</v>
      </c>
      <c r="B23" s="2" t="s">
        <v>1</v>
      </c>
      <c r="C23" s="2" t="s">
        <v>20</v>
      </c>
      <c r="D23" s="2" t="s">
        <v>3</v>
      </c>
      <c r="E23" s="2" t="s">
        <v>4</v>
      </c>
      <c r="F23" s="2" t="s">
        <v>26</v>
      </c>
      <c r="G23" s="2" t="s">
        <v>27</v>
      </c>
      <c r="H23" s="2" t="s">
        <v>28</v>
      </c>
      <c r="I23" s="2"/>
    </row>
    <row r="24" spans="1:10" ht="15">
      <c r="A24" s="12" t="s">
        <v>5</v>
      </c>
      <c r="B24" s="3">
        <v>85</v>
      </c>
      <c r="C24" s="3">
        <v>69</v>
      </c>
      <c r="D24" s="2">
        <v>16</v>
      </c>
      <c r="E24" s="2">
        <v>0</v>
      </c>
      <c r="F24" s="12">
        <f t="shared" ref="F24:F38" si="3">C24/B24</f>
        <v>0.81176470588235294</v>
      </c>
      <c r="G24" s="12">
        <f t="shared" ref="G24:G38" si="4">D24/B24</f>
        <v>0.18823529411764706</v>
      </c>
      <c r="H24" s="12">
        <f t="shared" ref="H24:H38" si="5">E24/B24</f>
        <v>0</v>
      </c>
      <c r="I24" s="49" t="s">
        <v>5</v>
      </c>
    </row>
    <row r="25" spans="1:10" ht="15">
      <c r="A25" s="12" t="s">
        <v>6</v>
      </c>
      <c r="B25" s="3">
        <f>SUM(35+208)</f>
        <v>243</v>
      </c>
      <c r="C25" s="3">
        <f>SUM(189+32)</f>
        <v>221</v>
      </c>
      <c r="D25" s="3">
        <f>SUM(3+7+9)</f>
        <v>19</v>
      </c>
      <c r="E25" s="3">
        <v>3</v>
      </c>
      <c r="F25" s="12">
        <f t="shared" si="3"/>
        <v>0.90946502057613166</v>
      </c>
      <c r="G25" s="12">
        <f t="shared" si="4"/>
        <v>7.8189300411522639E-2</v>
      </c>
      <c r="H25" s="12">
        <f t="shared" si="5"/>
        <v>1.2345679012345678E-2</v>
      </c>
      <c r="I25" s="47" t="s">
        <v>6</v>
      </c>
    </row>
    <row r="26" spans="1:10" ht="15">
      <c r="A26" s="13" t="s">
        <v>7</v>
      </c>
      <c r="B26" s="3">
        <f>SUM(205+131)</f>
        <v>336</v>
      </c>
      <c r="C26" s="3">
        <f>SUM(195+129)</f>
        <v>324</v>
      </c>
      <c r="D26" s="3">
        <f>SUM(10+2)</f>
        <v>12</v>
      </c>
      <c r="E26" s="3">
        <v>0</v>
      </c>
      <c r="F26" s="13">
        <f t="shared" si="3"/>
        <v>0.9642857142857143</v>
      </c>
      <c r="G26" s="12">
        <f t="shared" si="4"/>
        <v>3.5714285714285712E-2</v>
      </c>
      <c r="H26" s="13">
        <f t="shared" si="5"/>
        <v>0</v>
      </c>
      <c r="I26" s="48" t="s">
        <v>7</v>
      </c>
    </row>
    <row r="27" spans="1:10" ht="15">
      <c r="A27" s="12" t="s">
        <v>8</v>
      </c>
      <c r="B27" s="3">
        <f>SUM(202+15+23)</f>
        <v>240</v>
      </c>
      <c r="C27" s="3">
        <f>SUM(11+6)</f>
        <v>17</v>
      </c>
      <c r="D27" s="3">
        <f>SUM(1+40+15)</f>
        <v>56</v>
      </c>
      <c r="E27" s="3">
        <f>SUM(16+137+15)</f>
        <v>168</v>
      </c>
      <c r="F27" s="12">
        <f t="shared" si="3"/>
        <v>7.0833333333333331E-2</v>
      </c>
      <c r="G27" s="12">
        <f t="shared" si="4"/>
        <v>0.23333333333333334</v>
      </c>
      <c r="H27" s="12">
        <f t="shared" si="5"/>
        <v>0.7</v>
      </c>
      <c r="I27" s="50" t="s">
        <v>8</v>
      </c>
    </row>
    <row r="28" spans="1:10" ht="15">
      <c r="A28" s="12" t="s">
        <v>9</v>
      </c>
      <c r="B28" s="3">
        <f>SUM(24+187+154)</f>
        <v>365</v>
      </c>
      <c r="C28" s="3">
        <f>SUM(132+114)</f>
        <v>246</v>
      </c>
      <c r="D28" s="3">
        <f>SUM(55+40+24)</f>
        <v>119</v>
      </c>
      <c r="E28" s="3">
        <v>0</v>
      </c>
      <c r="F28" s="12">
        <f t="shared" si="3"/>
        <v>0.67397260273972603</v>
      </c>
      <c r="G28" s="12">
        <f t="shared" si="4"/>
        <v>0.32602739726027397</v>
      </c>
      <c r="H28" s="12">
        <f t="shared" si="5"/>
        <v>0</v>
      </c>
      <c r="I28" s="51" t="s">
        <v>9</v>
      </c>
    </row>
    <row r="29" spans="1:10" ht="15">
      <c r="A29" s="13" t="s">
        <v>10</v>
      </c>
      <c r="B29" s="3">
        <f>SUM(231+19)</f>
        <v>250</v>
      </c>
      <c r="C29" s="3">
        <f>SUM(81+6)</f>
        <v>87</v>
      </c>
      <c r="D29" s="3">
        <f>SUM(85+3+65)</f>
        <v>153</v>
      </c>
      <c r="E29" s="3">
        <v>10</v>
      </c>
      <c r="F29" s="13">
        <f t="shared" si="3"/>
        <v>0.34799999999999998</v>
      </c>
      <c r="G29" s="12">
        <f t="shared" si="4"/>
        <v>0.61199999999999999</v>
      </c>
      <c r="H29" s="13">
        <f t="shared" si="5"/>
        <v>0.04</v>
      </c>
      <c r="I29" s="52" t="s">
        <v>10</v>
      </c>
    </row>
    <row r="30" spans="1:10" ht="15">
      <c r="A30" s="12" t="s">
        <v>11</v>
      </c>
      <c r="B30" s="3">
        <f>SUM(210+154)</f>
        <v>364</v>
      </c>
      <c r="C30" s="3">
        <v>0</v>
      </c>
      <c r="D30" s="3">
        <f>SUM(138+72+154)</f>
        <v>364</v>
      </c>
      <c r="E30" s="3">
        <v>0</v>
      </c>
      <c r="F30" s="12">
        <f t="shared" si="3"/>
        <v>0</v>
      </c>
      <c r="G30" s="12">
        <f t="shared" si="4"/>
        <v>1</v>
      </c>
      <c r="H30" s="12">
        <f t="shared" si="5"/>
        <v>0</v>
      </c>
      <c r="I30" s="53" t="s">
        <v>11</v>
      </c>
    </row>
    <row r="31" spans="1:10" ht="15">
      <c r="A31" s="12" t="s">
        <v>12</v>
      </c>
      <c r="B31" s="3">
        <f>SUM(193+34)</f>
        <v>227</v>
      </c>
      <c r="C31" s="3">
        <v>2</v>
      </c>
      <c r="D31" s="3">
        <f>SUM(112+34+79)</f>
        <v>225</v>
      </c>
      <c r="E31" s="3">
        <v>0</v>
      </c>
      <c r="F31" s="12">
        <f t="shared" si="3"/>
        <v>8.8105726872246704E-3</v>
      </c>
      <c r="G31" s="12">
        <f t="shared" si="4"/>
        <v>0.99118942731277537</v>
      </c>
      <c r="H31" s="12">
        <f t="shared" si="5"/>
        <v>0</v>
      </c>
      <c r="I31" s="54" t="s">
        <v>12</v>
      </c>
    </row>
    <row r="32" spans="1:10" ht="15">
      <c r="A32" s="13" t="s">
        <v>13</v>
      </c>
      <c r="B32" s="3">
        <f>SUM(202+187)</f>
        <v>389</v>
      </c>
      <c r="C32" s="3">
        <f>SUM(46+30)</f>
        <v>76</v>
      </c>
      <c r="D32" s="3">
        <f>SUM(18+3)</f>
        <v>21</v>
      </c>
      <c r="E32" s="3">
        <f>SUM(145+19+123+5)</f>
        <v>292</v>
      </c>
      <c r="F32" s="13">
        <f t="shared" si="3"/>
        <v>0.19537275064267351</v>
      </c>
      <c r="G32" s="13">
        <f t="shared" si="4"/>
        <v>5.3984575835475578E-2</v>
      </c>
      <c r="H32" s="13">
        <f t="shared" si="5"/>
        <v>0.75064267352185088</v>
      </c>
      <c r="I32" s="49" t="s">
        <v>13</v>
      </c>
    </row>
    <row r="33" spans="1:9" ht="15">
      <c r="A33" s="12" t="s">
        <v>14</v>
      </c>
      <c r="B33" s="3">
        <f>SUM(228+32)</f>
        <v>260</v>
      </c>
      <c r="C33" s="3">
        <f>SUM(202+31)</f>
        <v>233</v>
      </c>
      <c r="D33" s="3">
        <f>SUM(6+8+13)</f>
        <v>27</v>
      </c>
      <c r="E33" s="2">
        <v>0</v>
      </c>
      <c r="F33" s="12">
        <f t="shared" si="3"/>
        <v>0.89615384615384619</v>
      </c>
      <c r="G33" s="13">
        <f t="shared" si="4"/>
        <v>0.10384615384615385</v>
      </c>
      <c r="H33" s="12">
        <f t="shared" si="5"/>
        <v>0</v>
      </c>
      <c r="I33" s="47" t="s">
        <v>14</v>
      </c>
    </row>
    <row r="34" spans="1:9" ht="15">
      <c r="A34" s="12" t="s">
        <v>15</v>
      </c>
      <c r="B34" s="2">
        <v>98</v>
      </c>
      <c r="C34" s="2">
        <v>91</v>
      </c>
      <c r="D34" s="2">
        <v>7</v>
      </c>
      <c r="E34" s="2">
        <v>0</v>
      </c>
      <c r="F34" s="12">
        <f t="shared" si="3"/>
        <v>0.9285714285714286</v>
      </c>
      <c r="G34" s="12">
        <f t="shared" si="4"/>
        <v>7.1428571428571425E-2</v>
      </c>
      <c r="H34" s="12">
        <f t="shared" si="5"/>
        <v>0</v>
      </c>
      <c r="I34" s="48" t="s">
        <v>21</v>
      </c>
    </row>
    <row r="35" spans="1:9" ht="15">
      <c r="A35" s="13" t="s">
        <v>16</v>
      </c>
      <c r="B35" s="3">
        <v>223</v>
      </c>
      <c r="C35" s="3">
        <v>0</v>
      </c>
      <c r="D35" s="3">
        <f>SUM(125+74+24)</f>
        <v>223</v>
      </c>
      <c r="E35" s="3">
        <v>0</v>
      </c>
      <c r="F35" s="13">
        <f t="shared" si="3"/>
        <v>0</v>
      </c>
      <c r="G35" s="12">
        <f t="shared" si="4"/>
        <v>1</v>
      </c>
      <c r="H35" s="13">
        <f t="shared" si="5"/>
        <v>0</v>
      </c>
      <c r="I35" s="50" t="s">
        <v>22</v>
      </c>
    </row>
    <row r="36" spans="1:9" ht="15">
      <c r="A36" s="12" t="s">
        <v>17</v>
      </c>
      <c r="B36" s="3">
        <f>SUM(210+130)</f>
        <v>340</v>
      </c>
      <c r="C36" s="3">
        <v>0</v>
      </c>
      <c r="D36" s="3">
        <f>SUM(210+130)</f>
        <v>340</v>
      </c>
      <c r="E36" s="3">
        <v>0</v>
      </c>
      <c r="F36" s="12">
        <f t="shared" si="3"/>
        <v>0</v>
      </c>
      <c r="G36" s="12">
        <f t="shared" si="4"/>
        <v>1</v>
      </c>
      <c r="H36" s="12">
        <f t="shared" si="5"/>
        <v>0</v>
      </c>
      <c r="I36" s="51" t="s">
        <v>23</v>
      </c>
    </row>
    <row r="37" spans="1:9" ht="15">
      <c r="A37" s="12" t="s">
        <v>18</v>
      </c>
      <c r="B37" s="3">
        <f>SUM(245+37)</f>
        <v>282</v>
      </c>
      <c r="C37" s="3">
        <f>SUM(217+35)</f>
        <v>252</v>
      </c>
      <c r="D37" s="3">
        <f>SUM(2+20+8)</f>
        <v>30</v>
      </c>
      <c r="E37" s="3">
        <v>0</v>
      </c>
      <c r="F37" s="12">
        <f t="shared" si="3"/>
        <v>0.8936170212765957</v>
      </c>
      <c r="G37" s="12">
        <f t="shared" si="4"/>
        <v>0.10638297872340426</v>
      </c>
      <c r="H37" s="12">
        <f t="shared" si="5"/>
        <v>0</v>
      </c>
      <c r="I37" s="52" t="s">
        <v>18</v>
      </c>
    </row>
    <row r="38" spans="1:9" ht="15">
      <c r="A38" s="13" t="s">
        <v>19</v>
      </c>
      <c r="B38" s="3">
        <f>SUM(B24:B37)</f>
        <v>3702</v>
      </c>
      <c r="C38" s="3">
        <f>SUM(C24:C37)</f>
        <v>1618</v>
      </c>
      <c r="D38" s="3">
        <f>SUM(D24:D37)</f>
        <v>1612</v>
      </c>
      <c r="E38" s="3">
        <f>SUM(E24:E37)</f>
        <v>473</v>
      </c>
      <c r="F38" s="13">
        <f t="shared" si="3"/>
        <v>0.43706104808211776</v>
      </c>
      <c r="G38" s="12">
        <f t="shared" si="4"/>
        <v>0.43544030253916804</v>
      </c>
      <c r="H38" s="13">
        <f t="shared" si="5"/>
        <v>0.1277687736358725</v>
      </c>
      <c r="I38" s="46"/>
    </row>
    <row r="39" spans="1:9" ht="15">
      <c r="A39" s="1"/>
      <c r="B39" s="1"/>
      <c r="C39" s="1"/>
      <c r="D39" s="1"/>
      <c r="E39" s="1"/>
      <c r="F39" s="1"/>
      <c r="G39" s="1"/>
      <c r="H39" s="1"/>
      <c r="I39" s="1"/>
    </row>
    <row r="40" spans="1:9" ht="15">
      <c r="A40" s="1"/>
      <c r="B40" s="1"/>
      <c r="C40" s="1"/>
      <c r="D40" s="1"/>
      <c r="E40" s="1"/>
      <c r="F40" s="1"/>
      <c r="G40" s="1"/>
      <c r="H40" s="1"/>
      <c r="I40" s="1"/>
    </row>
    <row r="41" spans="1:9" ht="15">
      <c r="A41" s="1"/>
      <c r="B41" s="1"/>
      <c r="C41" s="1"/>
      <c r="D41" s="1"/>
      <c r="E41" s="1"/>
      <c r="F41" s="1"/>
      <c r="G41" s="1"/>
      <c r="H41" s="1"/>
      <c r="I41" s="1"/>
    </row>
    <row r="42" spans="1:9" ht="15">
      <c r="A42" s="1"/>
      <c r="B42" s="1"/>
      <c r="C42" s="1"/>
      <c r="D42" s="1"/>
      <c r="E42" s="1"/>
      <c r="F42" s="1"/>
      <c r="G42" s="1"/>
      <c r="H42" s="1"/>
      <c r="I42" s="1"/>
    </row>
    <row r="43" spans="1:9" ht="15">
      <c r="A43" s="1"/>
      <c r="B43" s="1"/>
      <c r="C43" s="1"/>
      <c r="D43" s="1"/>
      <c r="E43" s="1"/>
      <c r="F43" s="1"/>
      <c r="G43" s="1"/>
      <c r="H43" s="1"/>
      <c r="I43" s="1"/>
    </row>
    <row r="44" spans="1:9" ht="15">
      <c r="A44" s="2" t="s">
        <v>25</v>
      </c>
      <c r="B44" s="2" t="s">
        <v>1</v>
      </c>
      <c r="C44" s="2" t="s">
        <v>20</v>
      </c>
      <c r="D44" s="2" t="s">
        <v>3</v>
      </c>
      <c r="E44" s="2" t="s">
        <v>4</v>
      </c>
      <c r="F44" s="2" t="s">
        <v>26</v>
      </c>
      <c r="G44" s="2" t="s">
        <v>27</v>
      </c>
      <c r="H44" s="2" t="s">
        <v>28</v>
      </c>
      <c r="I44" s="2"/>
    </row>
    <row r="45" spans="1:9" ht="15">
      <c r="A45" s="12" t="s">
        <v>5</v>
      </c>
      <c r="B45" s="3">
        <f>196+85+247</f>
        <v>528</v>
      </c>
      <c r="C45" s="3">
        <f>72+32+81</f>
        <v>185</v>
      </c>
      <c r="D45" s="2">
        <f>53+124+166</f>
        <v>343</v>
      </c>
      <c r="E45" s="2">
        <v>0</v>
      </c>
      <c r="F45" s="12">
        <f t="shared" ref="F45:F59" si="6">C45/B45</f>
        <v>0.3503787878787879</v>
      </c>
      <c r="G45" s="12">
        <f t="shared" ref="G45:G59" si="7">D45/B45</f>
        <v>0.64962121212121215</v>
      </c>
      <c r="H45" s="12">
        <f t="shared" ref="H45:H59" si="8">E45/B45</f>
        <v>0</v>
      </c>
      <c r="I45" s="49" t="s">
        <v>5</v>
      </c>
    </row>
    <row r="46" spans="1:9" ht="15">
      <c r="A46" s="12" t="s">
        <v>6</v>
      </c>
      <c r="B46" s="3">
        <f>197+68+235</f>
        <v>500</v>
      </c>
      <c r="C46" s="3">
        <f>126+44+171</f>
        <v>341</v>
      </c>
      <c r="D46" s="3">
        <f>71+24+64</f>
        <v>159</v>
      </c>
      <c r="E46" s="3">
        <v>0</v>
      </c>
      <c r="F46" s="12">
        <f t="shared" si="6"/>
        <v>0.68200000000000005</v>
      </c>
      <c r="G46" s="12">
        <f t="shared" si="7"/>
        <v>0.318</v>
      </c>
      <c r="H46" s="12">
        <f t="shared" si="8"/>
        <v>0</v>
      </c>
      <c r="I46" s="47" t="s">
        <v>6</v>
      </c>
    </row>
    <row r="47" spans="1:9" ht="15">
      <c r="A47" s="13" t="s">
        <v>7</v>
      </c>
      <c r="B47" s="3">
        <f>170+62+253</f>
        <v>485</v>
      </c>
      <c r="C47" s="3">
        <f>129+53+201</f>
        <v>383</v>
      </c>
      <c r="D47" s="3">
        <f>39+9+45</f>
        <v>93</v>
      </c>
      <c r="E47" s="3">
        <f>2+7</f>
        <v>9</v>
      </c>
      <c r="F47" s="13">
        <f t="shared" si="6"/>
        <v>0.78969072164948451</v>
      </c>
      <c r="G47" s="12">
        <f t="shared" si="7"/>
        <v>0.19175257731958764</v>
      </c>
      <c r="H47" s="13">
        <f t="shared" si="8"/>
        <v>1.8556701030927835E-2</v>
      </c>
      <c r="I47" s="48" t="s">
        <v>7</v>
      </c>
    </row>
    <row r="48" spans="1:9" ht="15">
      <c r="A48" s="12" t="s">
        <v>8</v>
      </c>
      <c r="B48" s="3">
        <f>170+63+278</f>
        <v>511</v>
      </c>
      <c r="C48" s="3">
        <f>32+5+19</f>
        <v>56</v>
      </c>
      <c r="D48" s="3">
        <f>85+37+83</f>
        <v>205</v>
      </c>
      <c r="E48" s="3">
        <f>55+24+171</f>
        <v>250</v>
      </c>
      <c r="F48" s="12">
        <f t="shared" si="6"/>
        <v>0.1095890410958904</v>
      </c>
      <c r="G48" s="13">
        <f t="shared" si="7"/>
        <v>0.40117416829745595</v>
      </c>
      <c r="H48" s="12">
        <f t="shared" si="8"/>
        <v>0.48923679060665359</v>
      </c>
      <c r="I48" s="50" t="s">
        <v>8</v>
      </c>
    </row>
    <row r="49" spans="1:11" ht="15">
      <c r="A49" s="12" t="s">
        <v>9</v>
      </c>
      <c r="B49" s="3">
        <f>186+79+227</f>
        <v>492</v>
      </c>
      <c r="C49" s="3">
        <f>60+12+29</f>
        <v>101</v>
      </c>
      <c r="D49" s="3">
        <f>82+47+58+11</f>
        <v>198</v>
      </c>
      <c r="E49" s="3">
        <f>44+20+129</f>
        <v>193</v>
      </c>
      <c r="F49" s="12">
        <f t="shared" si="6"/>
        <v>0.20528455284552846</v>
      </c>
      <c r="G49" s="13">
        <f t="shared" si="7"/>
        <v>0.40243902439024393</v>
      </c>
      <c r="H49" s="12">
        <f t="shared" si="8"/>
        <v>0.39227642276422764</v>
      </c>
      <c r="I49" s="51" t="s">
        <v>9</v>
      </c>
    </row>
    <row r="50" spans="1:11" ht="15">
      <c r="A50" s="13" t="s">
        <v>10</v>
      </c>
      <c r="B50" s="3">
        <f>167+69+239</f>
        <v>475</v>
      </c>
      <c r="C50" s="3">
        <f>110+51+148</f>
        <v>309</v>
      </c>
      <c r="D50" s="3">
        <f>45+18+36</f>
        <v>99</v>
      </c>
      <c r="E50" s="3">
        <f>12+53</f>
        <v>65</v>
      </c>
      <c r="F50" s="13">
        <f t="shared" si="6"/>
        <v>0.65052631578947373</v>
      </c>
      <c r="G50" s="12">
        <f t="shared" si="7"/>
        <v>0.20842105263157895</v>
      </c>
      <c r="H50" s="13">
        <f t="shared" si="8"/>
        <v>0.1368421052631579</v>
      </c>
      <c r="I50" s="52" t="s">
        <v>10</v>
      </c>
    </row>
    <row r="51" spans="1:11" ht="15">
      <c r="A51" s="12" t="s">
        <v>11</v>
      </c>
      <c r="B51" s="3">
        <f>168+75+215</f>
        <v>458</v>
      </c>
      <c r="C51" s="3">
        <f>15+8+13</f>
        <v>36</v>
      </c>
      <c r="D51" s="3">
        <f>153+67+202</f>
        <v>422</v>
      </c>
      <c r="E51" s="3">
        <v>0</v>
      </c>
      <c r="F51" s="12">
        <f t="shared" si="6"/>
        <v>7.8602620087336247E-2</v>
      </c>
      <c r="G51" s="12">
        <f t="shared" si="7"/>
        <v>0.92139737991266379</v>
      </c>
      <c r="H51" s="12">
        <f t="shared" si="8"/>
        <v>0</v>
      </c>
      <c r="I51" s="53" t="s">
        <v>11</v>
      </c>
    </row>
    <row r="52" spans="1:11" ht="15">
      <c r="A52" s="12" t="s">
        <v>12</v>
      </c>
      <c r="B52" s="3">
        <f>204+62+263</f>
        <v>529</v>
      </c>
      <c r="C52" s="5">
        <f>19+10+12</f>
        <v>41</v>
      </c>
      <c r="D52" s="3">
        <f>186+52+251</f>
        <v>489</v>
      </c>
      <c r="E52" s="3">
        <v>0</v>
      </c>
      <c r="F52" s="12">
        <f t="shared" si="6"/>
        <v>7.7504725897920609E-2</v>
      </c>
      <c r="G52" s="12">
        <f t="shared" si="7"/>
        <v>0.92438563327032142</v>
      </c>
      <c r="H52" s="12">
        <f t="shared" si="8"/>
        <v>0</v>
      </c>
      <c r="I52" s="54" t="s">
        <v>12</v>
      </c>
    </row>
    <row r="53" spans="1:11" ht="15">
      <c r="A53" s="13" t="s">
        <v>13</v>
      </c>
      <c r="B53" s="3">
        <f>171+74+220</f>
        <v>465</v>
      </c>
      <c r="C53" s="3">
        <f>159+72+208</f>
        <v>439</v>
      </c>
      <c r="D53" s="3">
        <f>12+2+12</f>
        <v>26</v>
      </c>
      <c r="E53" s="3">
        <v>0</v>
      </c>
      <c r="F53" s="13">
        <f t="shared" si="6"/>
        <v>0.94408602150537635</v>
      </c>
      <c r="G53" s="13">
        <f t="shared" si="7"/>
        <v>5.5913978494623658E-2</v>
      </c>
      <c r="H53" s="13">
        <f t="shared" si="8"/>
        <v>0</v>
      </c>
      <c r="I53" s="49" t="s">
        <v>13</v>
      </c>
    </row>
    <row r="54" spans="1:11" ht="15">
      <c r="A54" s="12" t="s">
        <v>14</v>
      </c>
      <c r="B54" s="3">
        <f>209+77+231+52</f>
        <v>569</v>
      </c>
      <c r="C54" s="3">
        <f>183+60+197</f>
        <v>440</v>
      </c>
      <c r="D54" s="14">
        <f>26+17+34</f>
        <v>77</v>
      </c>
      <c r="E54" s="2">
        <v>52</v>
      </c>
      <c r="F54" s="12">
        <f t="shared" si="6"/>
        <v>0.77328646748681895</v>
      </c>
      <c r="G54" s="13">
        <f t="shared" si="7"/>
        <v>0.13532513181019332</v>
      </c>
      <c r="H54" s="12">
        <f t="shared" si="8"/>
        <v>9.1388400702987704E-2</v>
      </c>
      <c r="I54" s="47" t="s">
        <v>14</v>
      </c>
    </row>
    <row r="55" spans="1:11" ht="15">
      <c r="A55" s="12" t="s">
        <v>15</v>
      </c>
      <c r="B55" s="2">
        <f>171+79+238</f>
        <v>488</v>
      </c>
      <c r="C55" s="2">
        <f>30+1</f>
        <v>31</v>
      </c>
      <c r="D55" s="2">
        <f>89+43+63</f>
        <v>195</v>
      </c>
      <c r="E55" s="2">
        <f>36+157+69</f>
        <v>262</v>
      </c>
      <c r="F55" s="12">
        <f t="shared" si="6"/>
        <v>6.3524590163934427E-2</v>
      </c>
      <c r="G55" s="13">
        <f t="shared" si="7"/>
        <v>0.39959016393442626</v>
      </c>
      <c r="H55" s="12">
        <f t="shared" si="8"/>
        <v>0.53688524590163933</v>
      </c>
      <c r="I55" s="48" t="s">
        <v>21</v>
      </c>
    </row>
    <row r="56" spans="1:11" ht="15">
      <c r="A56" s="13" t="s">
        <v>16</v>
      </c>
      <c r="B56" s="3">
        <f>183+74+201</f>
        <v>458</v>
      </c>
      <c r="C56" s="3">
        <f>29+10+15</f>
        <v>54</v>
      </c>
      <c r="D56" s="3">
        <f>154+64+180</f>
        <v>398</v>
      </c>
      <c r="E56" s="3">
        <v>6</v>
      </c>
      <c r="F56" s="13">
        <f t="shared" si="6"/>
        <v>0.11790393013100436</v>
      </c>
      <c r="G56" s="13">
        <f t="shared" si="7"/>
        <v>0.86899563318777295</v>
      </c>
      <c r="H56" s="13">
        <f t="shared" si="8"/>
        <v>1.3100436681222707E-2</v>
      </c>
      <c r="I56" s="50" t="s">
        <v>22</v>
      </c>
    </row>
    <row r="57" spans="1:11" ht="15">
      <c r="A57" s="12" t="s">
        <v>17</v>
      </c>
      <c r="B57" s="3">
        <f>209+76+218</f>
        <v>503</v>
      </c>
      <c r="C57" s="3">
        <f>29+10+11</f>
        <v>50</v>
      </c>
      <c r="D57" s="3">
        <f>180+66+207</f>
        <v>453</v>
      </c>
      <c r="E57" s="3">
        <v>0</v>
      </c>
      <c r="F57" s="12">
        <f t="shared" si="6"/>
        <v>9.9403578528827044E-2</v>
      </c>
      <c r="G57" s="12">
        <f t="shared" si="7"/>
        <v>0.90059642147117291</v>
      </c>
      <c r="H57" s="12">
        <f t="shared" si="8"/>
        <v>0</v>
      </c>
      <c r="I57" s="51" t="s">
        <v>23</v>
      </c>
    </row>
    <row r="58" spans="1:11" ht="15">
      <c r="A58" s="12" t="s">
        <v>18</v>
      </c>
      <c r="B58" s="3">
        <f>211+72+222</f>
        <v>505</v>
      </c>
      <c r="C58" s="3">
        <f>190+65+198</f>
        <v>453</v>
      </c>
      <c r="D58" s="3">
        <f>21+7+24</f>
        <v>52</v>
      </c>
      <c r="E58" s="3">
        <v>0</v>
      </c>
      <c r="F58" s="12">
        <f t="shared" si="6"/>
        <v>0.89702970297029705</v>
      </c>
      <c r="G58" s="12">
        <f t="shared" si="7"/>
        <v>0.10297029702970296</v>
      </c>
      <c r="H58" s="12">
        <f t="shared" si="8"/>
        <v>0</v>
      </c>
      <c r="I58" s="52" t="s">
        <v>18</v>
      </c>
    </row>
    <row r="59" spans="1:11" ht="15">
      <c r="A59" s="13" t="s">
        <v>19</v>
      </c>
      <c r="B59" s="3">
        <f>SUM(B45,B46,B47,B48,B49,B50,B50:B51,B52,B52,B53,B54,B55,B56,B57,B58)</f>
        <v>7970</v>
      </c>
      <c r="C59" s="3">
        <f>SUM(C45:C58)</f>
        <v>2919</v>
      </c>
      <c r="D59" s="3">
        <f>SUM(D45:D57)</f>
        <v>3157</v>
      </c>
      <c r="E59" s="3">
        <f>SUM(E45:E58)</f>
        <v>837</v>
      </c>
      <c r="F59" s="13">
        <f t="shared" si="6"/>
        <v>0.36624843161856963</v>
      </c>
      <c r="G59" s="12">
        <f t="shared" si="7"/>
        <v>0.39611041405269759</v>
      </c>
      <c r="H59" s="13">
        <f t="shared" si="8"/>
        <v>0.10501882057716437</v>
      </c>
      <c r="I59" s="2"/>
    </row>
    <row r="60" spans="1:11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3" spans="1:11" ht="14.25">
      <c r="H63" s="5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5"/>
  <sheetViews>
    <sheetView zoomScale="85" zoomScaleNormal="85" workbookViewId="0">
      <selection activeCell="H37" sqref="H37"/>
    </sheetView>
  </sheetViews>
  <sheetFormatPr defaultColWidth="11.42578125" defaultRowHeight="12.75"/>
  <cols>
    <col min="1" max="1" width="46.140625" customWidth="1"/>
    <col min="2" max="2" width="15.42578125" bestFit="1" customWidth="1"/>
    <col min="3" max="3" width="26.140625" bestFit="1" customWidth="1"/>
    <col min="4" max="4" width="15.85546875" bestFit="1" customWidth="1"/>
    <col min="6" max="6" width="15.85546875" customWidth="1"/>
    <col min="7" max="7" width="10.7109375" customWidth="1"/>
    <col min="8" max="8" width="37.42578125" bestFit="1" customWidth="1"/>
  </cols>
  <sheetData>
    <row r="1" spans="1:8" ht="15">
      <c r="A1" s="93" t="s">
        <v>30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8" ht="15">
      <c r="A2" s="89" t="s">
        <v>5</v>
      </c>
      <c r="B2" s="90">
        <v>247294</v>
      </c>
      <c r="C2" s="92">
        <f>B2/B21</f>
        <v>0.15147839888899262</v>
      </c>
      <c r="D2" s="91">
        <v>60</v>
      </c>
      <c r="E2" s="92">
        <v>0</v>
      </c>
      <c r="F2" s="92">
        <v>4.5303533675626698E-4</v>
      </c>
    </row>
    <row r="3" spans="1:8" ht="15">
      <c r="A3" s="89" t="s">
        <v>6</v>
      </c>
      <c r="B3" s="90">
        <v>221715</v>
      </c>
      <c r="C3" s="92">
        <f>B3/B21</f>
        <v>0.13581014181368331</v>
      </c>
      <c r="D3" s="91">
        <v>25639</v>
      </c>
      <c r="E3" s="92">
        <v>0.35074261465643869</v>
      </c>
      <c r="F3" s="92">
        <v>1.6321201240411295E-3</v>
      </c>
    </row>
    <row r="4" spans="1:8" ht="15">
      <c r="A4" s="89" t="s">
        <v>7</v>
      </c>
      <c r="B4" s="90">
        <v>210934</v>
      </c>
      <c r="C4" s="92">
        <f>B4/B21</f>
        <v>0.12920630743669789</v>
      </c>
      <c r="D4" s="91">
        <v>36420</v>
      </c>
      <c r="E4" s="92">
        <v>0.1056923076923077</v>
      </c>
      <c r="F4" s="92">
        <v>1.5384615384615385E-4</v>
      </c>
    </row>
    <row r="5" spans="1:8" ht="15">
      <c r="A5" s="89" t="s">
        <v>8</v>
      </c>
      <c r="B5" s="90">
        <v>135312</v>
      </c>
      <c r="C5" s="92">
        <f>B5/B21</f>
        <v>8.2884522513556214E-2</v>
      </c>
      <c r="D5" s="91">
        <v>112042</v>
      </c>
      <c r="E5" s="92">
        <v>0.31248968817026895</v>
      </c>
      <c r="F5" s="92">
        <v>6.5995710278831873E-4</v>
      </c>
      <c r="H5" t="s">
        <v>120</v>
      </c>
    </row>
    <row r="6" spans="1:8" ht="15">
      <c r="A6" s="89" t="s">
        <v>9</v>
      </c>
      <c r="B6" s="90">
        <v>247338</v>
      </c>
      <c r="C6" s="92">
        <f>B6/B21</f>
        <v>0.15150535081484248</v>
      </c>
      <c r="D6" s="91">
        <v>16</v>
      </c>
      <c r="E6" s="92">
        <v>0</v>
      </c>
      <c r="F6" s="92">
        <v>0</v>
      </c>
      <c r="H6" t="s">
        <v>121</v>
      </c>
    </row>
    <row r="7" spans="1:8" ht="15">
      <c r="A7" s="89" t="s">
        <v>10</v>
      </c>
      <c r="B7" s="90">
        <v>247338</v>
      </c>
      <c r="C7" s="92">
        <f>B7/B21</f>
        <v>0.15150535081484248</v>
      </c>
      <c r="D7" s="91">
        <v>16</v>
      </c>
      <c r="E7" s="92">
        <v>0</v>
      </c>
      <c r="F7" s="92">
        <v>0</v>
      </c>
      <c r="H7" t="s">
        <v>122</v>
      </c>
    </row>
    <row r="8" spans="1:8" ht="15">
      <c r="A8" s="89" t="s">
        <v>11</v>
      </c>
      <c r="B8" s="90">
        <v>247340</v>
      </c>
      <c r="C8" s="92">
        <f>B8/B21</f>
        <v>0.15150657590238112</v>
      </c>
      <c r="D8" s="91">
        <v>14</v>
      </c>
      <c r="E8" s="92">
        <v>0</v>
      </c>
      <c r="F8" s="92">
        <v>0</v>
      </c>
      <c r="H8" t="s">
        <v>123</v>
      </c>
    </row>
    <row r="9" spans="1:8" ht="15">
      <c r="A9" s="89" t="s">
        <v>12</v>
      </c>
      <c r="B9" s="90">
        <v>247094</v>
      </c>
      <c r="C9" s="92">
        <f>B9/B21</f>
        <v>0.15135589013512962</v>
      </c>
      <c r="D9" s="91">
        <v>260</v>
      </c>
      <c r="E9" s="92">
        <v>0</v>
      </c>
      <c r="F9" s="92">
        <v>0</v>
      </c>
      <c r="H9" t="s">
        <v>124</v>
      </c>
    </row>
    <row r="10" spans="1:8" ht="15">
      <c r="A10" s="89" t="s">
        <v>13</v>
      </c>
      <c r="B10" s="90">
        <v>247354</v>
      </c>
      <c r="C10" s="92">
        <f>B10/B21</f>
        <v>0.15151515151515152</v>
      </c>
      <c r="D10" s="91">
        <v>0</v>
      </c>
      <c r="E10" s="92">
        <v>0</v>
      </c>
      <c r="F10" s="92">
        <v>0</v>
      </c>
      <c r="H10" t="s">
        <v>125</v>
      </c>
    </row>
    <row r="11" spans="1:8" ht="15">
      <c r="A11" s="89" t="s">
        <v>14</v>
      </c>
      <c r="B11" s="90">
        <v>246070</v>
      </c>
      <c r="C11" s="92">
        <f>B11/B21</f>
        <v>0.15072864531535102</v>
      </c>
      <c r="D11" s="91">
        <v>1284</v>
      </c>
      <c r="E11" s="92">
        <v>0</v>
      </c>
      <c r="F11" s="92">
        <v>0</v>
      </c>
      <c r="H11" t="s">
        <v>126</v>
      </c>
    </row>
    <row r="12" spans="1:8" ht="15">
      <c r="A12" s="89" t="s">
        <v>15</v>
      </c>
      <c r="B12" s="90">
        <v>247350</v>
      </c>
      <c r="C12" s="92">
        <f>B12/B21</f>
        <v>0.15151270134007427</v>
      </c>
      <c r="D12" s="91">
        <v>4</v>
      </c>
      <c r="E12" s="92">
        <v>0</v>
      </c>
      <c r="F12" s="92">
        <v>0</v>
      </c>
      <c r="H12" t="s">
        <v>127</v>
      </c>
    </row>
    <row r="13" spans="1:8" ht="15">
      <c r="A13" s="89" t="s">
        <v>16</v>
      </c>
      <c r="B13" s="90">
        <v>245296</v>
      </c>
      <c r="C13" s="92">
        <f>B13/B21</f>
        <v>0.15025453643790118</v>
      </c>
      <c r="D13" s="91">
        <v>2058</v>
      </c>
      <c r="E13" s="92">
        <v>0</v>
      </c>
      <c r="F13" s="92">
        <v>0</v>
      </c>
      <c r="H13" t="s">
        <v>128</v>
      </c>
    </row>
    <row r="14" spans="1:8" ht="15">
      <c r="A14" s="89" t="s">
        <v>17</v>
      </c>
      <c r="B14" s="90">
        <v>247352</v>
      </c>
      <c r="C14" s="92">
        <f>B14/B21</f>
        <v>0.15151392642761288</v>
      </c>
      <c r="D14" s="91">
        <v>2</v>
      </c>
      <c r="E14" s="92">
        <v>0</v>
      </c>
      <c r="F14" s="92">
        <v>0</v>
      </c>
      <c r="H14" t="s">
        <v>127</v>
      </c>
    </row>
    <row r="15" spans="1:8" ht="15">
      <c r="A15" s="89" t="s">
        <v>18</v>
      </c>
      <c r="B15" s="90">
        <v>247329</v>
      </c>
      <c r="C15" s="92">
        <f>B15/B21</f>
        <v>0.15149983792091865</v>
      </c>
      <c r="D15" s="91">
        <v>25</v>
      </c>
      <c r="E15" s="92">
        <v>0.99950884086444003</v>
      </c>
      <c r="F15" s="92">
        <v>4.9115913555992138E-4</v>
      </c>
      <c r="H15" t="s">
        <v>129</v>
      </c>
    </row>
    <row r="16" spans="1:8" ht="15">
      <c r="A16" s="102" t="s">
        <v>138</v>
      </c>
      <c r="B16" s="94">
        <v>247304</v>
      </c>
      <c r="C16" s="98">
        <f>B16/B21</f>
        <v>0.15148452432668577</v>
      </c>
      <c r="D16" s="95">
        <v>50</v>
      </c>
      <c r="E16" s="95"/>
      <c r="F16" s="95"/>
      <c r="H16" t="s">
        <v>130</v>
      </c>
    </row>
    <row r="17" spans="1:8" ht="15">
      <c r="A17" s="93" t="s">
        <v>117</v>
      </c>
      <c r="B17" s="91">
        <v>0</v>
      </c>
      <c r="C17" s="91">
        <v>0</v>
      </c>
      <c r="D17" s="91">
        <v>247354</v>
      </c>
      <c r="E17" s="91"/>
      <c r="F17" s="91"/>
      <c r="H17" t="s">
        <v>131</v>
      </c>
    </row>
    <row r="18" spans="1:8">
      <c r="A18" s="90" t="s">
        <v>118</v>
      </c>
      <c r="B18" s="91">
        <v>245154</v>
      </c>
      <c r="C18" s="92">
        <f>B18/B21</f>
        <v>0.15016755522265846</v>
      </c>
      <c r="D18" s="91">
        <v>2200</v>
      </c>
      <c r="E18" s="91"/>
      <c r="F18" s="91"/>
      <c r="H18" t="s">
        <v>132</v>
      </c>
    </row>
    <row r="19" spans="1:8">
      <c r="A19" s="103" t="s">
        <v>119</v>
      </c>
      <c r="B19" s="101">
        <v>247354</v>
      </c>
      <c r="C19" s="100">
        <f>B19/B21</f>
        <v>0.15151515151515152</v>
      </c>
      <c r="D19" s="101">
        <v>0</v>
      </c>
      <c r="E19" s="101"/>
      <c r="F19" s="101"/>
      <c r="H19" t="s">
        <v>133</v>
      </c>
    </row>
    <row r="20" spans="1:8">
      <c r="A20" s="94" t="s">
        <v>136</v>
      </c>
      <c r="B20" s="95">
        <v>6.6</v>
      </c>
      <c r="C20" s="95"/>
      <c r="D20" s="95"/>
      <c r="E20" s="95"/>
      <c r="F20" s="95"/>
    </row>
    <row r="21" spans="1:8">
      <c r="A21" s="90" t="s">
        <v>135</v>
      </c>
      <c r="B21" s="91">
        <f>6.6*247354</f>
        <v>1632536.4</v>
      </c>
      <c r="C21" s="91"/>
      <c r="D21" s="91"/>
      <c r="E21" s="91"/>
      <c r="F21" s="91"/>
    </row>
    <row r="22" spans="1:8">
      <c r="A22" s="90" t="s">
        <v>134</v>
      </c>
      <c r="B22" s="91">
        <v>247354</v>
      </c>
      <c r="C22" s="91"/>
      <c r="D22" s="91"/>
      <c r="E22" s="91"/>
      <c r="F22" s="91"/>
    </row>
    <row r="23" spans="1:8">
      <c r="A23" s="90" t="s">
        <v>139</v>
      </c>
      <c r="B23" s="91"/>
      <c r="C23" s="91"/>
      <c r="D23" s="91"/>
      <c r="E23" s="91"/>
      <c r="F23" s="91"/>
    </row>
    <row r="26" spans="1:8" ht="15">
      <c r="A26" s="93" t="s">
        <v>24</v>
      </c>
      <c r="B26" s="90" t="s">
        <v>116</v>
      </c>
      <c r="C26" s="91" t="s">
        <v>137</v>
      </c>
      <c r="D26" s="91" t="s">
        <v>140</v>
      </c>
      <c r="E26" s="92" t="s">
        <v>26</v>
      </c>
      <c r="F26" s="92" t="s">
        <v>28</v>
      </c>
    </row>
    <row r="27" spans="1:8" ht="15">
      <c r="A27" s="89" t="s">
        <v>5</v>
      </c>
      <c r="B27" s="90">
        <v>65811</v>
      </c>
      <c r="C27" s="92">
        <f>B27/B46</f>
        <v>0.15138403528820726</v>
      </c>
      <c r="D27" s="91">
        <v>57</v>
      </c>
      <c r="E27" s="92">
        <v>0.81176470588235294</v>
      </c>
      <c r="F27" s="92">
        <v>0</v>
      </c>
    </row>
    <row r="28" spans="1:8" ht="15">
      <c r="A28" s="89" t="s">
        <v>6</v>
      </c>
      <c r="B28" s="90">
        <v>64631</v>
      </c>
      <c r="C28" s="92">
        <f>B28/B46</f>
        <v>0.14866969936199304</v>
      </c>
      <c r="D28" s="91">
        <v>1237</v>
      </c>
      <c r="E28" s="92">
        <v>0.90946502057613166</v>
      </c>
      <c r="F28" s="92">
        <v>1.2345679012345678E-2</v>
      </c>
    </row>
    <row r="29" spans="1:8" ht="15">
      <c r="A29" s="89" t="s">
        <v>7</v>
      </c>
      <c r="B29" s="90">
        <v>65804</v>
      </c>
      <c r="C29" s="92">
        <f>B29/B46</f>
        <v>0.15136793329542464</v>
      </c>
      <c r="D29" s="91">
        <v>64</v>
      </c>
      <c r="E29" s="92">
        <v>0.9642857142857143</v>
      </c>
      <c r="F29" s="92">
        <v>0</v>
      </c>
    </row>
    <row r="30" spans="1:8" ht="15">
      <c r="A30" s="89" t="s">
        <v>8</v>
      </c>
      <c r="B30" s="90">
        <v>56242</v>
      </c>
      <c r="C30" s="92">
        <f>B30/B46</f>
        <v>0.12937261115435647</v>
      </c>
      <c r="D30" s="91">
        <v>9626</v>
      </c>
      <c r="E30" s="92">
        <v>7.0833333333333331E-2</v>
      </c>
      <c r="F30" s="92">
        <v>0.7</v>
      </c>
      <c r="H30" t="s">
        <v>127</v>
      </c>
    </row>
    <row r="31" spans="1:8" ht="15">
      <c r="A31" s="89" t="s">
        <v>9</v>
      </c>
      <c r="B31" s="90">
        <v>65845</v>
      </c>
      <c r="C31" s="92">
        <f>B31/B46</f>
        <v>0.15146224496743718</v>
      </c>
      <c r="D31" s="91">
        <v>23</v>
      </c>
      <c r="E31" s="92">
        <v>0.67397260273972603</v>
      </c>
      <c r="F31" s="92">
        <v>0</v>
      </c>
      <c r="H31" t="s">
        <v>121</v>
      </c>
    </row>
    <row r="32" spans="1:8" ht="15">
      <c r="A32" s="89" t="s">
        <v>10</v>
      </c>
      <c r="B32" s="90">
        <v>65850</v>
      </c>
      <c r="C32" s="92">
        <f>B32/B46</f>
        <v>0.15147374639085334</v>
      </c>
      <c r="D32" s="91">
        <v>18</v>
      </c>
      <c r="E32" s="92">
        <v>0.34799999999999998</v>
      </c>
      <c r="F32" s="92">
        <v>0.04</v>
      </c>
      <c r="H32" t="s">
        <v>122</v>
      </c>
    </row>
    <row r="33" spans="1:8" ht="15">
      <c r="A33" s="89" t="s">
        <v>11</v>
      </c>
      <c r="B33" s="90">
        <v>65433</v>
      </c>
      <c r="C33" s="92">
        <f>B33/B46</f>
        <v>0.15051452767794543</v>
      </c>
      <c r="D33" s="91">
        <v>435</v>
      </c>
      <c r="E33" s="92">
        <v>0</v>
      </c>
      <c r="F33" s="92">
        <v>0</v>
      </c>
      <c r="H33" t="s">
        <v>123</v>
      </c>
    </row>
    <row r="34" spans="1:8" ht="15">
      <c r="A34" s="89" t="s">
        <v>12</v>
      </c>
      <c r="B34" s="90">
        <v>65206</v>
      </c>
      <c r="C34" s="92">
        <f>B34/B46</f>
        <v>0.14999236305485167</v>
      </c>
      <c r="D34" s="91">
        <v>662</v>
      </c>
      <c r="E34" s="92">
        <v>8.8105726872246704E-3</v>
      </c>
      <c r="F34" s="92">
        <v>0</v>
      </c>
      <c r="H34" t="s">
        <v>141</v>
      </c>
    </row>
    <row r="35" spans="1:8" ht="15">
      <c r="A35" s="89" t="s">
        <v>13</v>
      </c>
      <c r="B35" s="90">
        <v>65827</v>
      </c>
      <c r="C35" s="92">
        <f>B35/B46</f>
        <v>0.151420839843139</v>
      </c>
      <c r="D35" s="91">
        <v>41</v>
      </c>
      <c r="E35" s="92">
        <v>0.19537275064267351</v>
      </c>
      <c r="F35" s="92">
        <v>0.75064267352185088</v>
      </c>
      <c r="H35" t="s">
        <v>142</v>
      </c>
    </row>
    <row r="36" spans="1:8" ht="15">
      <c r="A36" s="89" t="s">
        <v>14</v>
      </c>
      <c r="B36" s="90">
        <v>64582</v>
      </c>
      <c r="C36" s="92">
        <f>B36/B46</f>
        <v>0.14855698541251466</v>
      </c>
      <c r="D36" s="91">
        <v>1286</v>
      </c>
      <c r="E36" s="92">
        <v>0.89615384615384619</v>
      </c>
      <c r="F36" s="92">
        <v>0</v>
      </c>
      <c r="H36" t="s">
        <v>126</v>
      </c>
    </row>
    <row r="37" spans="1:8" ht="15">
      <c r="A37" s="89" t="s">
        <v>15</v>
      </c>
      <c r="B37" s="90">
        <v>65843</v>
      </c>
      <c r="C37" s="92">
        <f>B37/B46</f>
        <v>0.15145764439807072</v>
      </c>
      <c r="D37" s="91">
        <v>25</v>
      </c>
      <c r="E37" s="92">
        <v>0.9285714285714286</v>
      </c>
      <c r="F37" s="92">
        <v>0</v>
      </c>
      <c r="H37" t="s">
        <v>127</v>
      </c>
    </row>
    <row r="38" spans="1:8" ht="15">
      <c r="A38" s="89" t="s">
        <v>16</v>
      </c>
      <c r="B38" s="90">
        <v>63820</v>
      </c>
      <c r="C38" s="92">
        <f>B38/B46</f>
        <v>0.14680416848389158</v>
      </c>
      <c r="D38" s="91">
        <v>2048</v>
      </c>
      <c r="E38" s="92">
        <v>0</v>
      </c>
      <c r="F38" s="92">
        <v>0</v>
      </c>
      <c r="H38" t="s">
        <v>128</v>
      </c>
    </row>
    <row r="39" spans="1:8" ht="15">
      <c r="A39" s="89" t="s">
        <v>17</v>
      </c>
      <c r="B39" s="90">
        <v>57443</v>
      </c>
      <c r="C39" s="92">
        <f>B39/B46</f>
        <v>0.13213525305891857</v>
      </c>
      <c r="D39" s="91">
        <v>8425</v>
      </c>
      <c r="E39" s="92">
        <v>0</v>
      </c>
      <c r="F39" s="92">
        <v>0</v>
      </c>
      <c r="H39" t="s">
        <v>127</v>
      </c>
    </row>
    <row r="40" spans="1:8" ht="15">
      <c r="A40" s="89" t="s">
        <v>18</v>
      </c>
      <c r="B40" s="90">
        <v>57462</v>
      </c>
      <c r="C40" s="92">
        <f>B40/B46</f>
        <v>0.13217895846789998</v>
      </c>
      <c r="D40" s="91">
        <v>36</v>
      </c>
      <c r="E40" s="92">
        <v>0.8936170212765957</v>
      </c>
      <c r="F40" s="92">
        <v>0</v>
      </c>
      <c r="H40" t="s">
        <v>129</v>
      </c>
    </row>
    <row r="41" spans="1:8" ht="15">
      <c r="A41" s="102" t="s">
        <v>138</v>
      </c>
      <c r="B41" s="94">
        <v>65832</v>
      </c>
      <c r="C41" s="98">
        <f>B41/B46</f>
        <v>0.15143234126655516</v>
      </c>
      <c r="D41" s="95">
        <v>8406</v>
      </c>
      <c r="E41" s="95"/>
      <c r="F41" s="95"/>
      <c r="H41" t="s">
        <v>130</v>
      </c>
    </row>
    <row r="42" spans="1:8" ht="15">
      <c r="A42" s="93" t="s">
        <v>117</v>
      </c>
      <c r="B42" s="91">
        <v>0</v>
      </c>
      <c r="C42" s="91">
        <v>0</v>
      </c>
      <c r="D42" s="91">
        <v>65868</v>
      </c>
      <c r="E42" s="91"/>
      <c r="F42" s="91"/>
      <c r="H42" t="s">
        <v>143</v>
      </c>
    </row>
    <row r="43" spans="1:8">
      <c r="A43" s="90" t="s">
        <v>118</v>
      </c>
      <c r="B43" s="91">
        <v>64133</v>
      </c>
      <c r="C43" s="92">
        <f>B43/B46</f>
        <v>0.1475241575897433</v>
      </c>
      <c r="D43" s="91">
        <v>1735</v>
      </c>
      <c r="E43" s="91"/>
      <c r="F43" s="91"/>
      <c r="H43" t="s">
        <v>144</v>
      </c>
    </row>
    <row r="44" spans="1:8">
      <c r="A44" s="103" t="s">
        <v>119</v>
      </c>
      <c r="B44" s="101">
        <v>65868</v>
      </c>
      <c r="C44" s="100">
        <f>B44/B46</f>
        <v>0.15151515151515152</v>
      </c>
      <c r="D44" s="101">
        <v>0</v>
      </c>
      <c r="E44" s="101"/>
      <c r="F44" s="101"/>
      <c r="H44" t="s">
        <v>145</v>
      </c>
    </row>
    <row r="45" spans="1:8">
      <c r="A45" s="94" t="s">
        <v>136</v>
      </c>
      <c r="B45" s="95">
        <v>6.6</v>
      </c>
      <c r="C45" s="95"/>
      <c r="D45" s="95"/>
      <c r="E45" s="95"/>
      <c r="F45" s="95"/>
    </row>
    <row r="46" spans="1:8">
      <c r="A46" s="90" t="s">
        <v>135</v>
      </c>
      <c r="B46" s="91">
        <f>B45*B47</f>
        <v>434728.8</v>
      </c>
      <c r="C46" s="91"/>
      <c r="D46" s="91"/>
      <c r="E46" s="91"/>
      <c r="F46" s="91"/>
    </row>
    <row r="47" spans="1:8">
      <c r="A47" s="90" t="s">
        <v>134</v>
      </c>
      <c r="B47" s="91">
        <v>65868</v>
      </c>
      <c r="C47" s="91"/>
      <c r="D47" s="91"/>
      <c r="E47" s="91"/>
      <c r="F47" s="91"/>
    </row>
    <row r="48" spans="1:8">
      <c r="A48" s="90" t="s">
        <v>139</v>
      </c>
      <c r="B48" s="91"/>
      <c r="C48" s="91"/>
      <c r="D48" s="91"/>
      <c r="E48" s="91"/>
      <c r="F48" s="91"/>
    </row>
    <row r="52" spans="1:8" ht="15">
      <c r="A52" s="93" t="s">
        <v>25</v>
      </c>
      <c r="B52" s="90" t="s">
        <v>116</v>
      </c>
      <c r="C52" s="91" t="s">
        <v>137</v>
      </c>
      <c r="D52" s="91" t="s">
        <v>140</v>
      </c>
      <c r="E52" s="92" t="s">
        <v>26</v>
      </c>
      <c r="F52" s="92" t="s">
        <v>28</v>
      </c>
    </row>
    <row r="53" spans="1:8" ht="15">
      <c r="A53" s="89" t="s">
        <v>5</v>
      </c>
      <c r="B53" s="90">
        <v>65868</v>
      </c>
      <c r="C53" s="92">
        <f>B53/B72</f>
        <v>0.15132905730185447</v>
      </c>
      <c r="D53" s="91">
        <v>81</v>
      </c>
      <c r="E53" s="92">
        <v>0.3503787878787879</v>
      </c>
      <c r="F53" s="92">
        <v>0</v>
      </c>
    </row>
    <row r="54" spans="1:8" ht="15">
      <c r="A54" s="89" t="s">
        <v>6</v>
      </c>
      <c r="B54" s="90">
        <v>64711</v>
      </c>
      <c r="C54" s="92">
        <f>B54/B72</f>
        <v>0.14867089674895709</v>
      </c>
      <c r="D54" s="91">
        <v>1238</v>
      </c>
      <c r="E54" s="92">
        <v>0.68200000000000005</v>
      </c>
      <c r="F54" s="92">
        <v>0</v>
      </c>
    </row>
    <row r="55" spans="1:8" ht="15">
      <c r="A55" s="89" t="s">
        <v>7</v>
      </c>
      <c r="B55" s="90">
        <v>65845</v>
      </c>
      <c r="C55" s="92">
        <f>B55/B72</f>
        <v>0.15127621573511579</v>
      </c>
      <c r="D55" s="91">
        <v>104</v>
      </c>
      <c r="E55" s="92">
        <v>0.78969072164948451</v>
      </c>
      <c r="F55" s="92">
        <v>1.8556701030927835E-2</v>
      </c>
    </row>
    <row r="56" spans="1:8" ht="15">
      <c r="A56" s="89" t="s">
        <v>8</v>
      </c>
      <c r="B56" s="90">
        <v>56702</v>
      </c>
      <c r="C56" s="92">
        <f>B56/B72</f>
        <v>0.13027054422678314</v>
      </c>
      <c r="D56" s="91">
        <v>9247</v>
      </c>
      <c r="E56" s="92">
        <v>0.1095890410958904</v>
      </c>
      <c r="F56" s="92">
        <v>0.48923679060665359</v>
      </c>
      <c r="H56" t="s">
        <v>127</v>
      </c>
    </row>
    <row r="57" spans="1:8" ht="15">
      <c r="A57" s="89" t="s">
        <v>9</v>
      </c>
      <c r="B57" s="90">
        <v>65849</v>
      </c>
      <c r="C57" s="92">
        <f>B57/B72</f>
        <v>0.15128540557280948</v>
      </c>
      <c r="D57" s="91">
        <v>100</v>
      </c>
      <c r="E57" s="92">
        <v>0.20528455284552846</v>
      </c>
      <c r="F57" s="92">
        <v>0.39227642276422764</v>
      </c>
      <c r="H57" t="s">
        <v>121</v>
      </c>
    </row>
    <row r="58" spans="1:8" ht="15">
      <c r="A58" s="89" t="s">
        <v>10</v>
      </c>
      <c r="B58" s="90">
        <v>65869</v>
      </c>
      <c r="C58" s="92">
        <f>B58/B72</f>
        <v>0.1513313547612779</v>
      </c>
      <c r="D58" s="91">
        <v>80</v>
      </c>
      <c r="E58" s="92">
        <v>0.65052631578947373</v>
      </c>
      <c r="F58" s="92">
        <v>0.1368421052631579</v>
      </c>
      <c r="H58" t="s">
        <v>122</v>
      </c>
    </row>
    <row r="59" spans="1:8" ht="15">
      <c r="A59" s="89" t="s">
        <v>11</v>
      </c>
      <c r="B59" s="90">
        <v>65512</v>
      </c>
      <c r="C59" s="92">
        <f>B59/B72</f>
        <v>0.15051116174711682</v>
      </c>
      <c r="D59" s="91">
        <v>437</v>
      </c>
      <c r="E59" s="92">
        <v>7.8602620087336247E-2</v>
      </c>
      <c r="F59" s="92">
        <v>0</v>
      </c>
      <c r="H59" t="s">
        <v>123</v>
      </c>
    </row>
    <row r="60" spans="1:8" ht="15">
      <c r="A60" s="89" t="s">
        <v>12</v>
      </c>
      <c r="B60" s="90">
        <v>65285</v>
      </c>
      <c r="C60" s="92">
        <f>B60/B72</f>
        <v>0.1499896384580004</v>
      </c>
      <c r="D60" s="91">
        <v>664</v>
      </c>
      <c r="E60" s="92">
        <v>7.7504725897920609E-2</v>
      </c>
      <c r="F60" s="92">
        <v>0</v>
      </c>
      <c r="H60" t="s">
        <v>141</v>
      </c>
    </row>
    <row r="61" spans="1:8" ht="15">
      <c r="A61" s="89" t="s">
        <v>13</v>
      </c>
      <c r="B61" s="90">
        <v>65906</v>
      </c>
      <c r="C61" s="92">
        <f>B61/B72</f>
        <v>0.15141636075994444</v>
      </c>
      <c r="D61" s="91">
        <v>43</v>
      </c>
      <c r="E61" s="92">
        <v>0.94408602150537635</v>
      </c>
      <c r="F61" s="92">
        <v>0</v>
      </c>
      <c r="H61" s="88" t="s">
        <v>146</v>
      </c>
    </row>
    <row r="62" spans="1:8" ht="15">
      <c r="A62" s="89" t="s">
        <v>14</v>
      </c>
      <c r="B62" s="90">
        <v>64663</v>
      </c>
      <c r="C62" s="92">
        <f>B62/B72</f>
        <v>0.1485606186966329</v>
      </c>
      <c r="D62" s="91">
        <v>1286</v>
      </c>
      <c r="E62" s="92">
        <v>0.77328646748681895</v>
      </c>
      <c r="F62" s="92">
        <v>9.1388400702987704E-2</v>
      </c>
      <c r="H62" t="s">
        <v>126</v>
      </c>
    </row>
    <row r="63" spans="1:8" ht="15">
      <c r="A63" s="89" t="s">
        <v>15</v>
      </c>
      <c r="B63" s="90">
        <v>65924</v>
      </c>
      <c r="C63" s="92">
        <f>B63/B72</f>
        <v>0.15145771502956601</v>
      </c>
      <c r="D63" s="91">
        <v>25</v>
      </c>
      <c r="E63" s="92">
        <v>6.3524590163934427E-2</v>
      </c>
      <c r="F63" s="92">
        <v>0.53688524590163933</v>
      </c>
      <c r="H63" t="s">
        <v>127</v>
      </c>
    </row>
    <row r="64" spans="1:8" ht="15">
      <c r="A64" s="89" t="s">
        <v>16</v>
      </c>
      <c r="B64" s="90">
        <v>63901</v>
      </c>
      <c r="C64" s="92">
        <f>B64/B72</f>
        <v>0.14680995461598656</v>
      </c>
      <c r="D64" s="91">
        <v>2048</v>
      </c>
      <c r="E64" s="92">
        <v>0.11790393013100436</v>
      </c>
      <c r="F64" s="92">
        <v>1.3100436681222707E-2</v>
      </c>
      <c r="H64" t="s">
        <v>128</v>
      </c>
    </row>
    <row r="65" spans="1:8" ht="15">
      <c r="A65" s="89" t="s">
        <v>17</v>
      </c>
      <c r="B65" s="90">
        <v>57386</v>
      </c>
      <c r="C65" s="92">
        <f>B65/B72</f>
        <v>0.13184200647240271</v>
      </c>
      <c r="D65" s="91">
        <v>8563</v>
      </c>
      <c r="E65" s="92">
        <v>9.9403578528827044E-2</v>
      </c>
      <c r="F65" s="92">
        <v>0</v>
      </c>
      <c r="H65" t="s">
        <v>127</v>
      </c>
    </row>
    <row r="66" spans="1:8" ht="15">
      <c r="A66" s="89" t="s">
        <v>18</v>
      </c>
      <c r="B66" s="90">
        <v>57504</v>
      </c>
      <c r="C66" s="92">
        <f>B66/B72</f>
        <v>0.13211310668436629</v>
      </c>
      <c r="D66" s="91">
        <v>8445</v>
      </c>
      <c r="E66" s="92">
        <v>0.89702970297029705</v>
      </c>
      <c r="F66" s="92">
        <v>0</v>
      </c>
      <c r="H66" t="s">
        <v>129</v>
      </c>
    </row>
    <row r="67" spans="1:8" ht="15">
      <c r="A67" s="102" t="s">
        <v>138</v>
      </c>
      <c r="B67" s="94">
        <v>65873</v>
      </c>
      <c r="C67" s="98">
        <f>B67/B72</f>
        <v>0.15134054459897159</v>
      </c>
      <c r="D67" s="95">
        <v>76</v>
      </c>
      <c r="E67" s="95"/>
      <c r="F67" s="95"/>
      <c r="H67" t="s">
        <v>130</v>
      </c>
    </row>
    <row r="68" spans="1:8" ht="15">
      <c r="A68" s="93" t="s">
        <v>117</v>
      </c>
      <c r="B68" s="91">
        <v>0</v>
      </c>
      <c r="C68" s="91">
        <v>0</v>
      </c>
      <c r="D68" s="91">
        <v>65949</v>
      </c>
      <c r="E68" s="91"/>
      <c r="F68" s="91"/>
      <c r="H68" t="s">
        <v>147</v>
      </c>
    </row>
    <row r="69" spans="1:8">
      <c r="A69" s="90" t="s">
        <v>118</v>
      </c>
      <c r="B69" s="91">
        <v>64097</v>
      </c>
      <c r="C69" s="92">
        <f>B69/B72</f>
        <v>0.14726025666297696</v>
      </c>
      <c r="D69" s="91">
        <v>1852</v>
      </c>
      <c r="E69" s="91"/>
      <c r="F69" s="91"/>
      <c r="H69" t="s">
        <v>148</v>
      </c>
    </row>
    <row r="70" spans="1:8">
      <c r="A70" s="103" t="s">
        <v>119</v>
      </c>
      <c r="B70" s="101">
        <v>65949</v>
      </c>
      <c r="C70" s="100">
        <f>B70/B72</f>
        <v>0.15151515151515152</v>
      </c>
      <c r="D70" s="101">
        <v>0</v>
      </c>
      <c r="E70" s="101"/>
      <c r="F70" s="101"/>
      <c r="H70" t="s">
        <v>149</v>
      </c>
    </row>
    <row r="71" spans="1:8">
      <c r="A71" s="94" t="s">
        <v>136</v>
      </c>
      <c r="B71" s="95">
        <v>6.6</v>
      </c>
      <c r="C71" s="95"/>
      <c r="D71" s="95"/>
      <c r="E71" s="95"/>
      <c r="F71" s="95"/>
      <c r="H71" t="s">
        <v>127</v>
      </c>
    </row>
    <row r="72" spans="1:8">
      <c r="A72" s="90" t="s">
        <v>135</v>
      </c>
      <c r="B72" s="91">
        <f>B71*B73</f>
        <v>435263.39999999997</v>
      </c>
      <c r="C72" s="91"/>
      <c r="D72" s="91"/>
      <c r="E72" s="91"/>
      <c r="F72" s="91"/>
    </row>
    <row r="73" spans="1:8">
      <c r="A73" s="90" t="s">
        <v>134</v>
      </c>
      <c r="B73" s="91">
        <v>65949</v>
      </c>
      <c r="C73" s="91"/>
      <c r="D73" s="91"/>
      <c r="E73" s="91"/>
      <c r="F73" s="91"/>
    </row>
    <row r="74" spans="1:8">
      <c r="A74" s="90" t="s">
        <v>139</v>
      </c>
      <c r="B74" s="91"/>
      <c r="C74" s="91"/>
      <c r="D74" s="91"/>
      <c r="E74" s="91"/>
      <c r="F74" s="91"/>
    </row>
    <row r="75" spans="1:8">
      <c r="A75" s="9"/>
      <c r="B75" s="9"/>
      <c r="C75" s="9"/>
      <c r="D75" s="9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1"/>
  <sheetViews>
    <sheetView topLeftCell="A2" zoomScale="85" zoomScaleNormal="85" workbookViewId="0">
      <selection activeCell="K26" sqref="K26"/>
    </sheetView>
  </sheetViews>
  <sheetFormatPr defaultColWidth="11.42578125" defaultRowHeight="12.75"/>
  <cols>
    <col min="1" max="1" width="32.85546875" bestFit="1" customWidth="1"/>
    <col min="2" max="2" width="15.42578125" bestFit="1" customWidth="1"/>
    <col min="3" max="3" width="26.140625" bestFit="1" customWidth="1"/>
    <col min="4" max="4" width="18.28515625" customWidth="1"/>
    <col min="8" max="8" width="37.42578125" bestFit="1" customWidth="1"/>
  </cols>
  <sheetData>
    <row r="1" spans="1:8" ht="15">
      <c r="A1" s="93" t="s">
        <v>150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8" ht="15">
      <c r="A2" s="89" t="s">
        <v>5</v>
      </c>
      <c r="B2" s="90">
        <v>102006</v>
      </c>
      <c r="C2" s="92">
        <f>B2/B21</f>
        <v>0.14726773778875774</v>
      </c>
      <c r="D2" s="91">
        <v>2942</v>
      </c>
      <c r="E2" s="92">
        <v>0.12789927104042412</v>
      </c>
      <c r="F2" s="92">
        <v>1.72299536116634E-2</v>
      </c>
    </row>
    <row r="3" spans="1:8" ht="15">
      <c r="A3" s="89" t="s">
        <v>6</v>
      </c>
      <c r="B3" s="90">
        <v>99075</v>
      </c>
      <c r="C3" s="92">
        <f>B3/B21</f>
        <v>0.14303620494305405</v>
      </c>
      <c r="D3" s="91">
        <v>5873</v>
      </c>
      <c r="E3" s="92">
        <v>0.23655913978494625</v>
      </c>
      <c r="F3" s="92">
        <v>6.0215053763440864E-2</v>
      </c>
    </row>
    <row r="4" spans="1:8" ht="15">
      <c r="A4" s="89" t="s">
        <v>7</v>
      </c>
      <c r="B4" s="90">
        <v>91704</v>
      </c>
      <c r="C4" s="92">
        <f>B4/B21</f>
        <v>0.13239457116424758</v>
      </c>
      <c r="D4" s="91">
        <v>13244</v>
      </c>
      <c r="E4" s="92">
        <v>0.31824146981627299</v>
      </c>
      <c r="F4" s="92">
        <v>0.11778215223097113</v>
      </c>
    </row>
    <row r="5" spans="1:8" ht="15">
      <c r="A5" s="89" t="s">
        <v>8</v>
      </c>
      <c r="B5" s="90">
        <v>60463</v>
      </c>
      <c r="C5" s="92">
        <f>B5/B21</f>
        <v>8.7291426287881682E-2</v>
      </c>
      <c r="D5" s="91">
        <v>44485</v>
      </c>
      <c r="E5" s="92">
        <v>0.32168421052631579</v>
      </c>
      <c r="F5" s="92">
        <v>0.20589473684210527</v>
      </c>
    </row>
    <row r="6" spans="1:8" ht="15">
      <c r="A6" s="89" t="s">
        <v>9</v>
      </c>
      <c r="B6" s="90">
        <v>101032</v>
      </c>
      <c r="C6" s="92">
        <f>B6/B21</f>
        <v>0.14586155798946898</v>
      </c>
      <c r="D6" s="91">
        <v>3916</v>
      </c>
      <c r="E6" s="92">
        <v>0.30618892508143325</v>
      </c>
      <c r="F6" s="92">
        <v>0</v>
      </c>
    </row>
    <row r="7" spans="1:8" ht="15">
      <c r="A7" s="89" t="s">
        <v>10</v>
      </c>
      <c r="B7" s="90">
        <v>104932</v>
      </c>
      <c r="C7" s="92">
        <f>B7/B21</f>
        <v>0.15149205205232955</v>
      </c>
      <c r="D7" s="91">
        <v>16</v>
      </c>
      <c r="E7" s="92">
        <v>0</v>
      </c>
      <c r="F7" s="92">
        <v>0</v>
      </c>
      <c r="H7" t="s">
        <v>128</v>
      </c>
    </row>
    <row r="8" spans="1:8" ht="15">
      <c r="A8" s="89" t="s">
        <v>11</v>
      </c>
      <c r="B8" s="90">
        <v>104934</v>
      </c>
      <c r="C8" s="92">
        <f>B8/B21</f>
        <v>0.15149493948518228</v>
      </c>
      <c r="D8" s="91">
        <v>14</v>
      </c>
      <c r="E8" s="92">
        <v>0</v>
      </c>
      <c r="F8" s="92">
        <v>9.2478421701602961E-4</v>
      </c>
      <c r="H8" t="s">
        <v>127</v>
      </c>
    </row>
    <row r="9" spans="1:8" ht="15">
      <c r="A9" s="89" t="s">
        <v>12</v>
      </c>
      <c r="B9" s="90">
        <v>104688</v>
      </c>
      <c r="C9" s="92">
        <f>B9/B21</f>
        <v>0.15113978524429417</v>
      </c>
      <c r="D9" s="91">
        <v>260</v>
      </c>
      <c r="E9" s="92">
        <v>0</v>
      </c>
      <c r="F9" s="92">
        <v>0</v>
      </c>
      <c r="H9" t="s">
        <v>121</v>
      </c>
    </row>
    <row r="10" spans="1:8" ht="15">
      <c r="A10" s="89" t="s">
        <v>13</v>
      </c>
      <c r="B10" s="90">
        <v>104948</v>
      </c>
      <c r="C10" s="92">
        <f>B10/B21</f>
        <v>0.15151515151515152</v>
      </c>
      <c r="D10" s="91">
        <v>0</v>
      </c>
      <c r="E10" s="92">
        <v>0</v>
      </c>
      <c r="F10" s="92">
        <v>4.5016077170418004E-3</v>
      </c>
      <c r="H10" t="s">
        <v>122</v>
      </c>
    </row>
    <row r="11" spans="1:8" ht="15">
      <c r="A11" s="89" t="s">
        <v>14</v>
      </c>
      <c r="B11" s="90">
        <v>103664</v>
      </c>
      <c r="C11" s="92">
        <f>B11/B21</f>
        <v>0.14966141962368668</v>
      </c>
      <c r="D11" s="91">
        <v>1284</v>
      </c>
      <c r="E11" s="92">
        <v>0</v>
      </c>
      <c r="F11" s="92">
        <v>0</v>
      </c>
      <c r="H11" t="s">
        <v>123</v>
      </c>
    </row>
    <row r="12" spans="1:8" ht="15">
      <c r="A12" s="89" t="s">
        <v>15</v>
      </c>
      <c r="B12" s="90">
        <v>104944</v>
      </c>
      <c r="C12" s="92">
        <f>B12/B21</f>
        <v>0.15150937664944603</v>
      </c>
      <c r="D12" s="91">
        <v>4</v>
      </c>
      <c r="E12" s="92">
        <v>0</v>
      </c>
      <c r="F12" s="92">
        <v>0</v>
      </c>
      <c r="H12" t="s">
        <v>151</v>
      </c>
    </row>
    <row r="13" spans="1:8" ht="15">
      <c r="A13" s="89" t="s">
        <v>16</v>
      </c>
      <c r="B13" s="90">
        <v>102644</v>
      </c>
      <c r="C13" s="92">
        <f>B13/B21</f>
        <v>0.14818882886878468</v>
      </c>
      <c r="D13" s="91">
        <v>2304</v>
      </c>
      <c r="E13" s="92">
        <v>0</v>
      </c>
      <c r="F13" s="92">
        <v>0</v>
      </c>
      <c r="H13" t="s">
        <v>152</v>
      </c>
    </row>
    <row r="14" spans="1:8" ht="15">
      <c r="A14" s="89" t="s">
        <v>17</v>
      </c>
      <c r="B14" s="90">
        <v>104220</v>
      </c>
      <c r="C14" s="92">
        <f>B14/B21</f>
        <v>0.15046412595675088</v>
      </c>
      <c r="D14" s="91">
        <v>728</v>
      </c>
      <c r="E14" s="92">
        <v>0</v>
      </c>
      <c r="F14" s="92">
        <v>0</v>
      </c>
      <c r="H14" t="s">
        <v>126</v>
      </c>
    </row>
    <row r="15" spans="1:8" ht="15">
      <c r="A15" s="89" t="s">
        <v>18</v>
      </c>
      <c r="B15" s="90">
        <v>104300</v>
      </c>
      <c r="C15" s="92">
        <f>B16/B21</f>
        <v>0.15026778052276396</v>
      </c>
      <c r="D15" s="91">
        <v>648</v>
      </c>
      <c r="E15" s="92">
        <v>0.36134812286689422</v>
      </c>
      <c r="F15" s="92">
        <v>9.8122866894197955E-2</v>
      </c>
      <c r="H15" t="s">
        <v>127</v>
      </c>
    </row>
    <row r="16" spans="1:8" ht="15">
      <c r="A16" s="89" t="s">
        <v>138</v>
      </c>
      <c r="B16" s="95">
        <v>104084</v>
      </c>
      <c r="C16" s="98">
        <f>B15/B21</f>
        <v>0.15057962327086086</v>
      </c>
      <c r="D16" s="95">
        <v>864</v>
      </c>
      <c r="E16" s="98"/>
      <c r="F16" s="98"/>
      <c r="H16" t="s">
        <v>128</v>
      </c>
    </row>
    <row r="17" spans="1:8" ht="15">
      <c r="A17" s="93" t="s">
        <v>117</v>
      </c>
      <c r="B17" s="91">
        <v>0</v>
      </c>
      <c r="C17" s="91">
        <v>0</v>
      </c>
      <c r="D17" s="9">
        <v>104948</v>
      </c>
      <c r="E17" s="91"/>
      <c r="F17" s="91"/>
      <c r="H17" t="s">
        <v>127</v>
      </c>
    </row>
    <row r="18" spans="1:8">
      <c r="A18" s="90" t="s">
        <v>118</v>
      </c>
      <c r="B18" s="91">
        <v>102232</v>
      </c>
      <c r="C18" s="92">
        <f>B18/B21</f>
        <v>0.14759401770111838</v>
      </c>
      <c r="D18" s="91">
        <v>2716</v>
      </c>
      <c r="E18" s="91"/>
      <c r="F18" s="91"/>
      <c r="H18" t="s">
        <v>129</v>
      </c>
    </row>
    <row r="19" spans="1:8">
      <c r="A19" s="90" t="s">
        <v>119</v>
      </c>
      <c r="B19" s="99">
        <v>104948</v>
      </c>
      <c r="C19" s="100">
        <f>B19/B21</f>
        <v>0.15151515151515152</v>
      </c>
      <c r="D19" s="101">
        <v>0</v>
      </c>
      <c r="E19" s="101"/>
      <c r="F19" s="101"/>
      <c r="H19" t="s">
        <v>130</v>
      </c>
    </row>
    <row r="20" spans="1:8">
      <c r="A20" s="94" t="s">
        <v>136</v>
      </c>
      <c r="B20" s="95">
        <v>6.6</v>
      </c>
      <c r="C20" s="95"/>
      <c r="D20" s="95"/>
      <c r="E20" s="95"/>
      <c r="F20" s="95"/>
      <c r="H20" t="s">
        <v>153</v>
      </c>
    </row>
    <row r="21" spans="1:8">
      <c r="A21" s="90" t="s">
        <v>135</v>
      </c>
      <c r="B21" s="91">
        <f>B20*B22</f>
        <v>692656.79999999993</v>
      </c>
      <c r="C21" s="91"/>
      <c r="D21" s="91"/>
      <c r="E21" s="91"/>
      <c r="F21" s="91"/>
      <c r="H21" t="s">
        <v>154</v>
      </c>
    </row>
    <row r="22" spans="1:8">
      <c r="A22" s="90" t="s">
        <v>134</v>
      </c>
      <c r="B22" s="91">
        <v>104948</v>
      </c>
      <c r="C22" s="91"/>
      <c r="D22" s="91"/>
      <c r="E22" s="91"/>
      <c r="F22" s="91"/>
      <c r="H22" t="s">
        <v>155</v>
      </c>
    </row>
    <row r="23" spans="1:8">
      <c r="A23" s="90" t="s">
        <v>139</v>
      </c>
      <c r="B23" s="91"/>
      <c r="C23" s="96"/>
      <c r="D23" s="91"/>
      <c r="E23" s="91"/>
      <c r="F23" s="91"/>
      <c r="H23" t="s">
        <v>127</v>
      </c>
    </row>
    <row r="25" spans="1:8" ht="15">
      <c r="A25" s="93" t="s">
        <v>156</v>
      </c>
      <c r="B25" s="90" t="s">
        <v>116</v>
      </c>
      <c r="C25" s="91" t="s">
        <v>137</v>
      </c>
      <c r="D25" s="91" t="s">
        <v>140</v>
      </c>
      <c r="E25" s="92" t="s">
        <v>26</v>
      </c>
      <c r="F25" s="92" t="s">
        <v>28</v>
      </c>
    </row>
    <row r="26" spans="1:8" ht="15">
      <c r="A26" s="89" t="s">
        <v>5</v>
      </c>
      <c r="B26" s="90">
        <v>36319</v>
      </c>
      <c r="C26" s="92">
        <f>B26/B45</f>
        <v>0.14663785508777116</v>
      </c>
      <c r="D26" s="91">
        <v>1208</v>
      </c>
      <c r="E26" s="92">
        <v>0</v>
      </c>
      <c r="F26" s="92">
        <v>0</v>
      </c>
    </row>
    <row r="27" spans="1:8" ht="15">
      <c r="A27" s="89" t="s">
        <v>6</v>
      </c>
      <c r="B27" s="90">
        <v>34294</v>
      </c>
      <c r="C27" s="92">
        <f>B27/B45</f>
        <v>0.138461923576641</v>
      </c>
      <c r="D27" s="91">
        <v>3233</v>
      </c>
      <c r="E27" s="92">
        <v>0</v>
      </c>
      <c r="F27" s="92">
        <v>1.5698587127158557E-3</v>
      </c>
    </row>
    <row r="28" spans="1:8" ht="15">
      <c r="A28" s="89" t="s">
        <v>7</v>
      </c>
      <c r="B28" s="90">
        <v>34899</v>
      </c>
      <c r="C28" s="92">
        <f>B28/B45</f>
        <v>0.14090460928737369</v>
      </c>
      <c r="D28" s="91">
        <v>2628</v>
      </c>
      <c r="E28" s="92">
        <v>0</v>
      </c>
      <c r="F28" s="92">
        <v>1.4044943820224719E-3</v>
      </c>
    </row>
    <row r="29" spans="1:8" ht="15">
      <c r="A29" s="89" t="s">
        <v>8</v>
      </c>
      <c r="B29" s="90">
        <v>32276</v>
      </c>
      <c r="C29" s="92">
        <f>B29/B45</f>
        <v>0.13031425454480855</v>
      </c>
      <c r="D29" s="91">
        <v>5251</v>
      </c>
      <c r="E29" s="92">
        <v>0</v>
      </c>
      <c r="F29" s="92">
        <v>0</v>
      </c>
      <c r="H29" t="s">
        <v>128</v>
      </c>
    </row>
    <row r="30" spans="1:8" ht="15">
      <c r="A30" s="89" t="s">
        <v>9</v>
      </c>
      <c r="B30" s="90">
        <v>36070</v>
      </c>
      <c r="C30" s="92">
        <f>B30/B45</f>
        <v>0.14563251832418034</v>
      </c>
      <c r="D30" s="91">
        <v>1457</v>
      </c>
      <c r="E30" s="92">
        <v>0</v>
      </c>
      <c r="F30" s="92">
        <v>0</v>
      </c>
      <c r="H30" t="s">
        <v>127</v>
      </c>
    </row>
    <row r="31" spans="1:8" ht="15">
      <c r="A31" s="89" t="s">
        <v>10</v>
      </c>
      <c r="B31" s="90">
        <v>36734</v>
      </c>
      <c r="C31" s="92">
        <f>B31/B45</f>
        <v>0.14831341636042253</v>
      </c>
      <c r="D31" s="91">
        <v>793</v>
      </c>
      <c r="E31" s="92">
        <v>0</v>
      </c>
      <c r="F31" s="92">
        <v>1.3947001394700139E-3</v>
      </c>
      <c r="H31" t="s">
        <v>121</v>
      </c>
    </row>
    <row r="32" spans="1:8" ht="15">
      <c r="A32" s="89" t="s">
        <v>11</v>
      </c>
      <c r="B32" s="90">
        <v>37167</v>
      </c>
      <c r="C32" s="92">
        <f>B32/B45</f>
        <v>0.1500616525798395</v>
      </c>
      <c r="D32" s="91">
        <v>360</v>
      </c>
      <c r="E32" s="92">
        <v>0</v>
      </c>
      <c r="F32" s="92">
        <v>0</v>
      </c>
      <c r="H32" t="s">
        <v>122</v>
      </c>
    </row>
    <row r="33" spans="1:8" ht="15">
      <c r="A33" s="89" t="s">
        <v>12</v>
      </c>
      <c r="B33" s="90">
        <v>36913</v>
      </c>
      <c r="C33" s="92">
        <f>B33/B45</f>
        <v>0.14903612833103602</v>
      </c>
      <c r="D33" s="91">
        <v>614</v>
      </c>
      <c r="E33" s="92">
        <v>0</v>
      </c>
      <c r="F33" s="92">
        <v>0</v>
      </c>
      <c r="H33" t="s">
        <v>123</v>
      </c>
    </row>
    <row r="34" spans="1:8" ht="15">
      <c r="A34" s="89" t="s">
        <v>13</v>
      </c>
      <c r="B34" s="90">
        <v>37159</v>
      </c>
      <c r="C34" s="92">
        <f>B34/B45</f>
        <v>0.15002935260349923</v>
      </c>
      <c r="D34" s="91">
        <v>368</v>
      </c>
      <c r="E34" s="92">
        <v>1.2269938650306749E-2</v>
      </c>
      <c r="F34" s="92">
        <v>0.18711656441717792</v>
      </c>
      <c r="H34" t="s">
        <v>157</v>
      </c>
    </row>
    <row r="35" spans="1:8" ht="15">
      <c r="A35" s="89" t="s">
        <v>14</v>
      </c>
      <c r="B35" s="90">
        <v>35972</v>
      </c>
      <c r="C35" s="92">
        <f>B35/B45</f>
        <v>0.14523684361401207</v>
      </c>
      <c r="D35" s="91">
        <v>1555</v>
      </c>
      <c r="E35" s="92">
        <v>0.13307984790874525</v>
      </c>
      <c r="F35" s="92">
        <v>0.2902408111533587</v>
      </c>
      <c r="H35" t="s">
        <v>158</v>
      </c>
    </row>
    <row r="36" spans="1:8" ht="15">
      <c r="A36" s="89" t="s">
        <v>15</v>
      </c>
      <c r="B36" s="90">
        <v>37230</v>
      </c>
      <c r="C36" s="92">
        <f>B36/B45</f>
        <v>0.15031601489351909</v>
      </c>
      <c r="D36" s="91">
        <v>297</v>
      </c>
      <c r="E36" s="92">
        <v>2.302158273381295E-2</v>
      </c>
      <c r="F36" s="92">
        <v>0.62589928057553956</v>
      </c>
      <c r="H36" t="s">
        <v>126</v>
      </c>
    </row>
    <row r="37" spans="1:8" ht="15">
      <c r="A37" s="89" t="s">
        <v>16</v>
      </c>
      <c r="B37" s="90">
        <v>35207</v>
      </c>
      <c r="C37" s="92">
        <f>B37/B45</f>
        <v>0.14214815837647399</v>
      </c>
      <c r="D37" s="91">
        <v>2320</v>
      </c>
      <c r="E37" s="92">
        <v>0</v>
      </c>
      <c r="F37" s="92">
        <v>1.4367816091954023E-3</v>
      </c>
      <c r="H37" t="s">
        <v>127</v>
      </c>
    </row>
    <row r="38" spans="1:8" ht="15">
      <c r="A38" s="89" t="s">
        <v>17</v>
      </c>
      <c r="B38" s="90">
        <v>36779</v>
      </c>
      <c r="C38" s="92">
        <f>B38/B45</f>
        <v>0.14849510372733654</v>
      </c>
      <c r="D38" s="91">
        <v>748</v>
      </c>
      <c r="E38" s="92">
        <v>0</v>
      </c>
      <c r="F38" s="92">
        <v>0.1349527665317139</v>
      </c>
      <c r="H38" t="s">
        <v>128</v>
      </c>
    </row>
    <row r="39" spans="1:8" ht="15">
      <c r="A39" s="89" t="s">
        <v>18</v>
      </c>
      <c r="B39" s="90">
        <v>35418</v>
      </c>
      <c r="C39" s="92">
        <f>B40/B45</f>
        <v>0.1501827774911155</v>
      </c>
      <c r="D39" s="91">
        <v>2109</v>
      </c>
      <c r="E39" s="92">
        <v>0.2879581151832461</v>
      </c>
      <c r="F39" s="92">
        <v>0.26178010471204188</v>
      </c>
      <c r="H39" t="s">
        <v>127</v>
      </c>
    </row>
    <row r="40" spans="1:8" ht="15">
      <c r="A40" s="89" t="s">
        <v>138</v>
      </c>
      <c r="B40" s="95">
        <v>37197</v>
      </c>
      <c r="C40" s="98">
        <f>B39/B45</f>
        <v>0.14300007025244854</v>
      </c>
      <c r="D40" s="95">
        <v>330</v>
      </c>
      <c r="E40" s="95"/>
      <c r="F40" s="95"/>
      <c r="H40" t="s">
        <v>129</v>
      </c>
    </row>
    <row r="41" spans="1:8" ht="15">
      <c r="A41" s="93" t="s">
        <v>117</v>
      </c>
      <c r="B41" s="91">
        <v>0</v>
      </c>
      <c r="C41" s="91">
        <v>0</v>
      </c>
      <c r="D41" s="9">
        <v>37527</v>
      </c>
      <c r="E41" s="91"/>
      <c r="F41" s="91"/>
      <c r="H41" t="s">
        <v>130</v>
      </c>
    </row>
    <row r="42" spans="1:8">
      <c r="A42" s="90" t="s">
        <v>118</v>
      </c>
      <c r="B42" s="91">
        <v>34816</v>
      </c>
      <c r="C42" s="92">
        <f>B43/B45</f>
        <v>0.15151515151515152</v>
      </c>
      <c r="D42" s="91">
        <v>2711</v>
      </c>
      <c r="E42" s="91"/>
      <c r="F42" s="91"/>
      <c r="H42" t="s">
        <v>159</v>
      </c>
    </row>
    <row r="43" spans="1:8">
      <c r="A43" s="90" t="s">
        <v>119</v>
      </c>
      <c r="B43" s="101">
        <v>37527</v>
      </c>
      <c r="C43" s="100">
        <f>B43/B45</f>
        <v>0.15151515151515152</v>
      </c>
      <c r="D43" s="101">
        <v>0</v>
      </c>
      <c r="E43" s="101"/>
      <c r="F43" s="101"/>
      <c r="H43" t="s">
        <v>160</v>
      </c>
    </row>
    <row r="44" spans="1:8">
      <c r="A44" s="94" t="s">
        <v>136</v>
      </c>
      <c r="B44" s="95">
        <v>6.6</v>
      </c>
      <c r="C44" s="95"/>
      <c r="D44" s="95"/>
      <c r="E44" s="95"/>
      <c r="F44" s="95"/>
      <c r="H44" t="s">
        <v>161</v>
      </c>
    </row>
    <row r="45" spans="1:8">
      <c r="A45" s="90" t="s">
        <v>135</v>
      </c>
      <c r="B45" s="91">
        <f>B44*B46</f>
        <v>247678.19999999998</v>
      </c>
      <c r="C45" s="91"/>
      <c r="D45" s="91"/>
      <c r="E45" s="91"/>
      <c r="F45" s="91"/>
      <c r="H45" t="s">
        <v>127</v>
      </c>
    </row>
    <row r="46" spans="1:8">
      <c r="A46" s="90" t="s">
        <v>134</v>
      </c>
      <c r="B46" s="91">
        <v>37527</v>
      </c>
      <c r="C46" s="91"/>
      <c r="D46" s="91"/>
      <c r="E46" s="91"/>
      <c r="F46" s="91"/>
    </row>
    <row r="47" spans="1:8">
      <c r="A47" s="90" t="s">
        <v>139</v>
      </c>
      <c r="B47" s="91"/>
      <c r="C47" s="96"/>
      <c r="D47" s="91"/>
      <c r="E47" s="91"/>
      <c r="F47" s="91"/>
    </row>
    <row r="49" spans="1:8" ht="15">
      <c r="A49" s="93" t="s">
        <v>162</v>
      </c>
      <c r="B49" s="90" t="s">
        <v>116</v>
      </c>
      <c r="C49" s="91" t="s">
        <v>137</v>
      </c>
      <c r="D49" s="91" t="s">
        <v>140</v>
      </c>
      <c r="E49" s="92" t="s">
        <v>26</v>
      </c>
      <c r="F49" s="92" t="s">
        <v>28</v>
      </c>
    </row>
    <row r="50" spans="1:8" ht="15">
      <c r="A50" s="89" t="s">
        <v>5</v>
      </c>
      <c r="B50" s="90">
        <v>35749</v>
      </c>
      <c r="C50" s="92">
        <f>B50/B69</f>
        <v>0.1444249987072086</v>
      </c>
      <c r="D50" s="91">
        <v>1755</v>
      </c>
      <c r="E50" s="92">
        <v>0</v>
      </c>
      <c r="F50" s="92">
        <v>0</v>
      </c>
      <c r="H50" t="s">
        <v>128</v>
      </c>
    </row>
    <row r="51" spans="1:8" ht="15">
      <c r="A51" s="89" t="s">
        <v>6</v>
      </c>
      <c r="B51" s="90">
        <v>34294</v>
      </c>
      <c r="C51" s="92">
        <f>B51/B69</f>
        <v>0.13854683783224739</v>
      </c>
      <c r="D51" s="91">
        <v>3210</v>
      </c>
      <c r="E51" s="92">
        <v>0</v>
      </c>
      <c r="F51" s="92">
        <v>0</v>
      </c>
      <c r="H51" t="s">
        <v>127</v>
      </c>
    </row>
    <row r="52" spans="1:8" ht="15">
      <c r="A52" s="89" t="s">
        <v>7</v>
      </c>
      <c r="B52" s="90">
        <v>34643</v>
      </c>
      <c r="C52" s="92">
        <f>B52/B69</f>
        <v>0.13995678844761611</v>
      </c>
      <c r="D52" s="91">
        <v>2861</v>
      </c>
      <c r="E52" s="92">
        <v>0</v>
      </c>
      <c r="F52" s="92">
        <v>0</v>
      </c>
      <c r="H52" t="s">
        <v>121</v>
      </c>
    </row>
    <row r="53" spans="1:8" ht="15">
      <c r="A53" s="89" t="s">
        <v>8</v>
      </c>
      <c r="B53" s="90">
        <v>34248</v>
      </c>
      <c r="C53" s="92">
        <f>B53/B69</f>
        <v>0.13836099906919019</v>
      </c>
      <c r="D53" s="91">
        <v>3256</v>
      </c>
      <c r="E53" s="92">
        <v>0</v>
      </c>
      <c r="F53" s="92">
        <v>0</v>
      </c>
      <c r="H53" t="s">
        <v>122</v>
      </c>
    </row>
    <row r="54" spans="1:8" ht="15">
      <c r="A54" s="89" t="s">
        <v>9</v>
      </c>
      <c r="B54" s="90">
        <v>35750</v>
      </c>
      <c r="C54" s="92">
        <f>B54/B69</f>
        <v>0.14442903868031853</v>
      </c>
      <c r="D54" s="91">
        <v>1754</v>
      </c>
      <c r="E54" s="92">
        <v>0</v>
      </c>
      <c r="F54" s="92">
        <v>0</v>
      </c>
      <c r="H54" t="s">
        <v>123</v>
      </c>
    </row>
    <row r="55" spans="1:8" ht="15">
      <c r="A55" s="89" t="s">
        <v>10</v>
      </c>
      <c r="B55" s="90">
        <v>36144</v>
      </c>
      <c r="C55" s="92">
        <f>B55/B69</f>
        <v>0.14602078808563451</v>
      </c>
      <c r="D55" s="91">
        <v>1360</v>
      </c>
      <c r="E55" s="92">
        <v>0</v>
      </c>
      <c r="F55" s="92">
        <v>0</v>
      </c>
      <c r="H55" t="s">
        <v>163</v>
      </c>
    </row>
    <row r="56" spans="1:8" ht="15">
      <c r="A56" s="89" t="s">
        <v>11</v>
      </c>
      <c r="B56" s="90">
        <v>36476</v>
      </c>
      <c r="C56" s="92">
        <f>B56/B69</f>
        <v>0.14736205915813425</v>
      </c>
      <c r="D56" s="91">
        <v>1028</v>
      </c>
      <c r="E56" s="92">
        <v>0</v>
      </c>
      <c r="F56" s="92">
        <v>0</v>
      </c>
      <c r="H56" t="s">
        <v>164</v>
      </c>
    </row>
    <row r="57" spans="1:8" ht="15">
      <c r="A57" s="89" t="s">
        <v>12</v>
      </c>
      <c r="B57" s="90">
        <v>36524</v>
      </c>
      <c r="C57" s="92">
        <f>B57/B69</f>
        <v>0.14755597786741131</v>
      </c>
      <c r="D57" s="91">
        <v>980</v>
      </c>
      <c r="E57" s="92">
        <v>0</v>
      </c>
      <c r="F57" s="92">
        <v>0</v>
      </c>
      <c r="H57" t="s">
        <v>126</v>
      </c>
    </row>
    <row r="58" spans="1:8" ht="15">
      <c r="A58" s="89" t="s">
        <v>13</v>
      </c>
      <c r="B58" s="90">
        <v>36336</v>
      </c>
      <c r="C58" s="92">
        <f>B58/B69</f>
        <v>0.14679646292274279</v>
      </c>
      <c r="D58" s="91">
        <v>1168</v>
      </c>
      <c r="E58" s="92">
        <v>4.5512010113780026E-2</v>
      </c>
      <c r="F58" s="92">
        <v>0.69279393173198478</v>
      </c>
      <c r="H58" t="s">
        <v>127</v>
      </c>
    </row>
    <row r="59" spans="1:8" ht="15">
      <c r="A59" s="89" t="s">
        <v>14</v>
      </c>
      <c r="B59" s="90">
        <v>35856</v>
      </c>
      <c r="C59" s="92">
        <f>B59/B69</f>
        <v>0.14485727582997207</v>
      </c>
      <c r="D59" s="91">
        <v>1648</v>
      </c>
      <c r="E59" s="92">
        <v>8.3257918552036195E-2</v>
      </c>
      <c r="F59" s="92">
        <v>0.33665158371040727</v>
      </c>
      <c r="H59" t="s">
        <v>128</v>
      </c>
    </row>
    <row r="60" spans="1:8" ht="15">
      <c r="A60" s="89" t="s">
        <v>15</v>
      </c>
      <c r="B60" s="90">
        <v>37247</v>
      </c>
      <c r="C60" s="92">
        <f>B60/B69</f>
        <v>0.15047687842589719</v>
      </c>
      <c r="D60" s="91">
        <v>257</v>
      </c>
      <c r="E60" s="92">
        <v>4.3312101910828023E-2</v>
      </c>
      <c r="F60" s="92">
        <v>4.0764331210191081E-2</v>
      </c>
      <c r="H60" t="s">
        <v>127</v>
      </c>
    </row>
    <row r="61" spans="1:8" ht="15">
      <c r="A61" s="89" t="s">
        <v>16</v>
      </c>
      <c r="B61" s="90">
        <v>34738</v>
      </c>
      <c r="C61" s="92">
        <f>B61/B69</f>
        <v>0.14034058589306031</v>
      </c>
      <c r="D61" s="91">
        <v>2766</v>
      </c>
      <c r="E61" s="92">
        <v>0</v>
      </c>
      <c r="F61" s="92">
        <v>1</v>
      </c>
      <c r="H61" t="s">
        <v>129</v>
      </c>
    </row>
    <row r="62" spans="1:8" ht="15">
      <c r="A62" s="89" t="s">
        <v>17</v>
      </c>
      <c r="B62" s="90">
        <v>36348</v>
      </c>
      <c r="C62" s="92">
        <f>B62/B69</f>
        <v>0.14684494260006206</v>
      </c>
      <c r="D62" s="91">
        <v>1156</v>
      </c>
      <c r="E62" s="92">
        <v>0</v>
      </c>
      <c r="F62" s="92">
        <v>0</v>
      </c>
      <c r="H62" t="s">
        <v>130</v>
      </c>
    </row>
    <row r="63" spans="1:8" ht="15">
      <c r="A63" s="89" t="s">
        <v>18</v>
      </c>
      <c r="B63" s="90">
        <v>36061</v>
      </c>
      <c r="C63" s="92">
        <f>B64/B69</f>
        <v>0.15018196038887166</v>
      </c>
      <c r="D63" s="91">
        <v>1443</v>
      </c>
      <c r="E63" s="92">
        <v>0.34200157604412923</v>
      </c>
      <c r="F63" s="92">
        <v>0.3396375098502758</v>
      </c>
      <c r="H63" t="s">
        <v>165</v>
      </c>
    </row>
    <row r="64" spans="1:8" ht="15">
      <c r="A64" s="89" t="s">
        <v>138</v>
      </c>
      <c r="B64" s="95">
        <v>37174</v>
      </c>
      <c r="C64" s="98">
        <f>B63/B69</f>
        <v>0.14568547031750956</v>
      </c>
      <c r="D64" s="95">
        <v>330</v>
      </c>
      <c r="E64" s="95"/>
      <c r="F64" s="95"/>
      <c r="H64" t="s">
        <v>166</v>
      </c>
    </row>
    <row r="65" spans="1:8" ht="15">
      <c r="A65" s="93" t="s">
        <v>117</v>
      </c>
      <c r="B65" s="91">
        <v>0</v>
      </c>
      <c r="C65" s="91">
        <v>0</v>
      </c>
      <c r="D65" s="9">
        <v>37504</v>
      </c>
      <c r="E65" s="91"/>
      <c r="F65" s="91"/>
      <c r="H65" t="s">
        <v>167</v>
      </c>
    </row>
    <row r="66" spans="1:8">
      <c r="A66" s="90" t="s">
        <v>118</v>
      </c>
      <c r="B66" s="91">
        <v>34959</v>
      </c>
      <c r="C66" s="92">
        <f>B67/B69</f>
        <v>0.15151515151515152</v>
      </c>
      <c r="D66" s="91">
        <v>2545</v>
      </c>
      <c r="E66" s="91"/>
      <c r="F66" s="91"/>
      <c r="H66" t="s">
        <v>127</v>
      </c>
    </row>
    <row r="67" spans="1:8">
      <c r="A67" s="90" t="s">
        <v>119</v>
      </c>
      <c r="B67" s="101">
        <v>37504</v>
      </c>
      <c r="C67" s="100">
        <f>B67/B69</f>
        <v>0.15151515151515152</v>
      </c>
      <c r="D67" s="101">
        <v>0</v>
      </c>
      <c r="E67" s="101"/>
      <c r="F67" s="101"/>
    </row>
    <row r="68" spans="1:8">
      <c r="A68" s="94" t="s">
        <v>136</v>
      </c>
      <c r="B68" s="97">
        <v>6.6</v>
      </c>
      <c r="C68" s="95"/>
      <c r="D68" s="95"/>
      <c r="E68" s="95"/>
      <c r="F68" s="95"/>
    </row>
    <row r="69" spans="1:8">
      <c r="A69" s="90" t="s">
        <v>135</v>
      </c>
      <c r="B69" s="91">
        <f>B68*B70</f>
        <v>247526.39999999999</v>
      </c>
      <c r="C69" s="91"/>
      <c r="D69" s="91"/>
      <c r="E69" s="91"/>
      <c r="F69" s="91"/>
    </row>
    <row r="70" spans="1:8">
      <c r="A70" s="90" t="s">
        <v>134</v>
      </c>
      <c r="B70" s="91">
        <v>37504</v>
      </c>
      <c r="C70" s="91"/>
      <c r="D70" s="91"/>
      <c r="E70" s="91"/>
      <c r="F70" s="91"/>
    </row>
    <row r="71" spans="1:8">
      <c r="A71" s="90" t="s">
        <v>139</v>
      </c>
      <c r="B71" s="91"/>
      <c r="C71" s="96"/>
      <c r="D71" s="91"/>
      <c r="E71" s="91"/>
      <c r="F71" s="9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2"/>
  <sheetViews>
    <sheetView zoomScale="85" zoomScaleNormal="85" workbookViewId="0">
      <selection activeCell="G48" sqref="G48"/>
    </sheetView>
  </sheetViews>
  <sheetFormatPr defaultColWidth="11.42578125" defaultRowHeight="12.75"/>
  <cols>
    <col min="1" max="1" width="13.28515625" customWidth="1"/>
    <col min="2" max="2" width="15.42578125" bestFit="1" customWidth="1"/>
    <col min="3" max="3" width="26.140625" bestFit="1" customWidth="1"/>
    <col min="4" max="4" width="15.85546875" bestFit="1" customWidth="1"/>
    <col min="8" max="8" width="13.140625" customWidth="1"/>
    <col min="9" max="9" width="37.5703125" bestFit="1" customWidth="1"/>
  </cols>
  <sheetData>
    <row r="1" spans="1:9" ht="15">
      <c r="A1" s="93" t="s">
        <v>168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9" ht="15">
      <c r="A2" s="89" t="s">
        <v>5</v>
      </c>
      <c r="B2" s="90">
        <v>309979</v>
      </c>
      <c r="C2" s="92">
        <f>B2/B21</f>
        <v>0.14508913944516402</v>
      </c>
      <c r="D2" s="91">
        <v>13729</v>
      </c>
      <c r="E2" s="92">
        <v>2.1126760563380281E-2</v>
      </c>
      <c r="F2" s="92">
        <v>0</v>
      </c>
    </row>
    <row r="3" spans="1:9" ht="15">
      <c r="A3" s="89" t="s">
        <v>6</v>
      </c>
      <c r="B3" s="90">
        <v>321525</v>
      </c>
      <c r="C3" s="92">
        <f>B3/B21</f>
        <v>0.15049337393857765</v>
      </c>
      <c r="D3" s="91">
        <v>2183</v>
      </c>
      <c r="E3" s="92">
        <v>5.1157697121401752E-2</v>
      </c>
      <c r="F3" s="92">
        <v>1.767834793491865E-2</v>
      </c>
    </row>
    <row r="4" spans="1:9" ht="15">
      <c r="A4" s="89" t="s">
        <v>7</v>
      </c>
      <c r="B4" s="90">
        <v>267836</v>
      </c>
      <c r="C4" s="92">
        <f>B4/B21</f>
        <v>0.12536363673808532</v>
      </c>
      <c r="D4" s="91">
        <v>55872</v>
      </c>
      <c r="E4" s="92">
        <v>0.10550792036041273</v>
      </c>
      <c r="F4" s="92">
        <v>1.2062200261589886E-2</v>
      </c>
    </row>
    <row r="5" spans="1:9" ht="15">
      <c r="A5" s="89" t="s">
        <v>8</v>
      </c>
      <c r="B5" s="90">
        <v>247367</v>
      </c>
      <c r="C5" s="92">
        <f>B5/B21</f>
        <v>0.11578289225119086</v>
      </c>
      <c r="D5" s="91">
        <v>76341</v>
      </c>
      <c r="E5" s="92">
        <v>6.9324090121317156E-2</v>
      </c>
      <c r="F5" s="92">
        <v>1.5282810776744919E-2</v>
      </c>
      <c r="I5" t="s">
        <v>127</v>
      </c>
    </row>
    <row r="6" spans="1:9" ht="15">
      <c r="A6" s="89" t="s">
        <v>9</v>
      </c>
      <c r="B6" s="90">
        <v>323692</v>
      </c>
      <c r="C6" s="92">
        <f>B6/B21</f>
        <v>0.1515076625361203</v>
      </c>
      <c r="D6" s="91">
        <v>16</v>
      </c>
      <c r="E6" s="92">
        <v>0</v>
      </c>
      <c r="F6" s="92">
        <v>0</v>
      </c>
      <c r="I6" t="s">
        <v>121</v>
      </c>
    </row>
    <row r="7" spans="1:9" ht="15">
      <c r="A7" s="89" t="s">
        <v>10</v>
      </c>
      <c r="B7" s="90">
        <v>323692</v>
      </c>
      <c r="C7" s="92">
        <f>B7/B21</f>
        <v>0.1515076625361203</v>
      </c>
      <c r="D7" s="91">
        <v>16</v>
      </c>
      <c r="E7" s="92">
        <v>0</v>
      </c>
      <c r="F7" s="92">
        <v>0</v>
      </c>
      <c r="I7" t="s">
        <v>122</v>
      </c>
    </row>
    <row r="8" spans="1:9" ht="15">
      <c r="A8" s="89" t="s">
        <v>11</v>
      </c>
      <c r="B8" s="90">
        <v>323694</v>
      </c>
      <c r="C8" s="92">
        <f>B8/B21</f>
        <v>0.15150859865849919</v>
      </c>
      <c r="D8" s="91">
        <v>14</v>
      </c>
      <c r="E8" s="92">
        <v>0</v>
      </c>
      <c r="F8" s="92">
        <v>0</v>
      </c>
      <c r="I8" t="s">
        <v>123</v>
      </c>
    </row>
    <row r="9" spans="1:9" ht="15">
      <c r="A9" s="89" t="s">
        <v>12</v>
      </c>
      <c r="B9" s="90">
        <v>323448</v>
      </c>
      <c r="C9" s="92">
        <f>B9/B21</f>
        <v>0.15139345560589398</v>
      </c>
      <c r="D9" s="91">
        <v>260</v>
      </c>
      <c r="E9" s="92">
        <v>0</v>
      </c>
      <c r="F9" s="92">
        <v>0</v>
      </c>
      <c r="I9" t="s">
        <v>181</v>
      </c>
    </row>
    <row r="10" spans="1:9" ht="15">
      <c r="A10" s="89" t="s">
        <v>13</v>
      </c>
      <c r="B10" s="90">
        <v>323708</v>
      </c>
      <c r="C10" s="92">
        <f>B10/B21</f>
        <v>0.15151515151515152</v>
      </c>
      <c r="D10" s="91">
        <v>0</v>
      </c>
      <c r="E10" s="92">
        <v>0</v>
      </c>
      <c r="F10" s="92">
        <v>0</v>
      </c>
      <c r="I10" t="s">
        <v>182</v>
      </c>
    </row>
    <row r="11" spans="1:9" ht="15">
      <c r="A11" s="89" t="s">
        <v>14</v>
      </c>
      <c r="B11" s="90">
        <v>322424</v>
      </c>
      <c r="C11" s="92">
        <f>B11/B21</f>
        <v>0.15091416094789506</v>
      </c>
      <c r="D11" s="91">
        <v>1284</v>
      </c>
      <c r="E11" s="92">
        <v>0</v>
      </c>
      <c r="F11" s="92">
        <v>0</v>
      </c>
      <c r="I11" t="s">
        <v>126</v>
      </c>
    </row>
    <row r="12" spans="1:9" ht="15">
      <c r="A12" s="89" t="s">
        <v>15</v>
      </c>
      <c r="B12" s="90">
        <v>323690</v>
      </c>
      <c r="C12" s="92">
        <f>B12/B21</f>
        <v>0.15150672641374138</v>
      </c>
      <c r="D12" s="91">
        <v>18</v>
      </c>
      <c r="E12" s="92">
        <v>0</v>
      </c>
      <c r="F12" s="92">
        <v>0</v>
      </c>
      <c r="I12" t="s">
        <v>127</v>
      </c>
    </row>
    <row r="13" spans="1:9" ht="15">
      <c r="A13" s="89" t="s">
        <v>16</v>
      </c>
      <c r="B13" s="90">
        <v>305246</v>
      </c>
      <c r="C13" s="92">
        <f>B13/B21</f>
        <v>0.14287380583548737</v>
      </c>
      <c r="D13" s="91">
        <v>18462</v>
      </c>
      <c r="E13" s="92">
        <v>0</v>
      </c>
      <c r="F13" s="92">
        <v>0</v>
      </c>
      <c r="I13" t="s">
        <v>128</v>
      </c>
    </row>
    <row r="14" spans="1:9" ht="15">
      <c r="A14" s="89" t="s">
        <v>17</v>
      </c>
      <c r="B14" s="90">
        <v>323690</v>
      </c>
      <c r="C14" s="92">
        <f>B14/B21</f>
        <v>0.15150672641374138</v>
      </c>
      <c r="D14" s="91">
        <v>18</v>
      </c>
      <c r="E14" s="92">
        <v>0</v>
      </c>
      <c r="F14" s="92">
        <v>0</v>
      </c>
      <c r="I14" t="s">
        <v>127</v>
      </c>
    </row>
    <row r="15" spans="1:9" ht="15">
      <c r="A15" s="89" t="s">
        <v>18</v>
      </c>
      <c r="B15" s="90">
        <v>317764</v>
      </c>
      <c r="C15" s="92">
        <f>B16/B21</f>
        <v>0.13613325664618806</v>
      </c>
      <c r="D15" s="91">
        <v>5944</v>
      </c>
      <c r="E15" s="92">
        <v>0.35512510088781274</v>
      </c>
      <c r="F15" s="92">
        <v>0.35399515738498788</v>
      </c>
      <c r="I15" t="s">
        <v>129</v>
      </c>
    </row>
    <row r="16" spans="1:9" ht="15">
      <c r="A16" s="89" t="s">
        <v>138</v>
      </c>
      <c r="B16" s="95">
        <v>290845</v>
      </c>
      <c r="C16" s="98">
        <f>B15/B21</f>
        <v>0.1487329958050484</v>
      </c>
      <c r="D16" s="95">
        <v>32863</v>
      </c>
      <c r="E16" s="95"/>
      <c r="F16" s="95"/>
      <c r="I16" t="s">
        <v>130</v>
      </c>
    </row>
    <row r="17" spans="1:9" ht="15">
      <c r="A17" s="93" t="s">
        <v>117</v>
      </c>
      <c r="B17" s="91">
        <v>0</v>
      </c>
      <c r="C17" s="91">
        <v>0</v>
      </c>
      <c r="D17" s="9">
        <v>323708</v>
      </c>
      <c r="E17" s="91"/>
      <c r="F17" s="91"/>
      <c r="I17" t="s">
        <v>183</v>
      </c>
    </row>
    <row r="18" spans="1:9">
      <c r="A18" s="90" t="s">
        <v>118</v>
      </c>
      <c r="B18" s="91">
        <v>310392</v>
      </c>
      <c r="C18" s="92">
        <f>B19/B21</f>
        <v>0.15151515151515152</v>
      </c>
      <c r="D18" s="91">
        <v>13316</v>
      </c>
      <c r="E18" s="91"/>
      <c r="F18" s="91"/>
      <c r="I18" t="s">
        <v>184</v>
      </c>
    </row>
    <row r="19" spans="1:9">
      <c r="A19" s="90" t="s">
        <v>119</v>
      </c>
      <c r="B19" s="101">
        <v>323708</v>
      </c>
      <c r="C19" s="100">
        <f>B19/B21</f>
        <v>0.15151515151515152</v>
      </c>
      <c r="D19" s="101">
        <v>0</v>
      </c>
      <c r="E19" s="101"/>
      <c r="F19" s="101"/>
      <c r="I19" t="s">
        <v>185</v>
      </c>
    </row>
    <row r="20" spans="1:9">
      <c r="A20" s="94" t="s">
        <v>136</v>
      </c>
      <c r="B20" s="97">
        <v>6.6</v>
      </c>
      <c r="C20" s="95"/>
      <c r="D20" s="95"/>
      <c r="E20" s="95"/>
      <c r="F20" s="95"/>
      <c r="I20" t="s">
        <v>127</v>
      </c>
    </row>
    <row r="21" spans="1:9">
      <c r="A21" s="90" t="s">
        <v>135</v>
      </c>
      <c r="B21" s="91">
        <f>B20*B22</f>
        <v>2136472.7999999998</v>
      </c>
      <c r="C21" s="91"/>
      <c r="D21" s="91"/>
      <c r="E21" s="91"/>
      <c r="F21" s="91"/>
    </row>
    <row r="22" spans="1:9">
      <c r="A22" s="90" t="s">
        <v>134</v>
      </c>
      <c r="B22" s="91">
        <v>323708</v>
      </c>
      <c r="C22" s="91"/>
      <c r="D22" s="91"/>
      <c r="E22" s="91"/>
      <c r="F22" s="91"/>
    </row>
    <row r="23" spans="1:9">
      <c r="A23" s="90" t="s">
        <v>139</v>
      </c>
      <c r="B23" s="91"/>
      <c r="C23" s="96"/>
      <c r="D23" s="91"/>
      <c r="E23" s="91"/>
      <c r="F23" s="91"/>
    </row>
    <row r="25" spans="1:9" ht="15">
      <c r="A25" s="93" t="s">
        <v>175</v>
      </c>
      <c r="B25" s="90" t="s">
        <v>116</v>
      </c>
      <c r="C25" s="91" t="s">
        <v>137</v>
      </c>
      <c r="D25" s="91" t="s">
        <v>140</v>
      </c>
      <c r="E25" s="92" t="s">
        <v>26</v>
      </c>
      <c r="F25" s="92" t="s">
        <v>28</v>
      </c>
      <c r="I25" s="10"/>
    </row>
    <row r="26" spans="1:9" ht="15">
      <c r="A26" s="89" t="s">
        <v>5</v>
      </c>
      <c r="B26" s="90">
        <v>103667</v>
      </c>
      <c r="C26" s="92">
        <f>B26/B45</f>
        <v>0.12406888793144717</v>
      </c>
      <c r="D26" s="91">
        <v>22933</v>
      </c>
      <c r="E26" s="92">
        <v>5.4940549405494053E-2</v>
      </c>
      <c r="F26" s="92">
        <v>5.4940549405494053E-2</v>
      </c>
    </row>
    <row r="27" spans="1:9" ht="15">
      <c r="A27" s="89" t="s">
        <v>6</v>
      </c>
      <c r="B27" s="90">
        <v>121671</v>
      </c>
      <c r="C27" s="92">
        <f>B27/B45</f>
        <v>0.14561611374407582</v>
      </c>
      <c r="D27" s="91">
        <v>4929</v>
      </c>
      <c r="E27" s="92">
        <v>0.11052446321717704</v>
      </c>
      <c r="F27" s="92">
        <v>0.11052446321717704</v>
      </c>
    </row>
    <row r="28" spans="1:9" ht="15">
      <c r="A28" s="89" t="s">
        <v>7</v>
      </c>
      <c r="B28" s="90">
        <v>125017</v>
      </c>
      <c r="C28" s="92">
        <f>B28/B45</f>
        <v>0.14962061372013979</v>
      </c>
      <c r="D28" s="91">
        <v>1583</v>
      </c>
      <c r="E28" s="92">
        <v>2.1878536401357979E-2</v>
      </c>
      <c r="F28" s="92">
        <v>2.1878536401357979E-2</v>
      </c>
    </row>
    <row r="29" spans="1:9" ht="15">
      <c r="A29" s="89" t="s">
        <v>8</v>
      </c>
      <c r="B29" s="90">
        <v>122251</v>
      </c>
      <c r="C29" s="92">
        <f>B29/B45</f>
        <v>0.14631025898798411</v>
      </c>
      <c r="D29" s="91">
        <v>4349</v>
      </c>
      <c r="E29" s="92">
        <v>5.6463068181818184E-2</v>
      </c>
      <c r="F29" s="92">
        <v>5.6463068181818184E-2</v>
      </c>
    </row>
    <row r="30" spans="1:9" ht="15">
      <c r="A30" s="89" t="s">
        <v>9</v>
      </c>
      <c r="B30" s="90">
        <v>125629</v>
      </c>
      <c r="C30" s="92">
        <f>B30/B45</f>
        <v>0.15035305663267748</v>
      </c>
      <c r="D30" s="91">
        <v>971</v>
      </c>
      <c r="E30" s="92">
        <v>0.21435594886922321</v>
      </c>
      <c r="F30" s="92">
        <v>0.21435594886922321</v>
      </c>
      <c r="I30" t="s">
        <v>127</v>
      </c>
    </row>
    <row r="31" spans="1:9" ht="15">
      <c r="A31" s="89" t="s">
        <v>10</v>
      </c>
      <c r="B31" s="90">
        <v>124403</v>
      </c>
      <c r="C31" s="92">
        <f>B31/B45</f>
        <v>0.14888577720331275</v>
      </c>
      <c r="D31" s="91">
        <v>2197</v>
      </c>
      <c r="E31" s="92">
        <v>0.7688984881209503</v>
      </c>
      <c r="F31" s="92">
        <v>0.7688984881209503</v>
      </c>
      <c r="I31" t="s">
        <v>121</v>
      </c>
    </row>
    <row r="32" spans="1:9" ht="15">
      <c r="A32" s="89" t="s">
        <v>11</v>
      </c>
      <c r="B32" s="90">
        <v>126533</v>
      </c>
      <c r="C32" s="92">
        <f>B32/B45</f>
        <v>0.15143496577145865</v>
      </c>
      <c r="D32" s="91">
        <v>67</v>
      </c>
      <c r="E32" s="92">
        <v>0.58728606356968216</v>
      </c>
      <c r="F32" s="92">
        <v>0.58728606356968216</v>
      </c>
      <c r="I32" t="s">
        <v>122</v>
      </c>
    </row>
    <row r="33" spans="1:9" ht="15">
      <c r="A33" s="89" t="s">
        <v>12</v>
      </c>
      <c r="B33" s="90">
        <v>126287</v>
      </c>
      <c r="C33" s="92">
        <f>B33/B45</f>
        <v>0.15114055244386998</v>
      </c>
      <c r="D33" s="91">
        <v>313</v>
      </c>
      <c r="E33" s="92">
        <v>0.79046293073442397</v>
      </c>
      <c r="F33" s="92">
        <v>0.79046293073442397</v>
      </c>
      <c r="I33" t="s">
        <v>123</v>
      </c>
    </row>
    <row r="34" spans="1:9" ht="15">
      <c r="A34" s="89" t="s">
        <v>13</v>
      </c>
      <c r="B34" s="90">
        <v>126547</v>
      </c>
      <c r="C34" s="92">
        <f>B34/B45</f>
        <v>0.15145172100148405</v>
      </c>
      <c r="D34" s="91">
        <v>53</v>
      </c>
      <c r="E34" s="92">
        <v>0.3958427474017171</v>
      </c>
      <c r="F34" s="92">
        <v>0.3958427474017171</v>
      </c>
      <c r="I34" t="s">
        <v>176</v>
      </c>
    </row>
    <row r="35" spans="1:9" ht="15">
      <c r="A35" s="89" t="s">
        <v>14</v>
      </c>
      <c r="B35" s="90">
        <v>120799</v>
      </c>
      <c r="C35" s="92">
        <f>B35/B45</f>
        <v>0.14457250227392407</v>
      </c>
      <c r="D35" s="91">
        <v>5801</v>
      </c>
      <c r="E35" s="92">
        <v>0.67096560846560849</v>
      </c>
      <c r="F35" s="92">
        <v>0.67096560846560849</v>
      </c>
      <c r="I35" t="s">
        <v>177</v>
      </c>
    </row>
    <row r="36" spans="1:9" ht="15">
      <c r="A36" s="89" t="s">
        <v>15</v>
      </c>
      <c r="B36" s="90">
        <v>121238</v>
      </c>
      <c r="C36" s="92">
        <f>B36/B45</f>
        <v>0.14509789841543397</v>
      </c>
      <c r="D36" s="91">
        <v>5362</v>
      </c>
      <c r="E36" s="92">
        <v>0.12930344275420336</v>
      </c>
      <c r="F36" s="92">
        <v>0.12930344275420336</v>
      </c>
      <c r="I36" t="s">
        <v>126</v>
      </c>
    </row>
    <row r="37" spans="1:9" ht="15">
      <c r="A37" s="89" t="s">
        <v>16</v>
      </c>
      <c r="B37" s="90">
        <v>121730</v>
      </c>
      <c r="C37" s="92">
        <f>B37/B45</f>
        <v>0.14568672507061134</v>
      </c>
      <c r="D37" s="91">
        <v>4870</v>
      </c>
      <c r="E37" s="92">
        <v>0.95518565941101152</v>
      </c>
      <c r="F37" s="92">
        <v>0.95518565941101152</v>
      </c>
      <c r="I37" t="s">
        <v>127</v>
      </c>
    </row>
    <row r="38" spans="1:9" ht="15">
      <c r="A38" s="89" t="s">
        <v>17</v>
      </c>
      <c r="B38" s="90">
        <v>125395</v>
      </c>
      <c r="C38" s="92">
        <f>B38/B45</f>
        <v>0.15007300493082484</v>
      </c>
      <c r="D38" s="91">
        <v>1205</v>
      </c>
      <c r="E38" s="92">
        <v>0</v>
      </c>
      <c r="F38" s="92">
        <v>0</v>
      </c>
      <c r="I38" t="s">
        <v>128</v>
      </c>
    </row>
    <row r="39" spans="1:9" ht="15">
      <c r="A39" s="89" t="s">
        <v>18</v>
      </c>
      <c r="B39" s="90">
        <v>121415</v>
      </c>
      <c r="C39" s="92">
        <f>B40/B45</f>
        <v>0.14954760878931495</v>
      </c>
      <c r="D39" s="91">
        <v>5185</v>
      </c>
      <c r="E39" s="92">
        <v>6.3E-2</v>
      </c>
      <c r="F39" s="92">
        <v>6.3E-2</v>
      </c>
      <c r="I39" t="s">
        <v>127</v>
      </c>
    </row>
    <row r="40" spans="1:9" ht="15">
      <c r="A40" s="89" t="s">
        <v>138</v>
      </c>
      <c r="B40" s="95">
        <v>124956</v>
      </c>
      <c r="C40" s="98">
        <f>B39/B45</f>
        <v>0.14530973239504044</v>
      </c>
      <c r="D40" s="95">
        <v>1644</v>
      </c>
      <c r="E40" s="95"/>
      <c r="F40" s="95"/>
      <c r="I40" t="s">
        <v>129</v>
      </c>
    </row>
    <row r="41" spans="1:9" ht="15">
      <c r="A41" s="93" t="s">
        <v>117</v>
      </c>
      <c r="B41" s="91">
        <v>0</v>
      </c>
      <c r="C41" s="91">
        <v>0</v>
      </c>
      <c r="D41" s="9">
        <v>126600</v>
      </c>
      <c r="E41" s="91"/>
      <c r="F41" s="91"/>
      <c r="I41" t="s">
        <v>130</v>
      </c>
    </row>
    <row r="42" spans="1:9">
      <c r="A42" s="90" t="s">
        <v>118</v>
      </c>
      <c r="B42" s="91">
        <v>116247</v>
      </c>
      <c r="C42" s="92">
        <f>B43/B45</f>
        <v>0.15151515151515152</v>
      </c>
      <c r="D42" s="91">
        <v>10353</v>
      </c>
      <c r="E42" s="91"/>
      <c r="F42" s="91"/>
      <c r="I42" t="s">
        <v>178</v>
      </c>
    </row>
    <row r="43" spans="1:9">
      <c r="A43" s="90" t="s">
        <v>119</v>
      </c>
      <c r="B43" s="101">
        <v>126600</v>
      </c>
      <c r="C43" s="100">
        <f>B43/B45</f>
        <v>0.15151515151515152</v>
      </c>
      <c r="D43" s="101">
        <v>0</v>
      </c>
      <c r="E43" s="101"/>
      <c r="F43" s="101"/>
      <c r="I43" t="s">
        <v>179</v>
      </c>
    </row>
    <row r="44" spans="1:9">
      <c r="A44" s="94" t="s">
        <v>136</v>
      </c>
      <c r="B44" s="95">
        <v>6.6</v>
      </c>
      <c r="C44" s="95"/>
      <c r="D44" s="95"/>
      <c r="E44" s="95"/>
      <c r="F44" s="95"/>
      <c r="I44" t="s">
        <v>180</v>
      </c>
    </row>
    <row r="45" spans="1:9">
      <c r="A45" s="90" t="s">
        <v>135</v>
      </c>
      <c r="B45" s="91">
        <f>B44*B46</f>
        <v>835560</v>
      </c>
      <c r="C45" s="91"/>
      <c r="D45" s="91"/>
      <c r="E45" s="91"/>
      <c r="F45" s="91"/>
      <c r="I45" t="s">
        <v>127</v>
      </c>
    </row>
    <row r="46" spans="1:9">
      <c r="A46" s="90" t="s">
        <v>134</v>
      </c>
      <c r="B46" s="91">
        <v>126600</v>
      </c>
      <c r="C46" s="91"/>
      <c r="D46" s="91"/>
      <c r="E46" s="91"/>
      <c r="F46" s="91"/>
    </row>
    <row r="47" spans="1:9">
      <c r="A47" s="90" t="s">
        <v>139</v>
      </c>
      <c r="B47" s="91"/>
      <c r="C47" s="96"/>
      <c r="D47" s="91"/>
      <c r="E47" s="91"/>
      <c r="F47" s="91"/>
    </row>
    <row r="50" spans="1:10" ht="15">
      <c r="A50" s="93" t="s">
        <v>169</v>
      </c>
      <c r="B50" s="90" t="s">
        <v>116</v>
      </c>
      <c r="C50" s="91" t="s">
        <v>137</v>
      </c>
      <c r="D50" s="91" t="s">
        <v>140</v>
      </c>
      <c r="E50" s="92" t="s">
        <v>26</v>
      </c>
      <c r="F50" s="92" t="s">
        <v>28</v>
      </c>
    </row>
    <row r="51" spans="1:10" ht="15">
      <c r="A51" s="89" t="s">
        <v>5</v>
      </c>
      <c r="B51" s="90">
        <v>123585</v>
      </c>
      <c r="C51" s="92">
        <f>B51/B70</f>
        <v>0.12978146810737382</v>
      </c>
      <c r="D51" s="91">
        <v>20696</v>
      </c>
      <c r="E51" s="92">
        <v>3.1413612565445025E-2</v>
      </c>
      <c r="F51" s="92">
        <v>3.4904013961605585E-3</v>
      </c>
    </row>
    <row r="52" spans="1:10" ht="15">
      <c r="A52" s="89" t="s">
        <v>6</v>
      </c>
      <c r="B52" s="90">
        <v>140502</v>
      </c>
      <c r="C52" s="92">
        <f>B52/B70</f>
        <v>0.14754667501737456</v>
      </c>
      <c r="D52" s="91">
        <v>3779</v>
      </c>
      <c r="E52" s="92">
        <v>0.10443037974683544</v>
      </c>
      <c r="F52" s="92">
        <v>1.4767932489451477E-2</v>
      </c>
    </row>
    <row r="53" spans="1:10" ht="15">
      <c r="A53" s="89" t="s">
        <v>7</v>
      </c>
      <c r="B53" s="90">
        <v>137432</v>
      </c>
      <c r="C53" s="92">
        <f>B53/B70</f>
        <v>0.14432274729888414</v>
      </c>
      <c r="D53" s="91">
        <v>6849</v>
      </c>
      <c r="E53" s="92">
        <v>3.2507739938080496E-2</v>
      </c>
      <c r="F53" s="92">
        <v>3.0959752321981426E-3</v>
      </c>
    </row>
    <row r="54" spans="1:10" ht="15">
      <c r="A54" s="89" t="s">
        <v>8</v>
      </c>
      <c r="B54" s="90">
        <v>135367</v>
      </c>
      <c r="C54" s="92">
        <f>B54/B70</f>
        <v>0.1421542095989875</v>
      </c>
      <c r="D54" s="91">
        <v>8914</v>
      </c>
      <c r="E54" s="92">
        <v>4.6221248630887182E-2</v>
      </c>
      <c r="F54" s="92">
        <v>6.5717415115005477E-4</v>
      </c>
      <c r="I54" t="s">
        <v>127</v>
      </c>
    </row>
    <row r="55" spans="1:10" ht="15">
      <c r="A55" s="89" t="s">
        <v>9</v>
      </c>
      <c r="B55" s="90">
        <v>141054</v>
      </c>
      <c r="C55" s="92">
        <f>B55/B70</f>
        <v>0.14812635192310963</v>
      </c>
      <c r="D55" s="91">
        <v>3227</v>
      </c>
      <c r="E55" s="92">
        <v>0.181640625</v>
      </c>
      <c r="F55" s="92">
        <v>3.90625E-2</v>
      </c>
      <c r="I55" t="s">
        <v>121</v>
      </c>
    </row>
    <row r="56" spans="1:10" ht="15">
      <c r="A56" s="89" t="s">
        <v>10</v>
      </c>
      <c r="B56" s="90">
        <v>138884</v>
      </c>
      <c r="C56" s="92">
        <f>B56/B70</f>
        <v>0.14584754959440469</v>
      </c>
      <c r="D56" s="91">
        <v>5397</v>
      </c>
      <c r="E56" s="92">
        <v>0.87051282051282053</v>
      </c>
      <c r="F56" s="92">
        <v>0</v>
      </c>
      <c r="I56" t="s">
        <v>122</v>
      </c>
    </row>
    <row r="57" spans="1:10" ht="15">
      <c r="A57" s="89" t="s">
        <v>11</v>
      </c>
      <c r="B57" s="90">
        <v>142184</v>
      </c>
      <c r="C57" s="92">
        <f>B57/B70</f>
        <v>0.14931300935695138</v>
      </c>
      <c r="D57" s="91">
        <v>2097</v>
      </c>
      <c r="E57" s="92">
        <v>0.18586789554531491</v>
      </c>
      <c r="F57" s="92">
        <v>4.608294930875576E-3</v>
      </c>
      <c r="I57" t="s">
        <v>123</v>
      </c>
    </row>
    <row r="58" spans="1:10" ht="15">
      <c r="A58" s="89" t="s">
        <v>12</v>
      </c>
      <c r="B58" s="90">
        <v>141840</v>
      </c>
      <c r="C58" s="92">
        <f>B58/B70</f>
        <v>0.14895176143018896</v>
      </c>
      <c r="D58" s="91">
        <v>2441</v>
      </c>
      <c r="E58" s="92">
        <v>0.37403712589973481</v>
      </c>
      <c r="F58" s="92">
        <v>0</v>
      </c>
      <c r="I58" t="s">
        <v>170</v>
      </c>
    </row>
    <row r="59" spans="1:10" ht="15">
      <c r="A59" s="89" t="s">
        <v>13</v>
      </c>
      <c r="B59" s="90">
        <v>139764</v>
      </c>
      <c r="C59" s="92">
        <f>B59/B70</f>
        <v>0.14677167219775047</v>
      </c>
      <c r="D59" s="91">
        <v>4517</v>
      </c>
      <c r="E59" s="92">
        <v>6.1023622047244097E-2</v>
      </c>
      <c r="F59" s="92">
        <v>0.60629921259842523</v>
      </c>
      <c r="I59" t="s">
        <v>171</v>
      </c>
    </row>
    <row r="60" spans="1:10" ht="15">
      <c r="A60" s="89" t="s">
        <v>14</v>
      </c>
      <c r="B60" s="90">
        <v>142944</v>
      </c>
      <c r="C60" s="92">
        <f>B60/B70</f>
        <v>0.15011111524165913</v>
      </c>
      <c r="D60" s="91">
        <v>1337</v>
      </c>
      <c r="E60" s="92">
        <v>0.7939759036144578</v>
      </c>
      <c r="F60" s="92">
        <v>6.6265060240963861E-2</v>
      </c>
      <c r="I60" t="s">
        <v>126</v>
      </c>
    </row>
    <row r="61" spans="1:10" ht="15">
      <c r="A61" s="89" t="s">
        <v>15</v>
      </c>
      <c r="B61" s="90">
        <v>144247</v>
      </c>
      <c r="C61" s="92">
        <f>B61/B70</f>
        <v>0.15147944677820407</v>
      </c>
      <c r="D61" s="91">
        <v>34</v>
      </c>
      <c r="E61" s="92">
        <v>0.89819004524886881</v>
      </c>
      <c r="F61" s="92">
        <v>2.2624434389140271E-2</v>
      </c>
      <c r="I61" t="s">
        <v>127</v>
      </c>
    </row>
    <row r="62" spans="1:10" ht="15">
      <c r="A62" s="89" t="s">
        <v>16</v>
      </c>
      <c r="B62" s="90">
        <v>142231</v>
      </c>
      <c r="C62" s="92">
        <f>B62/B70</f>
        <v>0.14936236590508464</v>
      </c>
      <c r="D62" s="91">
        <v>2050</v>
      </c>
      <c r="E62" s="92">
        <v>0.93942338840298023</v>
      </c>
      <c r="F62" s="92">
        <v>1.7168772270813086E-2</v>
      </c>
      <c r="I62" t="s">
        <v>128</v>
      </c>
      <c r="J62" s="88"/>
    </row>
    <row r="63" spans="1:10" ht="15">
      <c r="A63" s="89" t="s">
        <v>17</v>
      </c>
      <c r="B63" s="90">
        <v>144252</v>
      </c>
      <c r="C63" s="92">
        <f>B63/B70</f>
        <v>0.151484697474814</v>
      </c>
      <c r="D63" s="91">
        <v>29</v>
      </c>
      <c r="E63" s="92">
        <v>0</v>
      </c>
      <c r="F63" s="92">
        <v>0</v>
      </c>
      <c r="I63" t="s">
        <v>127</v>
      </c>
    </row>
    <row r="64" spans="1:10" ht="15">
      <c r="A64" s="89" t="s">
        <v>18</v>
      </c>
      <c r="B64" s="90">
        <v>139663</v>
      </c>
      <c r="C64" s="92">
        <f>B65/B70</f>
        <v>0.14978872246981006</v>
      </c>
      <c r="D64" s="91">
        <v>4618</v>
      </c>
      <c r="E64" s="92">
        <v>0.16025641025641027</v>
      </c>
      <c r="F64" s="92">
        <v>0.25925925925925924</v>
      </c>
      <c r="I64" t="s">
        <v>129</v>
      </c>
    </row>
    <row r="65" spans="1:9" ht="15">
      <c r="A65" s="89" t="s">
        <v>138</v>
      </c>
      <c r="B65" s="95">
        <v>142637</v>
      </c>
      <c r="C65" s="98">
        <f>B64/B70</f>
        <v>0.14666560812623011</v>
      </c>
      <c r="D65" s="95">
        <v>1644</v>
      </c>
      <c r="E65" s="98"/>
      <c r="F65" s="98"/>
      <c r="I65" t="s">
        <v>130</v>
      </c>
    </row>
    <row r="66" spans="1:9" ht="15">
      <c r="A66" s="93" t="s">
        <v>117</v>
      </c>
      <c r="B66" s="91">
        <v>0</v>
      </c>
      <c r="C66" s="91">
        <v>0</v>
      </c>
      <c r="D66" s="9">
        <v>144281</v>
      </c>
      <c r="E66" s="91"/>
      <c r="F66" s="91"/>
      <c r="I66" t="s">
        <v>172</v>
      </c>
    </row>
    <row r="67" spans="1:9">
      <c r="A67" s="90" t="s">
        <v>118</v>
      </c>
      <c r="B67" s="91">
        <v>130931</v>
      </c>
      <c r="C67" s="92">
        <f>B67/B70</f>
        <v>0.13749579156666716</v>
      </c>
      <c r="D67" s="91">
        <v>13350</v>
      </c>
      <c r="E67" s="91"/>
      <c r="F67" s="91"/>
      <c r="I67" t="s">
        <v>173</v>
      </c>
    </row>
    <row r="68" spans="1:9">
      <c r="A68" s="90" t="s">
        <v>119</v>
      </c>
      <c r="B68" s="99">
        <v>144281</v>
      </c>
      <c r="C68" s="100">
        <f>B68/B70</f>
        <v>0.15151515151515152</v>
      </c>
      <c r="D68" s="101">
        <v>0</v>
      </c>
      <c r="E68" s="101"/>
      <c r="F68" s="101"/>
      <c r="I68" t="s">
        <v>174</v>
      </c>
    </row>
    <row r="69" spans="1:9">
      <c r="A69" s="94" t="s">
        <v>136</v>
      </c>
      <c r="B69" s="95">
        <v>6.6</v>
      </c>
      <c r="C69" s="95"/>
      <c r="D69" s="95"/>
      <c r="E69" s="95"/>
      <c r="F69" s="95"/>
      <c r="I69" t="s">
        <v>127</v>
      </c>
    </row>
    <row r="70" spans="1:9">
      <c r="A70" s="90" t="s">
        <v>135</v>
      </c>
      <c r="B70" s="91">
        <f>B69*B71</f>
        <v>952254.6</v>
      </c>
      <c r="C70" s="91"/>
      <c r="D70" s="91"/>
      <c r="E70" s="91"/>
      <c r="F70" s="91"/>
    </row>
    <row r="71" spans="1:9">
      <c r="A71" s="90" t="s">
        <v>134</v>
      </c>
      <c r="B71" s="91">
        <v>144281</v>
      </c>
      <c r="C71" s="91"/>
      <c r="D71" s="91"/>
      <c r="E71" s="91"/>
      <c r="F71" s="91"/>
    </row>
    <row r="72" spans="1:9">
      <c r="A72" s="90" t="s">
        <v>139</v>
      </c>
      <c r="B72" s="91"/>
      <c r="C72" s="96"/>
      <c r="D72" s="91"/>
      <c r="E72" s="91"/>
      <c r="F72" s="91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8"/>
  <sheetViews>
    <sheetView zoomScale="145" zoomScaleNormal="145" workbookViewId="0">
      <pane ySplit="1" topLeftCell="A62" activePane="bottomLeft" state="frozen"/>
      <selection pane="bottomLeft" activeCell="C23" sqref="C23"/>
    </sheetView>
  </sheetViews>
  <sheetFormatPr defaultRowHeight="12.75"/>
  <cols>
    <col min="1" max="1" width="23.85546875" bestFit="1" customWidth="1"/>
    <col min="3" max="3" width="17.5703125" bestFit="1" customWidth="1"/>
    <col min="4" max="4" width="15" customWidth="1"/>
    <col min="5" max="5" width="23.42578125" bestFit="1" customWidth="1"/>
    <col min="10" max="10" width="28.5703125" bestFit="1" customWidth="1"/>
  </cols>
  <sheetData>
    <row r="1" spans="1:10" ht="15">
      <c r="A1" s="109" t="s">
        <v>190</v>
      </c>
      <c r="B1" s="110" t="s">
        <v>1</v>
      </c>
      <c r="C1" s="110" t="s">
        <v>20</v>
      </c>
      <c r="D1" s="110" t="s">
        <v>3</v>
      </c>
      <c r="E1" s="110" t="s">
        <v>4</v>
      </c>
      <c r="F1" s="110" t="s">
        <v>257</v>
      </c>
      <c r="G1" s="110" t="s">
        <v>256</v>
      </c>
    </row>
    <row r="2" spans="1:10" ht="15">
      <c r="A2" s="106" t="s">
        <v>5</v>
      </c>
      <c r="B2" s="105">
        <v>116</v>
      </c>
      <c r="C2" s="105">
        <v>0</v>
      </c>
      <c r="D2" s="105">
        <v>116</v>
      </c>
      <c r="E2" s="105">
        <v>0</v>
      </c>
      <c r="F2" s="105">
        <v>0</v>
      </c>
      <c r="G2" s="105">
        <v>0</v>
      </c>
      <c r="H2" s="114" t="s">
        <v>5</v>
      </c>
    </row>
    <row r="3" spans="1:10" ht="15">
      <c r="A3" s="106" t="s">
        <v>6</v>
      </c>
      <c r="B3" s="105">
        <v>519</v>
      </c>
      <c r="C3" s="105">
        <v>0</v>
      </c>
      <c r="D3" s="105">
        <v>519</v>
      </c>
      <c r="E3" s="105">
        <v>0</v>
      </c>
      <c r="F3" s="105">
        <v>1</v>
      </c>
      <c r="G3" s="105">
        <v>1</v>
      </c>
      <c r="H3" s="106" t="s">
        <v>6</v>
      </c>
    </row>
    <row r="4" spans="1:10" ht="15">
      <c r="A4" s="106" t="s">
        <v>7</v>
      </c>
      <c r="B4" s="105">
        <v>47</v>
      </c>
      <c r="C4" s="105">
        <v>0</v>
      </c>
      <c r="D4" s="105">
        <v>47</v>
      </c>
      <c r="E4" s="105">
        <v>0</v>
      </c>
      <c r="F4" s="105">
        <v>2</v>
      </c>
      <c r="G4" s="105">
        <v>2</v>
      </c>
      <c r="H4" s="106" t="s">
        <v>7</v>
      </c>
      <c r="J4" t="s">
        <v>322</v>
      </c>
    </row>
    <row r="5" spans="1:10" ht="15">
      <c r="A5" s="106" t="s">
        <v>8</v>
      </c>
      <c r="B5" s="105">
        <v>248</v>
      </c>
      <c r="C5" s="105">
        <v>0</v>
      </c>
      <c r="D5" s="105">
        <v>248</v>
      </c>
      <c r="E5" s="105">
        <v>0</v>
      </c>
      <c r="F5" s="105">
        <v>3</v>
      </c>
      <c r="G5" s="105">
        <v>3</v>
      </c>
      <c r="H5" s="126" t="s">
        <v>8</v>
      </c>
      <c r="J5">
        <v>50300</v>
      </c>
    </row>
    <row r="6" spans="1:10" ht="15">
      <c r="A6" s="106" t="s">
        <v>9</v>
      </c>
      <c r="B6" s="105">
        <v>86</v>
      </c>
      <c r="C6" s="105">
        <v>0</v>
      </c>
      <c r="D6" s="105">
        <v>86</v>
      </c>
      <c r="E6" s="105">
        <v>0</v>
      </c>
      <c r="F6" s="105">
        <v>4</v>
      </c>
      <c r="G6" s="105">
        <v>4</v>
      </c>
      <c r="H6" s="114" t="s">
        <v>9</v>
      </c>
      <c r="J6" s="88" t="s">
        <v>323</v>
      </c>
    </row>
    <row r="7" spans="1:10" ht="15">
      <c r="A7" s="106" t="s">
        <v>10</v>
      </c>
      <c r="B7" s="105">
        <v>298</v>
      </c>
      <c r="C7" s="105">
        <v>0</v>
      </c>
      <c r="D7" s="105">
        <v>298</v>
      </c>
      <c r="E7" s="105">
        <v>0</v>
      </c>
      <c r="F7" s="105">
        <v>5</v>
      </c>
      <c r="G7" s="105">
        <v>5</v>
      </c>
      <c r="H7" s="114" t="s">
        <v>10</v>
      </c>
    </row>
    <row r="8" spans="1:10" ht="15">
      <c r="A8" s="106" t="s">
        <v>11</v>
      </c>
      <c r="B8" s="105">
        <v>100</v>
      </c>
      <c r="C8" s="105">
        <v>0</v>
      </c>
      <c r="D8" s="105">
        <v>100</v>
      </c>
      <c r="E8" s="105">
        <v>0</v>
      </c>
      <c r="F8" s="105">
        <v>6</v>
      </c>
      <c r="G8" s="105">
        <v>6</v>
      </c>
      <c r="H8" s="114" t="s">
        <v>11</v>
      </c>
    </row>
    <row r="9" spans="1:10" ht="15">
      <c r="A9" s="106" t="s">
        <v>12</v>
      </c>
      <c r="B9" s="105">
        <v>530</v>
      </c>
      <c r="C9" s="105">
        <v>0</v>
      </c>
      <c r="D9" s="105">
        <v>530</v>
      </c>
      <c r="E9" s="105">
        <v>0</v>
      </c>
      <c r="F9" s="105">
        <v>7</v>
      </c>
      <c r="G9" s="105">
        <v>7</v>
      </c>
      <c r="H9" s="106" t="s">
        <v>12</v>
      </c>
    </row>
    <row r="10" spans="1:10" ht="15">
      <c r="A10" s="106" t="s">
        <v>13</v>
      </c>
      <c r="B10" s="105">
        <v>31</v>
      </c>
      <c r="C10" s="105">
        <v>0</v>
      </c>
      <c r="D10" s="105">
        <v>31</v>
      </c>
      <c r="E10" s="105">
        <v>0</v>
      </c>
      <c r="F10" s="105">
        <v>8</v>
      </c>
      <c r="G10" s="105">
        <v>8</v>
      </c>
      <c r="H10" s="106" t="s">
        <v>13</v>
      </c>
    </row>
    <row r="11" spans="1:10" ht="15">
      <c r="A11" s="106" t="s">
        <v>14</v>
      </c>
      <c r="B11" s="105">
        <v>718</v>
      </c>
      <c r="C11" s="105">
        <v>0</v>
      </c>
      <c r="D11" s="105">
        <v>718</v>
      </c>
      <c r="E11" s="105">
        <v>0</v>
      </c>
      <c r="F11" s="105">
        <v>9</v>
      </c>
      <c r="G11" s="105">
        <v>9</v>
      </c>
      <c r="H11" s="106" t="s">
        <v>14</v>
      </c>
    </row>
    <row r="12" spans="1:10" ht="15">
      <c r="A12" s="106" t="s">
        <v>15</v>
      </c>
      <c r="B12" s="105">
        <v>115</v>
      </c>
      <c r="C12" s="105">
        <v>0</v>
      </c>
      <c r="D12" s="105">
        <v>115</v>
      </c>
      <c r="E12" s="105">
        <v>0</v>
      </c>
      <c r="F12" s="108" t="s">
        <v>258</v>
      </c>
      <c r="G12" s="105">
        <v>10</v>
      </c>
      <c r="H12" s="106" t="s">
        <v>15</v>
      </c>
    </row>
    <row r="13" spans="1:10" ht="15">
      <c r="A13" s="106" t="s">
        <v>16</v>
      </c>
      <c r="B13" s="105">
        <v>478</v>
      </c>
      <c r="C13" s="105">
        <v>0</v>
      </c>
      <c r="D13" s="105">
        <v>478</v>
      </c>
      <c r="E13" s="105">
        <v>0</v>
      </c>
      <c r="F13" s="105" t="s">
        <v>259</v>
      </c>
      <c r="G13" s="105">
        <v>11</v>
      </c>
      <c r="H13" s="106" t="s">
        <v>16</v>
      </c>
    </row>
    <row r="14" spans="1:10" ht="15">
      <c r="A14" s="106" t="s">
        <v>17</v>
      </c>
      <c r="B14" s="105">
        <v>157</v>
      </c>
      <c r="C14" s="105">
        <v>0</v>
      </c>
      <c r="D14" s="105">
        <v>157</v>
      </c>
      <c r="E14" s="105">
        <v>0</v>
      </c>
      <c r="F14" s="105" t="s">
        <v>260</v>
      </c>
      <c r="G14" s="105">
        <v>12</v>
      </c>
      <c r="H14" s="106" t="s">
        <v>17</v>
      </c>
    </row>
    <row r="15" spans="1:10" ht="15">
      <c r="A15" s="106" t="s">
        <v>191</v>
      </c>
      <c r="B15" s="105">
        <v>559</v>
      </c>
      <c r="C15" s="105">
        <v>0</v>
      </c>
      <c r="D15" s="105">
        <v>559</v>
      </c>
      <c r="E15" s="105">
        <v>0</v>
      </c>
      <c r="F15" s="105" t="s">
        <v>261</v>
      </c>
      <c r="G15" s="105">
        <v>13</v>
      </c>
      <c r="H15" s="114" t="s">
        <v>191</v>
      </c>
    </row>
    <row r="16" spans="1:10" ht="15">
      <c r="A16" s="106" t="s">
        <v>18</v>
      </c>
      <c r="B16" s="105">
        <v>75</v>
      </c>
      <c r="C16" s="105">
        <v>0</v>
      </c>
      <c r="D16" s="105">
        <v>75</v>
      </c>
      <c r="E16" s="105">
        <v>0</v>
      </c>
      <c r="F16" s="105" t="s">
        <v>262</v>
      </c>
      <c r="G16" s="105">
        <v>14</v>
      </c>
      <c r="H16" s="113" t="s">
        <v>18</v>
      </c>
    </row>
    <row r="17" spans="1:8">
      <c r="A17" s="111" t="s">
        <v>192</v>
      </c>
      <c r="B17" s="111">
        <v>429</v>
      </c>
      <c r="C17" s="111">
        <v>0</v>
      </c>
      <c r="D17" s="111">
        <v>429</v>
      </c>
      <c r="E17" s="111">
        <v>0</v>
      </c>
      <c r="F17" s="111" t="s">
        <v>263</v>
      </c>
      <c r="G17" s="111">
        <v>15</v>
      </c>
      <c r="H17" s="115" t="s">
        <v>287</v>
      </c>
    </row>
    <row r="18" spans="1:8">
      <c r="A18" s="112" t="s">
        <v>193</v>
      </c>
      <c r="B18" s="112">
        <v>151</v>
      </c>
      <c r="C18" s="112">
        <v>0</v>
      </c>
      <c r="D18" s="112">
        <v>151</v>
      </c>
      <c r="E18" s="112">
        <v>0</v>
      </c>
      <c r="F18" s="112">
        <v>10</v>
      </c>
      <c r="G18" s="112">
        <v>16</v>
      </c>
      <c r="H18" s="117"/>
    </row>
    <row r="19" spans="1:8">
      <c r="A19" s="111" t="s">
        <v>194</v>
      </c>
      <c r="B19" s="111">
        <v>541</v>
      </c>
      <c r="C19" s="111">
        <v>0</v>
      </c>
      <c r="D19" s="111">
        <v>541</v>
      </c>
      <c r="E19" s="111">
        <v>0</v>
      </c>
      <c r="F19" s="111">
        <v>11</v>
      </c>
      <c r="G19" s="111">
        <v>17</v>
      </c>
      <c r="H19" s="115" t="s">
        <v>288</v>
      </c>
    </row>
    <row r="20" spans="1:8">
      <c r="A20" s="112" t="s">
        <v>196</v>
      </c>
      <c r="B20" s="112">
        <v>66</v>
      </c>
      <c r="C20" s="112">
        <v>0</v>
      </c>
      <c r="D20" s="112">
        <v>66</v>
      </c>
      <c r="E20" s="112">
        <v>0</v>
      </c>
      <c r="F20" s="112">
        <v>12</v>
      </c>
      <c r="G20" s="112">
        <v>18</v>
      </c>
      <c r="H20" s="116"/>
    </row>
    <row r="21" spans="1:8">
      <c r="A21" s="111" t="s">
        <v>195</v>
      </c>
      <c r="B21" s="111">
        <v>740</v>
      </c>
      <c r="C21" s="111">
        <v>0</v>
      </c>
      <c r="D21" s="111">
        <v>740</v>
      </c>
      <c r="E21" s="111">
        <v>0</v>
      </c>
      <c r="F21" s="111">
        <v>13</v>
      </c>
      <c r="G21" s="111">
        <v>19</v>
      </c>
      <c r="H21" s="115" t="s">
        <v>289</v>
      </c>
    </row>
    <row r="22" spans="1:8">
      <c r="A22" s="112" t="s">
        <v>197</v>
      </c>
      <c r="B22" s="112">
        <v>254</v>
      </c>
      <c r="C22" s="112">
        <v>0</v>
      </c>
      <c r="D22" s="112">
        <v>254</v>
      </c>
      <c r="E22" s="112">
        <v>0</v>
      </c>
      <c r="F22" s="112">
        <v>14</v>
      </c>
      <c r="G22" s="112">
        <v>20</v>
      </c>
      <c r="H22" s="116"/>
    </row>
    <row r="23" spans="1:8">
      <c r="A23" s="111" t="s">
        <v>198</v>
      </c>
      <c r="B23" s="111">
        <v>465</v>
      </c>
      <c r="C23" s="111">
        <v>82</v>
      </c>
      <c r="D23" s="111">
        <v>383</v>
      </c>
      <c r="E23" s="111">
        <v>0</v>
      </c>
      <c r="F23" s="111">
        <v>15</v>
      </c>
      <c r="G23" s="111">
        <v>21</v>
      </c>
      <c r="H23" s="115" t="s">
        <v>290</v>
      </c>
    </row>
    <row r="24" spans="1:8">
      <c r="A24" s="112" t="s">
        <v>200</v>
      </c>
      <c r="B24" s="112">
        <v>105</v>
      </c>
      <c r="C24" s="112">
        <v>0</v>
      </c>
      <c r="D24" s="112">
        <v>105</v>
      </c>
      <c r="E24" s="112">
        <v>0</v>
      </c>
      <c r="F24" s="112">
        <v>16</v>
      </c>
      <c r="G24" s="112">
        <v>22</v>
      </c>
      <c r="H24" s="116"/>
    </row>
    <row r="25" spans="1:8">
      <c r="A25" s="111" t="s">
        <v>199</v>
      </c>
      <c r="B25" s="111">
        <v>870</v>
      </c>
      <c r="C25" s="111">
        <v>0</v>
      </c>
      <c r="D25" s="111">
        <v>870</v>
      </c>
      <c r="E25" s="111">
        <v>0</v>
      </c>
      <c r="F25" s="111">
        <v>17</v>
      </c>
      <c r="G25" s="111">
        <v>23</v>
      </c>
      <c r="H25" s="115" t="s">
        <v>291</v>
      </c>
    </row>
    <row r="26" spans="1:8">
      <c r="A26" s="112" t="s">
        <v>201</v>
      </c>
      <c r="B26" s="112">
        <v>4</v>
      </c>
      <c r="C26" s="112">
        <v>0</v>
      </c>
      <c r="D26" s="112">
        <v>4</v>
      </c>
      <c r="E26" s="112">
        <v>0</v>
      </c>
      <c r="F26" s="112">
        <v>18</v>
      </c>
      <c r="G26" s="112">
        <v>24</v>
      </c>
      <c r="H26" s="116"/>
    </row>
    <row r="27" spans="1:8">
      <c r="A27" s="111" t="s">
        <v>202</v>
      </c>
      <c r="B27" s="111">
        <v>564</v>
      </c>
      <c r="C27" s="111">
        <v>0</v>
      </c>
      <c r="D27" s="111">
        <v>564</v>
      </c>
      <c r="E27" s="111">
        <v>0</v>
      </c>
      <c r="F27" s="111">
        <v>19</v>
      </c>
      <c r="G27" s="111">
        <v>25</v>
      </c>
      <c r="H27" s="118" t="s">
        <v>292</v>
      </c>
    </row>
    <row r="28" spans="1:8">
      <c r="A28" s="112" t="s">
        <v>203</v>
      </c>
      <c r="B28" s="112">
        <v>225</v>
      </c>
      <c r="C28" s="112">
        <v>0</v>
      </c>
      <c r="D28" s="112">
        <v>225</v>
      </c>
      <c r="E28" s="112">
        <v>0</v>
      </c>
      <c r="F28" s="112" t="s">
        <v>264</v>
      </c>
      <c r="G28" s="112">
        <v>26</v>
      </c>
      <c r="H28" s="119"/>
    </row>
    <row r="29" spans="1:8">
      <c r="A29" s="111" t="s">
        <v>204</v>
      </c>
      <c r="B29" s="111">
        <v>195</v>
      </c>
      <c r="C29" s="111">
        <v>0</v>
      </c>
      <c r="D29" s="111">
        <v>195</v>
      </c>
      <c r="E29" s="111">
        <v>0</v>
      </c>
      <c r="F29" s="111" t="s">
        <v>265</v>
      </c>
      <c r="G29" s="111">
        <v>27</v>
      </c>
      <c r="H29" s="115" t="s">
        <v>293</v>
      </c>
    </row>
    <row r="30" spans="1:8">
      <c r="A30" s="112" t="s">
        <v>205</v>
      </c>
      <c r="B30" s="112">
        <v>162</v>
      </c>
      <c r="C30" s="112">
        <v>0</v>
      </c>
      <c r="D30" s="112">
        <v>162</v>
      </c>
      <c r="E30" s="112">
        <v>0</v>
      </c>
      <c r="F30" s="112" t="s">
        <v>266</v>
      </c>
      <c r="G30" s="112">
        <v>28</v>
      </c>
      <c r="H30" s="116"/>
    </row>
    <row r="31" spans="1:8">
      <c r="A31" s="111" t="s">
        <v>206</v>
      </c>
      <c r="B31" s="111">
        <v>470</v>
      </c>
      <c r="C31" s="111">
        <v>0</v>
      </c>
      <c r="D31" s="111">
        <v>470</v>
      </c>
      <c r="E31" s="111">
        <v>0</v>
      </c>
      <c r="F31" s="111" t="s">
        <v>267</v>
      </c>
      <c r="G31" s="111">
        <v>29</v>
      </c>
      <c r="H31" s="115" t="s">
        <v>294</v>
      </c>
    </row>
    <row r="32" spans="1:8">
      <c r="A32" s="112" t="s">
        <v>207</v>
      </c>
      <c r="B32" s="112">
        <v>36</v>
      </c>
      <c r="C32" s="112">
        <v>0</v>
      </c>
      <c r="D32" s="112">
        <v>36</v>
      </c>
      <c r="E32" s="112">
        <v>0</v>
      </c>
      <c r="F32" s="112" t="s">
        <v>268</v>
      </c>
      <c r="G32" s="112">
        <v>30</v>
      </c>
      <c r="H32" s="116"/>
    </row>
    <row r="33" spans="1:8">
      <c r="A33" s="111" t="s">
        <v>208</v>
      </c>
      <c r="B33" s="111">
        <v>567</v>
      </c>
      <c r="C33" s="111">
        <v>0</v>
      </c>
      <c r="D33" s="111">
        <v>567</v>
      </c>
      <c r="E33" s="111">
        <v>0</v>
      </c>
      <c r="F33" s="111" t="s">
        <v>269</v>
      </c>
      <c r="G33" s="111">
        <v>31</v>
      </c>
      <c r="H33" s="111" t="s">
        <v>295</v>
      </c>
    </row>
    <row r="34" spans="1:8">
      <c r="A34" s="112" t="s">
        <v>209</v>
      </c>
      <c r="B34" s="112">
        <v>87</v>
      </c>
      <c r="C34" s="112">
        <v>0</v>
      </c>
      <c r="D34" s="112">
        <v>87</v>
      </c>
      <c r="E34" s="112">
        <v>0</v>
      </c>
      <c r="F34" s="112">
        <v>20</v>
      </c>
      <c r="G34" s="112">
        <v>32</v>
      </c>
      <c r="H34" s="112"/>
    </row>
    <row r="35" spans="1:8">
      <c r="A35" s="111" t="s">
        <v>210</v>
      </c>
      <c r="B35" s="111">
        <v>299</v>
      </c>
      <c r="C35" s="111">
        <v>0</v>
      </c>
      <c r="D35" s="111">
        <v>299</v>
      </c>
      <c r="E35" s="111">
        <v>0</v>
      </c>
      <c r="F35" s="111">
        <v>21</v>
      </c>
      <c r="G35" s="111">
        <v>33</v>
      </c>
      <c r="H35" s="111" t="s">
        <v>296</v>
      </c>
    </row>
    <row r="36" spans="1:8">
      <c r="A36" s="112" t="s">
        <v>211</v>
      </c>
      <c r="B36" s="112">
        <v>143</v>
      </c>
      <c r="C36" s="112">
        <v>0</v>
      </c>
      <c r="D36" s="112">
        <v>143</v>
      </c>
      <c r="E36" s="112">
        <v>0</v>
      </c>
      <c r="F36" s="112">
        <v>22</v>
      </c>
      <c r="G36" s="112">
        <v>34</v>
      </c>
      <c r="H36" s="112"/>
    </row>
    <row r="37" spans="1:8">
      <c r="A37" s="111" t="s">
        <v>212</v>
      </c>
      <c r="B37" s="111">
        <v>443</v>
      </c>
      <c r="C37" s="111">
        <v>0</v>
      </c>
      <c r="D37" s="111">
        <v>443</v>
      </c>
      <c r="E37" s="111">
        <v>0</v>
      </c>
      <c r="F37" s="111">
        <v>23</v>
      </c>
      <c r="G37" s="111">
        <v>35</v>
      </c>
      <c r="H37" s="111" t="s">
        <v>297</v>
      </c>
    </row>
    <row r="38" spans="1:8">
      <c r="A38" s="112" t="s">
        <v>213</v>
      </c>
      <c r="B38" s="112">
        <v>84</v>
      </c>
      <c r="C38" s="112">
        <v>0</v>
      </c>
      <c r="D38" s="112">
        <v>84</v>
      </c>
      <c r="E38" s="112">
        <v>0</v>
      </c>
      <c r="F38" s="112">
        <v>24</v>
      </c>
      <c r="G38" s="112">
        <v>36</v>
      </c>
      <c r="H38" s="112"/>
    </row>
    <row r="39" spans="1:8">
      <c r="A39" s="111" t="s">
        <v>214</v>
      </c>
      <c r="B39" s="111">
        <v>645</v>
      </c>
      <c r="C39" s="111">
        <v>0</v>
      </c>
      <c r="D39" s="111">
        <v>645</v>
      </c>
      <c r="E39" s="111">
        <v>0</v>
      </c>
      <c r="F39" s="111">
        <v>25</v>
      </c>
      <c r="G39" s="111">
        <v>37</v>
      </c>
      <c r="H39" s="111" t="s">
        <v>298</v>
      </c>
    </row>
    <row r="40" spans="1:8">
      <c r="A40" s="112" t="s">
        <v>215</v>
      </c>
      <c r="B40" s="112">
        <v>153</v>
      </c>
      <c r="C40" s="112">
        <v>0</v>
      </c>
      <c r="D40" s="112">
        <v>153</v>
      </c>
      <c r="E40" s="112">
        <v>0</v>
      </c>
      <c r="F40" s="112">
        <v>26</v>
      </c>
      <c r="G40" s="112">
        <v>38</v>
      </c>
      <c r="H40" s="112"/>
    </row>
    <row r="41" spans="1:8">
      <c r="A41" s="111" t="s">
        <v>216</v>
      </c>
      <c r="B41" s="111">
        <v>341</v>
      </c>
      <c r="C41" s="111">
        <v>0</v>
      </c>
      <c r="D41" s="111">
        <v>341</v>
      </c>
      <c r="E41" s="111">
        <v>0</v>
      </c>
      <c r="F41" s="111">
        <v>27</v>
      </c>
      <c r="G41" s="111">
        <v>39</v>
      </c>
      <c r="H41" s="111" t="s">
        <v>299</v>
      </c>
    </row>
    <row r="42" spans="1:8">
      <c r="A42" s="112" t="s">
        <v>217</v>
      </c>
      <c r="B42" s="112">
        <v>103</v>
      </c>
      <c r="C42" s="112">
        <v>0</v>
      </c>
      <c r="D42" s="112">
        <v>103</v>
      </c>
      <c r="E42" s="112">
        <v>0</v>
      </c>
      <c r="F42" s="112">
        <v>28</v>
      </c>
      <c r="G42" s="112">
        <v>40</v>
      </c>
      <c r="H42" s="112"/>
    </row>
    <row r="43" spans="1:8">
      <c r="A43" s="111" t="s">
        <v>218</v>
      </c>
      <c r="B43" s="111">
        <v>293</v>
      </c>
      <c r="C43" s="111">
        <v>0</v>
      </c>
      <c r="D43" s="111">
        <v>293</v>
      </c>
      <c r="E43" s="111">
        <v>0</v>
      </c>
      <c r="F43" s="111">
        <v>29</v>
      </c>
      <c r="G43" s="111">
        <v>41</v>
      </c>
      <c r="H43" s="111" t="s">
        <v>300</v>
      </c>
    </row>
    <row r="44" spans="1:8">
      <c r="A44" s="112" t="s">
        <v>219</v>
      </c>
      <c r="B44" s="112">
        <v>126</v>
      </c>
      <c r="C44" s="112">
        <v>0</v>
      </c>
      <c r="D44" s="112">
        <v>126</v>
      </c>
      <c r="E44" s="112">
        <v>0</v>
      </c>
      <c r="F44" s="112" t="s">
        <v>270</v>
      </c>
      <c r="G44" s="112">
        <v>42</v>
      </c>
      <c r="H44" s="112"/>
    </row>
    <row r="45" spans="1:8">
      <c r="A45" s="111" t="s">
        <v>220</v>
      </c>
      <c r="B45" s="111">
        <v>345</v>
      </c>
      <c r="C45" s="111">
        <v>0</v>
      </c>
      <c r="D45" s="111">
        <v>345</v>
      </c>
      <c r="E45" s="111">
        <v>0</v>
      </c>
      <c r="F45" s="111" t="s">
        <v>271</v>
      </c>
      <c r="G45" s="111">
        <v>43</v>
      </c>
      <c r="H45" s="111" t="s">
        <v>301</v>
      </c>
    </row>
    <row r="46" spans="1:8">
      <c r="A46" s="112" t="s">
        <v>221</v>
      </c>
      <c r="B46" s="112">
        <v>172</v>
      </c>
      <c r="C46" s="112">
        <v>0</v>
      </c>
      <c r="D46" s="112">
        <v>172</v>
      </c>
      <c r="E46" s="112">
        <v>0</v>
      </c>
      <c r="F46" s="112" t="s">
        <v>272</v>
      </c>
      <c r="G46" s="112">
        <v>44</v>
      </c>
      <c r="H46" s="112"/>
    </row>
    <row r="47" spans="1:8">
      <c r="A47" s="111" t="s">
        <v>222</v>
      </c>
      <c r="B47" s="111">
        <v>325</v>
      </c>
      <c r="C47" s="111">
        <v>0</v>
      </c>
      <c r="D47" s="111">
        <v>325</v>
      </c>
      <c r="E47" s="111">
        <v>0</v>
      </c>
      <c r="F47" s="111" t="s">
        <v>273</v>
      </c>
      <c r="G47" s="111">
        <v>45</v>
      </c>
      <c r="H47" s="111" t="s">
        <v>302</v>
      </c>
    </row>
    <row r="48" spans="1:8">
      <c r="A48" s="112" t="s">
        <v>223</v>
      </c>
      <c r="B48" s="112">
        <v>4</v>
      </c>
      <c r="C48" s="112">
        <v>0</v>
      </c>
      <c r="D48" s="112">
        <v>4</v>
      </c>
      <c r="E48" s="112">
        <v>0</v>
      </c>
      <c r="F48" s="112" t="s">
        <v>274</v>
      </c>
      <c r="G48" s="112">
        <v>46</v>
      </c>
      <c r="H48" s="112"/>
    </row>
    <row r="49" spans="1:8">
      <c r="A49" s="111" t="s">
        <v>224</v>
      </c>
      <c r="B49" s="111">
        <v>587</v>
      </c>
      <c r="C49" s="111">
        <v>0</v>
      </c>
      <c r="D49" s="111">
        <v>587</v>
      </c>
      <c r="E49" s="111">
        <v>0</v>
      </c>
      <c r="F49" s="111" t="s">
        <v>275</v>
      </c>
      <c r="G49" s="111">
        <v>47</v>
      </c>
      <c r="H49" s="120" t="s">
        <v>303</v>
      </c>
    </row>
    <row r="50" spans="1:8">
      <c r="A50" s="112" t="s">
        <v>225</v>
      </c>
      <c r="B50" s="112">
        <v>134</v>
      </c>
      <c r="C50" s="112">
        <v>0</v>
      </c>
      <c r="D50" s="112">
        <v>134</v>
      </c>
      <c r="E50" s="112">
        <v>0</v>
      </c>
      <c r="F50" s="112">
        <v>30</v>
      </c>
      <c r="G50" s="112">
        <v>48</v>
      </c>
      <c r="H50" s="116"/>
    </row>
    <row r="51" spans="1:8">
      <c r="A51" s="111" t="s">
        <v>226</v>
      </c>
      <c r="B51" s="111">
        <v>245</v>
      </c>
      <c r="C51" s="111">
        <v>0</v>
      </c>
      <c r="D51" s="111">
        <v>245</v>
      </c>
      <c r="E51" s="111">
        <v>0</v>
      </c>
      <c r="F51" s="111">
        <v>31</v>
      </c>
      <c r="G51" s="111">
        <v>49</v>
      </c>
      <c r="H51" s="115" t="s">
        <v>304</v>
      </c>
    </row>
    <row r="52" spans="1:8">
      <c r="A52" s="112" t="s">
        <v>227</v>
      </c>
      <c r="B52" s="112">
        <v>125</v>
      </c>
      <c r="C52" s="112">
        <v>0</v>
      </c>
      <c r="D52" s="112">
        <v>125</v>
      </c>
      <c r="E52" s="112">
        <v>0</v>
      </c>
      <c r="F52" s="112">
        <v>32</v>
      </c>
      <c r="G52" s="112">
        <v>50</v>
      </c>
      <c r="H52" s="116"/>
    </row>
    <row r="53" spans="1:8">
      <c r="A53" s="111" t="s">
        <v>228</v>
      </c>
      <c r="B53" s="111">
        <v>322</v>
      </c>
      <c r="C53" s="111">
        <v>0</v>
      </c>
      <c r="D53" s="111">
        <v>322</v>
      </c>
      <c r="E53" s="111">
        <v>0</v>
      </c>
      <c r="F53" s="111">
        <v>33</v>
      </c>
      <c r="G53" s="111">
        <v>51</v>
      </c>
      <c r="H53" s="115" t="s">
        <v>305</v>
      </c>
    </row>
    <row r="54" spans="1:8">
      <c r="A54" s="112" t="s">
        <v>229</v>
      </c>
      <c r="B54" s="112">
        <v>26</v>
      </c>
      <c r="C54" s="112">
        <v>0</v>
      </c>
      <c r="D54" s="112">
        <v>26</v>
      </c>
      <c r="E54" s="112">
        <v>0</v>
      </c>
      <c r="F54" s="112">
        <v>34</v>
      </c>
      <c r="G54" s="112">
        <v>52</v>
      </c>
      <c r="H54" s="116"/>
    </row>
    <row r="55" spans="1:8">
      <c r="A55" s="111" t="s">
        <v>230</v>
      </c>
      <c r="B55" s="111">
        <v>606</v>
      </c>
      <c r="C55" s="111">
        <v>0</v>
      </c>
      <c r="D55" s="111">
        <v>606</v>
      </c>
      <c r="E55" s="111">
        <v>0</v>
      </c>
      <c r="F55" s="111">
        <v>35</v>
      </c>
      <c r="G55" s="111">
        <v>53</v>
      </c>
      <c r="H55" s="115" t="s">
        <v>306</v>
      </c>
    </row>
    <row r="56" spans="1:8">
      <c r="A56" s="112" t="s">
        <v>231</v>
      </c>
      <c r="B56" s="112">
        <v>7</v>
      </c>
      <c r="C56" s="112">
        <v>0</v>
      </c>
      <c r="D56" s="112">
        <v>7</v>
      </c>
      <c r="E56" s="112">
        <v>0</v>
      </c>
      <c r="F56" s="112">
        <v>36</v>
      </c>
      <c r="G56" s="112">
        <v>54</v>
      </c>
      <c r="H56" s="116"/>
    </row>
    <row r="57" spans="1:8">
      <c r="A57" s="111" t="s">
        <v>232</v>
      </c>
      <c r="B57" s="111">
        <v>265</v>
      </c>
      <c r="C57" s="111">
        <v>0</v>
      </c>
      <c r="D57" s="111">
        <v>265</v>
      </c>
      <c r="E57" s="111">
        <v>0</v>
      </c>
      <c r="F57" s="111">
        <v>37</v>
      </c>
      <c r="G57" s="111">
        <v>55</v>
      </c>
      <c r="H57" s="115" t="s">
        <v>307</v>
      </c>
    </row>
    <row r="58" spans="1:8">
      <c r="A58" s="112" t="s">
        <v>233</v>
      </c>
      <c r="B58" s="112">
        <v>190</v>
      </c>
      <c r="C58" s="112">
        <v>0</v>
      </c>
      <c r="D58" s="112">
        <v>190</v>
      </c>
      <c r="E58" s="112">
        <v>0</v>
      </c>
      <c r="F58" s="112">
        <v>38</v>
      </c>
      <c r="G58" s="112">
        <v>56</v>
      </c>
      <c r="H58" s="116"/>
    </row>
    <row r="59" spans="1:8">
      <c r="A59" s="111" t="s">
        <v>234</v>
      </c>
      <c r="B59" s="111">
        <v>150</v>
      </c>
      <c r="C59" s="111">
        <v>0</v>
      </c>
      <c r="D59" s="111">
        <v>150</v>
      </c>
      <c r="E59" s="111">
        <v>0</v>
      </c>
      <c r="F59" s="111">
        <v>39</v>
      </c>
      <c r="G59" s="111">
        <v>57</v>
      </c>
      <c r="H59" s="115" t="s">
        <v>308</v>
      </c>
    </row>
    <row r="60" spans="1:8">
      <c r="A60" s="112" t="s">
        <v>235</v>
      </c>
      <c r="B60" s="112">
        <v>90</v>
      </c>
      <c r="C60" s="112">
        <v>0</v>
      </c>
      <c r="D60" s="112">
        <v>90</v>
      </c>
      <c r="E60" s="112">
        <v>0</v>
      </c>
      <c r="F60" s="112" t="s">
        <v>276</v>
      </c>
      <c r="G60" s="112">
        <v>58</v>
      </c>
      <c r="H60" s="116"/>
    </row>
    <row r="61" spans="1:8">
      <c r="A61" s="111" t="s">
        <v>236</v>
      </c>
      <c r="B61" s="111">
        <v>549</v>
      </c>
      <c r="C61" s="111">
        <v>0</v>
      </c>
      <c r="D61" s="111">
        <v>549</v>
      </c>
      <c r="E61" s="111">
        <v>0</v>
      </c>
      <c r="F61" s="111" t="s">
        <v>277</v>
      </c>
      <c r="G61" s="111">
        <v>59</v>
      </c>
      <c r="H61" s="118" t="s">
        <v>309</v>
      </c>
    </row>
    <row r="62" spans="1:8">
      <c r="A62" s="112" t="s">
        <v>237</v>
      </c>
      <c r="B62" s="112">
        <v>55</v>
      </c>
      <c r="C62" s="112">
        <v>0</v>
      </c>
      <c r="D62" s="112">
        <v>55</v>
      </c>
      <c r="E62" s="112">
        <v>0</v>
      </c>
      <c r="F62" s="112" t="s">
        <v>278</v>
      </c>
      <c r="G62" s="112">
        <v>60</v>
      </c>
      <c r="H62" s="119"/>
    </row>
    <row r="63" spans="1:8">
      <c r="A63" s="111" t="s">
        <v>238</v>
      </c>
      <c r="B63" s="111">
        <v>416</v>
      </c>
      <c r="C63" s="111">
        <v>0</v>
      </c>
      <c r="D63" s="111">
        <v>416</v>
      </c>
      <c r="E63" s="111">
        <v>0</v>
      </c>
      <c r="F63" s="111" t="s">
        <v>279</v>
      </c>
      <c r="G63" s="111">
        <v>61</v>
      </c>
      <c r="H63" s="118" t="s">
        <v>310</v>
      </c>
    </row>
    <row r="64" spans="1:8">
      <c r="A64" s="112" t="s">
        <v>239</v>
      </c>
      <c r="B64" s="128">
        <v>121</v>
      </c>
      <c r="C64" s="128">
        <v>0</v>
      </c>
      <c r="D64" s="128">
        <v>121</v>
      </c>
      <c r="E64" s="128">
        <v>0</v>
      </c>
      <c r="F64" s="112" t="s">
        <v>280</v>
      </c>
      <c r="G64" s="112">
        <v>62</v>
      </c>
      <c r="H64" s="119"/>
    </row>
    <row r="65" spans="1:8">
      <c r="A65" s="111" t="s">
        <v>240</v>
      </c>
      <c r="B65" s="111">
        <v>194</v>
      </c>
      <c r="C65" s="111">
        <v>0</v>
      </c>
      <c r="D65" s="111">
        <v>194</v>
      </c>
      <c r="E65" s="111">
        <v>0</v>
      </c>
      <c r="F65" s="111" t="s">
        <v>281</v>
      </c>
      <c r="G65" s="111">
        <v>63</v>
      </c>
      <c r="H65" s="115" t="s">
        <v>311</v>
      </c>
    </row>
    <row r="66" spans="1:8">
      <c r="A66" s="112" t="s">
        <v>241</v>
      </c>
      <c r="B66" s="112">
        <v>108</v>
      </c>
      <c r="C66" s="112">
        <v>0</v>
      </c>
      <c r="D66" s="112">
        <v>40</v>
      </c>
      <c r="E66" s="112">
        <v>0</v>
      </c>
      <c r="F66" s="112">
        <v>40</v>
      </c>
      <c r="G66" s="112">
        <v>64</v>
      </c>
      <c r="H66" s="116"/>
    </row>
    <row r="67" spans="1:8">
      <c r="A67" s="111" t="s">
        <v>242</v>
      </c>
      <c r="B67" s="111">
        <v>574</v>
      </c>
      <c r="C67" s="111">
        <v>29</v>
      </c>
      <c r="D67" s="111">
        <v>542</v>
      </c>
      <c r="E67" s="111">
        <v>0</v>
      </c>
      <c r="F67" s="111">
        <v>41</v>
      </c>
      <c r="G67" s="111">
        <v>65</v>
      </c>
      <c r="H67" s="118" t="s">
        <v>312</v>
      </c>
    </row>
    <row r="68" spans="1:8">
      <c r="A68" s="112" t="s">
        <v>243</v>
      </c>
      <c r="B68" s="112">
        <v>65</v>
      </c>
      <c r="C68" s="112">
        <v>0</v>
      </c>
      <c r="D68" s="112">
        <v>65</v>
      </c>
      <c r="E68" s="112">
        <v>0</v>
      </c>
      <c r="F68" s="112">
        <v>42</v>
      </c>
      <c r="G68" s="112">
        <v>66</v>
      </c>
      <c r="H68" s="119"/>
    </row>
    <row r="69" spans="1:8">
      <c r="A69" s="111" t="s">
        <v>244</v>
      </c>
      <c r="B69" s="111">
        <v>283</v>
      </c>
      <c r="C69" s="111">
        <v>0</v>
      </c>
      <c r="D69" s="111">
        <v>283</v>
      </c>
      <c r="E69" s="111">
        <v>0</v>
      </c>
      <c r="F69" s="111">
        <v>43</v>
      </c>
      <c r="G69" s="111">
        <v>67</v>
      </c>
      <c r="H69" s="118" t="s">
        <v>313</v>
      </c>
    </row>
    <row r="70" spans="1:8">
      <c r="A70" s="112" t="s">
        <v>245</v>
      </c>
      <c r="B70" s="112">
        <v>79</v>
      </c>
      <c r="C70" s="112">
        <v>0</v>
      </c>
      <c r="D70" s="112">
        <v>79</v>
      </c>
      <c r="E70" s="112">
        <v>0</v>
      </c>
      <c r="F70" s="112">
        <v>44</v>
      </c>
      <c r="G70" s="112">
        <v>68</v>
      </c>
      <c r="H70" s="119"/>
    </row>
    <row r="71" spans="1:8">
      <c r="A71" s="111" t="s">
        <v>246</v>
      </c>
      <c r="B71" s="111">
        <v>490</v>
      </c>
      <c r="C71" s="111">
        <v>0</v>
      </c>
      <c r="D71" s="111">
        <v>490</v>
      </c>
      <c r="E71" s="111">
        <v>0</v>
      </c>
      <c r="F71" s="111">
        <v>45</v>
      </c>
      <c r="G71" s="111">
        <v>69</v>
      </c>
      <c r="H71" s="118" t="s">
        <v>314</v>
      </c>
    </row>
    <row r="72" spans="1:8">
      <c r="A72" s="112" t="s">
        <v>247</v>
      </c>
      <c r="B72" s="112">
        <v>109</v>
      </c>
      <c r="C72" s="112">
        <v>0</v>
      </c>
      <c r="D72" s="112">
        <v>109</v>
      </c>
      <c r="E72" s="112">
        <v>0</v>
      </c>
      <c r="F72" s="112">
        <v>46</v>
      </c>
      <c r="G72" s="112">
        <v>70</v>
      </c>
      <c r="H72" s="119"/>
    </row>
    <row r="73" spans="1:8">
      <c r="A73" s="111" t="s">
        <v>248</v>
      </c>
      <c r="B73" s="112">
        <v>516</v>
      </c>
      <c r="C73" s="112">
        <v>413</v>
      </c>
      <c r="D73" s="112">
        <v>103</v>
      </c>
      <c r="E73" s="112">
        <v>0</v>
      </c>
      <c r="F73" s="111">
        <v>47</v>
      </c>
      <c r="G73" s="111">
        <v>71</v>
      </c>
      <c r="H73" s="118" t="s">
        <v>315</v>
      </c>
    </row>
    <row r="74" spans="1:8">
      <c r="A74" s="112" t="s">
        <v>249</v>
      </c>
      <c r="B74" s="112">
        <v>202</v>
      </c>
      <c r="C74" s="112">
        <v>0</v>
      </c>
      <c r="D74" s="112">
        <v>202</v>
      </c>
      <c r="E74" s="112">
        <v>0</v>
      </c>
      <c r="F74" s="112">
        <v>48</v>
      </c>
      <c r="G74" s="112">
        <v>72</v>
      </c>
      <c r="H74" s="119"/>
    </row>
    <row r="75" spans="1:8">
      <c r="A75" s="111" t="s">
        <v>250</v>
      </c>
      <c r="B75" s="111">
        <v>331</v>
      </c>
      <c r="C75" s="111">
        <v>0</v>
      </c>
      <c r="D75" s="111">
        <v>331</v>
      </c>
      <c r="E75" s="111">
        <v>0</v>
      </c>
      <c r="F75" s="111">
        <v>49</v>
      </c>
      <c r="G75" s="111">
        <v>73</v>
      </c>
      <c r="H75" s="115" t="s">
        <v>316</v>
      </c>
    </row>
    <row r="76" spans="1:8">
      <c r="A76" s="112" t="s">
        <v>251</v>
      </c>
      <c r="B76" s="112">
        <v>16</v>
      </c>
      <c r="C76" s="112">
        <v>0</v>
      </c>
      <c r="D76" s="112">
        <v>16</v>
      </c>
      <c r="E76" s="112">
        <v>0</v>
      </c>
      <c r="F76" s="112" t="s">
        <v>282</v>
      </c>
      <c r="G76" s="112">
        <v>74</v>
      </c>
      <c r="H76" s="116"/>
    </row>
    <row r="77" spans="1:8">
      <c r="A77" s="111" t="s">
        <v>252</v>
      </c>
      <c r="B77" s="112">
        <v>664</v>
      </c>
      <c r="C77" s="111">
        <v>0</v>
      </c>
      <c r="D77" s="111">
        <v>644</v>
      </c>
      <c r="E77" s="111">
        <v>0</v>
      </c>
      <c r="F77" s="111" t="s">
        <v>283</v>
      </c>
      <c r="G77" s="111">
        <v>75</v>
      </c>
      <c r="H77" s="115" t="s">
        <v>317</v>
      </c>
    </row>
    <row r="78" spans="1:8">
      <c r="A78" s="112" t="s">
        <v>253</v>
      </c>
      <c r="B78" s="112">
        <v>10</v>
      </c>
      <c r="C78" s="112"/>
      <c r="D78" s="112">
        <v>10</v>
      </c>
      <c r="E78" s="112">
        <v>0</v>
      </c>
      <c r="F78" s="112" t="s">
        <v>284</v>
      </c>
      <c r="G78" s="112">
        <v>76</v>
      </c>
      <c r="H78" s="116"/>
    </row>
    <row r="79" spans="1:8">
      <c r="A79" s="111" t="s">
        <v>254</v>
      </c>
      <c r="B79" s="112">
        <v>222</v>
      </c>
      <c r="C79" s="111">
        <v>0</v>
      </c>
      <c r="D79" s="111">
        <v>222</v>
      </c>
      <c r="E79" s="111">
        <v>0</v>
      </c>
      <c r="F79" s="111" t="s">
        <v>285</v>
      </c>
      <c r="G79" s="111">
        <v>77</v>
      </c>
      <c r="H79" s="115" t="s">
        <v>318</v>
      </c>
    </row>
    <row r="80" spans="1:8">
      <c r="A80" s="112" t="s">
        <v>255</v>
      </c>
      <c r="B80" s="112">
        <v>118</v>
      </c>
      <c r="C80" s="112">
        <v>0</v>
      </c>
      <c r="D80" s="112">
        <v>118</v>
      </c>
      <c r="E80" s="112">
        <v>0</v>
      </c>
      <c r="F80" s="112" t="s">
        <v>286</v>
      </c>
      <c r="G80" s="112">
        <v>78</v>
      </c>
      <c r="H80" s="116"/>
    </row>
    <row r="81" spans="1:8">
      <c r="A81" s="111"/>
      <c r="B81" s="112"/>
      <c r="C81" s="111"/>
      <c r="D81" s="111"/>
      <c r="E81" s="111"/>
      <c r="F81" s="111"/>
      <c r="G81" s="111"/>
      <c r="H81" s="111"/>
    </row>
    <row r="82" spans="1:8">
      <c r="A82" s="112"/>
      <c r="B82" s="112"/>
      <c r="C82" s="112"/>
      <c r="D82" s="112"/>
      <c r="E82" s="112"/>
      <c r="F82" s="112"/>
      <c r="G82" s="112"/>
      <c r="H82" s="112"/>
    </row>
    <row r="83" spans="1:8" ht="15">
      <c r="A83" s="107" t="s">
        <v>319</v>
      </c>
      <c r="B83">
        <f>SUM(B2:B82)</f>
        <v>21353</v>
      </c>
      <c r="C83">
        <f>SUM(C2:C82)</f>
        <v>524</v>
      </c>
      <c r="D83">
        <f>SUM(D2:D82)</f>
        <v>20738</v>
      </c>
      <c r="E83">
        <f>SUM(E2:E82)</f>
        <v>0</v>
      </c>
    </row>
    <row r="84" spans="1:8" ht="15">
      <c r="A84" s="107"/>
    </row>
    <row r="85" spans="1:8" ht="15">
      <c r="A85" s="107"/>
    </row>
    <row r="86" spans="1:8" ht="15">
      <c r="A86" s="107"/>
    </row>
    <row r="87" spans="1:8" ht="15">
      <c r="A87" s="107"/>
    </row>
    <row r="88" spans="1:8" ht="15">
      <c r="A88" s="107"/>
    </row>
    <row r="89" spans="1:8" ht="15">
      <c r="A89" s="107"/>
    </row>
    <row r="90" spans="1:8" ht="15">
      <c r="A90" s="107"/>
    </row>
    <row r="91" spans="1:8" ht="15">
      <c r="A91" s="107"/>
    </row>
    <row r="92" spans="1:8" ht="15">
      <c r="A92" s="107"/>
    </row>
    <row r="93" spans="1:8" ht="15">
      <c r="A93" s="107"/>
    </row>
    <row r="94" spans="1:8" ht="15">
      <c r="A94" s="107"/>
    </row>
    <row r="95" spans="1:8" ht="15">
      <c r="A95" s="107"/>
    </row>
    <row r="96" spans="1:8" ht="15">
      <c r="A96" s="107"/>
    </row>
    <row r="97" spans="1:1" ht="15">
      <c r="A97" s="107"/>
    </row>
    <row r="98" spans="1:1" ht="15">
      <c r="A98" s="107"/>
    </row>
    <row r="99" spans="1:1" ht="15">
      <c r="A99" s="107"/>
    </row>
    <row r="100" spans="1:1" ht="15">
      <c r="A100" s="107"/>
    </row>
    <row r="101" spans="1:1" ht="15">
      <c r="A101" s="107"/>
    </row>
    <row r="102" spans="1:1" ht="15">
      <c r="A102" s="107"/>
    </row>
    <row r="103" spans="1:1" ht="15">
      <c r="A103" s="107"/>
    </row>
    <row r="104" spans="1:1" ht="15">
      <c r="A104" s="107"/>
    </row>
    <row r="105" spans="1:1" ht="15">
      <c r="A105" s="107"/>
    </row>
    <row r="106" spans="1:1" ht="15">
      <c r="A106" s="107"/>
    </row>
    <row r="107" spans="1:1" ht="15">
      <c r="A107" s="107"/>
    </row>
    <row r="108" spans="1:1" ht="15">
      <c r="A108" s="107"/>
    </row>
    <row r="109" spans="1:1" ht="15">
      <c r="A109" s="107"/>
    </row>
    <row r="110" spans="1:1" ht="15">
      <c r="A110" s="107"/>
    </row>
    <row r="111" spans="1:1" ht="15">
      <c r="A111" s="107"/>
    </row>
    <row r="112" spans="1:1" ht="15">
      <c r="A112" s="107"/>
    </row>
    <row r="113" spans="1:1" ht="15">
      <c r="A113" s="107"/>
    </row>
    <row r="114" spans="1:1" ht="15">
      <c r="A114" s="107"/>
    </row>
    <row r="115" spans="1:1" ht="15">
      <c r="A115" s="107"/>
    </row>
    <row r="116" spans="1:1" ht="15">
      <c r="A116" s="107"/>
    </row>
    <row r="117" spans="1:1" ht="15">
      <c r="A117" s="107"/>
    </row>
    <row r="118" spans="1:1" ht="15">
      <c r="A118" s="107"/>
    </row>
    <row r="119" spans="1:1" ht="15">
      <c r="A119" s="107"/>
    </row>
    <row r="120" spans="1:1" ht="15">
      <c r="A120" s="107"/>
    </row>
    <row r="121" spans="1:1" ht="15">
      <c r="A121" s="107"/>
    </row>
    <row r="122" spans="1:1" ht="15">
      <c r="A122" s="107"/>
    </row>
    <row r="123" spans="1:1" ht="15">
      <c r="A123" s="107"/>
    </row>
    <row r="124" spans="1:1" ht="15">
      <c r="A124" s="107"/>
    </row>
    <row r="125" spans="1:1" ht="15">
      <c r="A125" s="107"/>
    </row>
    <row r="126" spans="1:1" ht="15">
      <c r="A126" s="107"/>
    </row>
    <row r="127" spans="1:1" ht="15">
      <c r="A127" s="107"/>
    </row>
    <row r="128" spans="1:1" ht="15">
      <c r="A128" s="107"/>
    </row>
    <row r="129" spans="1:1" ht="15">
      <c r="A129" s="107"/>
    </row>
    <row r="130" spans="1:1" ht="15">
      <c r="A130" s="107"/>
    </row>
    <row r="131" spans="1:1" ht="15">
      <c r="A131" s="107"/>
    </row>
    <row r="132" spans="1:1" ht="15">
      <c r="A132" s="107"/>
    </row>
    <row r="133" spans="1:1" ht="15">
      <c r="A133" s="107"/>
    </row>
    <row r="134" spans="1:1" ht="15">
      <c r="A134" s="107"/>
    </row>
    <row r="135" spans="1:1" ht="15">
      <c r="A135" s="107"/>
    </row>
    <row r="136" spans="1:1" ht="15">
      <c r="A136" s="107"/>
    </row>
    <row r="137" spans="1:1" ht="15">
      <c r="A137" s="107"/>
    </row>
    <row r="138" spans="1:1" ht="15">
      <c r="A138" s="10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83"/>
  <sheetViews>
    <sheetView tabSelected="1" zoomScale="85" zoomScaleNormal="85" workbookViewId="0">
      <pane ySplit="1" topLeftCell="A47" activePane="bottomLeft" state="frozen"/>
      <selection pane="bottomLeft" activeCell="A49" sqref="A49"/>
    </sheetView>
  </sheetViews>
  <sheetFormatPr defaultRowHeight="12.75"/>
  <cols>
    <col min="1" max="1" width="23.85546875" bestFit="1" customWidth="1"/>
    <col min="3" max="3" width="16.7109375" bestFit="1" customWidth="1"/>
    <col min="4" max="4" width="10" bestFit="1" customWidth="1"/>
    <col min="5" max="5" width="22.85546875" bestFit="1" customWidth="1"/>
  </cols>
  <sheetData>
    <row r="1" spans="1:10" ht="15">
      <c r="A1" s="109" t="s">
        <v>190</v>
      </c>
      <c r="B1" s="110" t="s">
        <v>1</v>
      </c>
      <c r="C1" s="110" t="s">
        <v>20</v>
      </c>
      <c r="D1" s="110" t="s">
        <v>3</v>
      </c>
      <c r="E1" s="110" t="s">
        <v>4</v>
      </c>
      <c r="F1" s="110" t="s">
        <v>257</v>
      </c>
      <c r="G1" s="110" t="s">
        <v>256</v>
      </c>
    </row>
    <row r="2" spans="1:10" ht="15">
      <c r="A2" s="106" t="s">
        <v>5</v>
      </c>
      <c r="B2" s="105"/>
      <c r="C2" s="105"/>
      <c r="D2" s="105"/>
      <c r="E2" s="105"/>
      <c r="F2" s="105">
        <v>0</v>
      </c>
      <c r="G2" s="105">
        <v>0</v>
      </c>
      <c r="H2" s="114" t="s">
        <v>5</v>
      </c>
      <c r="J2" s="127" t="s">
        <v>320</v>
      </c>
    </row>
    <row r="3" spans="1:10" ht="15">
      <c r="A3" s="106" t="s">
        <v>6</v>
      </c>
      <c r="B3" s="105"/>
      <c r="C3" s="105"/>
      <c r="D3" s="105"/>
      <c r="E3" s="105"/>
      <c r="F3" s="105">
        <v>1</v>
      </c>
      <c r="G3" s="105">
        <v>1</v>
      </c>
      <c r="H3" s="114" t="s">
        <v>6</v>
      </c>
      <c r="J3" s="127">
        <v>54202</v>
      </c>
    </row>
    <row r="4" spans="1:10" ht="15">
      <c r="A4" s="106" t="s">
        <v>7</v>
      </c>
      <c r="B4" s="105"/>
      <c r="C4" s="105"/>
      <c r="D4" s="105"/>
      <c r="E4" s="105"/>
      <c r="F4" s="105">
        <v>2</v>
      </c>
      <c r="G4" s="105">
        <v>2</v>
      </c>
      <c r="H4" s="114" t="s">
        <v>7</v>
      </c>
      <c r="J4" s="127" t="s">
        <v>321</v>
      </c>
    </row>
    <row r="5" spans="1:10" ht="15">
      <c r="A5" s="106" t="s">
        <v>8</v>
      </c>
      <c r="B5" s="105"/>
      <c r="C5" s="105"/>
      <c r="D5" s="105"/>
      <c r="E5" s="105"/>
      <c r="F5" s="105">
        <v>3</v>
      </c>
      <c r="G5" s="105">
        <v>3</v>
      </c>
      <c r="H5" s="114" t="s">
        <v>8</v>
      </c>
    </row>
    <row r="6" spans="1:10" ht="15">
      <c r="A6" s="106" t="s">
        <v>9</v>
      </c>
      <c r="B6" s="105"/>
      <c r="C6" s="105"/>
      <c r="D6" s="105"/>
      <c r="E6" s="105"/>
      <c r="F6" s="105">
        <v>4</v>
      </c>
      <c r="G6" s="105">
        <v>4</v>
      </c>
      <c r="H6" s="125" t="s">
        <v>9</v>
      </c>
    </row>
    <row r="7" spans="1:10" ht="15">
      <c r="A7" s="106" t="s">
        <v>10</v>
      </c>
      <c r="B7" s="105"/>
      <c r="C7" s="105"/>
      <c r="D7" s="105"/>
      <c r="E7" s="105"/>
      <c r="F7" s="105">
        <v>5</v>
      </c>
      <c r="G7" s="105">
        <v>5</v>
      </c>
      <c r="H7" s="125" t="s">
        <v>10</v>
      </c>
    </row>
    <row r="8" spans="1:10" ht="15">
      <c r="A8" s="106" t="s">
        <v>11</v>
      </c>
      <c r="B8" s="105"/>
      <c r="C8" s="105"/>
      <c r="D8" s="105"/>
      <c r="E8" s="105"/>
      <c r="F8" s="105">
        <v>6</v>
      </c>
      <c r="G8" s="105">
        <v>6</v>
      </c>
      <c r="H8" s="106" t="s">
        <v>11</v>
      </c>
    </row>
    <row r="9" spans="1:10" ht="15">
      <c r="A9" s="106" t="s">
        <v>12</v>
      </c>
      <c r="B9" s="105"/>
      <c r="C9" s="105"/>
      <c r="D9" s="105"/>
      <c r="E9" s="105"/>
      <c r="F9" s="105">
        <v>7</v>
      </c>
      <c r="G9" s="105">
        <v>7</v>
      </c>
      <c r="H9" s="106" t="s">
        <v>12</v>
      </c>
    </row>
    <row r="10" spans="1:10" ht="15">
      <c r="A10" s="106" t="s">
        <v>13</v>
      </c>
      <c r="B10" s="105"/>
      <c r="C10" s="105"/>
      <c r="D10" s="105"/>
      <c r="E10" s="105"/>
      <c r="F10" s="105">
        <v>8</v>
      </c>
      <c r="G10" s="105">
        <v>8</v>
      </c>
      <c r="H10" s="106" t="s">
        <v>13</v>
      </c>
    </row>
    <row r="11" spans="1:10" ht="15">
      <c r="A11" s="106" t="s">
        <v>14</v>
      </c>
      <c r="B11" s="105"/>
      <c r="C11" s="105"/>
      <c r="D11" s="105"/>
      <c r="E11" s="105"/>
      <c r="F11" s="105">
        <v>9</v>
      </c>
      <c r="G11" s="105">
        <v>9</v>
      </c>
      <c r="H11" s="106" t="s">
        <v>14</v>
      </c>
    </row>
    <row r="12" spans="1:10" ht="15">
      <c r="A12" s="106" t="s">
        <v>15</v>
      </c>
      <c r="B12" s="105"/>
      <c r="C12" s="105"/>
      <c r="D12" s="105"/>
      <c r="E12" s="105"/>
      <c r="F12" s="108" t="s">
        <v>258</v>
      </c>
      <c r="G12" s="105">
        <v>10</v>
      </c>
      <c r="H12" s="106" t="s">
        <v>15</v>
      </c>
    </row>
    <row r="13" spans="1:10" ht="15">
      <c r="A13" s="106" t="s">
        <v>16</v>
      </c>
      <c r="B13" s="105"/>
      <c r="C13" s="105"/>
      <c r="D13" s="105"/>
      <c r="E13" s="105"/>
      <c r="F13" s="105" t="s">
        <v>259</v>
      </c>
      <c r="G13" s="105">
        <v>11</v>
      </c>
      <c r="H13" s="106" t="s">
        <v>16</v>
      </c>
    </row>
    <row r="14" spans="1:10" ht="15">
      <c r="A14" s="106" t="s">
        <v>17</v>
      </c>
      <c r="B14" s="105"/>
      <c r="C14" s="105"/>
      <c r="D14" s="105"/>
      <c r="E14" s="105"/>
      <c r="F14" s="105" t="s">
        <v>260</v>
      </c>
      <c r="G14" s="105">
        <v>12</v>
      </c>
      <c r="H14" s="106" t="s">
        <v>17</v>
      </c>
    </row>
    <row r="15" spans="1:10" ht="15">
      <c r="A15" s="106" t="s">
        <v>191</v>
      </c>
      <c r="B15" s="105"/>
      <c r="C15" s="105"/>
      <c r="D15" s="105"/>
      <c r="E15" s="105"/>
      <c r="F15" s="105" t="s">
        <v>261</v>
      </c>
      <c r="G15" s="105">
        <v>13</v>
      </c>
      <c r="H15" s="114" t="s">
        <v>191</v>
      </c>
    </row>
    <row r="16" spans="1:10" ht="15">
      <c r="A16" s="106" t="s">
        <v>18</v>
      </c>
      <c r="B16" s="105"/>
      <c r="C16" s="105"/>
      <c r="D16" s="105"/>
      <c r="E16" s="105"/>
      <c r="F16" s="105" t="s">
        <v>262</v>
      </c>
      <c r="G16" s="105">
        <v>14</v>
      </c>
      <c r="H16" s="113" t="s">
        <v>18</v>
      </c>
    </row>
    <row r="17" spans="1:8">
      <c r="A17" s="111" t="s">
        <v>192</v>
      </c>
      <c r="B17" s="111"/>
      <c r="C17" s="111"/>
      <c r="D17" s="111"/>
      <c r="E17" s="111"/>
      <c r="F17" s="111" t="s">
        <v>263</v>
      </c>
      <c r="G17" s="111">
        <v>15</v>
      </c>
      <c r="H17" s="122" t="s">
        <v>287</v>
      </c>
    </row>
    <row r="18" spans="1:8">
      <c r="A18" s="112" t="s">
        <v>193</v>
      </c>
      <c r="B18" s="112"/>
      <c r="C18" s="112"/>
      <c r="D18" s="112"/>
      <c r="E18" s="112"/>
      <c r="F18" s="112">
        <v>10</v>
      </c>
      <c r="G18" s="112">
        <v>16</v>
      </c>
      <c r="H18" s="123"/>
    </row>
    <row r="19" spans="1:8">
      <c r="A19" s="111" t="s">
        <v>194</v>
      </c>
      <c r="B19" s="111"/>
      <c r="C19" s="111"/>
      <c r="D19" s="111"/>
      <c r="E19" s="111"/>
      <c r="F19" s="111">
        <v>11</v>
      </c>
      <c r="G19" s="111">
        <v>17</v>
      </c>
      <c r="H19" s="122" t="s">
        <v>288</v>
      </c>
    </row>
    <row r="20" spans="1:8">
      <c r="A20" s="112" t="s">
        <v>196</v>
      </c>
      <c r="B20" s="112"/>
      <c r="C20" s="112"/>
      <c r="D20" s="112"/>
      <c r="E20" s="112"/>
      <c r="F20" s="112">
        <v>12</v>
      </c>
      <c r="G20" s="112">
        <v>18</v>
      </c>
      <c r="H20" s="121"/>
    </row>
    <row r="21" spans="1:8">
      <c r="A21" s="111" t="s">
        <v>195</v>
      </c>
      <c r="B21" s="111"/>
      <c r="C21" s="111"/>
      <c r="D21" s="111"/>
      <c r="E21" s="111"/>
      <c r="F21" s="111">
        <v>13</v>
      </c>
      <c r="G21" s="111">
        <v>19</v>
      </c>
      <c r="H21" s="122" t="s">
        <v>289</v>
      </c>
    </row>
    <row r="22" spans="1:8">
      <c r="A22" s="112" t="s">
        <v>197</v>
      </c>
      <c r="B22" s="112"/>
      <c r="C22" s="112"/>
      <c r="D22" s="112"/>
      <c r="E22" s="112"/>
      <c r="F22" s="112">
        <v>14</v>
      </c>
      <c r="G22" s="112">
        <v>20</v>
      </c>
      <c r="H22" s="121"/>
    </row>
    <row r="23" spans="1:8">
      <c r="A23" s="111" t="s">
        <v>198</v>
      </c>
      <c r="B23" s="111"/>
      <c r="C23" s="111"/>
      <c r="D23" s="111"/>
      <c r="E23" s="111"/>
      <c r="F23" s="111">
        <v>15</v>
      </c>
      <c r="G23" s="111">
        <v>21</v>
      </c>
      <c r="H23" s="122" t="s">
        <v>290</v>
      </c>
    </row>
    <row r="24" spans="1:8">
      <c r="A24" s="112" t="s">
        <v>200</v>
      </c>
      <c r="B24" s="112"/>
      <c r="C24" s="112"/>
      <c r="D24" s="112"/>
      <c r="E24" s="112"/>
      <c r="F24" s="112">
        <v>16</v>
      </c>
      <c r="G24" s="112">
        <v>22</v>
      </c>
      <c r="H24" s="121"/>
    </row>
    <row r="25" spans="1:8">
      <c r="A25" s="111" t="s">
        <v>199</v>
      </c>
      <c r="B25" s="111"/>
      <c r="C25" s="111"/>
      <c r="D25" s="111"/>
      <c r="E25" s="111"/>
      <c r="F25" s="111">
        <v>17</v>
      </c>
      <c r="G25" s="111">
        <v>23</v>
      </c>
      <c r="H25" s="122" t="s">
        <v>291</v>
      </c>
    </row>
    <row r="26" spans="1:8">
      <c r="A26" s="112" t="s">
        <v>201</v>
      </c>
      <c r="B26" s="112"/>
      <c r="C26" s="112"/>
      <c r="D26" s="112"/>
      <c r="E26" s="112"/>
      <c r="F26" s="112">
        <v>18</v>
      </c>
      <c r="G26" s="112">
        <v>24</v>
      </c>
      <c r="H26" s="121"/>
    </row>
    <row r="27" spans="1:8">
      <c r="A27" s="111" t="s">
        <v>202</v>
      </c>
      <c r="B27" s="111"/>
      <c r="C27" s="111"/>
      <c r="D27" s="111"/>
      <c r="E27" s="111"/>
      <c r="F27" s="111">
        <v>19</v>
      </c>
      <c r="G27" s="111">
        <v>25</v>
      </c>
      <c r="H27" s="122" t="s">
        <v>292</v>
      </c>
    </row>
    <row r="28" spans="1:8">
      <c r="A28" s="112" t="s">
        <v>203</v>
      </c>
      <c r="B28" s="112"/>
      <c r="C28" s="112"/>
      <c r="D28" s="112"/>
      <c r="E28" s="112"/>
      <c r="F28" s="112" t="s">
        <v>264</v>
      </c>
      <c r="G28" s="112">
        <v>26</v>
      </c>
      <c r="H28" s="121"/>
    </row>
    <row r="29" spans="1:8">
      <c r="A29" s="111" t="s">
        <v>204</v>
      </c>
      <c r="B29" s="111"/>
      <c r="C29" s="111"/>
      <c r="D29" s="111"/>
      <c r="E29" s="111"/>
      <c r="F29" s="111" t="s">
        <v>265</v>
      </c>
      <c r="G29" s="111">
        <v>27</v>
      </c>
      <c r="H29" s="122" t="s">
        <v>293</v>
      </c>
    </row>
    <row r="30" spans="1:8">
      <c r="A30" s="112" t="s">
        <v>205</v>
      </c>
      <c r="B30" s="112"/>
      <c r="C30" s="112"/>
      <c r="D30" s="112"/>
      <c r="E30" s="112"/>
      <c r="F30" s="112" t="s">
        <v>266</v>
      </c>
      <c r="G30" s="112">
        <v>28</v>
      </c>
      <c r="H30" s="121"/>
    </row>
    <row r="31" spans="1:8">
      <c r="A31" s="111" t="s">
        <v>206</v>
      </c>
      <c r="B31" s="111"/>
      <c r="C31" s="111"/>
      <c r="D31" s="111"/>
      <c r="E31" s="111"/>
      <c r="F31" s="111" t="s">
        <v>267</v>
      </c>
      <c r="G31" s="111">
        <v>29</v>
      </c>
      <c r="H31" s="122" t="s">
        <v>294</v>
      </c>
    </row>
    <row r="32" spans="1:8">
      <c r="A32" s="112" t="s">
        <v>207</v>
      </c>
      <c r="B32" s="112"/>
      <c r="C32" s="112"/>
      <c r="D32" s="112"/>
      <c r="E32" s="112"/>
      <c r="F32" s="112" t="s">
        <v>268</v>
      </c>
      <c r="G32" s="112">
        <v>30</v>
      </c>
      <c r="H32" s="121"/>
    </row>
    <row r="33" spans="1:8">
      <c r="A33" s="111" t="s">
        <v>208</v>
      </c>
      <c r="B33" s="111"/>
      <c r="C33" s="111"/>
      <c r="D33" s="111"/>
      <c r="E33" s="111"/>
      <c r="F33" s="111" t="s">
        <v>269</v>
      </c>
      <c r="G33" s="111">
        <v>31</v>
      </c>
      <c r="H33" s="111" t="s">
        <v>295</v>
      </c>
    </row>
    <row r="34" spans="1:8">
      <c r="A34" s="112" t="s">
        <v>209</v>
      </c>
      <c r="B34" s="112"/>
      <c r="C34" s="112"/>
      <c r="D34" s="112"/>
      <c r="E34" s="112"/>
      <c r="F34" s="112">
        <v>20</v>
      </c>
      <c r="G34" s="112">
        <v>32</v>
      </c>
      <c r="H34" s="112"/>
    </row>
    <row r="35" spans="1:8">
      <c r="A35" s="111" t="s">
        <v>210</v>
      </c>
      <c r="B35" s="111"/>
      <c r="C35" s="111"/>
      <c r="D35" s="111"/>
      <c r="E35" s="111"/>
      <c r="F35" s="111">
        <v>21</v>
      </c>
      <c r="G35" s="111">
        <v>33</v>
      </c>
      <c r="H35" s="111" t="s">
        <v>296</v>
      </c>
    </row>
    <row r="36" spans="1:8">
      <c r="A36" s="112" t="s">
        <v>211</v>
      </c>
      <c r="B36" s="112"/>
      <c r="C36" s="112"/>
      <c r="D36" s="112"/>
      <c r="E36" s="112"/>
      <c r="F36" s="112">
        <v>22</v>
      </c>
      <c r="G36" s="112">
        <v>34</v>
      </c>
      <c r="H36" s="112"/>
    </row>
    <row r="37" spans="1:8">
      <c r="A37" s="111" t="s">
        <v>212</v>
      </c>
      <c r="B37" s="111"/>
      <c r="C37" s="111"/>
      <c r="D37" s="111"/>
      <c r="E37" s="111"/>
      <c r="F37" s="111">
        <v>23</v>
      </c>
      <c r="G37" s="111">
        <v>35</v>
      </c>
      <c r="H37" s="111" t="s">
        <v>297</v>
      </c>
    </row>
    <row r="38" spans="1:8">
      <c r="A38" s="112" t="s">
        <v>213</v>
      </c>
      <c r="B38" s="112"/>
      <c r="C38" s="112"/>
      <c r="D38" s="112"/>
      <c r="E38" s="112"/>
      <c r="F38" s="112">
        <v>24</v>
      </c>
      <c r="G38" s="112">
        <v>36</v>
      </c>
      <c r="H38" s="112"/>
    </row>
    <row r="39" spans="1:8">
      <c r="A39" s="111" t="s">
        <v>214</v>
      </c>
      <c r="B39" s="111"/>
      <c r="C39" s="111"/>
      <c r="D39" s="111"/>
      <c r="E39" s="111"/>
      <c r="F39" s="111">
        <v>25</v>
      </c>
      <c r="G39" s="111">
        <v>37</v>
      </c>
      <c r="H39" s="111" t="s">
        <v>298</v>
      </c>
    </row>
    <row r="40" spans="1:8">
      <c r="A40" s="112" t="s">
        <v>215</v>
      </c>
      <c r="B40" s="112"/>
      <c r="C40" s="112"/>
      <c r="D40" s="112"/>
      <c r="E40" s="112"/>
      <c r="F40" s="112">
        <v>26</v>
      </c>
      <c r="G40" s="112">
        <v>38</v>
      </c>
      <c r="H40" s="112"/>
    </row>
    <row r="41" spans="1:8">
      <c r="A41" s="111" t="s">
        <v>216</v>
      </c>
      <c r="B41" s="111"/>
      <c r="C41" s="111"/>
      <c r="D41" s="111"/>
      <c r="E41" s="111"/>
      <c r="F41" s="111">
        <v>27</v>
      </c>
      <c r="G41" s="111">
        <v>39</v>
      </c>
      <c r="H41" s="111" t="s">
        <v>299</v>
      </c>
    </row>
    <row r="42" spans="1:8">
      <c r="A42" s="112" t="s">
        <v>217</v>
      </c>
      <c r="B42" s="112"/>
      <c r="C42" s="112"/>
      <c r="D42" s="112"/>
      <c r="E42" s="112"/>
      <c r="F42" s="112">
        <v>28</v>
      </c>
      <c r="G42" s="112">
        <v>40</v>
      </c>
      <c r="H42" s="112"/>
    </row>
    <row r="43" spans="1:8">
      <c r="A43" s="111" t="s">
        <v>218</v>
      </c>
      <c r="B43" s="111"/>
      <c r="C43" s="111"/>
      <c r="D43" s="111"/>
      <c r="E43" s="111"/>
      <c r="F43" s="111">
        <v>29</v>
      </c>
      <c r="G43" s="111">
        <v>41</v>
      </c>
      <c r="H43" s="111" t="s">
        <v>300</v>
      </c>
    </row>
    <row r="44" spans="1:8">
      <c r="A44" s="112" t="s">
        <v>219</v>
      </c>
      <c r="B44" s="112"/>
      <c r="C44" s="112"/>
      <c r="D44" s="112"/>
      <c r="E44" s="112"/>
      <c r="F44" s="112" t="s">
        <v>270</v>
      </c>
      <c r="G44" s="112">
        <v>42</v>
      </c>
      <c r="H44" s="112"/>
    </row>
    <row r="45" spans="1:8">
      <c r="A45" s="111" t="s">
        <v>220</v>
      </c>
      <c r="B45" s="111"/>
      <c r="C45" s="111"/>
      <c r="D45" s="111"/>
      <c r="E45" s="111"/>
      <c r="F45" s="111" t="s">
        <v>271</v>
      </c>
      <c r="G45" s="111">
        <v>43</v>
      </c>
      <c r="H45" s="111" t="s">
        <v>301</v>
      </c>
    </row>
    <row r="46" spans="1:8">
      <c r="A46" s="112" t="s">
        <v>221</v>
      </c>
      <c r="B46" s="112"/>
      <c r="C46" s="112"/>
      <c r="D46" s="112"/>
      <c r="E46" s="112"/>
      <c r="F46" s="112" t="s">
        <v>272</v>
      </c>
      <c r="G46" s="112">
        <v>44</v>
      </c>
      <c r="H46" s="112"/>
    </row>
    <row r="47" spans="1:8">
      <c r="A47" s="111" t="s">
        <v>222</v>
      </c>
      <c r="B47" s="111"/>
      <c r="C47" s="111"/>
      <c r="D47" s="111"/>
      <c r="E47" s="111"/>
      <c r="F47" s="111" t="s">
        <v>273</v>
      </c>
      <c r="G47" s="111">
        <v>45</v>
      </c>
      <c r="H47" s="111" t="s">
        <v>302</v>
      </c>
    </row>
    <row r="48" spans="1:8">
      <c r="A48" s="112" t="s">
        <v>223</v>
      </c>
      <c r="B48" s="112"/>
      <c r="C48" s="112"/>
      <c r="D48" s="112"/>
      <c r="E48" s="112"/>
      <c r="F48" s="112" t="s">
        <v>274</v>
      </c>
      <c r="G48" s="112">
        <v>46</v>
      </c>
      <c r="H48" s="112"/>
    </row>
    <row r="49" spans="1:8">
      <c r="A49" s="111" t="s">
        <v>224</v>
      </c>
      <c r="B49" s="111">
        <v>509</v>
      </c>
      <c r="C49" s="111">
        <v>87</v>
      </c>
      <c r="D49" s="111">
        <v>422</v>
      </c>
      <c r="E49" s="111">
        <v>0</v>
      </c>
      <c r="F49" s="111" t="s">
        <v>275</v>
      </c>
      <c r="G49" s="111">
        <v>47</v>
      </c>
      <c r="H49" s="124" t="s">
        <v>303</v>
      </c>
    </row>
    <row r="50" spans="1:8">
      <c r="A50" s="112" t="s">
        <v>225</v>
      </c>
      <c r="B50" s="112">
        <v>261</v>
      </c>
      <c r="C50" s="112">
        <v>5</v>
      </c>
      <c r="D50" s="112">
        <v>256</v>
      </c>
      <c r="E50" s="112">
        <v>0</v>
      </c>
      <c r="F50" s="112">
        <v>30</v>
      </c>
      <c r="G50" s="112">
        <v>48</v>
      </c>
      <c r="H50" s="119"/>
    </row>
    <row r="51" spans="1:8">
      <c r="A51" s="111" t="s">
        <v>226</v>
      </c>
      <c r="B51" s="111">
        <v>415</v>
      </c>
      <c r="C51" s="111">
        <v>10</v>
      </c>
      <c r="D51" s="111">
        <v>405</v>
      </c>
      <c r="E51" s="111">
        <v>0</v>
      </c>
      <c r="F51" s="111">
        <v>31</v>
      </c>
      <c r="G51" s="111">
        <v>49</v>
      </c>
      <c r="H51" s="118" t="s">
        <v>304</v>
      </c>
    </row>
    <row r="52" spans="1:8">
      <c r="A52" s="112" t="s">
        <v>227</v>
      </c>
      <c r="B52" s="112">
        <v>188</v>
      </c>
      <c r="C52" s="112">
        <v>0</v>
      </c>
      <c r="D52" s="112">
        <v>188</v>
      </c>
      <c r="E52" s="112">
        <v>0</v>
      </c>
      <c r="F52" s="112">
        <v>32</v>
      </c>
      <c r="G52" s="112">
        <v>50</v>
      </c>
      <c r="H52" s="119"/>
    </row>
    <row r="53" spans="1:8">
      <c r="A53" s="111" t="s">
        <v>228</v>
      </c>
      <c r="B53" s="111"/>
      <c r="C53" s="111"/>
      <c r="D53" s="111"/>
      <c r="E53" s="111"/>
      <c r="F53" s="111">
        <v>33</v>
      </c>
      <c r="G53" s="111">
        <v>51</v>
      </c>
      <c r="H53" s="115" t="s">
        <v>305</v>
      </c>
    </row>
    <row r="54" spans="1:8">
      <c r="A54" s="112" t="s">
        <v>229</v>
      </c>
      <c r="B54" s="112"/>
      <c r="C54" s="112"/>
      <c r="D54" s="112"/>
      <c r="E54" s="112"/>
      <c r="F54" s="112">
        <v>34</v>
      </c>
      <c r="G54" s="112">
        <v>52</v>
      </c>
      <c r="H54" s="116"/>
    </row>
    <row r="55" spans="1:8">
      <c r="A55" s="111" t="s">
        <v>230</v>
      </c>
      <c r="B55" s="111"/>
      <c r="C55" s="111"/>
      <c r="D55" s="111"/>
      <c r="E55" s="111"/>
      <c r="F55" s="111">
        <v>35</v>
      </c>
      <c r="G55" s="111">
        <v>53</v>
      </c>
      <c r="H55" s="122" t="s">
        <v>306</v>
      </c>
    </row>
    <row r="56" spans="1:8">
      <c r="A56" s="112" t="s">
        <v>231</v>
      </c>
      <c r="B56" s="112"/>
      <c r="C56" s="112"/>
      <c r="D56" s="112"/>
      <c r="E56" s="112"/>
      <c r="F56" s="112">
        <v>36</v>
      </c>
      <c r="G56" s="112">
        <v>54</v>
      </c>
      <c r="H56" s="121"/>
    </row>
    <row r="57" spans="1:8">
      <c r="A57" s="111" t="s">
        <v>232</v>
      </c>
      <c r="B57" s="111"/>
      <c r="C57" s="111"/>
      <c r="D57" s="111"/>
      <c r="E57" s="111"/>
      <c r="F57" s="111">
        <v>37</v>
      </c>
      <c r="G57" s="111">
        <v>55</v>
      </c>
      <c r="H57" s="122" t="s">
        <v>307</v>
      </c>
    </row>
    <row r="58" spans="1:8">
      <c r="A58" s="112" t="s">
        <v>233</v>
      </c>
      <c r="B58" s="112"/>
      <c r="C58" s="112"/>
      <c r="D58" s="112"/>
      <c r="E58" s="112"/>
      <c r="F58" s="112">
        <v>38</v>
      </c>
      <c r="G58" s="112">
        <v>56</v>
      </c>
      <c r="H58" s="121"/>
    </row>
    <row r="59" spans="1:8">
      <c r="A59" s="111" t="s">
        <v>234</v>
      </c>
      <c r="B59" s="111"/>
      <c r="C59" s="111"/>
      <c r="D59" s="111"/>
      <c r="E59" s="111"/>
      <c r="F59" s="111">
        <v>39</v>
      </c>
      <c r="G59" s="111">
        <v>57</v>
      </c>
      <c r="H59" s="122" t="s">
        <v>308</v>
      </c>
    </row>
    <row r="60" spans="1:8">
      <c r="A60" s="112" t="s">
        <v>235</v>
      </c>
      <c r="B60" s="112"/>
      <c r="C60" s="112"/>
      <c r="D60" s="112"/>
      <c r="E60" s="112"/>
      <c r="F60" s="112" t="s">
        <v>276</v>
      </c>
      <c r="G60" s="112">
        <v>58</v>
      </c>
      <c r="H60" s="121"/>
    </row>
    <row r="61" spans="1:8">
      <c r="A61" s="111" t="s">
        <v>236</v>
      </c>
      <c r="B61" s="111"/>
      <c r="C61" s="111"/>
      <c r="D61" s="111"/>
      <c r="E61" s="111"/>
      <c r="F61" s="111" t="s">
        <v>277</v>
      </c>
      <c r="G61" s="111">
        <v>59</v>
      </c>
      <c r="H61" s="122" t="s">
        <v>309</v>
      </c>
    </row>
    <row r="62" spans="1:8">
      <c r="A62" s="112" t="s">
        <v>237</v>
      </c>
      <c r="B62" s="112"/>
      <c r="C62" s="112"/>
      <c r="D62" s="112"/>
      <c r="E62" s="112"/>
      <c r="F62" s="112" t="s">
        <v>278</v>
      </c>
      <c r="G62" s="112">
        <v>60</v>
      </c>
      <c r="H62" s="121"/>
    </row>
    <row r="63" spans="1:8">
      <c r="A63" s="111" t="s">
        <v>238</v>
      </c>
      <c r="B63" s="111"/>
      <c r="C63" s="111"/>
      <c r="D63" s="111"/>
      <c r="E63" s="111"/>
      <c r="F63" s="111" t="s">
        <v>279</v>
      </c>
      <c r="G63" s="111">
        <v>61</v>
      </c>
      <c r="H63" s="122" t="s">
        <v>310</v>
      </c>
    </row>
    <row r="64" spans="1:8">
      <c r="A64" s="112" t="s">
        <v>239</v>
      </c>
      <c r="B64" s="112"/>
      <c r="C64" s="112"/>
      <c r="D64" s="112"/>
      <c r="E64" s="112"/>
      <c r="F64" s="112" t="s">
        <v>280</v>
      </c>
      <c r="G64" s="112">
        <v>62</v>
      </c>
      <c r="H64" s="121"/>
    </row>
    <row r="65" spans="1:8">
      <c r="A65" s="111" t="s">
        <v>240</v>
      </c>
      <c r="B65" s="111"/>
      <c r="C65" s="111"/>
      <c r="D65" s="111"/>
      <c r="E65" s="111"/>
      <c r="F65" s="111" t="s">
        <v>281</v>
      </c>
      <c r="G65" s="111">
        <v>63</v>
      </c>
      <c r="H65" s="122" t="s">
        <v>311</v>
      </c>
    </row>
    <row r="66" spans="1:8">
      <c r="A66" s="112" t="s">
        <v>241</v>
      </c>
      <c r="B66" s="112"/>
      <c r="C66" s="112"/>
      <c r="D66" s="112"/>
      <c r="E66" s="112"/>
      <c r="F66" s="112">
        <v>40</v>
      </c>
      <c r="G66" s="112">
        <v>64</v>
      </c>
      <c r="H66" s="121"/>
    </row>
    <row r="67" spans="1:8">
      <c r="A67" s="111" t="s">
        <v>242</v>
      </c>
      <c r="B67" s="111"/>
      <c r="C67" s="111"/>
      <c r="D67" s="111"/>
      <c r="E67" s="111"/>
      <c r="F67" s="111">
        <v>41</v>
      </c>
      <c r="G67" s="111">
        <v>65</v>
      </c>
      <c r="H67" s="122" t="s">
        <v>312</v>
      </c>
    </row>
    <row r="68" spans="1:8">
      <c r="A68" s="112" t="s">
        <v>243</v>
      </c>
      <c r="B68" s="112"/>
      <c r="C68" s="112"/>
      <c r="D68" s="112"/>
      <c r="E68" s="112"/>
      <c r="F68" s="112">
        <v>42</v>
      </c>
      <c r="G68" s="112">
        <v>66</v>
      </c>
      <c r="H68" s="121"/>
    </row>
    <row r="69" spans="1:8">
      <c r="A69" s="111" t="s">
        <v>244</v>
      </c>
      <c r="B69" s="111"/>
      <c r="C69" s="111"/>
      <c r="D69" s="111"/>
      <c r="E69" s="111"/>
      <c r="F69" s="111">
        <v>43</v>
      </c>
      <c r="G69" s="111">
        <v>67</v>
      </c>
      <c r="H69" s="122" t="s">
        <v>313</v>
      </c>
    </row>
    <row r="70" spans="1:8">
      <c r="A70" s="112" t="s">
        <v>245</v>
      </c>
      <c r="B70" s="112"/>
      <c r="C70" s="112"/>
      <c r="D70" s="112"/>
      <c r="E70" s="112"/>
      <c r="F70" s="112">
        <v>44</v>
      </c>
      <c r="G70" s="112">
        <v>68</v>
      </c>
      <c r="H70" s="121"/>
    </row>
    <row r="71" spans="1:8">
      <c r="A71" s="111" t="s">
        <v>246</v>
      </c>
      <c r="B71" s="111"/>
      <c r="C71" s="111"/>
      <c r="D71" s="111"/>
      <c r="E71" s="111"/>
      <c r="F71" s="111">
        <v>45</v>
      </c>
      <c r="G71" s="111">
        <v>69</v>
      </c>
      <c r="H71" s="122" t="s">
        <v>314</v>
      </c>
    </row>
    <row r="72" spans="1:8">
      <c r="A72" s="112" t="s">
        <v>247</v>
      </c>
      <c r="B72" s="112"/>
      <c r="C72" s="112"/>
      <c r="D72" s="112"/>
      <c r="E72" s="112"/>
      <c r="F72" s="112">
        <v>46</v>
      </c>
      <c r="G72" s="112">
        <v>70</v>
      </c>
      <c r="H72" s="121"/>
    </row>
    <row r="73" spans="1:8">
      <c r="A73" s="111" t="s">
        <v>248</v>
      </c>
      <c r="B73" s="111"/>
      <c r="C73" s="111"/>
      <c r="D73" s="111"/>
      <c r="E73" s="111"/>
      <c r="F73" s="111">
        <v>47</v>
      </c>
      <c r="G73" s="111">
        <v>71</v>
      </c>
      <c r="H73" s="122" t="s">
        <v>315</v>
      </c>
    </row>
    <row r="74" spans="1:8">
      <c r="A74" s="112" t="s">
        <v>249</v>
      </c>
      <c r="B74" s="112"/>
      <c r="C74" s="112"/>
      <c r="D74" s="112"/>
      <c r="E74" s="112"/>
      <c r="F74" s="112">
        <v>48</v>
      </c>
      <c r="G74" s="112">
        <v>72</v>
      </c>
      <c r="H74" s="121"/>
    </row>
    <row r="75" spans="1:8">
      <c r="A75" s="111" t="s">
        <v>250</v>
      </c>
      <c r="B75" s="111"/>
      <c r="C75" s="111"/>
      <c r="D75" s="111"/>
      <c r="E75" s="111"/>
      <c r="F75" s="111">
        <v>49</v>
      </c>
      <c r="G75" s="111">
        <v>73</v>
      </c>
      <c r="H75" s="122" t="s">
        <v>316</v>
      </c>
    </row>
    <row r="76" spans="1:8">
      <c r="A76" s="112" t="s">
        <v>251</v>
      </c>
      <c r="B76" s="112"/>
      <c r="C76" s="112"/>
      <c r="D76" s="112"/>
      <c r="E76" s="112"/>
      <c r="F76" s="112" t="s">
        <v>282</v>
      </c>
      <c r="G76" s="112">
        <v>74</v>
      </c>
      <c r="H76" s="121"/>
    </row>
    <row r="77" spans="1:8">
      <c r="A77" s="111" t="s">
        <v>252</v>
      </c>
      <c r="B77" s="111"/>
      <c r="C77" s="111"/>
      <c r="D77" s="111"/>
      <c r="E77" s="111"/>
      <c r="F77" s="111" t="s">
        <v>283</v>
      </c>
      <c r="G77" s="111">
        <v>75</v>
      </c>
      <c r="H77" s="122" t="s">
        <v>317</v>
      </c>
    </row>
    <row r="78" spans="1:8">
      <c r="A78" s="112" t="s">
        <v>253</v>
      </c>
      <c r="B78" s="112"/>
      <c r="C78" s="112"/>
      <c r="D78" s="112"/>
      <c r="E78" s="112"/>
      <c r="F78" s="112" t="s">
        <v>284</v>
      </c>
      <c r="G78" s="112">
        <v>76</v>
      </c>
      <c r="H78" s="121"/>
    </row>
    <row r="79" spans="1:8">
      <c r="A79" s="111" t="s">
        <v>254</v>
      </c>
      <c r="B79" s="111"/>
      <c r="C79" s="111"/>
      <c r="D79" s="111"/>
      <c r="E79" s="111"/>
      <c r="F79" s="111" t="s">
        <v>285</v>
      </c>
      <c r="G79" s="111">
        <v>77</v>
      </c>
      <c r="H79" s="122" t="s">
        <v>318</v>
      </c>
    </row>
    <row r="80" spans="1:8">
      <c r="A80" s="112" t="s">
        <v>255</v>
      </c>
      <c r="B80" s="112"/>
      <c r="C80" s="112"/>
      <c r="D80" s="112"/>
      <c r="E80" s="112"/>
      <c r="F80" s="112" t="s">
        <v>286</v>
      </c>
      <c r="G80" s="112">
        <v>78</v>
      </c>
      <c r="H80" s="121"/>
    </row>
    <row r="81" spans="1:8">
      <c r="A81" s="111"/>
      <c r="B81" s="111"/>
      <c r="C81" s="111"/>
      <c r="D81" s="111"/>
      <c r="E81" s="111"/>
      <c r="F81" s="111"/>
      <c r="G81" s="111"/>
      <c r="H81" s="111"/>
    </row>
    <row r="82" spans="1:8">
      <c r="A82" s="112"/>
      <c r="B82" s="112"/>
      <c r="C82" s="112"/>
      <c r="D82" s="112"/>
      <c r="E82" s="112"/>
      <c r="F82" s="112"/>
      <c r="G82" s="112"/>
      <c r="H82" s="112"/>
    </row>
    <row r="83" spans="1:8" ht="15">
      <c r="A83" s="107" t="s">
        <v>319</v>
      </c>
      <c r="B83">
        <f>SUM(B2:B82)</f>
        <v>1373</v>
      </c>
      <c r="C83">
        <f>SUM(C2:C82)</f>
        <v>102</v>
      </c>
      <c r="D83">
        <f>SUM(D2:D82)</f>
        <v>1271</v>
      </c>
      <c r="E83">
        <f>SUM(E2:E82)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9"/>
  <sheetViews>
    <sheetView zoomScale="85" zoomScaleNormal="85" workbookViewId="0">
      <selection activeCell="H55" sqref="H55:H68"/>
    </sheetView>
  </sheetViews>
  <sheetFormatPr defaultColWidth="9.140625" defaultRowHeight="12.75"/>
  <cols>
    <col min="1" max="1" width="26.42578125" customWidth="1"/>
    <col min="3" max="4" width="21.42578125" customWidth="1"/>
    <col min="5" max="5" width="23.85546875" customWidth="1"/>
    <col min="6" max="6" width="16.85546875" customWidth="1"/>
    <col min="7" max="7" width="22.28515625" customWidth="1"/>
    <col min="10" max="10" width="35" customWidth="1"/>
    <col min="11" max="11" width="36.85546875" customWidth="1"/>
    <col min="15" max="15" width="17" customWidth="1"/>
    <col min="16" max="16" width="13.42578125" customWidth="1"/>
    <col min="17" max="17" width="11.42578125" bestFit="1" customWidth="1"/>
    <col min="18" max="18" width="10.5703125" bestFit="1" customWidth="1"/>
    <col min="19" max="19" width="10.140625" bestFit="1" customWidth="1"/>
    <col min="21" max="21" width="42.28515625" bestFit="1" customWidth="1"/>
    <col min="23" max="23" width="28.5703125" bestFit="1" customWidth="1"/>
    <col min="26" max="26" width="42.28515625" bestFit="1" customWidth="1"/>
  </cols>
  <sheetData>
    <row r="1" spans="1:19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  <c r="J1" s="2"/>
      <c r="K1" s="2"/>
      <c r="L1" s="2"/>
      <c r="M1" s="2"/>
    </row>
    <row r="2" spans="1:19" ht="15">
      <c r="A2" s="2" t="s">
        <v>5</v>
      </c>
      <c r="B2" s="3">
        <v>3018</v>
      </c>
      <c r="C2" s="3">
        <v>386</v>
      </c>
      <c r="D2" s="3">
        <v>2580</v>
      </c>
      <c r="E2" s="3">
        <v>52</v>
      </c>
      <c r="F2" s="13">
        <f>C2/B2</f>
        <v>0.12789927104042412</v>
      </c>
      <c r="G2" s="13">
        <f t="shared" ref="G2:G16" si="0">D2/B2</f>
        <v>0.85487077534791256</v>
      </c>
      <c r="H2" s="13">
        <f t="shared" ref="H2:H16" si="1">E2/B2</f>
        <v>1.7229953611663355E-2</v>
      </c>
      <c r="I2" s="2" t="s">
        <v>5</v>
      </c>
      <c r="J2" s="3"/>
      <c r="K2" s="3"/>
      <c r="L2" s="3"/>
      <c r="M2" s="3"/>
      <c r="O2" s="15" t="s">
        <v>38</v>
      </c>
      <c r="P2" s="11" t="s">
        <v>31</v>
      </c>
    </row>
    <row r="3" spans="1:19" ht="15">
      <c r="A3" s="2" t="s">
        <v>6</v>
      </c>
      <c r="B3" s="3">
        <v>2325</v>
      </c>
      <c r="C3" s="3">
        <v>550</v>
      </c>
      <c r="D3" s="3">
        <v>1635</v>
      </c>
      <c r="E3" s="3">
        <v>140</v>
      </c>
      <c r="F3" s="12">
        <f t="shared" ref="F3:F16" si="2">C3/B3</f>
        <v>0.23655913978494625</v>
      </c>
      <c r="G3" s="12">
        <f t="shared" si="0"/>
        <v>0.70322580645161292</v>
      </c>
      <c r="H3" s="12">
        <f t="shared" si="1"/>
        <v>6.0215053763440864E-2</v>
      </c>
      <c r="I3" s="2" t="s">
        <v>6</v>
      </c>
      <c r="J3" s="3"/>
      <c r="K3" s="3"/>
      <c r="L3" s="3"/>
      <c r="M3" s="3"/>
      <c r="O3" s="11" t="s">
        <v>32</v>
      </c>
      <c r="P3" s="4">
        <v>17958</v>
      </c>
      <c r="Q3">
        <f>P3/R3*0.000001</f>
        <v>5.3873998356843042E-5</v>
      </c>
      <c r="R3">
        <f>(666666687/2)/1000000</f>
        <v>333.33334350000001</v>
      </c>
    </row>
    <row r="4" spans="1:19" ht="15">
      <c r="A4" s="2" t="s">
        <v>7</v>
      </c>
      <c r="B4" s="3">
        <v>3048</v>
      </c>
      <c r="C4" s="3">
        <v>970</v>
      </c>
      <c r="D4" s="3">
        <v>1719</v>
      </c>
      <c r="E4" s="3">
        <v>359</v>
      </c>
      <c r="F4" s="12">
        <f t="shared" si="2"/>
        <v>0.31824146981627299</v>
      </c>
      <c r="G4" s="12">
        <f t="shared" si="0"/>
        <v>0.5639763779527559</v>
      </c>
      <c r="H4" s="12">
        <f t="shared" si="1"/>
        <v>0.11778215223097113</v>
      </c>
      <c r="I4" s="2" t="s">
        <v>7</v>
      </c>
      <c r="J4" s="3"/>
      <c r="K4" s="3"/>
      <c r="L4" s="3"/>
      <c r="M4" s="3"/>
      <c r="O4" s="11" t="s">
        <v>35</v>
      </c>
      <c r="P4" s="4">
        <v>5219</v>
      </c>
      <c r="Q4">
        <f>P4/R4*0.000001</f>
        <v>1.5656999522461513E-5</v>
      </c>
      <c r="R4">
        <f>(666666687/2)/1000000</f>
        <v>333.33334350000001</v>
      </c>
    </row>
    <row r="5" spans="1:19" ht="15">
      <c r="A5" s="2" t="s">
        <v>8</v>
      </c>
      <c r="B5" s="3">
        <v>2375</v>
      </c>
      <c r="C5" s="3">
        <v>764</v>
      </c>
      <c r="D5" s="3">
        <v>1122</v>
      </c>
      <c r="E5" s="3">
        <v>489</v>
      </c>
      <c r="F5" s="12">
        <f t="shared" si="2"/>
        <v>0.32168421052631579</v>
      </c>
      <c r="G5" s="12">
        <f t="shared" si="0"/>
        <v>0.47242105263157896</v>
      </c>
      <c r="H5" s="12">
        <f t="shared" si="1"/>
        <v>0.20589473684210527</v>
      </c>
      <c r="I5" s="2" t="s">
        <v>8</v>
      </c>
      <c r="J5" s="3"/>
      <c r="K5" s="3"/>
      <c r="L5" s="3"/>
      <c r="M5" s="3"/>
      <c r="O5" s="11" t="s">
        <v>33</v>
      </c>
      <c r="P5" s="4">
        <v>4402</v>
      </c>
      <c r="Q5">
        <f>P5/R5*0.000001</f>
        <v>1.3205999597217011E-5</v>
      </c>
      <c r="R5">
        <f>(666666687/2)/1000000</f>
        <v>333.33334350000001</v>
      </c>
    </row>
    <row r="6" spans="1:19" ht="15">
      <c r="A6" s="2" t="s">
        <v>9</v>
      </c>
      <c r="B6" s="3">
        <v>3070</v>
      </c>
      <c r="C6" s="3">
        <v>940</v>
      </c>
      <c r="D6" s="3">
        <v>2120</v>
      </c>
      <c r="E6" s="3">
        <v>0</v>
      </c>
      <c r="F6" s="13">
        <f t="shared" si="2"/>
        <v>0.30618892508143325</v>
      </c>
      <c r="G6" s="13">
        <f t="shared" si="0"/>
        <v>0.69055374592833874</v>
      </c>
      <c r="H6" s="13">
        <f t="shared" si="1"/>
        <v>0</v>
      </c>
      <c r="I6" s="2" t="s">
        <v>9</v>
      </c>
      <c r="J6" s="3"/>
      <c r="K6" s="3"/>
      <c r="L6" s="3"/>
      <c r="M6" s="3"/>
      <c r="O6" s="11" t="s">
        <v>34</v>
      </c>
      <c r="P6" s="4">
        <v>3823</v>
      </c>
      <c r="Q6">
        <f>P6/R6*0.000001</f>
        <v>1.146899965019551E-5</v>
      </c>
      <c r="R6">
        <f>(666666687/2)/1000000</f>
        <v>333.33334350000001</v>
      </c>
      <c r="S6" s="86">
        <v>9.9999999999999995E-7</v>
      </c>
    </row>
    <row r="7" spans="1:19" ht="15">
      <c r="A7" s="2" t="s">
        <v>10</v>
      </c>
      <c r="B7" s="3">
        <v>2312</v>
      </c>
      <c r="C7" s="3">
        <v>0</v>
      </c>
      <c r="D7" s="3">
        <v>2312</v>
      </c>
      <c r="E7" s="3">
        <v>0</v>
      </c>
      <c r="F7" s="12">
        <f t="shared" si="2"/>
        <v>0</v>
      </c>
      <c r="G7" s="12">
        <f t="shared" si="0"/>
        <v>1</v>
      </c>
      <c r="H7" s="12">
        <f t="shared" si="1"/>
        <v>0</v>
      </c>
      <c r="I7" s="2" t="s">
        <v>10</v>
      </c>
      <c r="J7" s="3"/>
      <c r="K7" s="3"/>
      <c r="L7" s="3"/>
      <c r="M7" s="3"/>
    </row>
    <row r="8" spans="1:19" ht="15">
      <c r="A8" s="2" t="s">
        <v>11</v>
      </c>
      <c r="B8" s="3">
        <v>3244</v>
      </c>
      <c r="C8" s="3">
        <v>0</v>
      </c>
      <c r="D8" s="3">
        <v>3241</v>
      </c>
      <c r="E8" s="3">
        <v>3</v>
      </c>
      <c r="F8" s="12">
        <f t="shared" si="2"/>
        <v>0</v>
      </c>
      <c r="G8" s="12">
        <f t="shared" si="0"/>
        <v>0.99907521578298397</v>
      </c>
      <c r="H8" s="12">
        <f t="shared" si="1"/>
        <v>9.2478421701602961E-4</v>
      </c>
      <c r="I8" s="2" t="s">
        <v>11</v>
      </c>
      <c r="J8" s="3"/>
      <c r="K8" s="3"/>
      <c r="L8" s="3"/>
      <c r="M8" s="3"/>
    </row>
    <row r="9" spans="1:19" ht="15">
      <c r="A9" s="2" t="s">
        <v>12</v>
      </c>
      <c r="B9" s="3">
        <v>2334</v>
      </c>
      <c r="C9" s="3">
        <v>0</v>
      </c>
      <c r="D9" s="3">
        <v>2334</v>
      </c>
      <c r="E9" s="3">
        <v>0</v>
      </c>
      <c r="F9" s="12">
        <f t="shared" si="2"/>
        <v>0</v>
      </c>
      <c r="G9" s="12">
        <f t="shared" si="0"/>
        <v>1</v>
      </c>
      <c r="H9" s="12">
        <f t="shared" si="1"/>
        <v>0</v>
      </c>
      <c r="I9" s="2" t="s">
        <v>12</v>
      </c>
      <c r="J9" s="3"/>
      <c r="K9" s="3"/>
      <c r="L9" s="3"/>
      <c r="M9" s="3"/>
    </row>
    <row r="10" spans="1:19" ht="15">
      <c r="A10" s="2" t="s">
        <v>13</v>
      </c>
      <c r="B10" s="3">
        <v>3110</v>
      </c>
      <c r="C10" s="3">
        <v>0</v>
      </c>
      <c r="D10" s="3">
        <v>3096</v>
      </c>
      <c r="E10" s="3">
        <v>14</v>
      </c>
      <c r="F10" s="12">
        <f t="shared" si="2"/>
        <v>0</v>
      </c>
      <c r="G10" s="12">
        <f t="shared" si="0"/>
        <v>0.99549839228295822</v>
      </c>
      <c r="H10" s="12">
        <f t="shared" si="1"/>
        <v>4.5016077170418004E-3</v>
      </c>
      <c r="I10" s="2" t="s">
        <v>13</v>
      </c>
      <c r="J10" s="3"/>
      <c r="K10" s="3"/>
      <c r="L10" s="3"/>
      <c r="M10" s="3"/>
    </row>
    <row r="11" spans="1:19" ht="15">
      <c r="A11" s="2" t="s">
        <v>14</v>
      </c>
      <c r="B11" s="3">
        <v>2287</v>
      </c>
      <c r="C11" s="3">
        <v>0</v>
      </c>
      <c r="D11" s="3">
        <v>2287</v>
      </c>
      <c r="E11" s="3">
        <v>0</v>
      </c>
      <c r="F11" s="12">
        <f t="shared" si="2"/>
        <v>0</v>
      </c>
      <c r="G11" s="12">
        <f t="shared" si="0"/>
        <v>1</v>
      </c>
      <c r="H11" s="12">
        <f t="shared" si="1"/>
        <v>0</v>
      </c>
      <c r="I11" s="2" t="s">
        <v>14</v>
      </c>
      <c r="J11" s="3"/>
      <c r="K11" s="3"/>
      <c r="L11" s="3"/>
      <c r="M11" s="3"/>
    </row>
    <row r="12" spans="1:19" ht="15">
      <c r="A12" s="2" t="s">
        <v>15</v>
      </c>
      <c r="B12" s="3">
        <v>3382</v>
      </c>
      <c r="C12" s="3">
        <v>0</v>
      </c>
      <c r="D12" s="3">
        <v>3382</v>
      </c>
      <c r="E12" s="3">
        <v>0</v>
      </c>
      <c r="F12" s="12">
        <f t="shared" si="2"/>
        <v>0</v>
      </c>
      <c r="G12" s="12">
        <f t="shared" si="0"/>
        <v>1</v>
      </c>
      <c r="H12" s="12">
        <f t="shared" si="1"/>
        <v>0</v>
      </c>
      <c r="I12" s="2" t="s">
        <v>21</v>
      </c>
      <c r="J12" s="3"/>
      <c r="K12" s="3"/>
      <c r="L12" s="3"/>
      <c r="M12" s="3"/>
    </row>
    <row r="13" spans="1:19" ht="15">
      <c r="A13" s="2" t="s">
        <v>16</v>
      </c>
      <c r="B13" s="3">
        <v>2336</v>
      </c>
      <c r="C13" s="3">
        <v>0</v>
      </c>
      <c r="D13" s="3">
        <v>2336</v>
      </c>
      <c r="E13" s="3">
        <v>0</v>
      </c>
      <c r="F13" s="12">
        <f t="shared" si="2"/>
        <v>0</v>
      </c>
      <c r="G13" s="12">
        <f t="shared" si="0"/>
        <v>1</v>
      </c>
      <c r="H13" s="12">
        <f t="shared" si="1"/>
        <v>0</v>
      </c>
      <c r="I13" s="2" t="s">
        <v>22</v>
      </c>
      <c r="J13" s="3"/>
      <c r="K13" s="3"/>
      <c r="L13" s="3"/>
      <c r="M13" s="3"/>
    </row>
    <row r="14" spans="1:19" ht="15">
      <c r="A14" s="2" t="s">
        <v>17</v>
      </c>
      <c r="B14" s="3">
        <v>2976</v>
      </c>
      <c r="C14" s="3">
        <v>0</v>
      </c>
      <c r="D14" s="3">
        <v>2976</v>
      </c>
      <c r="E14" s="3">
        <v>0</v>
      </c>
      <c r="F14" s="12">
        <f t="shared" si="2"/>
        <v>0</v>
      </c>
      <c r="G14" s="12">
        <f t="shared" si="0"/>
        <v>1</v>
      </c>
      <c r="H14" s="12">
        <f t="shared" si="1"/>
        <v>0</v>
      </c>
      <c r="I14" s="2" t="s">
        <v>23</v>
      </c>
      <c r="J14" s="3"/>
      <c r="K14" s="3"/>
      <c r="L14" s="3"/>
      <c r="M14" s="3"/>
    </row>
    <row r="15" spans="1:19" ht="15">
      <c r="A15" s="2" t="s">
        <v>18</v>
      </c>
      <c r="B15" s="3">
        <v>2344</v>
      </c>
      <c r="C15" s="3">
        <v>847</v>
      </c>
      <c r="D15" s="3">
        <v>1263</v>
      </c>
      <c r="E15" s="3">
        <v>230</v>
      </c>
      <c r="F15" s="12">
        <f t="shared" si="2"/>
        <v>0.36134812286689422</v>
      </c>
      <c r="G15" s="12">
        <f t="shared" si="0"/>
        <v>0.53882252559726962</v>
      </c>
      <c r="H15" s="12">
        <f t="shared" si="1"/>
        <v>9.8122866894197955E-2</v>
      </c>
      <c r="I15" s="2" t="s">
        <v>18</v>
      </c>
      <c r="J15" s="3"/>
      <c r="K15" s="3"/>
      <c r="L15" s="3"/>
      <c r="M15" s="3"/>
    </row>
    <row r="16" spans="1:19" ht="15">
      <c r="A16" s="2" t="s">
        <v>29</v>
      </c>
      <c r="B16" s="3">
        <f>SUM(B2:B15)</f>
        <v>38161</v>
      </c>
      <c r="C16" s="17">
        <f>SUM(C2:C15)</f>
        <v>4457</v>
      </c>
      <c r="D16" s="3">
        <f>SUM(D2:D15)</f>
        <v>32403</v>
      </c>
      <c r="E16" s="3">
        <f>SUM(E2:E15)</f>
        <v>1287</v>
      </c>
      <c r="F16" s="12">
        <f t="shared" si="2"/>
        <v>0.11679463326432746</v>
      </c>
      <c r="G16" s="12">
        <f t="shared" si="0"/>
        <v>0.84911296873771647</v>
      </c>
      <c r="H16" s="12">
        <f t="shared" si="1"/>
        <v>3.3725531301590631E-2</v>
      </c>
      <c r="I16" s="2"/>
      <c r="J16" s="2"/>
      <c r="K16" s="2"/>
      <c r="L16" s="4"/>
      <c r="M16" s="2"/>
    </row>
    <row r="17" spans="1:13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22" spans="1:13" ht="15">
      <c r="A22" s="2" t="s">
        <v>37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  <c r="J22" s="2"/>
      <c r="K22" s="2"/>
      <c r="L22" s="2"/>
      <c r="M22" s="2"/>
    </row>
    <row r="23" spans="1:13" ht="15">
      <c r="A23" s="2" t="s">
        <v>5</v>
      </c>
      <c r="B23" s="3">
        <v>741</v>
      </c>
      <c r="C23" s="3">
        <v>0</v>
      </c>
      <c r="D23" s="3">
        <v>741</v>
      </c>
      <c r="E23" s="3">
        <v>0</v>
      </c>
      <c r="F23" s="12">
        <f>C23/B23</f>
        <v>0</v>
      </c>
      <c r="G23" s="12">
        <f>D23/B23</f>
        <v>1</v>
      </c>
      <c r="H23" s="12">
        <f>E23/B23</f>
        <v>0</v>
      </c>
      <c r="I23" s="2" t="s">
        <v>5</v>
      </c>
      <c r="J23" s="3"/>
      <c r="K23" s="3"/>
      <c r="L23" s="3"/>
      <c r="M23" s="3"/>
    </row>
    <row r="24" spans="1:13" ht="15">
      <c r="A24" s="2" t="s">
        <v>6</v>
      </c>
      <c r="B24" s="3">
        <v>637</v>
      </c>
      <c r="C24" s="3">
        <v>0</v>
      </c>
      <c r="D24" s="3">
        <v>636</v>
      </c>
      <c r="E24" s="3">
        <v>1</v>
      </c>
      <c r="F24" s="12">
        <f t="shared" ref="F24:F30" si="3">C24/B24</f>
        <v>0</v>
      </c>
      <c r="G24" s="12">
        <f t="shared" ref="G24:G30" si="4">D24/B24</f>
        <v>0.99843014128728413</v>
      </c>
      <c r="H24" s="12">
        <f>E24/B24</f>
        <v>1.5698587127158557E-3</v>
      </c>
      <c r="I24" s="2" t="s">
        <v>6</v>
      </c>
      <c r="J24" s="3"/>
      <c r="K24" s="3"/>
      <c r="L24" s="3"/>
      <c r="M24" s="3"/>
    </row>
    <row r="25" spans="1:13" ht="15">
      <c r="A25" s="2" t="s">
        <v>7</v>
      </c>
      <c r="B25" s="3">
        <v>712</v>
      </c>
      <c r="C25" s="3">
        <v>0</v>
      </c>
      <c r="D25" s="3">
        <v>711</v>
      </c>
      <c r="E25" s="3">
        <v>1</v>
      </c>
      <c r="F25" s="12">
        <f t="shared" si="3"/>
        <v>0</v>
      </c>
      <c r="G25" s="12">
        <f t="shared" si="4"/>
        <v>0.9985955056179775</v>
      </c>
      <c r="H25" s="12">
        <f t="shared" ref="H25:H34" si="5">E25/B25</f>
        <v>1.4044943820224719E-3</v>
      </c>
      <c r="I25" s="2" t="s">
        <v>7</v>
      </c>
      <c r="J25" s="3"/>
      <c r="K25" s="3"/>
      <c r="L25" s="3"/>
      <c r="M25" s="3"/>
    </row>
    <row r="26" spans="1:13" ht="15">
      <c r="A26" s="2" t="s">
        <v>8</v>
      </c>
      <c r="B26" s="3">
        <v>812</v>
      </c>
      <c r="C26" s="3">
        <v>0</v>
      </c>
      <c r="D26" s="3">
        <v>812</v>
      </c>
      <c r="E26" s="3">
        <v>0</v>
      </c>
      <c r="F26" s="12">
        <f t="shared" si="3"/>
        <v>0</v>
      </c>
      <c r="G26" s="12">
        <f t="shared" si="4"/>
        <v>1</v>
      </c>
      <c r="H26" s="12">
        <f t="shared" si="5"/>
        <v>0</v>
      </c>
      <c r="I26" s="2" t="s">
        <v>8</v>
      </c>
      <c r="J26" s="3"/>
      <c r="K26" s="3"/>
      <c r="L26" s="3"/>
      <c r="M26" s="3"/>
    </row>
    <row r="27" spans="1:13" ht="15">
      <c r="A27" s="2" t="s">
        <v>9</v>
      </c>
      <c r="B27" s="3">
        <v>688</v>
      </c>
      <c r="C27" s="3">
        <v>0</v>
      </c>
      <c r="D27" s="3">
        <v>688</v>
      </c>
      <c r="E27" s="3">
        <v>0</v>
      </c>
      <c r="F27" s="12">
        <f t="shared" si="3"/>
        <v>0</v>
      </c>
      <c r="G27" s="12">
        <f t="shared" si="4"/>
        <v>1</v>
      </c>
      <c r="H27" s="12">
        <f t="shared" si="5"/>
        <v>0</v>
      </c>
      <c r="I27" s="2" t="s">
        <v>9</v>
      </c>
      <c r="J27" s="3"/>
      <c r="K27" s="3"/>
      <c r="L27" s="3"/>
      <c r="M27" s="3"/>
    </row>
    <row r="28" spans="1:13" ht="15">
      <c r="A28" s="2" t="s">
        <v>10</v>
      </c>
      <c r="B28" s="3">
        <v>717</v>
      </c>
      <c r="C28" s="3">
        <v>0</v>
      </c>
      <c r="D28" s="3">
        <v>716</v>
      </c>
      <c r="E28" s="3">
        <v>1</v>
      </c>
      <c r="F28" s="12">
        <f t="shared" si="3"/>
        <v>0</v>
      </c>
      <c r="G28" s="12">
        <f t="shared" si="4"/>
        <v>0.99860529986053004</v>
      </c>
      <c r="H28" s="12">
        <f t="shared" si="5"/>
        <v>1.3947001394700139E-3</v>
      </c>
      <c r="I28" s="2" t="s">
        <v>10</v>
      </c>
      <c r="J28" s="3"/>
      <c r="K28" s="3"/>
      <c r="L28" s="3"/>
      <c r="M28" s="3"/>
    </row>
    <row r="29" spans="1:13" ht="15">
      <c r="A29" s="2" t="s">
        <v>11</v>
      </c>
      <c r="B29" s="3">
        <v>739</v>
      </c>
      <c r="C29" s="3">
        <v>0</v>
      </c>
      <c r="D29" s="3">
        <v>739</v>
      </c>
      <c r="E29" s="3">
        <v>0</v>
      </c>
      <c r="F29" s="12">
        <f t="shared" si="3"/>
        <v>0</v>
      </c>
      <c r="G29" s="12">
        <f t="shared" si="4"/>
        <v>1</v>
      </c>
      <c r="H29" s="12">
        <f t="shared" si="5"/>
        <v>0</v>
      </c>
      <c r="I29" s="2" t="s">
        <v>11</v>
      </c>
      <c r="J29" s="3"/>
      <c r="K29" s="3"/>
      <c r="L29" s="3"/>
      <c r="M29" s="3"/>
    </row>
    <row r="30" spans="1:13" ht="15">
      <c r="A30" s="2" t="s">
        <v>12</v>
      </c>
      <c r="B30" s="3">
        <v>679</v>
      </c>
      <c r="C30" s="3">
        <v>0</v>
      </c>
      <c r="D30" s="3">
        <v>679</v>
      </c>
      <c r="E30" s="3">
        <v>0</v>
      </c>
      <c r="F30" s="12">
        <f t="shared" si="3"/>
        <v>0</v>
      </c>
      <c r="G30" s="12">
        <f t="shared" si="4"/>
        <v>1</v>
      </c>
      <c r="H30" s="12">
        <f t="shared" si="5"/>
        <v>0</v>
      </c>
      <c r="I30" s="2" t="s">
        <v>12</v>
      </c>
      <c r="J30" s="3"/>
      <c r="K30" s="3"/>
      <c r="L30" s="3"/>
      <c r="M30" s="3"/>
    </row>
    <row r="31" spans="1:13" ht="15">
      <c r="A31" s="2" t="s">
        <v>13</v>
      </c>
      <c r="B31" s="3">
        <v>652</v>
      </c>
      <c r="C31">
        <v>8</v>
      </c>
      <c r="D31" s="3">
        <v>522</v>
      </c>
      <c r="E31" s="3">
        <v>122</v>
      </c>
      <c r="F31" s="13">
        <f t="shared" ref="F31:F37" si="6">C31/B31</f>
        <v>1.2269938650306749E-2</v>
      </c>
      <c r="G31" s="13">
        <f>D31/B31</f>
        <v>0.80061349693251538</v>
      </c>
      <c r="H31" s="13">
        <f t="shared" si="5"/>
        <v>0.18711656441717792</v>
      </c>
      <c r="I31" s="2" t="s">
        <v>13</v>
      </c>
      <c r="J31" s="3"/>
      <c r="K31" s="3"/>
      <c r="L31" s="3"/>
      <c r="M31" s="3"/>
    </row>
    <row r="32" spans="1:13" ht="15">
      <c r="A32" s="2" t="s">
        <v>14</v>
      </c>
      <c r="B32" s="3">
        <v>789</v>
      </c>
      <c r="C32" s="3">
        <v>105</v>
      </c>
      <c r="D32" s="3">
        <v>455</v>
      </c>
      <c r="E32" s="3">
        <v>229</v>
      </c>
      <c r="F32" s="13">
        <f t="shared" si="6"/>
        <v>0.13307984790874525</v>
      </c>
      <c r="G32" s="13">
        <f>D32/B32</f>
        <v>0.57667934093789608</v>
      </c>
      <c r="H32" s="13">
        <f t="shared" si="5"/>
        <v>0.2902408111533587</v>
      </c>
      <c r="I32" s="2" t="s">
        <v>14</v>
      </c>
      <c r="J32" s="3"/>
      <c r="K32" s="3"/>
      <c r="L32" s="3"/>
      <c r="M32" s="3"/>
    </row>
    <row r="33" spans="1:13" ht="15">
      <c r="A33" s="2" t="s">
        <v>15</v>
      </c>
      <c r="B33" s="3">
        <v>695</v>
      </c>
      <c r="C33" s="3">
        <v>16</v>
      </c>
      <c r="D33" s="3">
        <v>244</v>
      </c>
      <c r="E33" s="3">
        <v>435</v>
      </c>
      <c r="F33" s="13">
        <f t="shared" si="6"/>
        <v>2.302158273381295E-2</v>
      </c>
      <c r="G33" s="13">
        <f>D33/B33</f>
        <v>0.3510791366906475</v>
      </c>
      <c r="H33" s="13">
        <f t="shared" si="5"/>
        <v>0.62589928057553956</v>
      </c>
      <c r="I33" s="2" t="s">
        <v>21</v>
      </c>
      <c r="J33" s="3"/>
      <c r="K33" s="3"/>
      <c r="L33" s="3"/>
      <c r="M33" s="3"/>
    </row>
    <row r="34" spans="1:13" ht="15">
      <c r="A34" s="2" t="s">
        <v>16</v>
      </c>
      <c r="B34" s="3">
        <v>696</v>
      </c>
      <c r="C34" s="3">
        <v>0</v>
      </c>
      <c r="D34" s="3">
        <v>695</v>
      </c>
      <c r="E34" s="3">
        <v>1</v>
      </c>
      <c r="F34" s="12">
        <f t="shared" si="6"/>
        <v>0</v>
      </c>
      <c r="G34" s="12">
        <f>D34/B34</f>
        <v>0.99856321839080464</v>
      </c>
      <c r="H34" s="12">
        <f t="shared" si="5"/>
        <v>1.4367816091954023E-3</v>
      </c>
      <c r="I34" s="2" t="s">
        <v>22</v>
      </c>
      <c r="J34" s="3"/>
      <c r="K34" s="3"/>
      <c r="L34" s="3"/>
      <c r="M34" s="3"/>
    </row>
    <row r="35" spans="1:13" ht="15">
      <c r="A35" s="2" t="s">
        <v>17</v>
      </c>
      <c r="B35" s="3">
        <v>747</v>
      </c>
      <c r="C35" s="3">
        <v>0</v>
      </c>
      <c r="D35" s="3">
        <v>647</v>
      </c>
      <c r="E35" s="3">
        <v>100</v>
      </c>
      <c r="F35" s="13">
        <f t="shared" si="6"/>
        <v>0</v>
      </c>
      <c r="G35" s="13">
        <f>D35/B23</f>
        <v>0.87314439946018896</v>
      </c>
      <c r="H35" s="13">
        <f>E35/B23</f>
        <v>0.1349527665317139</v>
      </c>
      <c r="I35" s="2" t="s">
        <v>23</v>
      </c>
      <c r="J35" s="3"/>
      <c r="K35" s="3"/>
      <c r="L35" s="3"/>
      <c r="M35" s="3"/>
    </row>
    <row r="36" spans="1:13" ht="15">
      <c r="A36" s="2" t="s">
        <v>18</v>
      </c>
      <c r="B36" s="3">
        <v>764</v>
      </c>
      <c r="C36" s="3">
        <v>220</v>
      </c>
      <c r="D36" s="3">
        <v>345</v>
      </c>
      <c r="E36" s="3">
        <v>200</v>
      </c>
      <c r="F36" s="13">
        <f t="shared" si="6"/>
        <v>0.2879581151832461</v>
      </c>
      <c r="G36" s="13">
        <f>D36/B36</f>
        <v>0.45157068062827227</v>
      </c>
      <c r="H36" s="13">
        <f>E36/B36</f>
        <v>0.26178010471204188</v>
      </c>
      <c r="I36" s="2" t="s">
        <v>18</v>
      </c>
      <c r="J36" s="3"/>
      <c r="K36" s="3"/>
      <c r="L36" s="3"/>
      <c r="M36" s="3"/>
    </row>
    <row r="37" spans="1:13" ht="15">
      <c r="A37" s="2" t="s">
        <v>29</v>
      </c>
      <c r="B37" s="3">
        <f>SUM(B23:B36)</f>
        <v>10068</v>
      </c>
      <c r="C37" s="3">
        <f>SUM(C23:C36)</f>
        <v>349</v>
      </c>
      <c r="D37" s="3">
        <f>SUM(D23:D36)</f>
        <v>8630</v>
      </c>
      <c r="E37" s="3">
        <f>SUM(E23:E36)</f>
        <v>1090</v>
      </c>
      <c r="F37" s="13">
        <f t="shared" si="6"/>
        <v>3.466428287644021E-2</v>
      </c>
      <c r="G37" s="13">
        <f>D37/B37</f>
        <v>0.85717123559793407</v>
      </c>
      <c r="H37" s="13">
        <f>E37/B37</f>
        <v>0.10826380611839491</v>
      </c>
      <c r="I37" s="2"/>
      <c r="J37" s="2"/>
      <c r="K37" s="2"/>
      <c r="L37" s="4"/>
      <c r="M37" s="2"/>
    </row>
    <row r="46" spans="1:13">
      <c r="D46" s="10"/>
    </row>
    <row r="54" spans="1:13" ht="15">
      <c r="A54" s="2" t="s">
        <v>36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26</v>
      </c>
      <c r="G54" s="2" t="s">
        <v>27</v>
      </c>
      <c r="H54" s="2" t="s">
        <v>28</v>
      </c>
      <c r="I54" s="2"/>
      <c r="J54" s="2"/>
      <c r="K54" s="2"/>
      <c r="L54" s="2"/>
      <c r="M54" s="2"/>
    </row>
    <row r="55" spans="1:13" ht="15">
      <c r="A55" s="2" t="s">
        <v>5</v>
      </c>
      <c r="B55" s="3">
        <v>771</v>
      </c>
      <c r="C55" s="3">
        <v>0</v>
      </c>
      <c r="D55" s="3">
        <v>771</v>
      </c>
      <c r="E55" s="3">
        <v>0</v>
      </c>
      <c r="F55" s="12">
        <f>C55/B55</f>
        <v>0</v>
      </c>
      <c r="G55" s="12">
        <f>D55/B55</f>
        <v>1</v>
      </c>
      <c r="H55" s="12">
        <f>E55/B55</f>
        <v>0</v>
      </c>
      <c r="I55" s="2" t="s">
        <v>5</v>
      </c>
      <c r="J55" s="3"/>
      <c r="K55" s="3"/>
      <c r="L55" s="3"/>
      <c r="M55" s="3"/>
    </row>
    <row r="56" spans="1:13" ht="15">
      <c r="A56" s="2" t="s">
        <v>6</v>
      </c>
      <c r="B56" s="3">
        <v>1103</v>
      </c>
      <c r="C56" s="3">
        <v>0</v>
      </c>
      <c r="D56" s="3">
        <v>1103</v>
      </c>
      <c r="E56" s="3">
        <v>0</v>
      </c>
      <c r="F56" s="12">
        <f t="shared" ref="F56:F69" si="7">C56/B56</f>
        <v>0</v>
      </c>
      <c r="G56" s="12">
        <f t="shared" ref="G56:G69" si="8">D56/B56</f>
        <v>1</v>
      </c>
      <c r="H56" s="12">
        <f>E56/B56</f>
        <v>0</v>
      </c>
      <c r="I56" s="2" t="s">
        <v>6</v>
      </c>
      <c r="J56" s="3"/>
      <c r="K56" s="3"/>
      <c r="L56" s="3"/>
      <c r="M56" s="3"/>
    </row>
    <row r="57" spans="1:13" ht="15">
      <c r="A57" s="2" t="s">
        <v>7</v>
      </c>
      <c r="B57" s="3">
        <v>745</v>
      </c>
      <c r="C57" s="3">
        <v>0</v>
      </c>
      <c r="D57" s="3">
        <v>745</v>
      </c>
      <c r="E57" s="3">
        <v>0</v>
      </c>
      <c r="F57" s="12">
        <f t="shared" si="7"/>
        <v>0</v>
      </c>
      <c r="G57" s="12">
        <f t="shared" si="8"/>
        <v>1</v>
      </c>
      <c r="H57" s="12">
        <f t="shared" ref="H57:H69" si="9">E57/B57</f>
        <v>0</v>
      </c>
      <c r="I57" s="2" t="s">
        <v>7</v>
      </c>
      <c r="J57" s="3"/>
      <c r="K57" s="3"/>
      <c r="L57" s="3"/>
      <c r="M57" s="3"/>
    </row>
    <row r="58" spans="1:13" ht="15">
      <c r="A58" s="2" t="s">
        <v>8</v>
      </c>
      <c r="B58" s="3">
        <v>1212</v>
      </c>
      <c r="C58" s="3">
        <v>0</v>
      </c>
      <c r="D58" s="3">
        <v>1212</v>
      </c>
      <c r="E58" s="3">
        <v>0</v>
      </c>
      <c r="F58" s="12">
        <f t="shared" si="7"/>
        <v>0</v>
      </c>
      <c r="G58" s="12">
        <f t="shared" si="8"/>
        <v>1</v>
      </c>
      <c r="H58" s="12">
        <f t="shared" si="9"/>
        <v>0</v>
      </c>
      <c r="I58" s="2" t="s">
        <v>8</v>
      </c>
      <c r="J58" s="3"/>
      <c r="K58" s="3"/>
      <c r="L58" s="3"/>
      <c r="M58" s="3"/>
    </row>
    <row r="59" spans="1:13" ht="15">
      <c r="A59" s="2" t="s">
        <v>9</v>
      </c>
      <c r="B59" s="3">
        <v>825</v>
      </c>
      <c r="C59" s="3">
        <v>0</v>
      </c>
      <c r="D59" s="3">
        <v>825</v>
      </c>
      <c r="E59" s="3">
        <v>0</v>
      </c>
      <c r="F59" s="12">
        <f t="shared" si="7"/>
        <v>0</v>
      </c>
      <c r="G59" s="12">
        <f t="shared" si="8"/>
        <v>1</v>
      </c>
      <c r="H59" s="12">
        <f t="shared" si="9"/>
        <v>0</v>
      </c>
      <c r="I59" s="2" t="s">
        <v>9</v>
      </c>
      <c r="J59" s="3"/>
      <c r="K59" s="3"/>
      <c r="L59" s="3"/>
      <c r="M59" s="3"/>
    </row>
    <row r="60" spans="1:13" ht="15">
      <c r="A60" s="2" t="s">
        <v>10</v>
      </c>
      <c r="B60" s="3">
        <v>1106</v>
      </c>
      <c r="C60" s="3">
        <v>0</v>
      </c>
      <c r="D60" s="3">
        <v>1106</v>
      </c>
      <c r="E60" s="3">
        <v>0</v>
      </c>
      <c r="F60" s="12">
        <f t="shared" si="7"/>
        <v>0</v>
      </c>
      <c r="G60" s="12">
        <f t="shared" si="8"/>
        <v>1</v>
      </c>
      <c r="H60" s="12">
        <f t="shared" si="9"/>
        <v>0</v>
      </c>
      <c r="I60" s="2" t="s">
        <v>10</v>
      </c>
      <c r="J60" s="3"/>
      <c r="K60" s="3"/>
      <c r="L60" s="3"/>
      <c r="M60" s="3"/>
    </row>
    <row r="61" spans="1:13" ht="15">
      <c r="A61" s="2" t="s">
        <v>11</v>
      </c>
      <c r="B61" s="3">
        <v>786</v>
      </c>
      <c r="C61" s="3">
        <v>0</v>
      </c>
      <c r="D61" s="3">
        <v>786</v>
      </c>
      <c r="E61" s="3">
        <v>0</v>
      </c>
      <c r="F61" s="12">
        <f t="shared" si="7"/>
        <v>0</v>
      </c>
      <c r="G61" s="12">
        <f t="shared" si="8"/>
        <v>1</v>
      </c>
      <c r="H61" s="12">
        <f t="shared" si="9"/>
        <v>0</v>
      </c>
      <c r="I61" s="2" t="s">
        <v>11</v>
      </c>
      <c r="J61" s="3"/>
      <c r="K61" s="3"/>
      <c r="L61" s="3"/>
      <c r="M61" s="3"/>
    </row>
    <row r="62" spans="1:13" ht="15">
      <c r="A62" s="2" t="s">
        <v>12</v>
      </c>
      <c r="B62" s="3">
        <v>1141</v>
      </c>
      <c r="C62" s="3">
        <v>0</v>
      </c>
      <c r="D62" s="3">
        <v>1141</v>
      </c>
      <c r="E62" s="3">
        <v>0</v>
      </c>
      <c r="F62" s="12">
        <f t="shared" si="7"/>
        <v>0</v>
      </c>
      <c r="G62" s="12">
        <f t="shared" si="8"/>
        <v>1</v>
      </c>
      <c r="H62" s="12">
        <f t="shared" si="9"/>
        <v>0</v>
      </c>
      <c r="I62" s="2" t="s">
        <v>12</v>
      </c>
      <c r="J62" s="3"/>
      <c r="K62" s="3"/>
      <c r="L62" s="3"/>
      <c r="M62" s="3"/>
    </row>
    <row r="63" spans="1:13" ht="15">
      <c r="A63" s="2" t="s">
        <v>13</v>
      </c>
      <c r="B63" s="3">
        <v>791</v>
      </c>
      <c r="C63">
        <v>36</v>
      </c>
      <c r="D63" s="3">
        <v>205</v>
      </c>
      <c r="E63" s="3">
        <v>548</v>
      </c>
      <c r="F63" s="12">
        <f>C63/B63</f>
        <v>4.5512010113780026E-2</v>
      </c>
      <c r="G63" s="12">
        <f>D63/B63</f>
        <v>0.25916561314791403</v>
      </c>
      <c r="H63" s="12">
        <f t="shared" si="9"/>
        <v>0.69279393173198478</v>
      </c>
      <c r="I63" s="2" t="s">
        <v>13</v>
      </c>
      <c r="J63" s="3"/>
      <c r="K63" s="3"/>
      <c r="L63" s="3"/>
      <c r="M63" s="3"/>
    </row>
    <row r="64" spans="1:13" ht="15">
      <c r="A64" s="2" t="s">
        <v>14</v>
      </c>
      <c r="B64" s="3">
        <v>1105</v>
      </c>
      <c r="C64" s="3">
        <v>92</v>
      </c>
      <c r="D64" s="3">
        <v>637</v>
      </c>
      <c r="E64" s="3">
        <v>372</v>
      </c>
      <c r="F64" s="12">
        <f t="shared" si="7"/>
        <v>8.3257918552036195E-2</v>
      </c>
      <c r="G64" s="12">
        <f t="shared" si="8"/>
        <v>0.57647058823529407</v>
      </c>
      <c r="H64" s="12">
        <f t="shared" si="9"/>
        <v>0.33665158371040727</v>
      </c>
      <c r="I64" s="2" t="s">
        <v>14</v>
      </c>
      <c r="J64" s="3"/>
      <c r="K64" s="3"/>
      <c r="L64" s="3"/>
      <c r="M64" s="3"/>
    </row>
    <row r="65" spans="1:13" ht="15">
      <c r="A65" s="2" t="s">
        <v>15</v>
      </c>
      <c r="B65" s="3">
        <v>785</v>
      </c>
      <c r="C65" s="3">
        <v>34</v>
      </c>
      <c r="D65" s="3">
        <v>719</v>
      </c>
      <c r="E65" s="3">
        <v>32</v>
      </c>
      <c r="F65" s="13">
        <f t="shared" si="7"/>
        <v>4.3312101910828023E-2</v>
      </c>
      <c r="G65" s="13">
        <f t="shared" si="8"/>
        <v>0.91592356687898091</v>
      </c>
      <c r="H65" s="13">
        <f t="shared" si="9"/>
        <v>4.0764331210191081E-2</v>
      </c>
      <c r="I65" s="2" t="s">
        <v>21</v>
      </c>
      <c r="J65" s="3"/>
      <c r="K65" s="3"/>
      <c r="L65" s="3"/>
      <c r="M65" s="3"/>
    </row>
    <row r="66" spans="1:13" ht="15">
      <c r="A66" s="2" t="s">
        <v>16</v>
      </c>
      <c r="B66" s="3">
        <v>1141</v>
      </c>
      <c r="C66" s="3">
        <v>0</v>
      </c>
      <c r="D66" s="3">
        <v>0</v>
      </c>
      <c r="E66" s="3">
        <v>1141</v>
      </c>
      <c r="F66" s="12">
        <f t="shared" si="7"/>
        <v>0</v>
      </c>
      <c r="G66" s="12">
        <f t="shared" si="8"/>
        <v>0</v>
      </c>
      <c r="H66" s="12">
        <f t="shared" si="9"/>
        <v>1</v>
      </c>
      <c r="I66" s="2" t="s">
        <v>22</v>
      </c>
      <c r="J66" s="3"/>
      <c r="K66" s="3"/>
      <c r="L66" s="3"/>
      <c r="M66" s="3"/>
    </row>
    <row r="67" spans="1:13" ht="15">
      <c r="A67" s="2" t="s">
        <v>17</v>
      </c>
      <c r="B67" s="3">
        <v>765</v>
      </c>
      <c r="C67" s="3">
        <v>0</v>
      </c>
      <c r="D67" s="3">
        <v>765</v>
      </c>
      <c r="E67" s="3">
        <v>0</v>
      </c>
      <c r="F67" s="13">
        <f>C67/B67</f>
        <v>0</v>
      </c>
      <c r="G67" s="13">
        <f>D67/B67</f>
        <v>1</v>
      </c>
      <c r="H67" s="13">
        <f>E67/B67</f>
        <v>0</v>
      </c>
      <c r="I67" s="2" t="s">
        <v>23</v>
      </c>
      <c r="J67" s="3"/>
      <c r="K67" s="3"/>
      <c r="L67" s="3"/>
      <c r="M67" s="3"/>
    </row>
    <row r="68" spans="1:13" ht="15">
      <c r="A68" s="2" t="s">
        <v>18</v>
      </c>
      <c r="B68" s="3">
        <v>1269</v>
      </c>
      <c r="C68" s="3">
        <v>434</v>
      </c>
      <c r="D68" s="3">
        <v>401</v>
      </c>
      <c r="E68" s="3">
        <v>431</v>
      </c>
      <c r="F68" s="12">
        <f t="shared" si="7"/>
        <v>0.34200157604412923</v>
      </c>
      <c r="G68" s="12">
        <f t="shared" si="8"/>
        <v>0.31599684791174154</v>
      </c>
      <c r="H68" s="12">
        <f t="shared" si="9"/>
        <v>0.3396375098502758</v>
      </c>
      <c r="I68" s="2" t="s">
        <v>18</v>
      </c>
      <c r="J68" s="3"/>
      <c r="K68" s="3"/>
      <c r="L68" s="3"/>
      <c r="M68" s="3"/>
    </row>
    <row r="69" spans="1:13" ht="15">
      <c r="A69" s="2" t="s">
        <v>29</v>
      </c>
      <c r="B69" s="3">
        <f>SUM(B55:B68)</f>
        <v>13545</v>
      </c>
      <c r="C69" s="3">
        <f>SUM(C55:C68)</f>
        <v>596</v>
      </c>
      <c r="D69" s="3">
        <f>SUM(D55:D68)</f>
        <v>10416</v>
      </c>
      <c r="E69" s="3">
        <f>SUM(E55:E68)</f>
        <v>2524</v>
      </c>
      <c r="F69" s="12">
        <f t="shared" si="7"/>
        <v>4.4001476559616094E-2</v>
      </c>
      <c r="G69" s="12">
        <f t="shared" si="8"/>
        <v>0.76899224806201549</v>
      </c>
      <c r="H69" s="12">
        <f t="shared" si="9"/>
        <v>0.18634182355112588</v>
      </c>
      <c r="I69" s="2"/>
      <c r="J69" s="2"/>
      <c r="K69" s="2"/>
      <c r="L69" s="4"/>
      <c r="M6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0"/>
  <sheetViews>
    <sheetView zoomScale="70" zoomScaleNormal="70" workbookViewId="0">
      <selection activeCell="H55" sqref="H55"/>
    </sheetView>
  </sheetViews>
  <sheetFormatPr defaultColWidth="9.140625" defaultRowHeight="12.75"/>
  <cols>
    <col min="1" max="1" width="48.140625" customWidth="1"/>
    <col min="2" max="2" width="14.5703125" customWidth="1"/>
    <col min="3" max="3" width="27.5703125" customWidth="1"/>
    <col min="4" max="4" width="19.140625" customWidth="1"/>
    <col min="5" max="5" width="28.7109375" customWidth="1"/>
    <col min="7" max="7" width="17.42578125" customWidth="1"/>
    <col min="8" max="8" width="8.5703125" bestFit="1" customWidth="1"/>
    <col min="10" max="10" width="27.85546875" customWidth="1"/>
    <col min="14" max="14" width="19.5703125" customWidth="1"/>
    <col min="15" max="15" width="18.28515625" bestFit="1" customWidth="1"/>
    <col min="16" max="16" width="19.7109375" customWidth="1"/>
    <col min="19" max="19" width="10.5703125" bestFit="1" customWidth="1"/>
    <col min="20" max="20" width="13.5703125" customWidth="1"/>
    <col min="21" max="21" width="11.28515625" bestFit="1" customWidth="1"/>
    <col min="22" max="22" width="10.5703125" bestFit="1" customWidth="1"/>
  </cols>
  <sheetData>
    <row r="1" spans="1:12" ht="15">
      <c r="A1" s="2" t="s">
        <v>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2" ht="15">
      <c r="A2" s="2" t="s">
        <v>5</v>
      </c>
      <c r="B2" s="3">
        <v>6816</v>
      </c>
      <c r="C2" s="3">
        <v>144</v>
      </c>
      <c r="D2" s="3">
        <v>6672</v>
      </c>
      <c r="E2" s="3">
        <v>0</v>
      </c>
      <c r="F2" s="12">
        <f t="shared" ref="F2:F16" si="0">C2/B2</f>
        <v>2.1126760563380281E-2</v>
      </c>
      <c r="G2" s="12">
        <f t="shared" ref="G2:G16" si="1">D2/B2</f>
        <v>0.97887323943661975</v>
      </c>
      <c r="H2" s="12">
        <f t="shared" ref="H2:H16" si="2">E2/B2</f>
        <v>0</v>
      </c>
      <c r="I2" s="2" t="s">
        <v>5</v>
      </c>
    </row>
    <row r="3" spans="1:12" ht="15">
      <c r="A3" s="2" t="s">
        <v>6</v>
      </c>
      <c r="B3" s="3">
        <v>6392</v>
      </c>
      <c r="C3" s="3">
        <v>327</v>
      </c>
      <c r="D3" s="3">
        <v>5952</v>
      </c>
      <c r="E3" s="3">
        <v>113</v>
      </c>
      <c r="F3" s="12">
        <f t="shared" si="0"/>
        <v>5.1157697121401752E-2</v>
      </c>
      <c r="G3" s="12">
        <f t="shared" si="1"/>
        <v>0.93116395494367965</v>
      </c>
      <c r="H3" s="12">
        <f t="shared" si="2"/>
        <v>1.767834793491865E-2</v>
      </c>
      <c r="I3" s="2" t="s">
        <v>6</v>
      </c>
    </row>
    <row r="4" spans="1:12" ht="15">
      <c r="A4" s="2" t="s">
        <v>7</v>
      </c>
      <c r="B4" s="3">
        <v>6881</v>
      </c>
      <c r="C4" s="3">
        <v>726</v>
      </c>
      <c r="D4" s="3">
        <v>6072</v>
      </c>
      <c r="E4" s="3">
        <v>83</v>
      </c>
      <c r="F4" s="12">
        <f t="shared" si="0"/>
        <v>0.10550792036041273</v>
      </c>
      <c r="G4" s="12">
        <f t="shared" si="1"/>
        <v>0.88242987937799744</v>
      </c>
      <c r="H4" s="12">
        <f t="shared" si="2"/>
        <v>1.2062200261589886E-2</v>
      </c>
      <c r="I4" s="2" t="s">
        <v>7</v>
      </c>
    </row>
    <row r="5" spans="1:12" ht="15">
      <c r="A5" s="2" t="s">
        <v>8</v>
      </c>
      <c r="B5" s="3">
        <v>6347</v>
      </c>
      <c r="C5" s="3">
        <v>440</v>
      </c>
      <c r="D5" s="3">
        <v>5810</v>
      </c>
      <c r="E5" s="3">
        <v>97</v>
      </c>
      <c r="F5" s="12">
        <f t="shared" si="0"/>
        <v>6.9324090121317156E-2</v>
      </c>
      <c r="G5" s="12">
        <f t="shared" si="1"/>
        <v>0.91539309910193789</v>
      </c>
      <c r="H5" s="12">
        <f t="shared" si="2"/>
        <v>1.5282810776744919E-2</v>
      </c>
      <c r="I5" s="2" t="s">
        <v>8</v>
      </c>
    </row>
    <row r="6" spans="1:12" ht="15">
      <c r="A6" s="2" t="s">
        <v>9</v>
      </c>
      <c r="B6" s="3">
        <v>6865</v>
      </c>
      <c r="C6" s="3">
        <v>0</v>
      </c>
      <c r="D6" s="3">
        <v>6865</v>
      </c>
      <c r="E6" s="3">
        <v>0</v>
      </c>
      <c r="F6" s="12">
        <f t="shared" si="0"/>
        <v>0</v>
      </c>
      <c r="G6" s="12">
        <f t="shared" si="1"/>
        <v>1</v>
      </c>
      <c r="H6" s="12">
        <f t="shared" si="2"/>
        <v>0</v>
      </c>
      <c r="I6" s="2" t="s">
        <v>9</v>
      </c>
    </row>
    <row r="7" spans="1:12" ht="15">
      <c r="A7" s="2" t="s">
        <v>10</v>
      </c>
      <c r="B7" s="3">
        <v>6155</v>
      </c>
      <c r="C7" s="3">
        <v>0</v>
      </c>
      <c r="D7" s="3">
        <v>6155</v>
      </c>
      <c r="E7" s="3">
        <v>0</v>
      </c>
      <c r="F7" s="12">
        <f t="shared" si="0"/>
        <v>0</v>
      </c>
      <c r="G7" s="12">
        <f t="shared" si="1"/>
        <v>1</v>
      </c>
      <c r="H7" s="12">
        <f t="shared" si="2"/>
        <v>0</v>
      </c>
      <c r="I7" s="2" t="s">
        <v>10</v>
      </c>
      <c r="J7" s="15" t="s">
        <v>40</v>
      </c>
      <c r="K7" s="38" t="s">
        <v>31</v>
      </c>
      <c r="L7" s="15" t="s">
        <v>74</v>
      </c>
    </row>
    <row r="8" spans="1:12" ht="15">
      <c r="A8" s="2" t="s">
        <v>11</v>
      </c>
      <c r="B8" s="3">
        <v>6926</v>
      </c>
      <c r="C8" s="3">
        <v>0</v>
      </c>
      <c r="D8" s="3">
        <v>6876</v>
      </c>
      <c r="E8" s="3">
        <v>0</v>
      </c>
      <c r="F8" s="12">
        <f t="shared" si="0"/>
        <v>0</v>
      </c>
      <c r="G8" s="12">
        <f t="shared" si="1"/>
        <v>0.99278082587352012</v>
      </c>
      <c r="H8" s="12">
        <f t="shared" si="2"/>
        <v>0</v>
      </c>
      <c r="I8" s="2" t="s">
        <v>11</v>
      </c>
      <c r="J8" s="11" t="s">
        <v>32</v>
      </c>
      <c r="K8" s="39">
        <v>107882</v>
      </c>
      <c r="L8" s="40">
        <v>1.6197999999999999E-4</v>
      </c>
    </row>
    <row r="9" spans="1:12" ht="15">
      <c r="A9" s="2" t="s">
        <v>12</v>
      </c>
      <c r="B9" s="3">
        <v>6229</v>
      </c>
      <c r="C9" s="3">
        <v>0</v>
      </c>
      <c r="D9" s="3">
        <v>6229</v>
      </c>
      <c r="E9" s="3">
        <v>0</v>
      </c>
      <c r="F9" s="12">
        <f t="shared" si="0"/>
        <v>0</v>
      </c>
      <c r="G9" s="12">
        <f t="shared" si="1"/>
        <v>1</v>
      </c>
      <c r="H9" s="12">
        <f t="shared" si="2"/>
        <v>0</v>
      </c>
      <c r="I9" s="2" t="s">
        <v>12</v>
      </c>
      <c r="J9" s="11" t="s">
        <v>35</v>
      </c>
      <c r="K9">
        <v>42968</v>
      </c>
      <c r="L9" s="40">
        <v>6.4519999999999999E-5</v>
      </c>
    </row>
    <row r="10" spans="1:12" ht="15">
      <c r="A10" s="2" t="s">
        <v>13</v>
      </c>
      <c r="B10" s="3">
        <v>6933</v>
      </c>
      <c r="C10" s="3">
        <v>0</v>
      </c>
      <c r="D10" s="3">
        <v>6933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13</v>
      </c>
      <c r="J10" s="11" t="s">
        <v>33</v>
      </c>
      <c r="K10" s="39">
        <v>38104</v>
      </c>
      <c r="L10" s="40">
        <v>5.7210000000000003E-5</v>
      </c>
    </row>
    <row r="11" spans="1:12" ht="15">
      <c r="A11" s="2" t="s">
        <v>14</v>
      </c>
      <c r="B11" s="3">
        <v>6241</v>
      </c>
      <c r="C11" s="3">
        <v>0</v>
      </c>
      <c r="D11" s="3">
        <v>6241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14</v>
      </c>
      <c r="J11" s="11" t="s">
        <v>34</v>
      </c>
      <c r="K11" s="39">
        <v>40264</v>
      </c>
      <c r="L11" s="40">
        <v>6.0460000000000001E-5</v>
      </c>
    </row>
    <row r="12" spans="1:12" ht="15">
      <c r="A12" s="2" t="s">
        <v>15</v>
      </c>
      <c r="B12" s="3">
        <v>7388</v>
      </c>
      <c r="C12" s="3">
        <v>0</v>
      </c>
      <c r="D12" s="3">
        <v>7388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21</v>
      </c>
    </row>
    <row r="13" spans="1:12" ht="15">
      <c r="A13" s="2" t="s">
        <v>16</v>
      </c>
      <c r="B13" s="3">
        <v>6304</v>
      </c>
      <c r="C13" s="3">
        <v>0</v>
      </c>
      <c r="D13" s="3">
        <v>6304</v>
      </c>
      <c r="E13" s="3">
        <v>0</v>
      </c>
      <c r="F13" s="12">
        <f t="shared" si="0"/>
        <v>0</v>
      </c>
      <c r="G13" s="12">
        <f t="shared" si="1"/>
        <v>1</v>
      </c>
      <c r="H13" s="12">
        <f t="shared" si="2"/>
        <v>0</v>
      </c>
      <c r="I13" s="2" t="s">
        <v>22</v>
      </c>
    </row>
    <row r="14" spans="1:12" ht="15">
      <c r="A14" s="2" t="s">
        <v>17</v>
      </c>
      <c r="B14" s="3">
        <v>7525</v>
      </c>
      <c r="C14" s="3">
        <v>0</v>
      </c>
      <c r="D14" s="3">
        <v>7525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23</v>
      </c>
    </row>
    <row r="15" spans="1:12" ht="15">
      <c r="A15" s="2" t="s">
        <v>18</v>
      </c>
      <c r="B15" s="3">
        <v>6195</v>
      </c>
      <c r="C15" s="3">
        <v>2200</v>
      </c>
      <c r="D15" s="3">
        <v>1802</v>
      </c>
      <c r="E15" s="3">
        <v>2193</v>
      </c>
      <c r="F15" s="12">
        <f t="shared" si="0"/>
        <v>0.35512510088781274</v>
      </c>
      <c r="G15" s="12">
        <f t="shared" si="1"/>
        <v>0.29087974172719938</v>
      </c>
      <c r="H15" s="12">
        <f t="shared" si="2"/>
        <v>0.35399515738498788</v>
      </c>
      <c r="I15" s="2" t="s">
        <v>18</v>
      </c>
    </row>
    <row r="16" spans="1:12" ht="15">
      <c r="A16" s="2" t="s">
        <v>19</v>
      </c>
      <c r="B16" s="3">
        <f>SUM(B2:B15)</f>
        <v>93197</v>
      </c>
      <c r="C16" s="3">
        <f>SUM(C2:C15)</f>
        <v>3837</v>
      </c>
      <c r="D16" s="3">
        <f>SUM(D2:D15)</f>
        <v>86824</v>
      </c>
      <c r="E16" s="3">
        <f>SUM(E2:E15)</f>
        <v>2486</v>
      </c>
      <c r="F16" s="12">
        <f t="shared" si="0"/>
        <v>4.1170853139049543E-2</v>
      </c>
      <c r="G16" s="12">
        <f t="shared" si="1"/>
        <v>0.9316179705355323</v>
      </c>
      <c r="H16" s="12">
        <f t="shared" si="2"/>
        <v>2.6674678369475412E-2</v>
      </c>
      <c r="I16" s="2"/>
    </row>
    <row r="17" spans="1:17" ht="15">
      <c r="A17" s="6"/>
      <c r="B17" s="7"/>
      <c r="C17" s="7"/>
      <c r="D17" s="7"/>
      <c r="E17" s="7"/>
      <c r="F17" s="8"/>
      <c r="G17" s="8"/>
      <c r="H17" s="8"/>
      <c r="I17" s="6"/>
    </row>
    <row r="18" spans="1:17" ht="15">
      <c r="A18" s="2" t="s">
        <v>80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K18" s="56" t="s">
        <v>40</v>
      </c>
      <c r="L18" s="56" t="s">
        <v>102</v>
      </c>
      <c r="M18" s="56" t="s">
        <v>101</v>
      </c>
      <c r="N18" s="56" t="s">
        <v>103</v>
      </c>
      <c r="O18" s="56" t="s">
        <v>104</v>
      </c>
      <c r="P18" s="56" t="s">
        <v>105</v>
      </c>
      <c r="Q18" s="56" t="s">
        <v>106</v>
      </c>
    </row>
    <row r="19" spans="1:17" ht="15">
      <c r="A19" s="2" t="s">
        <v>5</v>
      </c>
      <c r="B19" s="3">
        <v>2439</v>
      </c>
      <c r="C19" s="3">
        <v>134</v>
      </c>
      <c r="D19" s="3">
        <v>2305</v>
      </c>
      <c r="E19" s="3">
        <v>0</v>
      </c>
      <c r="F19" s="12">
        <f t="shared" ref="F19:F33" si="3">C19/B19</f>
        <v>5.4940549405494053E-2</v>
      </c>
      <c r="G19" s="12">
        <f t="shared" ref="G19:G33" si="4">D19/B19</f>
        <v>0.94505945059450591</v>
      </c>
      <c r="H19" s="12">
        <v>5.4940549405494053E-2</v>
      </c>
      <c r="I19" s="2" t="s">
        <v>5</v>
      </c>
      <c r="K19" s="49" t="s">
        <v>5</v>
      </c>
      <c r="L19" s="49">
        <v>22712</v>
      </c>
      <c r="M19" s="49">
        <v>7561</v>
      </c>
      <c r="N19" s="49">
        <v>29258</v>
      </c>
      <c r="O19" s="49">
        <f>6414+401</f>
        <v>6815</v>
      </c>
      <c r="P19" s="49">
        <v>26458</v>
      </c>
      <c r="Q19" s="49">
        <f>6414+2001</f>
        <v>8415</v>
      </c>
    </row>
    <row r="20" spans="1:17" ht="15">
      <c r="A20" s="2" t="s">
        <v>6</v>
      </c>
      <c r="B20" s="3">
        <v>2841</v>
      </c>
      <c r="C20" s="3">
        <v>314</v>
      </c>
      <c r="D20" s="3">
        <v>2443</v>
      </c>
      <c r="E20" s="3">
        <v>84</v>
      </c>
      <c r="F20" s="12">
        <f t="shared" si="3"/>
        <v>0.11052446321717704</v>
      </c>
      <c r="G20" s="12">
        <f t="shared" si="4"/>
        <v>0.85990848292854627</v>
      </c>
      <c r="H20" s="12">
        <v>0.11052446321717704</v>
      </c>
      <c r="I20" s="2" t="s">
        <v>6</v>
      </c>
      <c r="K20" s="47" t="s">
        <v>6</v>
      </c>
      <c r="L20" s="47">
        <v>15151</v>
      </c>
      <c r="M20" s="47">
        <v>16605</v>
      </c>
      <c r="N20" s="47">
        <v>14182</v>
      </c>
      <c r="O20" s="47">
        <f>400+3070</f>
        <v>3470</v>
      </c>
      <c r="P20" s="47">
        <v>15650</v>
      </c>
      <c r="Q20" s="47">
        <v>1603</v>
      </c>
    </row>
    <row r="21" spans="1:17" ht="15">
      <c r="A21" s="2" t="s">
        <v>7</v>
      </c>
      <c r="B21" s="3">
        <v>2651</v>
      </c>
      <c r="C21" s="3">
        <v>58</v>
      </c>
      <c r="D21" s="3">
        <v>2572</v>
      </c>
      <c r="E21" s="3">
        <v>21</v>
      </c>
      <c r="F21" s="12">
        <f t="shared" si="3"/>
        <v>2.1878536401357979E-2</v>
      </c>
      <c r="G21" s="12">
        <f t="shared" si="4"/>
        <v>0.97019992455677107</v>
      </c>
      <c r="H21" s="12">
        <v>2.1878536401357979E-2</v>
      </c>
      <c r="I21" s="2" t="s">
        <v>7</v>
      </c>
      <c r="K21" s="48" t="s">
        <v>7</v>
      </c>
      <c r="L21" s="48">
        <v>79058</v>
      </c>
      <c r="M21" s="48">
        <v>7780</v>
      </c>
      <c r="N21" s="48">
        <v>10808</v>
      </c>
      <c r="O21" s="48">
        <v>3072</v>
      </c>
      <c r="P21" s="48">
        <v>19711</v>
      </c>
      <c r="Q21" s="48">
        <f>801+3769</f>
        <v>4570</v>
      </c>
    </row>
    <row r="22" spans="1:17" ht="15">
      <c r="A22" s="2" t="s">
        <v>8</v>
      </c>
      <c r="B22" s="3">
        <v>2816</v>
      </c>
      <c r="C22" s="3">
        <v>159</v>
      </c>
      <c r="D22" s="3">
        <f>51+2606</f>
        <v>2657</v>
      </c>
      <c r="E22" s="3">
        <v>0</v>
      </c>
      <c r="F22" s="12">
        <f t="shared" si="3"/>
        <v>5.6463068181818184E-2</v>
      </c>
      <c r="G22" s="12">
        <f t="shared" si="4"/>
        <v>0.94353693181818177</v>
      </c>
      <c r="H22" s="12">
        <v>5.6463068181818184E-2</v>
      </c>
      <c r="I22" s="2" t="s">
        <v>8</v>
      </c>
      <c r="K22" s="50" t="s">
        <v>8</v>
      </c>
      <c r="L22" s="50">
        <v>103278</v>
      </c>
      <c r="M22" s="50">
        <f>10575+31706</f>
        <v>42281</v>
      </c>
      <c r="N22" s="50">
        <v>19624</v>
      </c>
      <c r="O22" s="50">
        <f>400+8414</f>
        <v>8814</v>
      </c>
      <c r="P22" s="50">
        <v>25366</v>
      </c>
      <c r="Q22" s="50">
        <f>800+12249</f>
        <v>13049</v>
      </c>
    </row>
    <row r="23" spans="1:17" ht="15">
      <c r="A23" s="2" t="s">
        <v>9</v>
      </c>
      <c r="B23" s="3">
        <v>2034</v>
      </c>
      <c r="C23" s="3">
        <v>436</v>
      </c>
      <c r="D23" s="3">
        <v>1510</v>
      </c>
      <c r="E23" s="3">
        <v>88</v>
      </c>
      <c r="F23" s="12">
        <f t="shared" si="3"/>
        <v>0.21435594886922321</v>
      </c>
      <c r="G23" s="12">
        <f t="shared" si="4"/>
        <v>0.74237954768928216</v>
      </c>
      <c r="H23" s="12">
        <v>0.21435594886922321</v>
      </c>
      <c r="I23" s="2" t="s">
        <v>9</v>
      </c>
      <c r="K23" s="51" t="s">
        <v>9</v>
      </c>
      <c r="L23" s="51"/>
      <c r="M23" s="51"/>
      <c r="N23" s="51">
        <v>9655</v>
      </c>
      <c r="O23" s="51">
        <v>7152</v>
      </c>
      <c r="P23" s="51">
        <v>7286</v>
      </c>
      <c r="Q23" s="51">
        <f>4857+9201</f>
        <v>14058</v>
      </c>
    </row>
    <row r="24" spans="1:17" ht="15">
      <c r="A24" s="2" t="s">
        <v>10</v>
      </c>
      <c r="B24" s="3">
        <v>1852</v>
      </c>
      <c r="C24" s="3">
        <v>1424</v>
      </c>
      <c r="D24" s="3">
        <v>415</v>
      </c>
      <c r="E24" s="3">
        <v>13</v>
      </c>
      <c r="F24" s="12">
        <f t="shared" si="3"/>
        <v>0.7688984881209503</v>
      </c>
      <c r="G24" s="12">
        <f t="shared" si="4"/>
        <v>0.22408207343412526</v>
      </c>
      <c r="H24" s="12">
        <v>0.7688984881209503</v>
      </c>
      <c r="I24" s="2" t="s">
        <v>10</v>
      </c>
      <c r="K24" s="52" t="s">
        <v>10</v>
      </c>
      <c r="L24" s="52"/>
      <c r="M24" s="52"/>
      <c r="N24" s="52">
        <v>1201</v>
      </c>
      <c r="O24" s="52">
        <v>9345</v>
      </c>
      <c r="P24" s="52">
        <v>6986</v>
      </c>
      <c r="Q24" s="52">
        <v>10388</v>
      </c>
    </row>
    <row r="25" spans="1:17" ht="15">
      <c r="A25" s="2" t="s">
        <v>11</v>
      </c>
      <c r="B25" s="3">
        <v>2045</v>
      </c>
      <c r="C25" s="3">
        <v>1201</v>
      </c>
      <c r="D25" s="3">
        <v>843</v>
      </c>
      <c r="E25" s="3">
        <v>1</v>
      </c>
      <c r="F25" s="12">
        <f t="shared" si="3"/>
        <v>0.58728606356968216</v>
      </c>
      <c r="G25" s="12">
        <f t="shared" si="4"/>
        <v>0.41222493887530565</v>
      </c>
      <c r="H25" s="12">
        <v>0.58728606356968216</v>
      </c>
      <c r="I25" s="2" t="s">
        <v>11</v>
      </c>
      <c r="K25" s="53" t="s">
        <v>11</v>
      </c>
      <c r="L25" s="53"/>
      <c r="M25" s="53"/>
      <c r="N25" s="53">
        <v>8016</v>
      </c>
      <c r="O25" s="53">
        <f>4194+400</f>
        <v>4594</v>
      </c>
      <c r="P25" s="53">
        <v>4802</v>
      </c>
      <c r="Q25" s="53">
        <v>8944</v>
      </c>
    </row>
    <row r="26" spans="1:17" ht="15">
      <c r="A26" s="2" t="s">
        <v>12</v>
      </c>
      <c r="B26" s="3">
        <v>2873</v>
      </c>
      <c r="C26" s="3">
        <v>2271</v>
      </c>
      <c r="D26" s="3">
        <f>36+566</f>
        <v>602</v>
      </c>
      <c r="E26" s="3">
        <v>0</v>
      </c>
      <c r="F26" s="12">
        <f t="shared" si="3"/>
        <v>0.79046293073442397</v>
      </c>
      <c r="G26" s="12">
        <f t="shared" si="4"/>
        <v>0.20953706926557605</v>
      </c>
      <c r="H26" s="12">
        <v>0.79046293073442397</v>
      </c>
      <c r="I26" s="2" t="s">
        <v>12</v>
      </c>
      <c r="K26" s="54" t="s">
        <v>12</v>
      </c>
      <c r="L26" s="54"/>
      <c r="M26" s="54"/>
      <c r="N26" s="54">
        <v>802</v>
      </c>
      <c r="O26" s="54">
        <v>7885</v>
      </c>
      <c r="P26" s="54">
        <v>8182</v>
      </c>
      <c r="Q26" s="54">
        <f>4194+1368</f>
        <v>5562</v>
      </c>
    </row>
    <row r="27" spans="1:17" ht="15">
      <c r="A27" s="2" t="s">
        <v>13</v>
      </c>
      <c r="B27" s="3">
        <v>2213</v>
      </c>
      <c r="C27" s="3">
        <v>876</v>
      </c>
      <c r="D27" s="3">
        <f>19+1039</f>
        <v>1058</v>
      </c>
      <c r="E27" s="3">
        <v>279</v>
      </c>
      <c r="F27" s="12">
        <f>C27/B27</f>
        <v>0.3958427474017171</v>
      </c>
      <c r="G27" s="12">
        <f>D27/B27</f>
        <v>0.47808404880253053</v>
      </c>
      <c r="H27" s="12">
        <v>0.3958427474017171</v>
      </c>
      <c r="I27" s="2" t="s">
        <v>13</v>
      </c>
      <c r="K27" s="49" t="s">
        <v>13</v>
      </c>
      <c r="L27" s="49"/>
      <c r="M27" s="49"/>
      <c r="N27" s="49">
        <v>1203</v>
      </c>
      <c r="O27" s="49">
        <v>400</v>
      </c>
      <c r="P27" s="49">
        <v>5167</v>
      </c>
      <c r="Q27" s="49">
        <f>567+4365</f>
        <v>4932</v>
      </c>
    </row>
    <row r="28" spans="1:17" ht="15">
      <c r="A28" s="2" t="s">
        <v>14</v>
      </c>
      <c r="B28" s="3">
        <v>3024</v>
      </c>
      <c r="C28" s="3">
        <v>2029</v>
      </c>
      <c r="D28" s="3">
        <v>394</v>
      </c>
      <c r="E28" s="3">
        <v>601</v>
      </c>
      <c r="F28" s="12">
        <f>C28/B28</f>
        <v>0.67096560846560849</v>
      </c>
      <c r="G28" s="12">
        <f>D28/B28</f>
        <v>0.13029100529100529</v>
      </c>
      <c r="H28" s="12">
        <v>0.67096560846560849</v>
      </c>
      <c r="I28" s="2" t="s">
        <v>14</v>
      </c>
      <c r="K28" s="47" t="s">
        <v>14</v>
      </c>
      <c r="L28" s="47"/>
      <c r="M28" s="47"/>
      <c r="N28" s="47">
        <v>1769</v>
      </c>
      <c r="O28" s="47">
        <f>5284+3168</f>
        <v>8452</v>
      </c>
      <c r="P28" s="47">
        <v>802</v>
      </c>
      <c r="Q28" s="47">
        <v>8285</v>
      </c>
    </row>
    <row r="29" spans="1:17" ht="15">
      <c r="A29" s="2" t="s">
        <v>15</v>
      </c>
      <c r="B29" s="3">
        <v>2498</v>
      </c>
      <c r="C29" s="3">
        <v>323</v>
      </c>
      <c r="D29" s="3">
        <f>18+2157</f>
        <v>2175</v>
      </c>
      <c r="E29" s="3">
        <v>0</v>
      </c>
      <c r="F29" s="12">
        <f t="shared" si="3"/>
        <v>0.12930344275420336</v>
      </c>
      <c r="G29" s="12">
        <f t="shared" si="4"/>
        <v>0.87069655724579664</v>
      </c>
      <c r="H29" s="12">
        <v>0.12930344275420336</v>
      </c>
      <c r="I29" s="2" t="s">
        <v>21</v>
      </c>
      <c r="K29" s="48" t="s">
        <v>21</v>
      </c>
      <c r="L29" s="48"/>
      <c r="M29" s="48"/>
      <c r="N29" s="48">
        <v>5167</v>
      </c>
      <c r="O29" s="48">
        <v>4365</v>
      </c>
      <c r="P29" s="48">
        <v>3137</v>
      </c>
      <c r="Q29" s="48">
        <f>5684+2767</f>
        <v>8451</v>
      </c>
    </row>
    <row r="30" spans="1:17" ht="15">
      <c r="A30" s="2" t="s">
        <v>16</v>
      </c>
      <c r="B30" s="3">
        <v>3124</v>
      </c>
      <c r="C30" s="3">
        <v>2984</v>
      </c>
      <c r="D30" s="3">
        <v>140</v>
      </c>
      <c r="E30" s="3">
        <v>0</v>
      </c>
      <c r="F30" s="12">
        <f t="shared" si="3"/>
        <v>0.95518565941101152</v>
      </c>
      <c r="G30" s="12">
        <f t="shared" si="4"/>
        <v>4.4814340588988477E-2</v>
      </c>
      <c r="H30" s="12">
        <v>0.95518565941101152</v>
      </c>
      <c r="I30" s="2" t="s">
        <v>22</v>
      </c>
      <c r="K30" s="50" t="s">
        <v>22</v>
      </c>
      <c r="L30" s="50"/>
      <c r="M30" s="50"/>
      <c r="N30" s="50">
        <v>5518</v>
      </c>
      <c r="O30" s="50">
        <f>4587+9035</f>
        <v>13622</v>
      </c>
      <c r="P30" s="50"/>
      <c r="Q30" s="50">
        <v>1603</v>
      </c>
    </row>
    <row r="31" spans="1:17" ht="15">
      <c r="A31" s="2" t="s">
        <v>17</v>
      </c>
      <c r="B31" s="3">
        <v>2791</v>
      </c>
      <c r="C31" s="3">
        <v>0</v>
      </c>
      <c r="D31" s="3">
        <v>2791</v>
      </c>
      <c r="E31" s="3">
        <v>0</v>
      </c>
      <c r="F31" s="12">
        <f t="shared" si="3"/>
        <v>0</v>
      </c>
      <c r="G31" s="12">
        <f t="shared" si="4"/>
        <v>1</v>
      </c>
      <c r="H31" s="12">
        <v>0</v>
      </c>
      <c r="I31" s="2" t="s">
        <v>23</v>
      </c>
      <c r="K31" s="51" t="s">
        <v>23</v>
      </c>
      <c r="L31" s="51"/>
      <c r="M31" s="51"/>
      <c r="N31" s="51">
        <v>800</v>
      </c>
      <c r="O31" s="51">
        <v>270</v>
      </c>
      <c r="P31" s="51"/>
      <c r="Q31" s="51"/>
    </row>
    <row r="32" spans="1:17" ht="15">
      <c r="A32" s="2" t="s">
        <v>18</v>
      </c>
      <c r="B32" s="3">
        <v>2000</v>
      </c>
      <c r="C32" s="3">
        <v>126</v>
      </c>
      <c r="D32" s="3">
        <v>1847</v>
      </c>
      <c r="E32" s="17">
        <v>27</v>
      </c>
      <c r="F32" s="12">
        <f t="shared" si="3"/>
        <v>6.3E-2</v>
      </c>
      <c r="G32" s="12">
        <f t="shared" si="4"/>
        <v>0.92349999999999999</v>
      </c>
      <c r="H32" s="12">
        <v>6.3E-2</v>
      </c>
      <c r="I32" s="2" t="s">
        <v>18</v>
      </c>
      <c r="K32" s="52" t="s">
        <v>18</v>
      </c>
      <c r="L32" s="52">
        <v>6700</v>
      </c>
      <c r="M32" s="52">
        <v>655</v>
      </c>
      <c r="N32" s="52">
        <v>7220</v>
      </c>
      <c r="O32" s="52"/>
      <c r="P32" s="52">
        <v>7220</v>
      </c>
      <c r="Q32" s="52"/>
    </row>
    <row r="33" spans="1:17" ht="15">
      <c r="A33" s="2" t="s">
        <v>19</v>
      </c>
      <c r="B33" s="3">
        <f>SUM(B19:B32)</f>
        <v>35201</v>
      </c>
      <c r="C33" s="3">
        <f>SUM(C19:C32)</f>
        <v>12335</v>
      </c>
      <c r="D33" s="3">
        <f>SUM(D19:D32)</f>
        <v>21752</v>
      </c>
      <c r="E33" s="3">
        <f>SUM(E19:E32)</f>
        <v>1114</v>
      </c>
      <c r="F33" s="12">
        <f t="shared" si="3"/>
        <v>0.35041618135848412</v>
      </c>
      <c r="G33" s="12">
        <f t="shared" si="4"/>
        <v>0.61793699042640837</v>
      </c>
      <c r="H33" s="12">
        <f t="shared" ref="H33" si="5">E33/B33</f>
        <v>3.1646828215107524E-2</v>
      </c>
      <c r="I33" s="2"/>
      <c r="K33" s="58" t="s">
        <v>29</v>
      </c>
      <c r="L33" s="57">
        <f>SUM(L19:L31)</f>
        <v>220199</v>
      </c>
      <c r="M33" s="57">
        <f t="shared" ref="M33:Q33" si="6">SUM(M19:M31)</f>
        <v>74227</v>
      </c>
      <c r="N33" s="57">
        <f t="shared" si="6"/>
        <v>108003</v>
      </c>
      <c r="O33" s="57">
        <f t="shared" si="6"/>
        <v>78256</v>
      </c>
      <c r="P33" s="57">
        <f t="shared" si="6"/>
        <v>123547</v>
      </c>
      <c r="Q33" s="57">
        <f t="shared" si="6"/>
        <v>89860</v>
      </c>
    </row>
    <row r="35" spans="1:17" ht="15">
      <c r="A35" s="2" t="s">
        <v>81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17" ht="15">
      <c r="A36" s="2" t="s">
        <v>5</v>
      </c>
      <c r="B36" s="3">
        <v>573</v>
      </c>
      <c r="C36" s="3">
        <v>18</v>
      </c>
      <c r="D36" s="3">
        <v>553</v>
      </c>
      <c r="E36" s="3">
        <v>2</v>
      </c>
      <c r="F36" s="12">
        <f t="shared" ref="F36:F43" si="7">C36/B36</f>
        <v>3.1413612565445025E-2</v>
      </c>
      <c r="G36" s="12">
        <f t="shared" ref="G36:G43" si="8">D36/B36</f>
        <v>0.96509598603839442</v>
      </c>
      <c r="H36" s="12">
        <f t="shared" ref="H36:H50" si="9">E36/B36</f>
        <v>3.4904013961605585E-3</v>
      </c>
      <c r="I36" s="2" t="s">
        <v>5</v>
      </c>
    </row>
    <row r="37" spans="1:17" ht="15">
      <c r="A37" s="2" t="s">
        <v>6</v>
      </c>
      <c r="B37" s="3">
        <v>3792</v>
      </c>
      <c r="C37" s="3">
        <v>396</v>
      </c>
      <c r="D37" s="3">
        <v>3340</v>
      </c>
      <c r="E37" s="3">
        <v>56</v>
      </c>
      <c r="F37" s="12">
        <f t="shared" si="7"/>
        <v>0.10443037974683544</v>
      </c>
      <c r="G37" s="12">
        <f t="shared" si="8"/>
        <v>0.88080168776371304</v>
      </c>
      <c r="H37" s="12">
        <f t="shared" si="9"/>
        <v>1.4767932489451477E-2</v>
      </c>
      <c r="I37" s="2" t="s">
        <v>6</v>
      </c>
    </row>
    <row r="38" spans="1:17" ht="15">
      <c r="A38" s="2" t="s">
        <v>7</v>
      </c>
      <c r="B38" s="3">
        <v>646</v>
      </c>
      <c r="C38" s="3">
        <v>21</v>
      </c>
      <c r="D38" s="3">
        <v>623</v>
      </c>
      <c r="E38" s="3">
        <v>2</v>
      </c>
      <c r="F38" s="12">
        <f t="shared" si="7"/>
        <v>3.2507739938080496E-2</v>
      </c>
      <c r="G38" s="12">
        <f t="shared" si="8"/>
        <v>0.9643962848297214</v>
      </c>
      <c r="H38" s="12">
        <f t="shared" si="9"/>
        <v>3.0959752321981426E-3</v>
      </c>
      <c r="I38" s="2" t="s">
        <v>7</v>
      </c>
    </row>
    <row r="39" spans="1:17" ht="15">
      <c r="A39" s="2" t="s">
        <v>8</v>
      </c>
      <c r="B39" s="3">
        <v>4565</v>
      </c>
      <c r="C39" s="3">
        <v>211</v>
      </c>
      <c r="D39" s="3">
        <v>4351</v>
      </c>
      <c r="E39" s="3">
        <v>3</v>
      </c>
      <c r="F39" s="12">
        <f t="shared" si="7"/>
        <v>4.6221248630887182E-2</v>
      </c>
      <c r="G39" s="12">
        <f t="shared" si="8"/>
        <v>0.95312157721796276</v>
      </c>
      <c r="H39" s="12">
        <f t="shared" si="9"/>
        <v>6.5717415115005477E-4</v>
      </c>
      <c r="I39" s="2" t="s">
        <v>8</v>
      </c>
    </row>
    <row r="40" spans="1:17" ht="15">
      <c r="A40" s="2" t="s">
        <v>9</v>
      </c>
      <c r="B40" s="3">
        <v>512</v>
      </c>
      <c r="C40" s="3">
        <v>93</v>
      </c>
      <c r="D40" s="3">
        <v>399</v>
      </c>
      <c r="E40" s="3">
        <v>20</v>
      </c>
      <c r="F40" s="12">
        <f t="shared" si="7"/>
        <v>0.181640625</v>
      </c>
      <c r="G40" s="12">
        <f t="shared" si="8"/>
        <v>0.779296875</v>
      </c>
      <c r="H40" s="12">
        <f t="shared" si="9"/>
        <v>3.90625E-2</v>
      </c>
      <c r="I40" s="2" t="s">
        <v>9</v>
      </c>
    </row>
    <row r="41" spans="1:17" ht="15">
      <c r="A41" s="2" t="s">
        <v>10</v>
      </c>
      <c r="B41" s="3">
        <v>1560</v>
      </c>
      <c r="C41" s="3">
        <v>1358</v>
      </c>
      <c r="D41" s="3">
        <v>202</v>
      </c>
      <c r="E41" s="3">
        <v>0</v>
      </c>
      <c r="F41" s="12">
        <f t="shared" si="7"/>
        <v>0.87051282051282053</v>
      </c>
      <c r="G41" s="12">
        <f t="shared" si="8"/>
        <v>0.1294871794871795</v>
      </c>
      <c r="H41" s="12">
        <f t="shared" si="9"/>
        <v>0</v>
      </c>
      <c r="I41" s="2" t="s">
        <v>10</v>
      </c>
    </row>
    <row r="42" spans="1:17" ht="15">
      <c r="A42" s="2" t="s">
        <v>11</v>
      </c>
      <c r="B42" s="3">
        <v>651</v>
      </c>
      <c r="C42" s="3">
        <v>121</v>
      </c>
      <c r="D42" s="3">
        <v>527</v>
      </c>
      <c r="E42" s="3">
        <v>3</v>
      </c>
      <c r="F42" s="12">
        <f t="shared" si="7"/>
        <v>0.18586789554531491</v>
      </c>
      <c r="G42" s="12">
        <f t="shared" si="8"/>
        <v>0.80952380952380953</v>
      </c>
      <c r="H42" s="12">
        <f t="shared" si="9"/>
        <v>4.608294930875576E-3</v>
      </c>
      <c r="I42" s="2" t="s">
        <v>11</v>
      </c>
    </row>
    <row r="43" spans="1:17" ht="15">
      <c r="A43" s="2" t="s">
        <v>12</v>
      </c>
      <c r="B43" s="3">
        <v>7919</v>
      </c>
      <c r="C43" s="3">
        <v>2962</v>
      </c>
      <c r="D43" s="3">
        <v>4957</v>
      </c>
      <c r="E43" s="3">
        <v>0</v>
      </c>
      <c r="F43" s="12">
        <f t="shared" si="7"/>
        <v>0.37403712589973481</v>
      </c>
      <c r="G43" s="12">
        <f t="shared" si="8"/>
        <v>0.62596287410026519</v>
      </c>
      <c r="H43" s="12">
        <f t="shared" si="9"/>
        <v>0</v>
      </c>
      <c r="I43" s="2" t="s">
        <v>12</v>
      </c>
    </row>
    <row r="44" spans="1:17" ht="15">
      <c r="A44" s="2" t="s">
        <v>13</v>
      </c>
      <c r="B44" s="3">
        <v>508</v>
      </c>
      <c r="C44" s="3">
        <v>31</v>
      </c>
      <c r="D44" s="3">
        <v>169</v>
      </c>
      <c r="E44" s="3">
        <v>308</v>
      </c>
      <c r="F44" s="12">
        <f t="shared" ref="F44:F50" si="10">C44/B44</f>
        <v>6.1023622047244097E-2</v>
      </c>
      <c r="G44" s="12">
        <f t="shared" ref="G44:G50" si="11">D44/B44</f>
        <v>0.33267716535433073</v>
      </c>
      <c r="H44" s="12">
        <f t="shared" si="9"/>
        <v>0.60629921259842523</v>
      </c>
      <c r="I44" s="2" t="s">
        <v>13</v>
      </c>
    </row>
    <row r="45" spans="1:17" ht="15">
      <c r="A45" s="2" t="s">
        <v>14</v>
      </c>
      <c r="B45" s="3">
        <v>1660</v>
      </c>
      <c r="C45" s="3">
        <v>1318</v>
      </c>
      <c r="D45" s="3">
        <v>232</v>
      </c>
      <c r="E45" s="3">
        <v>110</v>
      </c>
      <c r="F45" s="12">
        <f t="shared" si="10"/>
        <v>0.7939759036144578</v>
      </c>
      <c r="G45" s="12">
        <f t="shared" si="11"/>
        <v>0.13975903614457832</v>
      </c>
      <c r="H45" s="12">
        <f t="shared" si="9"/>
        <v>6.6265060240963861E-2</v>
      </c>
      <c r="I45" s="2" t="s">
        <v>14</v>
      </c>
    </row>
    <row r="46" spans="1:17" ht="15">
      <c r="A46" s="2" t="s">
        <v>15</v>
      </c>
      <c r="B46" s="3">
        <v>442</v>
      </c>
      <c r="C46" s="3">
        <v>397</v>
      </c>
      <c r="D46" s="3">
        <v>35</v>
      </c>
      <c r="E46" s="3">
        <v>10</v>
      </c>
      <c r="F46" s="12">
        <f t="shared" si="10"/>
        <v>0.89819004524886881</v>
      </c>
      <c r="G46" s="12">
        <f t="shared" si="11"/>
        <v>7.9185520361990946E-2</v>
      </c>
      <c r="H46" s="12">
        <f t="shared" si="9"/>
        <v>2.2624434389140271E-2</v>
      </c>
      <c r="I46" s="2" t="s">
        <v>21</v>
      </c>
    </row>
    <row r="47" spans="1:17" ht="15">
      <c r="A47" s="2" t="s">
        <v>16</v>
      </c>
      <c r="B47" s="3">
        <v>3087</v>
      </c>
      <c r="C47" s="3">
        <v>2900</v>
      </c>
      <c r="D47" s="3">
        <v>134</v>
      </c>
      <c r="E47" s="3">
        <v>53</v>
      </c>
      <c r="F47" s="12">
        <f t="shared" si="10"/>
        <v>0.93942338840298023</v>
      </c>
      <c r="G47" s="12">
        <f t="shared" si="11"/>
        <v>4.3407839326206676E-2</v>
      </c>
      <c r="H47" s="12">
        <f t="shared" si="9"/>
        <v>1.7168772270813086E-2</v>
      </c>
      <c r="I47" s="2" t="s">
        <v>22</v>
      </c>
    </row>
    <row r="48" spans="1:17" ht="15">
      <c r="A48" s="2" t="s">
        <v>17</v>
      </c>
      <c r="B48" s="3">
        <v>724</v>
      </c>
      <c r="C48" s="3">
        <v>0</v>
      </c>
      <c r="D48" s="3">
        <v>724</v>
      </c>
      <c r="E48" s="3">
        <v>0</v>
      </c>
      <c r="F48" s="12">
        <f t="shared" si="10"/>
        <v>0</v>
      </c>
      <c r="G48" s="12">
        <f t="shared" si="11"/>
        <v>1</v>
      </c>
      <c r="H48" s="12">
        <f t="shared" si="9"/>
        <v>0</v>
      </c>
      <c r="I48" s="2" t="s">
        <v>23</v>
      </c>
    </row>
    <row r="49" spans="1:9" ht="15">
      <c r="A49" s="2" t="s">
        <v>18</v>
      </c>
      <c r="B49" s="3">
        <v>1404</v>
      </c>
      <c r="C49" s="3">
        <v>225</v>
      </c>
      <c r="D49" s="3">
        <v>815</v>
      </c>
      <c r="E49" s="17">
        <v>364</v>
      </c>
      <c r="F49" s="12">
        <f t="shared" si="10"/>
        <v>0.16025641025641027</v>
      </c>
      <c r="G49" s="12">
        <f t="shared" si="11"/>
        <v>0.58048433048433046</v>
      </c>
      <c r="H49" s="12">
        <f t="shared" si="9"/>
        <v>0.25925925925925924</v>
      </c>
      <c r="I49" s="2" t="s">
        <v>18</v>
      </c>
    </row>
    <row r="50" spans="1:9" ht="15">
      <c r="A50" s="2" t="s">
        <v>19</v>
      </c>
      <c r="B50" s="3">
        <f>SUM(B36:B49)</f>
        <v>28043</v>
      </c>
      <c r="C50" s="3">
        <f>SUM(C36:C49)</f>
        <v>10051</v>
      </c>
      <c r="D50" s="3">
        <f>SUM(D36:D49)</f>
        <v>17061</v>
      </c>
      <c r="E50" s="3">
        <f>SUM(E36:E49)</f>
        <v>931</v>
      </c>
      <c r="F50" s="12">
        <f t="shared" si="10"/>
        <v>0.35841386442249401</v>
      </c>
      <c r="G50" s="12">
        <f t="shared" si="11"/>
        <v>0.60838711978033733</v>
      </c>
      <c r="H50" s="12">
        <f t="shared" si="9"/>
        <v>3.3199015797168635E-2</v>
      </c>
      <c r="I50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0"/>
  <sheetViews>
    <sheetView zoomScale="85" zoomScaleNormal="85" workbookViewId="0">
      <selection activeCell="E16" sqref="E16"/>
    </sheetView>
  </sheetViews>
  <sheetFormatPr defaultColWidth="9.140625" defaultRowHeight="12.75"/>
  <cols>
    <col min="1" max="1" width="25.42578125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9.42578125" customWidth="1"/>
    <col min="7" max="7" width="10.5703125" bestFit="1" customWidth="1"/>
    <col min="8" max="8" width="8.7109375" bestFit="1" customWidth="1"/>
    <col min="9" max="9" width="7" customWidth="1"/>
    <col min="18" max="18" width="12" bestFit="1" customWidth="1"/>
  </cols>
  <sheetData>
    <row r="1" spans="1:17" ht="15">
      <c r="A1" s="2" t="s">
        <v>82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7" ht="15">
      <c r="A2" s="2" t="s">
        <v>5</v>
      </c>
      <c r="B2" s="3">
        <v>2710</v>
      </c>
      <c r="C2" s="3">
        <v>114</v>
      </c>
      <c r="D2" s="3">
        <v>2594</v>
      </c>
      <c r="E2" s="3">
        <v>2</v>
      </c>
      <c r="F2" s="12">
        <f t="shared" ref="F2:F16" si="0">C2/B2</f>
        <v>4.2066420664206641E-2</v>
      </c>
      <c r="G2" s="12">
        <f t="shared" ref="G2:G16" si="1">D2/B2</f>
        <v>0.95719557195571958</v>
      </c>
      <c r="H2" s="12">
        <f t="shared" ref="H2:H16" si="2">E2/B2</f>
        <v>7.3800738007380072E-4</v>
      </c>
      <c r="I2" s="2" t="s">
        <v>5</v>
      </c>
    </row>
    <row r="3" spans="1:17" ht="15">
      <c r="A3" s="2" t="s">
        <v>6</v>
      </c>
      <c r="B3" s="3">
        <v>2763</v>
      </c>
      <c r="C3" s="3">
        <v>128</v>
      </c>
      <c r="D3" s="3">
        <v>2635</v>
      </c>
      <c r="E3" s="3">
        <v>0</v>
      </c>
      <c r="F3" s="12">
        <f t="shared" si="0"/>
        <v>4.6326456749909518E-2</v>
      </c>
      <c r="G3" s="12">
        <f t="shared" si="1"/>
        <v>0.95367354325009046</v>
      </c>
      <c r="H3" s="12">
        <f t="shared" si="2"/>
        <v>0</v>
      </c>
      <c r="I3" s="2" t="s">
        <v>6</v>
      </c>
    </row>
    <row r="4" spans="1:17" ht="15">
      <c r="A4" s="2" t="s">
        <v>7</v>
      </c>
      <c r="B4" s="3">
        <v>2737</v>
      </c>
      <c r="C4" s="3">
        <v>345</v>
      </c>
      <c r="D4" s="3">
        <v>2267</v>
      </c>
      <c r="E4" s="3">
        <v>125</v>
      </c>
      <c r="F4" s="12">
        <f t="shared" si="0"/>
        <v>0.12605042016806722</v>
      </c>
      <c r="G4" s="12">
        <f t="shared" si="1"/>
        <v>0.82827913774205331</v>
      </c>
      <c r="H4" s="12">
        <f t="shared" si="2"/>
        <v>4.5670442089879429E-2</v>
      </c>
      <c r="I4" s="2" t="s">
        <v>7</v>
      </c>
      <c r="L4" s="15" t="s">
        <v>78</v>
      </c>
      <c r="M4" s="38" t="s">
        <v>31</v>
      </c>
      <c r="N4" s="15" t="s">
        <v>74</v>
      </c>
    </row>
    <row r="5" spans="1:17" ht="15">
      <c r="A5" s="2" t="s">
        <v>8</v>
      </c>
      <c r="B5" s="3">
        <v>2841</v>
      </c>
      <c r="C5" s="3">
        <v>717</v>
      </c>
      <c r="D5" s="3">
        <v>1837</v>
      </c>
      <c r="E5" s="3">
        <v>287</v>
      </c>
      <c r="F5" s="12">
        <f t="shared" si="0"/>
        <v>0.25237592397043296</v>
      </c>
      <c r="G5" s="12">
        <f t="shared" si="1"/>
        <v>0.64660330869412175</v>
      </c>
      <c r="H5" s="12">
        <f t="shared" si="2"/>
        <v>0.10102076733544527</v>
      </c>
      <c r="I5" s="2" t="s">
        <v>8</v>
      </c>
      <c r="L5" s="11" t="s">
        <v>32</v>
      </c>
      <c r="M5" s="39">
        <v>14496</v>
      </c>
      <c r="N5" s="32">
        <f>MxM!M12/O5*0.000001</f>
        <v>1.218179962845511E-4</v>
      </c>
      <c r="O5">
        <f>(666666687/2)/1000000</f>
        <v>333.33334350000001</v>
      </c>
    </row>
    <row r="6" spans="1:17" ht="15">
      <c r="A6" s="2" t="s">
        <v>9</v>
      </c>
      <c r="B6" s="3">
        <v>2643</v>
      </c>
      <c r="C6" s="3">
        <v>0</v>
      </c>
      <c r="D6" s="3">
        <v>2643</v>
      </c>
      <c r="E6" s="3">
        <v>0</v>
      </c>
      <c r="F6" s="12">
        <f>C6/B6</f>
        <v>0</v>
      </c>
      <c r="G6" s="12">
        <f>D6/B6</f>
        <v>1</v>
      </c>
      <c r="H6" s="12">
        <f t="shared" si="2"/>
        <v>0</v>
      </c>
      <c r="I6" s="2" t="s">
        <v>9</v>
      </c>
      <c r="L6" s="11"/>
      <c r="N6">
        <f>MxM!M13/O6*0.000001</f>
        <v>3.5396998920391531E-5</v>
      </c>
      <c r="O6">
        <f>(666666687/2)/1000000</f>
        <v>333.33334350000001</v>
      </c>
    </row>
    <row r="7" spans="1:17" ht="15">
      <c r="A7" s="2" t="s">
        <v>10</v>
      </c>
      <c r="B7" s="3">
        <v>2783</v>
      </c>
      <c r="C7" s="3">
        <v>0</v>
      </c>
      <c r="D7" s="3">
        <v>2731</v>
      </c>
      <c r="E7" s="3">
        <v>52</v>
      </c>
      <c r="F7" s="12">
        <f t="shared" si="0"/>
        <v>0</v>
      </c>
      <c r="G7" s="12">
        <f t="shared" si="1"/>
        <v>0.9813151275601868</v>
      </c>
      <c r="H7" s="12">
        <f t="shared" si="2"/>
        <v>1.8684872439813153E-2</v>
      </c>
      <c r="I7" s="2" t="s">
        <v>10</v>
      </c>
      <c r="L7" s="11" t="s">
        <v>33</v>
      </c>
      <c r="M7">
        <v>6782</v>
      </c>
      <c r="N7">
        <f>MxM!M14/O7*0.000001</f>
        <v>2.4029999267085019E-5</v>
      </c>
      <c r="O7">
        <f>(666666687/2)/1000000</f>
        <v>333.33334350000001</v>
      </c>
    </row>
    <row r="8" spans="1:17" ht="15">
      <c r="A8" s="2" t="s">
        <v>11</v>
      </c>
      <c r="B8" s="3">
        <v>2743</v>
      </c>
      <c r="C8" s="3">
        <v>0</v>
      </c>
      <c r="D8" s="3">
        <v>2743</v>
      </c>
      <c r="E8" s="3">
        <v>0</v>
      </c>
      <c r="F8" s="12">
        <f t="shared" si="0"/>
        <v>0</v>
      </c>
      <c r="G8" s="12">
        <f t="shared" si="1"/>
        <v>1</v>
      </c>
      <c r="H8" s="12">
        <f t="shared" si="2"/>
        <v>0</v>
      </c>
      <c r="I8" s="2" t="s">
        <v>11</v>
      </c>
      <c r="L8" s="11" t="s">
        <v>34</v>
      </c>
      <c r="M8" s="39">
        <v>6738</v>
      </c>
      <c r="N8">
        <f>MxM!M15/O8*0.000001</f>
        <v>2.2649999309175017E-5</v>
      </c>
      <c r="O8">
        <f>(666666687/2)/1000000</f>
        <v>333.33334350000001</v>
      </c>
      <c r="P8" s="86">
        <v>9.9999999999999995E-7</v>
      </c>
      <c r="Q8" s="86"/>
    </row>
    <row r="9" spans="1:17" ht="15">
      <c r="A9" s="2" t="s">
        <v>12</v>
      </c>
      <c r="B9" s="3">
        <v>2766</v>
      </c>
      <c r="C9" s="3">
        <v>0</v>
      </c>
      <c r="D9" s="3">
        <v>2762</v>
      </c>
      <c r="E9" s="3">
        <v>4</v>
      </c>
      <c r="F9" s="12">
        <f t="shared" si="0"/>
        <v>0</v>
      </c>
      <c r="G9" s="12">
        <f t="shared" si="1"/>
        <v>0.99855386840202454</v>
      </c>
      <c r="H9" s="12">
        <f t="shared" si="2"/>
        <v>1.4461315979754157E-3</v>
      </c>
      <c r="I9" s="2" t="s">
        <v>12</v>
      </c>
    </row>
    <row r="10" spans="1:17" ht="15">
      <c r="A10" s="2" t="s">
        <v>13</v>
      </c>
      <c r="B10" s="3">
        <v>2643</v>
      </c>
      <c r="C10" s="3">
        <v>0</v>
      </c>
      <c r="D10" s="3">
        <v>2643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13</v>
      </c>
    </row>
    <row r="11" spans="1:17" ht="15">
      <c r="A11" s="2" t="s">
        <v>14</v>
      </c>
      <c r="B11" s="3">
        <v>2888</v>
      </c>
      <c r="C11" s="3">
        <v>0</v>
      </c>
      <c r="D11" s="3">
        <v>2888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14</v>
      </c>
    </row>
    <row r="12" spans="1:17" ht="15">
      <c r="A12" s="2" t="s">
        <v>15</v>
      </c>
      <c r="B12" s="3">
        <v>2836</v>
      </c>
      <c r="C12" s="3">
        <v>0</v>
      </c>
      <c r="D12" s="3">
        <v>2836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21</v>
      </c>
    </row>
    <row r="13" spans="1:17" ht="15">
      <c r="A13" s="2" t="s">
        <v>16</v>
      </c>
      <c r="B13" s="3">
        <v>2637</v>
      </c>
      <c r="C13" s="3">
        <v>31</v>
      </c>
      <c r="D13" s="3">
        <v>1122</v>
      </c>
      <c r="E13" s="3">
        <v>484</v>
      </c>
      <c r="F13" s="12">
        <f t="shared" si="0"/>
        <v>1.1755783086841108E-2</v>
      </c>
      <c r="G13" s="12">
        <f t="shared" si="1"/>
        <v>0.42548350398179752</v>
      </c>
      <c r="H13" s="12">
        <f t="shared" si="2"/>
        <v>0.18354190367842246</v>
      </c>
      <c r="I13" s="2" t="s">
        <v>22</v>
      </c>
    </row>
    <row r="14" spans="1:17" ht="15">
      <c r="A14" s="2" t="s">
        <v>17</v>
      </c>
      <c r="B14" s="3">
        <v>2751</v>
      </c>
      <c r="C14" s="3">
        <v>0</v>
      </c>
      <c r="D14" s="3">
        <v>2751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23</v>
      </c>
    </row>
    <row r="15" spans="1:17" ht="15">
      <c r="A15" s="2" t="s">
        <v>18</v>
      </c>
      <c r="B15" s="3">
        <v>2709</v>
      </c>
      <c r="C15" s="3">
        <v>1090</v>
      </c>
      <c r="D15" s="3">
        <v>1496</v>
      </c>
      <c r="E15" s="3">
        <v>123</v>
      </c>
      <c r="F15" s="12">
        <f t="shared" si="0"/>
        <v>0.4023624953857512</v>
      </c>
      <c r="G15" s="12">
        <f t="shared" si="1"/>
        <v>0.55223329641934293</v>
      </c>
      <c r="H15" s="12">
        <f t="shared" si="2"/>
        <v>4.5404208194905871E-2</v>
      </c>
      <c r="I15" s="2" t="s">
        <v>18</v>
      </c>
    </row>
    <row r="16" spans="1:17" ht="15">
      <c r="A16" s="2" t="s">
        <v>19</v>
      </c>
      <c r="B16" s="3">
        <f>SUM(B2:B15)</f>
        <v>38450</v>
      </c>
      <c r="C16" s="3">
        <f>SUM(C2:C15)</f>
        <v>2425</v>
      </c>
      <c r="D16" s="3">
        <f>SUM(D2:D15)</f>
        <v>33948</v>
      </c>
      <c r="E16" s="3">
        <f>SUM(E2:E15)</f>
        <v>1077</v>
      </c>
      <c r="F16" s="12">
        <f t="shared" si="0"/>
        <v>6.3068920676202858E-2</v>
      </c>
      <c r="G16" s="12">
        <f t="shared" si="1"/>
        <v>0.88291287386215866</v>
      </c>
      <c r="H16" s="12">
        <f t="shared" si="2"/>
        <v>2.8010403120936282E-2</v>
      </c>
      <c r="I16" s="2"/>
    </row>
    <row r="17" spans="1:10" ht="15">
      <c r="A17" s="6"/>
      <c r="B17" s="7"/>
      <c r="C17" s="7"/>
      <c r="D17" s="7"/>
      <c r="E17" s="7"/>
      <c r="F17" s="8"/>
      <c r="G17" s="8"/>
      <c r="H17" s="8"/>
      <c r="I17" s="6"/>
    </row>
    <row r="18" spans="1:10" ht="15">
      <c r="A18" s="2" t="s">
        <v>83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J18" s="1"/>
    </row>
    <row r="19" spans="1:10" ht="15">
      <c r="A19" s="2" t="s">
        <v>5</v>
      </c>
      <c r="B19" s="3">
        <v>2669</v>
      </c>
      <c r="C19" s="3">
        <v>961</v>
      </c>
      <c r="D19" s="3">
        <v>1507</v>
      </c>
      <c r="E19" s="3">
        <v>181</v>
      </c>
      <c r="F19" s="12">
        <f t="shared" ref="F19:F33" si="3">C19/B19</f>
        <v>0.36005994754589732</v>
      </c>
      <c r="G19" s="12">
        <f t="shared" ref="G19:G33" si="4">D19/B19</f>
        <v>0.56463094792056945</v>
      </c>
      <c r="H19" s="12">
        <f t="shared" ref="H19:H33" si="5">E19/B19</f>
        <v>6.7815661296365681E-2</v>
      </c>
      <c r="I19" s="2" t="s">
        <v>5</v>
      </c>
    </row>
    <row r="20" spans="1:10" ht="15">
      <c r="A20" s="2" t="s">
        <v>6</v>
      </c>
      <c r="B20" s="3">
        <v>2549</v>
      </c>
      <c r="C20" s="3">
        <v>713</v>
      </c>
      <c r="D20" s="3">
        <v>1296</v>
      </c>
      <c r="E20" s="3">
        <v>537</v>
      </c>
      <c r="F20" s="12">
        <f t="shared" si="3"/>
        <v>0.27971753628874069</v>
      </c>
      <c r="G20" s="12">
        <f t="shared" si="4"/>
        <v>0.5084346802667713</v>
      </c>
      <c r="H20" s="12">
        <f t="shared" si="5"/>
        <v>0.21067085131424088</v>
      </c>
      <c r="I20" s="2" t="s">
        <v>6</v>
      </c>
    </row>
    <row r="21" spans="1:10" ht="15">
      <c r="A21" s="2" t="s">
        <v>7</v>
      </c>
      <c r="B21" s="3">
        <v>2621</v>
      </c>
      <c r="C21" s="3">
        <v>762</v>
      </c>
      <c r="D21" s="3">
        <v>1193</v>
      </c>
      <c r="E21" s="3">
        <v>664</v>
      </c>
      <c r="F21" s="12">
        <f t="shared" si="3"/>
        <v>0.29072872949256007</v>
      </c>
      <c r="G21" s="12">
        <f t="shared" si="4"/>
        <v>0.45516978252575352</v>
      </c>
      <c r="H21" s="12">
        <f t="shared" si="5"/>
        <v>0.25333842045020982</v>
      </c>
      <c r="I21" s="2" t="s">
        <v>7</v>
      </c>
    </row>
    <row r="22" spans="1:10" ht="15">
      <c r="A22" s="2" t="s">
        <v>8</v>
      </c>
      <c r="B22" s="3">
        <v>2550</v>
      </c>
      <c r="C22" s="3">
        <v>726</v>
      </c>
      <c r="D22" s="3">
        <v>1202</v>
      </c>
      <c r="E22" s="3">
        <v>622</v>
      </c>
      <c r="F22" s="12">
        <f t="shared" si="3"/>
        <v>0.2847058823529412</v>
      </c>
      <c r="G22" s="12">
        <f t="shared" si="4"/>
        <v>0.47137254901960784</v>
      </c>
      <c r="H22" s="12">
        <f t="shared" si="5"/>
        <v>0.24392156862745099</v>
      </c>
      <c r="I22" s="2" t="s">
        <v>8</v>
      </c>
    </row>
    <row r="23" spans="1:10" ht="15">
      <c r="A23" s="2" t="s">
        <v>9</v>
      </c>
      <c r="B23" s="3">
        <v>2522</v>
      </c>
      <c r="C23" s="3">
        <v>1959</v>
      </c>
      <c r="D23" s="3">
        <v>463</v>
      </c>
      <c r="E23" s="3">
        <v>98</v>
      </c>
      <c r="F23" s="12">
        <f t="shared" si="3"/>
        <v>0.77676447264076132</v>
      </c>
      <c r="G23" s="12">
        <f t="shared" si="4"/>
        <v>0.18358445678033306</v>
      </c>
      <c r="H23" s="12">
        <f t="shared" si="5"/>
        <v>3.8858049167327519E-2</v>
      </c>
      <c r="I23" s="2" t="s">
        <v>9</v>
      </c>
    </row>
    <row r="24" spans="1:10" ht="15">
      <c r="A24" s="2" t="s">
        <v>10</v>
      </c>
      <c r="B24" s="3">
        <v>2593</v>
      </c>
      <c r="C24" s="3">
        <v>1027</v>
      </c>
      <c r="D24" s="3">
        <v>1144</v>
      </c>
      <c r="E24" s="3">
        <v>422</v>
      </c>
      <c r="F24" s="12">
        <f t="shared" si="3"/>
        <v>0.39606633243347472</v>
      </c>
      <c r="G24" s="12">
        <f t="shared" si="4"/>
        <v>0.44118781334361745</v>
      </c>
      <c r="H24" s="12">
        <f t="shared" si="5"/>
        <v>0.16274585422290783</v>
      </c>
      <c r="I24" s="2" t="s">
        <v>10</v>
      </c>
    </row>
    <row r="25" spans="1:10" ht="15">
      <c r="A25" s="2" t="s">
        <v>11</v>
      </c>
      <c r="B25" s="3">
        <v>2495</v>
      </c>
      <c r="C25" s="3">
        <v>1163</v>
      </c>
      <c r="D25" s="3">
        <v>1147</v>
      </c>
      <c r="E25" s="3">
        <v>185</v>
      </c>
      <c r="F25" s="12">
        <f t="shared" si="3"/>
        <v>0.46613226452905809</v>
      </c>
      <c r="G25" s="12">
        <f t="shared" si="4"/>
        <v>0.45971943887775552</v>
      </c>
      <c r="H25" s="12">
        <f t="shared" si="5"/>
        <v>7.4148296593186377E-2</v>
      </c>
      <c r="I25" s="2" t="s">
        <v>11</v>
      </c>
    </row>
    <row r="26" spans="1:10" ht="15">
      <c r="A26" s="2" t="s">
        <v>12</v>
      </c>
      <c r="B26" s="3">
        <v>2713</v>
      </c>
      <c r="C26" s="3">
        <v>748</v>
      </c>
      <c r="D26" s="3">
        <v>854</v>
      </c>
      <c r="E26" s="3">
        <v>1096</v>
      </c>
      <c r="F26" s="12">
        <f t="shared" si="3"/>
        <v>0.27570954662734981</v>
      </c>
      <c r="G26" s="12">
        <f t="shared" si="4"/>
        <v>0.31478068558791006</v>
      </c>
      <c r="H26" s="12">
        <f t="shared" si="5"/>
        <v>0.40398083302617027</v>
      </c>
      <c r="I26" s="2" t="s">
        <v>12</v>
      </c>
    </row>
    <row r="27" spans="1:10" ht="15">
      <c r="A27" s="2" t="s">
        <v>13</v>
      </c>
      <c r="B27" s="3">
        <v>2623</v>
      </c>
      <c r="C27" s="3">
        <v>617</v>
      </c>
      <c r="D27" s="3">
        <v>324</v>
      </c>
      <c r="E27" s="3">
        <v>1448</v>
      </c>
      <c r="F27" s="12">
        <f>C27/B27</f>
        <v>0.23522683949675943</v>
      </c>
      <c r="G27" s="12">
        <f>D27/B27</f>
        <v>0.12352268394967594</v>
      </c>
      <c r="H27" s="12">
        <f t="shared" si="5"/>
        <v>0.55203964925657645</v>
      </c>
      <c r="I27" s="2" t="s">
        <v>13</v>
      </c>
    </row>
    <row r="28" spans="1:10" ht="15">
      <c r="A28" s="2" t="s">
        <v>14</v>
      </c>
      <c r="B28" s="3">
        <v>2539</v>
      </c>
      <c r="C28" s="3">
        <v>2284</v>
      </c>
      <c r="D28" s="3">
        <v>248</v>
      </c>
      <c r="E28" s="3">
        <v>7</v>
      </c>
      <c r="F28" s="12">
        <f>C28/B28</f>
        <v>0.8995667585663647</v>
      </c>
      <c r="G28" s="12">
        <f>D28/B28</f>
        <v>9.7676250492319816E-2</v>
      </c>
      <c r="H28" s="12">
        <f t="shared" si="5"/>
        <v>2.7569909413154787E-3</v>
      </c>
      <c r="I28" s="2" t="s">
        <v>14</v>
      </c>
    </row>
    <row r="29" spans="1:10" ht="15">
      <c r="A29" s="2" t="s">
        <v>15</v>
      </c>
      <c r="B29" s="3">
        <v>2509</v>
      </c>
      <c r="C29" s="3">
        <v>1099</v>
      </c>
      <c r="D29" s="3">
        <v>215</v>
      </c>
      <c r="E29" s="3">
        <v>1192</v>
      </c>
      <c r="F29" s="12">
        <f t="shared" si="3"/>
        <v>0.43802311677959349</v>
      </c>
      <c r="G29" s="12">
        <f t="shared" si="4"/>
        <v>8.569151056197688E-2</v>
      </c>
      <c r="H29" s="12">
        <f t="shared" si="5"/>
        <v>0.47508967716221601</v>
      </c>
      <c r="I29" s="2" t="s">
        <v>21</v>
      </c>
    </row>
    <row r="30" spans="1:10" ht="15">
      <c r="A30" s="2" t="s">
        <v>16</v>
      </c>
      <c r="B30" s="3">
        <v>2563</v>
      </c>
      <c r="C30" s="3">
        <v>480</v>
      </c>
      <c r="D30" s="3">
        <v>355</v>
      </c>
      <c r="E30" s="3">
        <v>1726</v>
      </c>
      <c r="F30" s="12">
        <f t="shared" si="3"/>
        <v>0.1872805306281701</v>
      </c>
      <c r="G30" s="12">
        <f t="shared" si="4"/>
        <v>0.13850955911041749</v>
      </c>
      <c r="H30" s="12">
        <f t="shared" si="5"/>
        <v>0.67342957471712839</v>
      </c>
      <c r="I30" s="2" t="s">
        <v>22</v>
      </c>
    </row>
    <row r="31" spans="1:10" ht="15">
      <c r="A31" s="2" t="s">
        <v>17</v>
      </c>
      <c r="B31" s="3">
        <v>2494</v>
      </c>
      <c r="C31" s="3">
        <v>273</v>
      </c>
      <c r="D31" s="3">
        <v>1847</v>
      </c>
      <c r="E31" s="3">
        <v>374</v>
      </c>
      <c r="F31" s="12">
        <f t="shared" si="3"/>
        <v>0.10946271050521252</v>
      </c>
      <c r="G31" s="12">
        <f t="shared" si="4"/>
        <v>0.74057738572574183</v>
      </c>
      <c r="H31" s="12">
        <f t="shared" si="5"/>
        <v>0.14995990376904572</v>
      </c>
      <c r="I31" s="2" t="s">
        <v>23</v>
      </c>
    </row>
    <row r="32" spans="1:10" ht="15">
      <c r="A32" s="2" t="s">
        <v>18</v>
      </c>
      <c r="B32" s="3">
        <v>2673</v>
      </c>
      <c r="C32" s="3">
        <v>1356</v>
      </c>
      <c r="D32" s="3">
        <v>1201</v>
      </c>
      <c r="E32" s="17">
        <v>65</v>
      </c>
      <c r="F32" s="12">
        <f t="shared" si="3"/>
        <v>0.50729517396184065</v>
      </c>
      <c r="G32" s="12">
        <f t="shared" si="4"/>
        <v>0.44930789375233821</v>
      </c>
      <c r="H32" s="12">
        <f t="shared" si="5"/>
        <v>2.4317246539468762E-2</v>
      </c>
      <c r="I32" s="2" t="s">
        <v>18</v>
      </c>
    </row>
    <row r="33" spans="1:9" ht="15">
      <c r="A33" s="2" t="s">
        <v>19</v>
      </c>
      <c r="B33" s="3">
        <f>SUM(B19:B32)</f>
        <v>36113</v>
      </c>
      <c r="C33" s="3">
        <f>SUM(C19:C32)</f>
        <v>14168</v>
      </c>
      <c r="D33" s="3">
        <f>SUM(D19:D32)</f>
        <v>12996</v>
      </c>
      <c r="E33" s="3">
        <f>SUM(E19:E32)</f>
        <v>8617</v>
      </c>
      <c r="F33" s="12">
        <f t="shared" si="3"/>
        <v>0.39232409381663114</v>
      </c>
      <c r="G33" s="12">
        <f t="shared" si="4"/>
        <v>0.35987040677872234</v>
      </c>
      <c r="H33" s="12">
        <f t="shared" si="5"/>
        <v>0.2386121341345222</v>
      </c>
      <c r="I33" s="2"/>
    </row>
    <row r="35" spans="1:9" ht="15">
      <c r="A35" s="2" t="s">
        <v>84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9" ht="15">
      <c r="A36" s="2" t="s">
        <v>5</v>
      </c>
      <c r="B36" s="3">
        <v>2568</v>
      </c>
      <c r="C36" s="3">
        <v>921</v>
      </c>
      <c r="D36" s="3">
        <v>1507</v>
      </c>
      <c r="E36" s="3">
        <v>140</v>
      </c>
      <c r="F36" s="12">
        <f t="shared" ref="F36:F43" si="6">C36/B36</f>
        <v>0.35864485981308414</v>
      </c>
      <c r="G36" s="12">
        <f t="shared" ref="G36:G43" si="7">D36/B36</f>
        <v>0.58683800623052962</v>
      </c>
      <c r="H36" s="12">
        <f t="shared" ref="H36:H50" si="8">E36/B36</f>
        <v>5.4517133956386292E-2</v>
      </c>
      <c r="I36" s="2" t="s">
        <v>5</v>
      </c>
    </row>
    <row r="37" spans="1:9" ht="15">
      <c r="A37" s="2" t="s">
        <v>6</v>
      </c>
      <c r="B37" s="3">
        <v>2540</v>
      </c>
      <c r="C37" s="3">
        <v>695</v>
      </c>
      <c r="D37" s="3">
        <v>1296</v>
      </c>
      <c r="E37" s="3">
        <v>549</v>
      </c>
      <c r="F37" s="12">
        <f t="shared" si="6"/>
        <v>0.2736220472440945</v>
      </c>
      <c r="G37" s="12">
        <f t="shared" si="7"/>
        <v>0.51023622047244099</v>
      </c>
      <c r="H37" s="12">
        <f t="shared" si="8"/>
        <v>0.21614173228346456</v>
      </c>
      <c r="I37" s="2" t="s">
        <v>6</v>
      </c>
    </row>
    <row r="38" spans="1:9" ht="15">
      <c r="A38" s="2" t="s">
        <v>7</v>
      </c>
      <c r="B38" s="3">
        <v>2679</v>
      </c>
      <c r="C38" s="3">
        <v>783</v>
      </c>
      <c r="D38" s="3">
        <v>1193</v>
      </c>
      <c r="E38" s="3">
        <v>703</v>
      </c>
      <c r="F38" s="12">
        <f t="shared" si="6"/>
        <v>0.29227323628219487</v>
      </c>
      <c r="G38" s="12">
        <f t="shared" si="7"/>
        <v>0.44531541620007464</v>
      </c>
      <c r="H38" s="12">
        <f t="shared" si="8"/>
        <v>0.26241134751773049</v>
      </c>
      <c r="I38" s="2" t="s">
        <v>7</v>
      </c>
    </row>
    <row r="39" spans="1:9" ht="15">
      <c r="A39" s="2" t="s">
        <v>8</v>
      </c>
      <c r="B39" s="3">
        <v>2471</v>
      </c>
      <c r="C39" s="3">
        <v>747</v>
      </c>
      <c r="D39" s="3">
        <v>1202</v>
      </c>
      <c r="E39" s="3">
        <v>522</v>
      </c>
      <c r="F39" s="12">
        <f t="shared" si="6"/>
        <v>0.30230675839740995</v>
      </c>
      <c r="G39" s="12">
        <f t="shared" si="7"/>
        <v>0.48644273573452046</v>
      </c>
      <c r="H39" s="12">
        <f t="shared" si="8"/>
        <v>0.21125050586806962</v>
      </c>
      <c r="I39" s="2" t="s">
        <v>8</v>
      </c>
    </row>
    <row r="40" spans="1:9" ht="15">
      <c r="A40" s="2" t="s">
        <v>9</v>
      </c>
      <c r="B40" s="3">
        <v>1836</v>
      </c>
      <c r="C40" s="3">
        <v>1300</v>
      </c>
      <c r="D40" s="3">
        <v>463</v>
      </c>
      <c r="E40" s="3">
        <v>73</v>
      </c>
      <c r="F40" s="12">
        <f t="shared" si="6"/>
        <v>0.7080610021786492</v>
      </c>
      <c r="G40" s="12">
        <f t="shared" si="7"/>
        <v>0.25217864923747274</v>
      </c>
      <c r="H40" s="12">
        <f t="shared" si="8"/>
        <v>3.9760348583877995E-2</v>
      </c>
      <c r="I40" s="2" t="s">
        <v>9</v>
      </c>
    </row>
    <row r="41" spans="1:9" ht="15">
      <c r="A41" s="2" t="s">
        <v>10</v>
      </c>
      <c r="B41" s="3">
        <v>2260</v>
      </c>
      <c r="C41" s="3">
        <v>734</v>
      </c>
      <c r="D41" s="3">
        <v>1144</v>
      </c>
      <c r="E41" s="3">
        <v>382</v>
      </c>
      <c r="F41" s="12">
        <f t="shared" si="6"/>
        <v>0.32477876106194692</v>
      </c>
      <c r="G41" s="12">
        <f t="shared" si="7"/>
        <v>0.50619469026548669</v>
      </c>
      <c r="H41" s="12">
        <f t="shared" si="8"/>
        <v>0.16902654867256636</v>
      </c>
      <c r="I41" s="2" t="s">
        <v>10</v>
      </c>
    </row>
    <row r="42" spans="1:9" ht="15">
      <c r="A42" s="2" t="s">
        <v>11</v>
      </c>
      <c r="B42" s="3">
        <v>2159</v>
      </c>
      <c r="C42" s="3">
        <v>823</v>
      </c>
      <c r="D42" s="3">
        <v>1147</v>
      </c>
      <c r="E42" s="3">
        <v>189</v>
      </c>
      <c r="F42" s="12">
        <f t="shared" si="6"/>
        <v>0.38119499768411302</v>
      </c>
      <c r="G42" s="12">
        <f t="shared" si="7"/>
        <v>0.53126447429365442</v>
      </c>
      <c r="H42" s="12">
        <f t="shared" si="8"/>
        <v>8.7540528022232514E-2</v>
      </c>
      <c r="I42" s="2" t="s">
        <v>11</v>
      </c>
    </row>
    <row r="43" spans="1:9" ht="15">
      <c r="A43" s="2" t="s">
        <v>12</v>
      </c>
      <c r="B43" s="3">
        <v>2370</v>
      </c>
      <c r="C43" s="3">
        <v>523</v>
      </c>
      <c r="D43" s="3">
        <v>854</v>
      </c>
      <c r="E43" s="3">
        <v>993</v>
      </c>
      <c r="F43" s="12">
        <f t="shared" si="6"/>
        <v>0.22067510548523206</v>
      </c>
      <c r="G43" s="12">
        <f t="shared" si="7"/>
        <v>0.36033755274261603</v>
      </c>
      <c r="H43" s="12">
        <f t="shared" si="8"/>
        <v>0.41898734177215191</v>
      </c>
      <c r="I43" s="2" t="s">
        <v>12</v>
      </c>
    </row>
    <row r="44" spans="1:9" ht="15">
      <c r="A44" s="2" t="s">
        <v>13</v>
      </c>
      <c r="B44" s="3">
        <v>2147</v>
      </c>
      <c r="C44" s="3">
        <v>593</v>
      </c>
      <c r="D44" s="3">
        <v>324</v>
      </c>
      <c r="E44" s="3">
        <v>1230</v>
      </c>
      <c r="F44" s="12">
        <f t="shared" ref="F44:F50" si="9">C44/B44</f>
        <v>0.27619934792734047</v>
      </c>
      <c r="G44" s="12">
        <f t="shared" ref="G44:G50" si="10">D44/B44</f>
        <v>0.15090824406148112</v>
      </c>
      <c r="H44" s="12">
        <f t="shared" si="8"/>
        <v>0.57289240801117836</v>
      </c>
      <c r="I44" s="2" t="s">
        <v>13</v>
      </c>
    </row>
    <row r="45" spans="1:9" ht="15">
      <c r="A45" s="2" t="s">
        <v>14</v>
      </c>
      <c r="B45" s="3">
        <v>1673</v>
      </c>
      <c r="C45" s="3">
        <v>1402</v>
      </c>
      <c r="D45" s="3">
        <v>248</v>
      </c>
      <c r="E45" s="3">
        <v>23</v>
      </c>
      <c r="F45" s="12">
        <f t="shared" si="9"/>
        <v>0.83801554094441122</v>
      </c>
      <c r="G45" s="12">
        <f t="shared" si="10"/>
        <v>0.14823670053795576</v>
      </c>
      <c r="H45" s="12">
        <f t="shared" si="8"/>
        <v>1.3747758517632994E-2</v>
      </c>
      <c r="I45" s="2" t="s">
        <v>14</v>
      </c>
    </row>
    <row r="46" spans="1:9" ht="15">
      <c r="A46" s="2" t="s">
        <v>15</v>
      </c>
      <c r="B46" s="3">
        <v>2198</v>
      </c>
      <c r="C46" s="3">
        <v>1100</v>
      </c>
      <c r="D46" s="3">
        <v>215</v>
      </c>
      <c r="E46" s="3">
        <v>883</v>
      </c>
      <c r="F46" s="12">
        <f t="shared" si="9"/>
        <v>0.5004549590536852</v>
      </c>
      <c r="G46" s="12">
        <f t="shared" si="10"/>
        <v>9.781619654231119E-2</v>
      </c>
      <c r="H46" s="12">
        <f t="shared" si="8"/>
        <v>0.40172884440400364</v>
      </c>
      <c r="I46" s="2" t="s">
        <v>21</v>
      </c>
    </row>
    <row r="47" spans="1:9" ht="15">
      <c r="A47" s="2" t="s">
        <v>16</v>
      </c>
      <c r="B47" s="3">
        <v>2199</v>
      </c>
      <c r="C47" s="3">
        <v>394</v>
      </c>
      <c r="D47" s="3">
        <v>355</v>
      </c>
      <c r="E47" s="3">
        <v>1450</v>
      </c>
      <c r="F47" s="12">
        <f t="shared" si="9"/>
        <v>0.17917235106866758</v>
      </c>
      <c r="G47" s="12">
        <f t="shared" si="10"/>
        <v>0.16143701682582992</v>
      </c>
      <c r="H47" s="12">
        <f t="shared" si="8"/>
        <v>0.65939063210550253</v>
      </c>
      <c r="I47" s="2" t="s">
        <v>22</v>
      </c>
    </row>
    <row r="48" spans="1:9" ht="15">
      <c r="A48" s="2" t="s">
        <v>17</v>
      </c>
      <c r="B48" s="3">
        <v>2363</v>
      </c>
      <c r="C48" s="3">
        <v>223</v>
      </c>
      <c r="D48" s="3">
        <v>1847</v>
      </c>
      <c r="E48" s="3">
        <v>293</v>
      </c>
      <c r="F48" s="12">
        <f t="shared" si="9"/>
        <v>9.4371561574269999E-2</v>
      </c>
      <c r="G48" s="12">
        <f t="shared" si="10"/>
        <v>0.78163351671603898</v>
      </c>
      <c r="H48" s="12">
        <f t="shared" si="8"/>
        <v>0.12399492170969106</v>
      </c>
      <c r="I48" s="2" t="s">
        <v>23</v>
      </c>
    </row>
    <row r="49" spans="1:15" ht="15">
      <c r="A49" s="2" t="s">
        <v>18</v>
      </c>
      <c r="B49" s="3">
        <v>2582</v>
      </c>
      <c r="C49" s="3">
        <v>1283</v>
      </c>
      <c r="D49" s="3">
        <v>1201</v>
      </c>
      <c r="E49" s="17">
        <v>98</v>
      </c>
      <c r="F49" s="12">
        <f t="shared" si="9"/>
        <v>0.49690162664601084</v>
      </c>
      <c r="G49" s="12">
        <f t="shared" si="10"/>
        <v>0.46514329976762198</v>
      </c>
      <c r="H49" s="12">
        <f t="shared" si="8"/>
        <v>3.7955073586367155E-2</v>
      </c>
      <c r="I49" s="2" t="s">
        <v>18</v>
      </c>
    </row>
    <row r="50" spans="1:15" ht="15">
      <c r="A50" s="2" t="s">
        <v>19</v>
      </c>
      <c r="B50" s="3">
        <f>SUM(B36:B49)</f>
        <v>32045</v>
      </c>
      <c r="C50" s="3">
        <f>SUM(C36:C49)</f>
        <v>11521</v>
      </c>
      <c r="D50" s="3">
        <f>SUM(D36:D49)</f>
        <v>12996</v>
      </c>
      <c r="E50" s="3">
        <f>SUM(E36:E49)</f>
        <v>7528</v>
      </c>
      <c r="F50" s="12">
        <f t="shared" si="9"/>
        <v>0.35952566703073802</v>
      </c>
      <c r="G50" s="12">
        <f t="shared" si="10"/>
        <v>0.40555468871898892</v>
      </c>
      <c r="H50" s="12">
        <f t="shared" si="8"/>
        <v>0.23491964425027306</v>
      </c>
      <c r="I50" s="2"/>
    </row>
    <row r="60" spans="1:15" ht="15">
      <c r="M60" s="1"/>
      <c r="N60" s="1"/>
      <c r="O60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O53"/>
  <sheetViews>
    <sheetView topLeftCell="C1" zoomScale="70" zoomScaleNormal="70" workbookViewId="0">
      <selection activeCell="H16" sqref="H16"/>
    </sheetView>
  </sheetViews>
  <sheetFormatPr defaultColWidth="9.140625" defaultRowHeight="12.75"/>
  <cols>
    <col min="1" max="1" width="15.7109375" bestFit="1" customWidth="1"/>
    <col min="3" max="3" width="22.42578125" bestFit="1" customWidth="1"/>
    <col min="5" max="5" width="23.42578125" bestFit="1" customWidth="1"/>
    <col min="10" max="10" width="12.42578125" bestFit="1" customWidth="1"/>
    <col min="15" max="15" width="12" bestFit="1" customWidth="1"/>
  </cols>
  <sheetData>
    <row r="4" spans="1:15" ht="15">
      <c r="A4" s="2" t="s">
        <v>87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5" ht="15">
      <c r="A5" s="2" t="s">
        <v>5</v>
      </c>
      <c r="B5" s="3">
        <v>579</v>
      </c>
      <c r="C5" s="3">
        <v>55</v>
      </c>
      <c r="D5" s="3">
        <v>513</v>
      </c>
      <c r="E5" s="3">
        <v>11</v>
      </c>
      <c r="F5" s="12">
        <f t="shared" ref="F5:F19" si="0">C5/B5</f>
        <v>9.499136442141623E-2</v>
      </c>
      <c r="G5" s="12">
        <f t="shared" ref="G5:G19" si="1">D5/B5</f>
        <v>0.88601036269430056</v>
      </c>
      <c r="H5" s="12">
        <f t="shared" ref="H5:H19" si="2">E5/B5</f>
        <v>1.8998272884283247E-2</v>
      </c>
      <c r="I5" s="2" t="s">
        <v>5</v>
      </c>
    </row>
    <row r="6" spans="1:15" ht="15">
      <c r="A6" s="2" t="s">
        <v>6</v>
      </c>
      <c r="B6" s="3">
        <v>573</v>
      </c>
      <c r="C6" s="3">
        <v>28</v>
      </c>
      <c r="D6" s="3">
        <v>527</v>
      </c>
      <c r="E6" s="3">
        <v>18</v>
      </c>
      <c r="F6" s="12">
        <f t="shared" si="0"/>
        <v>4.8865619546247817E-2</v>
      </c>
      <c r="G6" s="12">
        <f t="shared" si="1"/>
        <v>0.91972076788830714</v>
      </c>
      <c r="H6" s="12">
        <f t="shared" si="2"/>
        <v>3.1413612565445025E-2</v>
      </c>
      <c r="I6" s="2" t="s">
        <v>6</v>
      </c>
    </row>
    <row r="7" spans="1:15" ht="15">
      <c r="A7" s="2" t="s">
        <v>7</v>
      </c>
      <c r="B7" s="3">
        <v>592</v>
      </c>
      <c r="C7" s="3">
        <v>111</v>
      </c>
      <c r="D7" s="3">
        <v>470</v>
      </c>
      <c r="E7" s="3">
        <v>11</v>
      </c>
      <c r="F7" s="12">
        <f t="shared" si="0"/>
        <v>0.1875</v>
      </c>
      <c r="G7" s="12">
        <f t="shared" si="1"/>
        <v>0.79391891891891897</v>
      </c>
      <c r="H7" s="12">
        <f t="shared" si="2"/>
        <v>1.8581081081081082E-2</v>
      </c>
      <c r="I7" s="2" t="s">
        <v>7</v>
      </c>
    </row>
    <row r="8" spans="1:15" ht="15">
      <c r="A8" s="2" t="s">
        <v>8</v>
      </c>
      <c r="B8" s="3">
        <v>593</v>
      </c>
      <c r="C8" s="3">
        <v>187</v>
      </c>
      <c r="D8" s="3">
        <v>379</v>
      </c>
      <c r="E8" s="3">
        <v>0</v>
      </c>
      <c r="F8" s="12">
        <f t="shared" si="0"/>
        <v>0.31534569983136596</v>
      </c>
      <c r="G8" s="12">
        <f t="shared" si="1"/>
        <v>0.63912310286677909</v>
      </c>
      <c r="H8" s="12">
        <f t="shared" si="2"/>
        <v>0</v>
      </c>
      <c r="I8" s="2" t="s">
        <v>8</v>
      </c>
    </row>
    <row r="9" spans="1:15" ht="15">
      <c r="A9" s="2" t="s">
        <v>9</v>
      </c>
      <c r="B9" s="3">
        <v>586</v>
      </c>
      <c r="C9" s="3">
        <v>78</v>
      </c>
      <c r="D9" s="3">
        <v>480</v>
      </c>
      <c r="E9" s="3">
        <v>28</v>
      </c>
      <c r="F9" s="12">
        <f>C9/B9</f>
        <v>0.13310580204778158</v>
      </c>
      <c r="G9" s="12">
        <f>D9/B9</f>
        <v>0.8191126279863481</v>
      </c>
      <c r="H9" s="12">
        <f t="shared" si="2"/>
        <v>4.778156996587031E-2</v>
      </c>
      <c r="I9" s="2" t="s">
        <v>9</v>
      </c>
    </row>
    <row r="10" spans="1:15" ht="15">
      <c r="A10" s="2" t="s">
        <v>10</v>
      </c>
      <c r="B10" s="3">
        <v>566</v>
      </c>
      <c r="C10" s="3">
        <v>12</v>
      </c>
      <c r="D10" s="3">
        <v>554</v>
      </c>
      <c r="E10" s="3">
        <v>0</v>
      </c>
      <c r="F10" s="12">
        <f t="shared" si="0"/>
        <v>2.1201413427561839E-2</v>
      </c>
      <c r="G10" s="12">
        <f t="shared" si="1"/>
        <v>0.97879858657243812</v>
      </c>
      <c r="H10" s="12">
        <f t="shared" si="2"/>
        <v>0</v>
      </c>
      <c r="I10" s="2" t="s">
        <v>10</v>
      </c>
    </row>
    <row r="11" spans="1:15" ht="15">
      <c r="A11" s="2" t="s">
        <v>11</v>
      </c>
      <c r="B11" s="3">
        <v>562</v>
      </c>
      <c r="C11" s="3">
        <v>9</v>
      </c>
      <c r="D11" s="3">
        <v>553</v>
      </c>
      <c r="E11" s="3">
        <v>0</v>
      </c>
      <c r="F11" s="12">
        <f t="shared" si="0"/>
        <v>1.601423487544484E-2</v>
      </c>
      <c r="G11" s="12">
        <f t="shared" si="1"/>
        <v>0.98398576512455516</v>
      </c>
      <c r="H11" s="12">
        <f t="shared" si="2"/>
        <v>0</v>
      </c>
      <c r="I11" s="2" t="s">
        <v>11</v>
      </c>
      <c r="M11" s="43" t="s">
        <v>85</v>
      </c>
      <c r="N11" s="38" t="s">
        <v>31</v>
      </c>
      <c r="O11" s="15" t="s">
        <v>74</v>
      </c>
    </row>
    <row r="12" spans="1:15" ht="15">
      <c r="A12" s="2" t="s">
        <v>12</v>
      </c>
      <c r="B12" s="3">
        <v>569</v>
      </c>
      <c r="C12" s="3">
        <v>19</v>
      </c>
      <c r="D12" s="3">
        <v>549</v>
      </c>
      <c r="E12" s="3">
        <v>1</v>
      </c>
      <c r="F12" s="12">
        <f t="shared" si="0"/>
        <v>3.3391915641476276E-2</v>
      </c>
      <c r="G12" s="12">
        <f t="shared" si="1"/>
        <v>0.96485061511423553</v>
      </c>
      <c r="H12" s="12">
        <f t="shared" si="2"/>
        <v>1.7574692442882249E-3</v>
      </c>
      <c r="I12" s="2" t="s">
        <v>12</v>
      </c>
      <c r="M12" s="11" t="s">
        <v>32</v>
      </c>
      <c r="N12" s="39">
        <v>724533</v>
      </c>
      <c r="O12" s="44">
        <f>2174.87*0.000001</f>
        <v>2.1748699999999998E-3</v>
      </c>
    </row>
    <row r="13" spans="1:15" ht="15">
      <c r="A13" s="2" t="s">
        <v>13</v>
      </c>
      <c r="B13" s="3">
        <v>576</v>
      </c>
      <c r="C13" s="3">
        <v>11</v>
      </c>
      <c r="D13" s="3">
        <v>565</v>
      </c>
      <c r="E13" s="3">
        <v>0</v>
      </c>
      <c r="F13" s="12">
        <f t="shared" si="0"/>
        <v>1.9097222222222224E-2</v>
      </c>
      <c r="G13" s="12">
        <f t="shared" si="1"/>
        <v>0.98090277777777779</v>
      </c>
      <c r="H13" s="12">
        <f t="shared" si="2"/>
        <v>0</v>
      </c>
      <c r="I13" s="2" t="s">
        <v>13</v>
      </c>
      <c r="M13" s="11"/>
      <c r="O13" s="45"/>
    </row>
    <row r="14" spans="1:15" ht="15">
      <c r="A14" s="2" t="s">
        <v>14</v>
      </c>
      <c r="B14" s="3">
        <v>594</v>
      </c>
      <c r="C14" s="3">
        <v>31</v>
      </c>
      <c r="D14" s="3">
        <v>563</v>
      </c>
      <c r="E14" s="3">
        <v>0</v>
      </c>
      <c r="F14" s="12">
        <f t="shared" si="0"/>
        <v>5.2188552188552187E-2</v>
      </c>
      <c r="G14" s="12">
        <f t="shared" si="1"/>
        <v>0.94781144781144777</v>
      </c>
      <c r="H14" s="12">
        <f t="shared" si="2"/>
        <v>0</v>
      </c>
      <c r="I14" s="2" t="s">
        <v>14</v>
      </c>
      <c r="M14" s="11" t="s">
        <v>33</v>
      </c>
      <c r="N14">
        <v>251634</v>
      </c>
      <c r="O14" s="44">
        <f>75566*0.000001</f>
        <v>7.5565999999999994E-2</v>
      </c>
    </row>
    <row r="15" spans="1:15" ht="15">
      <c r="A15" s="2" t="s">
        <v>15</v>
      </c>
      <c r="B15" s="3">
        <v>586</v>
      </c>
      <c r="C15" s="3">
        <v>12</v>
      </c>
      <c r="D15" s="3">
        <v>574</v>
      </c>
      <c r="E15" s="3">
        <v>0</v>
      </c>
      <c r="F15" s="12">
        <f t="shared" si="0"/>
        <v>2.0477815699658702E-2</v>
      </c>
      <c r="G15" s="12">
        <f t="shared" si="1"/>
        <v>0.97952218430034133</v>
      </c>
      <c r="H15" s="12">
        <f t="shared" si="2"/>
        <v>0</v>
      </c>
      <c r="I15" s="2" t="s">
        <v>21</v>
      </c>
      <c r="M15" s="11" t="s">
        <v>34</v>
      </c>
      <c r="N15" s="39">
        <v>229917</v>
      </c>
      <c r="O15" s="44">
        <f>69044*0.000001</f>
        <v>6.9043999999999994E-2</v>
      </c>
    </row>
    <row r="16" spans="1:15" ht="15">
      <c r="A16" s="2" t="s">
        <v>16</v>
      </c>
      <c r="B16" s="3">
        <v>625</v>
      </c>
      <c r="C16" s="3">
        <v>81</v>
      </c>
      <c r="D16" s="3">
        <v>140</v>
      </c>
      <c r="E16" s="3">
        <v>404</v>
      </c>
      <c r="F16" s="12">
        <f t="shared" si="0"/>
        <v>0.12959999999999999</v>
      </c>
      <c r="G16" s="12">
        <f t="shared" si="1"/>
        <v>0.224</v>
      </c>
      <c r="H16" s="12">
        <f t="shared" si="2"/>
        <v>0.64639999999999997</v>
      </c>
      <c r="I16" s="2" t="s">
        <v>22</v>
      </c>
    </row>
    <row r="17" spans="1:9" ht="15">
      <c r="A17" s="2" t="s">
        <v>17</v>
      </c>
      <c r="B17" s="3">
        <v>579</v>
      </c>
      <c r="C17" s="3">
        <v>20</v>
      </c>
      <c r="D17" s="3">
        <v>556</v>
      </c>
      <c r="E17" s="3">
        <v>3</v>
      </c>
      <c r="F17" s="12">
        <f t="shared" si="0"/>
        <v>3.4542314335060449E-2</v>
      </c>
      <c r="G17" s="12">
        <f t="shared" si="1"/>
        <v>0.96027633851468053</v>
      </c>
      <c r="H17" s="12">
        <f t="shared" si="2"/>
        <v>5.1813471502590676E-3</v>
      </c>
      <c r="I17" s="2" t="s">
        <v>23</v>
      </c>
    </row>
    <row r="18" spans="1:9" ht="15">
      <c r="A18" s="2" t="s">
        <v>18</v>
      </c>
      <c r="B18" s="3">
        <v>592</v>
      </c>
      <c r="C18" s="3">
        <v>256</v>
      </c>
      <c r="D18" s="3">
        <v>312</v>
      </c>
      <c r="E18" s="3">
        <v>24</v>
      </c>
      <c r="F18" s="12">
        <f t="shared" si="0"/>
        <v>0.43243243243243246</v>
      </c>
      <c r="G18" s="12">
        <f t="shared" si="1"/>
        <v>0.52702702702702697</v>
      </c>
      <c r="H18" s="12">
        <f t="shared" si="2"/>
        <v>4.0540540540540543E-2</v>
      </c>
      <c r="I18" s="2" t="s">
        <v>18</v>
      </c>
    </row>
    <row r="19" spans="1:9" ht="15">
      <c r="A19" s="2" t="s">
        <v>19</v>
      </c>
      <c r="B19" s="3">
        <f>SUM(B5:B18)</f>
        <v>8172</v>
      </c>
      <c r="C19" s="3">
        <f>SUM(C5:C18)</f>
        <v>910</v>
      </c>
      <c r="D19" s="3">
        <f>SUM(D5:D18)</f>
        <v>6735</v>
      </c>
      <c r="E19" s="3">
        <f>SUM(E5:E18)</f>
        <v>500</v>
      </c>
      <c r="F19" s="12">
        <f t="shared" si="0"/>
        <v>0.1113558492413118</v>
      </c>
      <c r="G19" s="12">
        <f t="shared" si="1"/>
        <v>0.82415565345080766</v>
      </c>
      <c r="H19" s="12">
        <f t="shared" si="2"/>
        <v>6.1184532550171318E-2</v>
      </c>
      <c r="I19" s="2"/>
    </row>
    <row r="20" spans="1:9" ht="15">
      <c r="A20" s="6"/>
      <c r="B20" s="7"/>
      <c r="C20" s="7"/>
      <c r="D20" s="7"/>
      <c r="E20" s="7"/>
      <c r="F20" s="8"/>
      <c r="G20" s="8"/>
      <c r="H20" s="8"/>
      <c r="I20" s="6"/>
    </row>
    <row r="21" spans="1:9" ht="15">
      <c r="A21" s="2" t="s">
        <v>88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26</v>
      </c>
      <c r="G21" s="2" t="s">
        <v>27</v>
      </c>
      <c r="H21" s="2" t="s">
        <v>28</v>
      </c>
      <c r="I21" s="2"/>
    </row>
    <row r="22" spans="1:9" ht="15">
      <c r="A22" s="2" t="s">
        <v>5</v>
      </c>
      <c r="B22" s="3">
        <v>1759</v>
      </c>
      <c r="C22" s="3">
        <v>637</v>
      </c>
      <c r="D22" s="3">
        <v>915</v>
      </c>
      <c r="E22" s="3">
        <v>207</v>
      </c>
      <c r="F22" s="12">
        <f t="shared" ref="F22:F36" si="3">C22/B22</f>
        <v>0.36213757816941444</v>
      </c>
      <c r="G22" s="12">
        <f t="shared" ref="G22:G36" si="4">D22/B22</f>
        <v>0.52018192154633314</v>
      </c>
      <c r="H22" s="12">
        <f t="shared" ref="H22:H36" si="5">E22/B22</f>
        <v>0.11768050028425242</v>
      </c>
      <c r="I22" s="2" t="s">
        <v>5</v>
      </c>
    </row>
    <row r="23" spans="1:9" ht="15">
      <c r="A23" s="2" t="s">
        <v>6</v>
      </c>
      <c r="B23" s="3">
        <v>1724</v>
      </c>
      <c r="C23" s="3">
        <v>594</v>
      </c>
      <c r="D23" s="3">
        <v>970</v>
      </c>
      <c r="E23" s="3">
        <v>160</v>
      </c>
      <c r="F23" s="12">
        <f t="shared" si="3"/>
        <v>0.34454756380510443</v>
      </c>
      <c r="G23" s="12">
        <f t="shared" si="4"/>
        <v>0.56264501160092806</v>
      </c>
      <c r="H23" s="12">
        <f t="shared" si="5"/>
        <v>9.2807424593967514E-2</v>
      </c>
      <c r="I23" s="2" t="s">
        <v>6</v>
      </c>
    </row>
    <row r="24" spans="1:9" ht="15">
      <c r="A24" s="2" t="s">
        <v>7</v>
      </c>
      <c r="B24" s="3">
        <v>1734</v>
      </c>
      <c r="C24" s="3">
        <v>599</v>
      </c>
      <c r="D24" s="3">
        <v>1013</v>
      </c>
      <c r="E24" s="3">
        <f>79+43</f>
        <v>122</v>
      </c>
      <c r="F24" s="12">
        <f t="shared" si="3"/>
        <v>0.34544405997693195</v>
      </c>
      <c r="G24" s="12">
        <f t="shared" si="4"/>
        <v>0.58419838523644751</v>
      </c>
      <c r="H24" s="12">
        <f t="shared" si="5"/>
        <v>7.0357554786620535E-2</v>
      </c>
      <c r="I24" s="2" t="s">
        <v>7</v>
      </c>
    </row>
    <row r="25" spans="1:9" ht="15">
      <c r="A25" s="2" t="s">
        <v>8</v>
      </c>
      <c r="B25" s="3">
        <v>1828</v>
      </c>
      <c r="C25" s="3">
        <v>718</v>
      </c>
      <c r="D25" s="3">
        <v>882</v>
      </c>
      <c r="E25" s="3">
        <v>228</v>
      </c>
      <c r="F25" s="12">
        <f t="shared" si="3"/>
        <v>0.39277899343544859</v>
      </c>
      <c r="G25" s="12">
        <f t="shared" si="4"/>
        <v>0.48249452954048139</v>
      </c>
      <c r="H25" s="12">
        <f t="shared" si="5"/>
        <v>0.12472647702407003</v>
      </c>
      <c r="I25" s="2" t="s">
        <v>8</v>
      </c>
    </row>
    <row r="26" spans="1:9" ht="15">
      <c r="A26" s="2" t="s">
        <v>9</v>
      </c>
      <c r="B26" s="3">
        <v>1834</v>
      </c>
      <c r="C26" s="3">
        <v>840</v>
      </c>
      <c r="D26" s="3">
        <v>805</v>
      </c>
      <c r="E26" s="3">
        <v>189</v>
      </c>
      <c r="F26" s="12">
        <f t="shared" si="3"/>
        <v>0.4580152671755725</v>
      </c>
      <c r="G26" s="12">
        <f t="shared" si="4"/>
        <v>0.43893129770992367</v>
      </c>
      <c r="H26" s="12">
        <f t="shared" si="5"/>
        <v>0.10305343511450382</v>
      </c>
      <c r="I26" s="2" t="s">
        <v>9</v>
      </c>
    </row>
    <row r="27" spans="1:9" ht="15">
      <c r="A27" s="2" t="s">
        <v>10</v>
      </c>
      <c r="B27" s="3">
        <v>1512</v>
      </c>
      <c r="C27" s="3">
        <v>379</v>
      </c>
      <c r="D27" s="3">
        <v>924</v>
      </c>
      <c r="E27" s="3">
        <v>209</v>
      </c>
      <c r="F27" s="12">
        <f t="shared" si="3"/>
        <v>0.25066137566137564</v>
      </c>
      <c r="G27" s="12">
        <f t="shared" si="4"/>
        <v>0.61111111111111116</v>
      </c>
      <c r="H27" s="12">
        <f t="shared" si="5"/>
        <v>0.13822751322751323</v>
      </c>
      <c r="I27" s="2" t="s">
        <v>10</v>
      </c>
    </row>
    <row r="28" spans="1:9" ht="15">
      <c r="A28" s="2" t="s">
        <v>11</v>
      </c>
      <c r="B28" s="3">
        <v>1699</v>
      </c>
      <c r="C28" s="3">
        <v>570</v>
      </c>
      <c r="D28" s="3">
        <v>778</v>
      </c>
      <c r="E28" s="3">
        <v>351</v>
      </c>
      <c r="F28" s="12">
        <f t="shared" si="3"/>
        <v>0.33549146556798115</v>
      </c>
      <c r="G28" s="12">
        <f t="shared" si="4"/>
        <v>0.45791642142436728</v>
      </c>
      <c r="H28" s="12">
        <f t="shared" si="5"/>
        <v>0.20659211300765157</v>
      </c>
      <c r="I28" s="2" t="s">
        <v>11</v>
      </c>
    </row>
    <row r="29" spans="1:9" ht="15">
      <c r="A29" s="2" t="s">
        <v>12</v>
      </c>
      <c r="B29" s="3">
        <v>1748</v>
      </c>
      <c r="C29" s="3">
        <v>1009</v>
      </c>
      <c r="D29" s="3">
        <v>468</v>
      </c>
      <c r="E29" s="3">
        <v>271</v>
      </c>
      <c r="F29" s="12">
        <f t="shared" si="3"/>
        <v>0.57723112128146448</v>
      </c>
      <c r="G29" s="12">
        <f t="shared" si="4"/>
        <v>0.26773455377574373</v>
      </c>
      <c r="H29" s="12">
        <f t="shared" si="5"/>
        <v>0.15503432494279176</v>
      </c>
      <c r="I29" s="2" t="s">
        <v>12</v>
      </c>
    </row>
    <row r="30" spans="1:9" ht="15">
      <c r="A30" s="2" t="s">
        <v>13</v>
      </c>
      <c r="B30" s="3">
        <v>1752</v>
      </c>
      <c r="C30" s="3">
        <v>777</v>
      </c>
      <c r="D30" s="3">
        <v>540</v>
      </c>
      <c r="E30" s="3">
        <v>213</v>
      </c>
      <c r="F30" s="12">
        <f>C30/B30</f>
        <v>0.4434931506849315</v>
      </c>
      <c r="G30" s="12">
        <f>D30/B30</f>
        <v>0.30821917808219179</v>
      </c>
      <c r="H30" s="12">
        <f t="shared" si="5"/>
        <v>0.12157534246575342</v>
      </c>
      <c r="I30" s="2" t="s">
        <v>13</v>
      </c>
    </row>
    <row r="31" spans="1:9" ht="15">
      <c r="A31" s="2" t="s">
        <v>14</v>
      </c>
      <c r="B31" s="3">
        <v>1694</v>
      </c>
      <c r="C31" s="3">
        <v>944</v>
      </c>
      <c r="D31" s="3">
        <v>624</v>
      </c>
      <c r="E31" s="3">
        <v>115</v>
      </c>
      <c r="F31" s="12">
        <f>C31/B31</f>
        <v>0.55726092089728452</v>
      </c>
      <c r="G31" s="12">
        <f>D31/B31</f>
        <v>0.36835891381345925</v>
      </c>
      <c r="H31" s="12">
        <f t="shared" si="5"/>
        <v>6.7886658795749705E-2</v>
      </c>
      <c r="I31" s="2" t="s">
        <v>14</v>
      </c>
    </row>
    <row r="32" spans="1:9" ht="15">
      <c r="A32" s="2" t="s">
        <v>15</v>
      </c>
      <c r="B32" s="3">
        <v>1781</v>
      </c>
      <c r="C32" s="3">
        <v>292</v>
      </c>
      <c r="D32" s="3">
        <v>774</v>
      </c>
      <c r="E32" s="3">
        <v>667</v>
      </c>
      <c r="F32" s="12">
        <f t="shared" si="3"/>
        <v>0.16395283548568221</v>
      </c>
      <c r="G32" s="12">
        <f t="shared" si="4"/>
        <v>0.43458731049971927</v>
      </c>
      <c r="H32" s="12">
        <f t="shared" si="5"/>
        <v>0.37450870297585626</v>
      </c>
      <c r="I32" s="2" t="s">
        <v>21</v>
      </c>
    </row>
    <row r="33" spans="1:9" ht="15">
      <c r="A33" s="2" t="s">
        <v>16</v>
      </c>
      <c r="B33" s="3">
        <v>1739</v>
      </c>
      <c r="C33" s="3">
        <v>1128</v>
      </c>
      <c r="D33" s="3">
        <v>374</v>
      </c>
      <c r="E33" s="3">
        <v>180</v>
      </c>
      <c r="F33" s="12">
        <f t="shared" si="3"/>
        <v>0.64864864864864868</v>
      </c>
      <c r="G33" s="12">
        <f t="shared" si="4"/>
        <v>0.21506612995974697</v>
      </c>
      <c r="H33" s="12">
        <f t="shared" si="5"/>
        <v>0.10350776308223117</v>
      </c>
      <c r="I33" s="2" t="s">
        <v>22</v>
      </c>
    </row>
    <row r="34" spans="1:9" ht="15">
      <c r="A34" s="2" t="s">
        <v>17</v>
      </c>
      <c r="B34" s="3">
        <v>1685</v>
      </c>
      <c r="C34" s="3">
        <v>386</v>
      </c>
      <c r="D34" s="3">
        <v>1270</v>
      </c>
      <c r="E34" s="3">
        <v>29</v>
      </c>
      <c r="F34" s="12">
        <f t="shared" si="3"/>
        <v>0.22908011869436201</v>
      </c>
      <c r="G34" s="12">
        <f t="shared" si="4"/>
        <v>0.75370919881305642</v>
      </c>
      <c r="H34" s="12">
        <f t="shared" si="5"/>
        <v>1.7210682492581602E-2</v>
      </c>
      <c r="I34" s="2" t="s">
        <v>23</v>
      </c>
    </row>
    <row r="35" spans="1:9" ht="15">
      <c r="A35" s="2" t="s">
        <v>18</v>
      </c>
      <c r="B35" s="3">
        <v>1697</v>
      </c>
      <c r="C35" s="3">
        <v>772</v>
      </c>
      <c r="D35" s="3">
        <v>739</v>
      </c>
      <c r="E35" s="17">
        <v>186</v>
      </c>
      <c r="F35" s="12">
        <f t="shared" si="3"/>
        <v>0.45492044784914554</v>
      </c>
      <c r="G35" s="12">
        <f t="shared" si="4"/>
        <v>0.4354743665291691</v>
      </c>
      <c r="H35" s="12">
        <f t="shared" si="5"/>
        <v>0.10960518562168532</v>
      </c>
      <c r="I35" s="2" t="s">
        <v>18</v>
      </c>
    </row>
    <row r="36" spans="1:9" ht="15">
      <c r="A36" s="2" t="s">
        <v>19</v>
      </c>
      <c r="B36" s="3">
        <f>SUM(B22:B35)</f>
        <v>24186</v>
      </c>
      <c r="C36" s="3">
        <f>SUM(C22:C35)</f>
        <v>9645</v>
      </c>
      <c r="D36" s="3">
        <f>SUM(D22:D35)</f>
        <v>11076</v>
      </c>
      <c r="E36" s="3">
        <f>SUM(E22:E35)</f>
        <v>3127</v>
      </c>
      <c r="F36" s="12">
        <f t="shared" si="3"/>
        <v>0.39878442073927067</v>
      </c>
      <c r="G36" s="12">
        <f t="shared" si="4"/>
        <v>0.45795088067477052</v>
      </c>
      <c r="H36" s="12">
        <f t="shared" si="5"/>
        <v>0.12928967171090713</v>
      </c>
      <c r="I36" s="2"/>
    </row>
    <row r="38" spans="1:9" ht="15">
      <c r="A38" s="2" t="s">
        <v>89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26</v>
      </c>
      <c r="G38" s="2" t="s">
        <v>27</v>
      </c>
      <c r="H38" s="2" t="s">
        <v>28</v>
      </c>
      <c r="I38" s="2"/>
    </row>
    <row r="39" spans="1:9" ht="15">
      <c r="A39" s="2" t="s">
        <v>5</v>
      </c>
      <c r="B39" s="3">
        <v>2422</v>
      </c>
      <c r="C39" s="3">
        <v>876</v>
      </c>
      <c r="D39" s="3">
        <v>1363</v>
      </c>
      <c r="E39" s="3">
        <v>183</v>
      </c>
      <c r="F39" s="12">
        <f t="shared" ref="F39:F53" si="6">C39/B39</f>
        <v>0.36168455821635015</v>
      </c>
      <c r="G39" s="12">
        <f t="shared" ref="G39:G53" si="7">D39/B39</f>
        <v>0.56275805119735756</v>
      </c>
      <c r="H39" s="12">
        <f t="shared" ref="H39:H53" si="8">E39/B39</f>
        <v>7.5557390586292322E-2</v>
      </c>
      <c r="I39" s="2" t="s">
        <v>5</v>
      </c>
    </row>
    <row r="40" spans="1:9" ht="15">
      <c r="A40" s="2" t="s">
        <v>6</v>
      </c>
      <c r="B40" s="3">
        <v>2434</v>
      </c>
      <c r="C40" s="3">
        <v>748</v>
      </c>
      <c r="D40" s="17">
        <v>1118</v>
      </c>
      <c r="E40" s="3">
        <v>568</v>
      </c>
      <c r="F40" s="12">
        <f t="shared" si="6"/>
        <v>0.30731306491372229</v>
      </c>
      <c r="G40" s="12">
        <f t="shared" si="7"/>
        <v>0.45932621199671325</v>
      </c>
      <c r="H40" s="12">
        <f t="shared" si="8"/>
        <v>0.23336072308956451</v>
      </c>
      <c r="I40" s="2" t="s">
        <v>6</v>
      </c>
    </row>
    <row r="41" spans="1:9" ht="15">
      <c r="A41" s="2" t="s">
        <v>7</v>
      </c>
      <c r="B41" s="3">
        <v>2402</v>
      </c>
      <c r="C41" s="3">
        <v>710</v>
      </c>
      <c r="D41" s="3">
        <v>986</v>
      </c>
      <c r="E41" s="3">
        <v>706</v>
      </c>
      <c r="F41" s="12">
        <f t="shared" si="6"/>
        <v>0.29558701082431305</v>
      </c>
      <c r="G41" s="12">
        <f t="shared" si="7"/>
        <v>0.41049125728559532</v>
      </c>
      <c r="H41" s="12">
        <f t="shared" si="8"/>
        <v>0.29392173189009158</v>
      </c>
      <c r="I41" s="2" t="s">
        <v>7</v>
      </c>
    </row>
    <row r="42" spans="1:9" ht="15">
      <c r="A42" s="2" t="s">
        <v>8</v>
      </c>
      <c r="B42" s="3">
        <v>2426</v>
      </c>
      <c r="C42" s="3">
        <v>984</v>
      </c>
      <c r="D42" s="3">
        <v>948</v>
      </c>
      <c r="E42" s="3">
        <v>494</v>
      </c>
      <c r="F42" s="12">
        <f t="shared" si="6"/>
        <v>0.40560593569661996</v>
      </c>
      <c r="G42" s="12">
        <f t="shared" si="7"/>
        <v>0.39076669414674359</v>
      </c>
      <c r="H42" s="12">
        <f t="shared" si="8"/>
        <v>0.20362737015663643</v>
      </c>
      <c r="I42" s="2" t="s">
        <v>8</v>
      </c>
    </row>
    <row r="43" spans="1:9" ht="15">
      <c r="A43" s="2" t="s">
        <v>9</v>
      </c>
      <c r="B43" s="3">
        <v>2463</v>
      </c>
      <c r="C43" s="3">
        <v>617</v>
      </c>
      <c r="D43" s="3">
        <v>1508</v>
      </c>
      <c r="E43" s="3">
        <v>338</v>
      </c>
      <c r="F43" s="12">
        <f t="shared" si="6"/>
        <v>0.25050751116524561</v>
      </c>
      <c r="G43" s="12">
        <f t="shared" si="7"/>
        <v>0.61226146975233453</v>
      </c>
      <c r="H43" s="12">
        <f t="shared" si="8"/>
        <v>0.1372310190824198</v>
      </c>
      <c r="I43" s="2" t="s">
        <v>9</v>
      </c>
    </row>
    <row r="44" spans="1:9" ht="15">
      <c r="A44" s="2" t="s">
        <v>10</v>
      </c>
      <c r="B44" s="3">
        <v>2545</v>
      </c>
      <c r="C44" s="3">
        <v>598</v>
      </c>
      <c r="D44" s="3">
        <v>1278</v>
      </c>
      <c r="E44" s="3">
        <v>569</v>
      </c>
      <c r="F44" s="12">
        <f t="shared" si="6"/>
        <v>0.23497053045186642</v>
      </c>
      <c r="G44" s="12">
        <f t="shared" si="7"/>
        <v>0.50216110019646365</v>
      </c>
      <c r="H44" s="12">
        <f t="shared" si="8"/>
        <v>0.22357563850687623</v>
      </c>
      <c r="I44" s="2" t="s">
        <v>10</v>
      </c>
    </row>
    <row r="45" spans="1:9" ht="15">
      <c r="A45" s="2" t="s">
        <v>11</v>
      </c>
      <c r="B45" s="3">
        <v>2428</v>
      </c>
      <c r="C45" s="3">
        <v>831</v>
      </c>
      <c r="D45" s="3">
        <v>1318</v>
      </c>
      <c r="E45" s="3">
        <v>279</v>
      </c>
      <c r="F45" s="12">
        <f t="shared" si="6"/>
        <v>0.34225700164744643</v>
      </c>
      <c r="G45" s="12">
        <f t="shared" si="7"/>
        <v>0.54283360790774304</v>
      </c>
      <c r="H45" s="12">
        <f t="shared" si="8"/>
        <v>0.11490939044481055</v>
      </c>
      <c r="I45" s="2" t="s">
        <v>11</v>
      </c>
    </row>
    <row r="46" spans="1:9" ht="15">
      <c r="A46" s="2" t="s">
        <v>12</v>
      </c>
      <c r="B46" s="3">
        <v>2506</v>
      </c>
      <c r="C46" s="3">
        <v>728</v>
      </c>
      <c r="D46" s="3">
        <v>1313</v>
      </c>
      <c r="E46" s="3">
        <v>465</v>
      </c>
      <c r="F46" s="12">
        <f t="shared" si="6"/>
        <v>0.29050279329608941</v>
      </c>
      <c r="G46" s="12">
        <f t="shared" si="7"/>
        <v>0.52394253790901835</v>
      </c>
      <c r="H46" s="12">
        <f t="shared" si="8"/>
        <v>0.18555466879489227</v>
      </c>
      <c r="I46" s="2" t="s">
        <v>12</v>
      </c>
    </row>
    <row r="47" spans="1:9" ht="15">
      <c r="A47" s="2" t="s">
        <v>13</v>
      </c>
      <c r="B47" s="3">
        <v>2385</v>
      </c>
      <c r="C47" s="3">
        <v>816</v>
      </c>
      <c r="D47" s="3">
        <v>841</v>
      </c>
      <c r="E47" s="3">
        <v>728</v>
      </c>
      <c r="F47" s="12">
        <f t="shared" si="6"/>
        <v>0.34213836477987419</v>
      </c>
      <c r="G47" s="12">
        <f t="shared" si="7"/>
        <v>0.35262054507337526</v>
      </c>
      <c r="H47" s="12">
        <f t="shared" si="8"/>
        <v>0.30524109014675055</v>
      </c>
      <c r="I47" s="2" t="s">
        <v>13</v>
      </c>
    </row>
    <row r="48" spans="1:9" ht="15">
      <c r="A48" s="2" t="s">
        <v>14</v>
      </c>
      <c r="B48" s="3">
        <v>2486</v>
      </c>
      <c r="C48" s="3">
        <v>1024</v>
      </c>
      <c r="D48" s="3">
        <v>966</v>
      </c>
      <c r="E48" s="3">
        <v>496</v>
      </c>
      <c r="F48" s="12">
        <f t="shared" si="6"/>
        <v>0.41190667739340303</v>
      </c>
      <c r="G48" s="12">
        <f t="shared" si="7"/>
        <v>0.38857602574416733</v>
      </c>
      <c r="H48" s="12">
        <f t="shared" si="8"/>
        <v>0.19951729686242961</v>
      </c>
      <c r="I48" s="2" t="s">
        <v>14</v>
      </c>
    </row>
    <row r="49" spans="1:9" ht="15">
      <c r="A49" s="2" t="s">
        <v>15</v>
      </c>
      <c r="B49" s="3">
        <v>2544</v>
      </c>
      <c r="C49" s="3">
        <v>515</v>
      </c>
      <c r="D49" s="3">
        <v>1297</v>
      </c>
      <c r="E49" s="3">
        <v>732</v>
      </c>
      <c r="F49" s="12">
        <f t="shared" si="6"/>
        <v>0.20243710691823899</v>
      </c>
      <c r="G49" s="12">
        <f t="shared" si="7"/>
        <v>0.50982704402515722</v>
      </c>
      <c r="H49" s="12">
        <f t="shared" si="8"/>
        <v>0.28773584905660377</v>
      </c>
      <c r="I49" s="2" t="s">
        <v>21</v>
      </c>
    </row>
    <row r="50" spans="1:9" ht="15">
      <c r="A50" s="2" t="s">
        <v>16</v>
      </c>
      <c r="B50" s="3">
        <v>2358</v>
      </c>
      <c r="C50" s="3">
        <v>959</v>
      </c>
      <c r="D50" s="3">
        <v>1137</v>
      </c>
      <c r="E50" s="3">
        <v>362</v>
      </c>
      <c r="F50" s="12">
        <f t="shared" si="6"/>
        <v>0.40670059372349449</v>
      </c>
      <c r="G50" s="12">
        <f t="shared" si="7"/>
        <v>0.48218829516539441</v>
      </c>
      <c r="H50" s="12">
        <f t="shared" si="8"/>
        <v>0.15351993214588636</v>
      </c>
      <c r="I50" s="2" t="s">
        <v>22</v>
      </c>
    </row>
    <row r="51" spans="1:9" ht="15">
      <c r="A51" s="2" t="s">
        <v>17</v>
      </c>
      <c r="B51" s="3">
        <v>2448</v>
      </c>
      <c r="C51" s="3">
        <v>956</v>
      </c>
      <c r="D51" s="3">
        <v>1333</v>
      </c>
      <c r="E51" s="3">
        <v>159</v>
      </c>
      <c r="F51" s="12">
        <f t="shared" si="6"/>
        <v>0.39052287581699346</v>
      </c>
      <c r="G51" s="12">
        <f t="shared" si="7"/>
        <v>0.54452614379084963</v>
      </c>
      <c r="H51" s="12">
        <f t="shared" si="8"/>
        <v>6.4950980392156868E-2</v>
      </c>
      <c r="I51" s="2" t="s">
        <v>23</v>
      </c>
    </row>
    <row r="52" spans="1:9" ht="15">
      <c r="A52" s="2" t="s">
        <v>18</v>
      </c>
      <c r="B52" s="3">
        <v>2481</v>
      </c>
      <c r="C52" s="3">
        <v>1252</v>
      </c>
      <c r="D52" s="3">
        <v>961</v>
      </c>
      <c r="E52" s="17">
        <v>268</v>
      </c>
      <c r="F52" s="12">
        <f t="shared" si="6"/>
        <v>0.50463522773075375</v>
      </c>
      <c r="G52" s="12">
        <f t="shared" si="7"/>
        <v>0.38734381297863762</v>
      </c>
      <c r="H52" s="12">
        <f t="shared" si="8"/>
        <v>0.10802095929060862</v>
      </c>
      <c r="I52" s="2" t="s">
        <v>18</v>
      </c>
    </row>
    <row r="53" spans="1:9" ht="15">
      <c r="A53" s="2" t="s">
        <v>19</v>
      </c>
      <c r="B53" s="3">
        <f>SUM(B39:B52)</f>
        <v>34328</v>
      </c>
      <c r="C53" s="3">
        <f>SUM(C39:C52)</f>
        <v>11614</v>
      </c>
      <c r="D53" s="3">
        <f>SUM(D39:D52)</f>
        <v>16367</v>
      </c>
      <c r="E53" s="3">
        <f>SUM(E39:E52)</f>
        <v>6347</v>
      </c>
      <c r="F53" s="12">
        <f t="shared" si="6"/>
        <v>0.33832439990678165</v>
      </c>
      <c r="G53" s="12">
        <f t="shared" si="7"/>
        <v>0.47678280121183875</v>
      </c>
      <c r="H53" s="12">
        <f t="shared" si="8"/>
        <v>0.18489279888137963</v>
      </c>
      <c r="I53" s="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4:N55"/>
  <sheetViews>
    <sheetView zoomScale="70" zoomScaleNormal="70" workbookViewId="0">
      <selection activeCell="M37" sqref="M37"/>
    </sheetView>
  </sheetViews>
  <sheetFormatPr defaultColWidth="9.140625" defaultRowHeight="12.75"/>
  <cols>
    <col min="1" max="1" width="19.28515625" bestFit="1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7.7109375" bestFit="1" customWidth="1"/>
    <col min="7" max="7" width="10.5703125" bestFit="1" customWidth="1"/>
    <col min="8" max="8" width="8.28515625" bestFit="1" customWidth="1"/>
    <col min="10" max="10" width="17.42578125" customWidth="1"/>
    <col min="15" max="15" width="12" bestFit="1" customWidth="1"/>
    <col min="16" max="16" width="10" bestFit="1" customWidth="1"/>
  </cols>
  <sheetData>
    <row r="4" spans="1:14" ht="15">
      <c r="A4" s="2" t="s">
        <v>90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4" ht="15">
      <c r="A5" s="2" t="s">
        <v>5</v>
      </c>
      <c r="B5" s="3">
        <v>3288</v>
      </c>
      <c r="C5" s="3">
        <v>288</v>
      </c>
      <c r="D5" s="3">
        <v>3000</v>
      </c>
      <c r="E5" s="3">
        <v>0</v>
      </c>
      <c r="F5" s="12">
        <f t="shared" ref="F5:F19" si="0">C5/B5</f>
        <v>8.7591240875912413E-2</v>
      </c>
      <c r="G5" s="12">
        <f t="shared" ref="G5:G19" si="1">D5/B5</f>
        <v>0.91240875912408759</v>
      </c>
      <c r="H5" s="12">
        <f t="shared" ref="H5:H19" si="2">E5/B5</f>
        <v>0</v>
      </c>
      <c r="I5" s="2" t="s">
        <v>5</v>
      </c>
    </row>
    <row r="6" spans="1:14" ht="15">
      <c r="A6" s="2" t="s">
        <v>6</v>
      </c>
      <c r="B6" s="3">
        <v>3408</v>
      </c>
      <c r="C6" s="3">
        <v>343</v>
      </c>
      <c r="D6" s="3">
        <v>2952</v>
      </c>
      <c r="E6" s="3">
        <v>113</v>
      </c>
      <c r="F6" s="12">
        <f t="shared" si="0"/>
        <v>0.10064553990610328</v>
      </c>
      <c r="G6" s="12">
        <f t="shared" si="1"/>
        <v>0.86619718309859151</v>
      </c>
      <c r="H6" s="12">
        <f t="shared" si="2"/>
        <v>3.3157276995305164E-2</v>
      </c>
      <c r="I6" s="2" t="s">
        <v>6</v>
      </c>
    </row>
    <row r="7" spans="1:14" ht="15">
      <c r="A7" s="2" t="s">
        <v>7</v>
      </c>
      <c r="B7" s="3">
        <v>2857</v>
      </c>
      <c r="C7" s="3">
        <v>702</v>
      </c>
      <c r="D7" s="3">
        <v>2072</v>
      </c>
      <c r="E7" s="3">
        <v>83</v>
      </c>
      <c r="F7" s="12">
        <f t="shared" si="0"/>
        <v>0.24571228561428071</v>
      </c>
      <c r="G7" s="12">
        <f t="shared" si="1"/>
        <v>0.72523626181309064</v>
      </c>
      <c r="H7" s="12">
        <f t="shared" si="2"/>
        <v>2.905145257262863E-2</v>
      </c>
      <c r="I7" s="2" t="s">
        <v>7</v>
      </c>
    </row>
    <row r="8" spans="1:14" ht="15">
      <c r="A8" s="2" t="s">
        <v>8</v>
      </c>
      <c r="B8" s="3">
        <v>3337</v>
      </c>
      <c r="C8" s="3">
        <v>430</v>
      </c>
      <c r="D8" s="3">
        <v>2810</v>
      </c>
      <c r="E8" s="3">
        <v>97</v>
      </c>
      <c r="F8" s="12">
        <f t="shared" si="0"/>
        <v>0.12885825591848965</v>
      </c>
      <c r="G8" s="12">
        <f t="shared" si="1"/>
        <v>0.84207371890919991</v>
      </c>
      <c r="H8" s="12">
        <f t="shared" si="2"/>
        <v>2.9068025172310458E-2</v>
      </c>
      <c r="I8" s="2" t="s">
        <v>8</v>
      </c>
    </row>
    <row r="9" spans="1:14" ht="15">
      <c r="A9" s="2" t="s">
        <v>9</v>
      </c>
      <c r="B9" s="3">
        <v>2865</v>
      </c>
      <c r="C9" s="3">
        <v>0</v>
      </c>
      <c r="D9" s="3">
        <v>2865</v>
      </c>
      <c r="E9" s="3">
        <v>0</v>
      </c>
      <c r="F9" s="12">
        <f>C9/B9</f>
        <v>0</v>
      </c>
      <c r="G9" s="12">
        <f>D9/B9</f>
        <v>1</v>
      </c>
      <c r="H9" s="12">
        <f t="shared" si="2"/>
        <v>0</v>
      </c>
      <c r="I9" s="2" t="s">
        <v>9</v>
      </c>
      <c r="L9" s="43" t="s">
        <v>86</v>
      </c>
      <c r="M9" s="38" t="s">
        <v>31</v>
      </c>
      <c r="N9" s="15" t="s">
        <v>74</v>
      </c>
    </row>
    <row r="10" spans="1:14" ht="15">
      <c r="A10" s="2" t="s">
        <v>10</v>
      </c>
      <c r="B10" s="3">
        <v>2155</v>
      </c>
      <c r="C10" s="3">
        <v>0</v>
      </c>
      <c r="D10" s="3">
        <v>2155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10</v>
      </c>
      <c r="L10" s="11" t="s">
        <v>32</v>
      </c>
      <c r="M10" s="39">
        <v>1131645</v>
      </c>
      <c r="N10" s="44">
        <f>3398.33*0.000001</f>
        <v>3.3983299999999998E-3</v>
      </c>
    </row>
    <row r="11" spans="1:14" ht="15">
      <c r="A11" s="2" t="s">
        <v>11</v>
      </c>
      <c r="B11" s="3">
        <v>2876</v>
      </c>
      <c r="C11" s="3">
        <v>0</v>
      </c>
      <c r="D11" s="3">
        <v>2876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11</v>
      </c>
      <c r="L11" s="11"/>
      <c r="N11" s="45"/>
    </row>
    <row r="12" spans="1:14" ht="15">
      <c r="A12" s="2" t="s">
        <v>12</v>
      </c>
      <c r="B12" s="3">
        <v>2229</v>
      </c>
      <c r="C12" s="3">
        <v>0</v>
      </c>
      <c r="D12" s="3">
        <v>2229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12</v>
      </c>
      <c r="L12" s="11" t="s">
        <v>33</v>
      </c>
      <c r="M12">
        <v>705765</v>
      </c>
      <c r="N12" s="44">
        <f>2119.41*0.000001</f>
        <v>2.11941E-3</v>
      </c>
    </row>
    <row r="13" spans="1:14" ht="15">
      <c r="A13" s="2" t="s">
        <v>13</v>
      </c>
      <c r="B13" s="3">
        <v>2933</v>
      </c>
      <c r="C13" s="3">
        <v>0</v>
      </c>
      <c r="D13" s="3">
        <v>2933</v>
      </c>
      <c r="E13" s="3">
        <v>0</v>
      </c>
      <c r="F13" s="12">
        <f t="shared" si="0"/>
        <v>0</v>
      </c>
      <c r="G13" s="12">
        <f t="shared" si="1"/>
        <v>1</v>
      </c>
      <c r="H13" s="12">
        <f t="shared" si="2"/>
        <v>0</v>
      </c>
      <c r="I13" s="2" t="s">
        <v>13</v>
      </c>
      <c r="L13" s="11" t="s">
        <v>34</v>
      </c>
      <c r="M13" s="39">
        <v>433657</v>
      </c>
      <c r="N13" s="44">
        <f>1302.27*0.000001</f>
        <v>1.3022699999999999E-3</v>
      </c>
    </row>
    <row r="14" spans="1:14" ht="15">
      <c r="A14" s="2" t="s">
        <v>14</v>
      </c>
      <c r="B14" s="3">
        <v>2241</v>
      </c>
      <c r="C14" s="3">
        <v>0</v>
      </c>
      <c r="D14" s="3">
        <v>2241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14</v>
      </c>
    </row>
    <row r="15" spans="1:14" ht="15">
      <c r="A15" s="2" t="s">
        <v>15</v>
      </c>
      <c r="B15" s="3">
        <v>2387</v>
      </c>
      <c r="C15" s="3">
        <v>0</v>
      </c>
      <c r="D15" s="3">
        <v>2387</v>
      </c>
      <c r="E15" s="3">
        <v>0</v>
      </c>
      <c r="F15" s="12">
        <f t="shared" si="0"/>
        <v>0</v>
      </c>
      <c r="G15" s="12">
        <f t="shared" si="1"/>
        <v>1</v>
      </c>
      <c r="H15" s="12">
        <f t="shared" si="2"/>
        <v>0</v>
      </c>
      <c r="I15" s="2" t="s">
        <v>21</v>
      </c>
    </row>
    <row r="16" spans="1:14" ht="15">
      <c r="A16" s="2" t="s">
        <v>16</v>
      </c>
      <c r="B16" s="3">
        <v>2302</v>
      </c>
      <c r="C16" s="3">
        <v>0</v>
      </c>
      <c r="D16" s="3">
        <v>2302</v>
      </c>
      <c r="E16" s="3">
        <v>0</v>
      </c>
      <c r="F16" s="12">
        <f t="shared" si="0"/>
        <v>0</v>
      </c>
      <c r="G16" s="12">
        <f t="shared" si="1"/>
        <v>1</v>
      </c>
      <c r="H16" s="12">
        <f t="shared" si="2"/>
        <v>0</v>
      </c>
      <c r="I16" s="2" t="s">
        <v>22</v>
      </c>
    </row>
    <row r="17" spans="1:9" ht="15">
      <c r="A17" s="2" t="s">
        <v>17</v>
      </c>
      <c r="B17" s="3">
        <v>2524</v>
      </c>
      <c r="C17" s="3">
        <v>0</v>
      </c>
      <c r="D17" s="3">
        <v>2524</v>
      </c>
      <c r="E17" s="3">
        <v>0</v>
      </c>
      <c r="F17" s="12">
        <f t="shared" si="0"/>
        <v>0</v>
      </c>
      <c r="G17" s="12">
        <f t="shared" si="1"/>
        <v>1</v>
      </c>
      <c r="H17" s="12">
        <f t="shared" si="2"/>
        <v>0</v>
      </c>
      <c r="I17" s="2" t="s">
        <v>23</v>
      </c>
    </row>
    <row r="18" spans="1:9" ht="15">
      <c r="A18" s="2" t="s">
        <v>18</v>
      </c>
      <c r="B18" s="3">
        <v>2005</v>
      </c>
      <c r="C18" s="3">
        <v>1200</v>
      </c>
      <c r="D18" s="3">
        <v>401</v>
      </c>
      <c r="E18" s="3">
        <v>404</v>
      </c>
      <c r="F18" s="12">
        <f t="shared" si="0"/>
        <v>0.59850374064837908</v>
      </c>
      <c r="G18" s="12">
        <f t="shared" si="1"/>
        <v>0.2</v>
      </c>
      <c r="H18" s="12">
        <f t="shared" si="2"/>
        <v>0.20149625935162094</v>
      </c>
      <c r="I18" s="2" t="s">
        <v>18</v>
      </c>
    </row>
    <row r="19" spans="1:9" ht="15">
      <c r="A19" s="2" t="s">
        <v>19</v>
      </c>
      <c r="B19" s="3">
        <f>SUM(B5:B18)</f>
        <v>37407</v>
      </c>
      <c r="C19" s="3">
        <f>SUM(C5:C18)</f>
        <v>2963</v>
      </c>
      <c r="D19" s="3">
        <f>SUM(D5:D18)</f>
        <v>33747</v>
      </c>
      <c r="E19" s="3">
        <f>SUM(E5:E18)</f>
        <v>697</v>
      </c>
      <c r="F19" s="12">
        <f t="shared" si="0"/>
        <v>7.9209773571791375E-2</v>
      </c>
      <c r="G19" s="12">
        <f t="shared" si="1"/>
        <v>0.9021573502285668</v>
      </c>
      <c r="H19" s="12">
        <f t="shared" si="2"/>
        <v>1.8632876199641778E-2</v>
      </c>
      <c r="I19" s="2"/>
    </row>
    <row r="22" spans="1:9" ht="15">
      <c r="A22" s="2" t="s">
        <v>112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</row>
    <row r="23" spans="1:9" ht="15">
      <c r="A23" s="2" t="s">
        <v>5</v>
      </c>
      <c r="B23" s="3">
        <v>1135</v>
      </c>
      <c r="C23" s="3">
        <v>625</v>
      </c>
      <c r="D23" s="3">
        <v>510</v>
      </c>
      <c r="E23" s="3">
        <v>0</v>
      </c>
      <c r="F23" s="12">
        <f t="shared" ref="F23:F26" si="3">C23/B23</f>
        <v>0.5506607929515418</v>
      </c>
      <c r="G23" s="12">
        <f t="shared" ref="G23:G26" si="4">D23/B23</f>
        <v>0.44933920704845814</v>
      </c>
      <c r="H23" s="12">
        <f t="shared" ref="H23:H37" si="5">E23/B23</f>
        <v>0</v>
      </c>
      <c r="I23" s="2" t="s">
        <v>5</v>
      </c>
    </row>
    <row r="24" spans="1:9" ht="15">
      <c r="A24" s="2" t="s">
        <v>6</v>
      </c>
      <c r="B24" s="3">
        <v>1448</v>
      </c>
      <c r="C24" s="3">
        <v>103</v>
      </c>
      <c r="D24" s="3">
        <v>1241</v>
      </c>
      <c r="E24" s="3">
        <v>104</v>
      </c>
      <c r="F24" s="12">
        <f t="shared" si="3"/>
        <v>7.1132596685082872E-2</v>
      </c>
      <c r="G24" s="12">
        <f t="shared" si="4"/>
        <v>0.85704419889502759</v>
      </c>
      <c r="H24" s="12">
        <f t="shared" si="5"/>
        <v>7.18232044198895E-2</v>
      </c>
      <c r="I24" s="2" t="s">
        <v>6</v>
      </c>
    </row>
    <row r="25" spans="1:9" ht="15">
      <c r="A25" s="2" t="s">
        <v>7</v>
      </c>
      <c r="B25" s="3">
        <v>905</v>
      </c>
      <c r="C25" s="3">
        <v>98</v>
      </c>
      <c r="D25" s="3">
        <v>766</v>
      </c>
      <c r="E25" s="3">
        <v>41</v>
      </c>
      <c r="F25" s="12">
        <f t="shared" si="3"/>
        <v>0.10828729281767956</v>
      </c>
      <c r="G25" s="12">
        <f t="shared" si="4"/>
        <v>0.8464088397790055</v>
      </c>
      <c r="H25" s="12">
        <f t="shared" si="5"/>
        <v>4.5303867403314914E-2</v>
      </c>
      <c r="I25" s="2" t="s">
        <v>7</v>
      </c>
    </row>
    <row r="26" spans="1:9" ht="15">
      <c r="A26" s="2" t="s">
        <v>8</v>
      </c>
      <c r="B26" s="3">
        <v>918</v>
      </c>
      <c r="C26" s="3">
        <v>123</v>
      </c>
      <c r="D26" s="3">
        <v>795</v>
      </c>
      <c r="E26" s="3">
        <v>0</v>
      </c>
      <c r="F26" s="12">
        <f t="shared" si="3"/>
        <v>0.13398692810457516</v>
      </c>
      <c r="G26" s="12">
        <f t="shared" si="4"/>
        <v>0.86601307189542487</v>
      </c>
      <c r="H26" s="12">
        <f t="shared" si="5"/>
        <v>0</v>
      </c>
      <c r="I26" s="2" t="s">
        <v>8</v>
      </c>
    </row>
    <row r="27" spans="1:9" ht="15">
      <c r="A27" s="2" t="s">
        <v>9</v>
      </c>
      <c r="B27" s="3">
        <v>1111</v>
      </c>
      <c r="C27" s="3">
        <v>822</v>
      </c>
      <c r="D27" s="3">
        <v>210</v>
      </c>
      <c r="E27" s="3">
        <v>79</v>
      </c>
      <c r="F27" s="12">
        <f>C27/B27</f>
        <v>0.73987398739873989</v>
      </c>
      <c r="G27" s="12">
        <f>D27/B27</f>
        <v>0.18901890189018902</v>
      </c>
      <c r="H27" s="12">
        <f t="shared" si="5"/>
        <v>7.1107110711071106E-2</v>
      </c>
      <c r="I27" s="2" t="s">
        <v>9</v>
      </c>
    </row>
    <row r="28" spans="1:9" ht="15">
      <c r="A28" s="2" t="s">
        <v>10</v>
      </c>
      <c r="B28" s="3">
        <v>908</v>
      </c>
      <c r="C28" s="3">
        <v>661</v>
      </c>
      <c r="D28" s="3">
        <v>230</v>
      </c>
      <c r="E28" s="3">
        <v>17</v>
      </c>
      <c r="F28" s="12">
        <f t="shared" ref="F28:F37" si="6">C28/B28</f>
        <v>0.72797356828193838</v>
      </c>
      <c r="G28" s="12">
        <f t="shared" ref="G28:G37" si="7">D28/B28</f>
        <v>0.25330396475770928</v>
      </c>
      <c r="H28" s="12">
        <f t="shared" si="5"/>
        <v>1.8722466960352423E-2</v>
      </c>
      <c r="I28" s="2" t="s">
        <v>10</v>
      </c>
    </row>
    <row r="29" spans="1:9" ht="15">
      <c r="A29" s="2" t="s">
        <v>11</v>
      </c>
      <c r="B29" s="3">
        <v>854</v>
      </c>
      <c r="C29" s="3">
        <v>811</v>
      </c>
      <c r="D29" s="3">
        <v>42</v>
      </c>
      <c r="E29" s="3">
        <v>1</v>
      </c>
      <c r="F29" s="12">
        <f t="shared" si="6"/>
        <v>0.94964871194379397</v>
      </c>
      <c r="G29" s="12">
        <f t="shared" si="7"/>
        <v>4.9180327868852458E-2</v>
      </c>
      <c r="H29" s="12">
        <f t="shared" si="5"/>
        <v>1.17096018735363E-3</v>
      </c>
      <c r="I29" s="2" t="s">
        <v>11</v>
      </c>
    </row>
    <row r="30" spans="1:9" ht="15">
      <c r="A30" s="2" t="s">
        <v>12</v>
      </c>
      <c r="B30" s="3">
        <v>1289</v>
      </c>
      <c r="C30" s="3">
        <v>0</v>
      </c>
      <c r="D30" s="3">
        <v>1289</v>
      </c>
      <c r="E30" s="3">
        <v>0</v>
      </c>
      <c r="F30" s="12">
        <f t="shared" si="6"/>
        <v>0</v>
      </c>
      <c r="G30" s="12">
        <f t="shared" si="7"/>
        <v>1</v>
      </c>
      <c r="H30" s="12">
        <f t="shared" si="5"/>
        <v>0</v>
      </c>
      <c r="I30" s="2" t="s">
        <v>12</v>
      </c>
    </row>
    <row r="31" spans="1:9" ht="15">
      <c r="A31" s="2" t="s">
        <v>13</v>
      </c>
      <c r="B31" s="3">
        <v>1468</v>
      </c>
      <c r="C31" s="3">
        <v>0</v>
      </c>
      <c r="D31" s="3">
        <v>1128</v>
      </c>
      <c r="E31" s="3">
        <v>340</v>
      </c>
      <c r="F31" s="12">
        <f t="shared" si="6"/>
        <v>0</v>
      </c>
      <c r="G31" s="12">
        <f t="shared" si="7"/>
        <v>0.76839237057220711</v>
      </c>
      <c r="H31" s="12">
        <f t="shared" si="5"/>
        <v>0.23160762942779292</v>
      </c>
      <c r="I31" s="2" t="s">
        <v>13</v>
      </c>
    </row>
    <row r="32" spans="1:9" ht="15">
      <c r="A32" s="2" t="s">
        <v>14</v>
      </c>
      <c r="B32" s="3">
        <v>1563</v>
      </c>
      <c r="C32" s="3">
        <v>0</v>
      </c>
      <c r="D32" s="3">
        <v>1096</v>
      </c>
      <c r="E32" s="3">
        <v>467</v>
      </c>
      <c r="F32" s="12">
        <f t="shared" si="6"/>
        <v>0</v>
      </c>
      <c r="G32" s="12">
        <f t="shared" si="7"/>
        <v>0.7012156110044786</v>
      </c>
      <c r="H32" s="12">
        <f t="shared" si="5"/>
        <v>0.29878438899552145</v>
      </c>
      <c r="I32" s="2" t="s">
        <v>14</v>
      </c>
    </row>
    <row r="33" spans="1:9" ht="15">
      <c r="A33" s="2" t="s">
        <v>15</v>
      </c>
      <c r="B33" s="3">
        <v>1203</v>
      </c>
      <c r="C33" s="3">
        <v>0</v>
      </c>
      <c r="D33" s="3">
        <v>1203</v>
      </c>
      <c r="E33" s="3">
        <v>0</v>
      </c>
      <c r="F33" s="12">
        <f t="shared" si="6"/>
        <v>0</v>
      </c>
      <c r="G33" s="12">
        <f t="shared" si="7"/>
        <v>1</v>
      </c>
      <c r="H33" s="12">
        <f t="shared" si="5"/>
        <v>0</v>
      </c>
      <c r="I33" s="2" t="s">
        <v>21</v>
      </c>
    </row>
    <row r="34" spans="1:9" ht="15">
      <c r="A34" s="2" t="s">
        <v>16</v>
      </c>
      <c r="B34" s="3">
        <v>1161</v>
      </c>
      <c r="C34" s="3">
        <v>0</v>
      </c>
      <c r="D34" s="3">
        <v>1161</v>
      </c>
      <c r="E34" s="3">
        <v>0</v>
      </c>
      <c r="F34" s="12">
        <f t="shared" si="6"/>
        <v>0</v>
      </c>
      <c r="G34" s="12">
        <f t="shared" si="7"/>
        <v>1</v>
      </c>
      <c r="H34" s="12">
        <f t="shared" si="5"/>
        <v>0</v>
      </c>
      <c r="I34" s="2" t="s">
        <v>22</v>
      </c>
    </row>
    <row r="35" spans="1:9" ht="15">
      <c r="A35" s="2" t="s">
        <v>17</v>
      </c>
      <c r="B35" s="3">
        <v>1191</v>
      </c>
      <c r="C35" s="3">
        <v>0</v>
      </c>
      <c r="D35" s="3">
        <v>1191</v>
      </c>
      <c r="E35" s="3">
        <v>0</v>
      </c>
      <c r="F35" s="12">
        <f t="shared" si="6"/>
        <v>0</v>
      </c>
      <c r="G35" s="12">
        <f t="shared" si="7"/>
        <v>1</v>
      </c>
      <c r="H35" s="12">
        <f t="shared" si="5"/>
        <v>0</v>
      </c>
      <c r="I35" s="2" t="s">
        <v>23</v>
      </c>
    </row>
    <row r="36" spans="1:9" ht="15">
      <c r="A36" s="2" t="s">
        <v>18</v>
      </c>
      <c r="B36" s="3">
        <v>697</v>
      </c>
      <c r="C36" s="3">
        <v>372</v>
      </c>
      <c r="D36" s="3">
        <v>297</v>
      </c>
      <c r="E36" s="17">
        <v>28</v>
      </c>
      <c r="F36" s="12">
        <f t="shared" si="6"/>
        <v>0.53371592539454804</v>
      </c>
      <c r="G36" s="12">
        <f t="shared" si="7"/>
        <v>0.42611190817790529</v>
      </c>
      <c r="H36" s="12">
        <f t="shared" si="5"/>
        <v>4.0172166427546625E-2</v>
      </c>
      <c r="I36" s="2" t="s">
        <v>18</v>
      </c>
    </row>
    <row r="37" spans="1:9" ht="15">
      <c r="A37" s="2" t="s">
        <v>19</v>
      </c>
      <c r="B37" s="3">
        <f>SUM(B23:B36)</f>
        <v>15851</v>
      </c>
      <c r="C37" s="3">
        <f>SUM(C23:C36)</f>
        <v>3615</v>
      </c>
      <c r="D37" s="3">
        <f>SUM(D23:D36)</f>
        <v>11159</v>
      </c>
      <c r="E37" s="3">
        <f>SUM(E23:E36)</f>
        <v>1077</v>
      </c>
      <c r="F37" s="12">
        <f t="shared" si="6"/>
        <v>0.22806132105229954</v>
      </c>
      <c r="G37" s="12">
        <f t="shared" si="7"/>
        <v>0.70399343889975396</v>
      </c>
      <c r="H37" s="12">
        <f t="shared" si="5"/>
        <v>6.7945240047946498E-2</v>
      </c>
      <c r="I37" s="2"/>
    </row>
    <row r="40" spans="1:9" ht="15">
      <c r="A40" s="2" t="s">
        <v>111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26</v>
      </c>
      <c r="G40" s="2" t="s">
        <v>27</v>
      </c>
      <c r="H40" s="2" t="s">
        <v>28</v>
      </c>
      <c r="I40" s="2"/>
    </row>
    <row r="41" spans="1:9" ht="15">
      <c r="A41" s="2" t="s">
        <v>5</v>
      </c>
      <c r="B41" s="3">
        <v>972</v>
      </c>
      <c r="C41" s="3">
        <v>130</v>
      </c>
      <c r="D41" s="3">
        <v>833</v>
      </c>
      <c r="E41" s="3">
        <v>9</v>
      </c>
      <c r="F41" s="12">
        <f t="shared" ref="F41:F44" si="8">C41/B41</f>
        <v>0.13374485596707819</v>
      </c>
      <c r="G41" s="12">
        <f t="shared" ref="G41:G44" si="9">D41/B41</f>
        <v>0.85699588477366251</v>
      </c>
      <c r="H41" s="12">
        <f t="shared" ref="H41:H55" si="10">E41/B41</f>
        <v>9.2592592592592587E-3</v>
      </c>
      <c r="I41" s="2" t="s">
        <v>5</v>
      </c>
    </row>
    <row r="42" spans="1:9" ht="15">
      <c r="A42" s="2" t="s">
        <v>6</v>
      </c>
      <c r="B42" s="3">
        <v>940</v>
      </c>
      <c r="C42" s="3">
        <v>139</v>
      </c>
      <c r="D42" s="3">
        <v>742</v>
      </c>
      <c r="E42" s="3">
        <v>59</v>
      </c>
      <c r="F42" s="12">
        <f t="shared" si="8"/>
        <v>0.14787234042553191</v>
      </c>
      <c r="G42" s="12">
        <f t="shared" si="9"/>
        <v>0.78936170212765955</v>
      </c>
      <c r="H42" s="12">
        <f t="shared" si="10"/>
        <v>6.2765957446808504E-2</v>
      </c>
      <c r="I42" s="2" t="s">
        <v>6</v>
      </c>
    </row>
    <row r="43" spans="1:9" ht="15">
      <c r="A43" s="2" t="s">
        <v>7</v>
      </c>
      <c r="B43" s="3">
        <v>823</v>
      </c>
      <c r="C43" s="3">
        <v>99</v>
      </c>
      <c r="D43" s="3">
        <v>716</v>
      </c>
      <c r="E43" s="3">
        <v>8</v>
      </c>
      <c r="F43" s="12">
        <f t="shared" si="8"/>
        <v>0.12029161603888214</v>
      </c>
      <c r="G43" s="12">
        <f t="shared" si="9"/>
        <v>0.86998784933171325</v>
      </c>
      <c r="H43" s="12">
        <f t="shared" si="10"/>
        <v>9.7205346294046164E-3</v>
      </c>
      <c r="I43" s="2" t="s">
        <v>7</v>
      </c>
    </row>
    <row r="44" spans="1:9" ht="15">
      <c r="A44" s="2" t="s">
        <v>8</v>
      </c>
      <c r="B44" s="3">
        <v>686</v>
      </c>
      <c r="C44" s="3">
        <v>41</v>
      </c>
      <c r="D44" s="3">
        <v>632</v>
      </c>
      <c r="E44" s="3">
        <v>13</v>
      </c>
      <c r="F44" s="12">
        <f t="shared" si="8"/>
        <v>5.9766763848396499E-2</v>
      </c>
      <c r="G44" s="12">
        <f t="shared" si="9"/>
        <v>0.92128279883381925</v>
      </c>
      <c r="H44" s="12">
        <f t="shared" si="10"/>
        <v>1.8950437317784258E-2</v>
      </c>
      <c r="I44" s="2" t="s">
        <v>8</v>
      </c>
    </row>
    <row r="45" spans="1:9" ht="15">
      <c r="A45" s="2" t="s">
        <v>9</v>
      </c>
      <c r="B45" s="3">
        <v>955</v>
      </c>
      <c r="C45" s="3">
        <v>72</v>
      </c>
      <c r="D45" s="3">
        <v>863</v>
      </c>
      <c r="E45" s="3">
        <v>20</v>
      </c>
      <c r="F45" s="12">
        <f>C45/B45</f>
        <v>7.5392670157068062E-2</v>
      </c>
      <c r="G45" s="12">
        <f>D45/B45</f>
        <v>0.90366492146596855</v>
      </c>
      <c r="H45" s="12">
        <f t="shared" si="10"/>
        <v>2.0942408376963352E-2</v>
      </c>
      <c r="I45" s="2" t="s">
        <v>9</v>
      </c>
    </row>
    <row r="46" spans="1:9" ht="15">
      <c r="A46" s="2" t="s">
        <v>10</v>
      </c>
      <c r="B46" s="3">
        <v>994</v>
      </c>
      <c r="C46" s="3">
        <v>118</v>
      </c>
      <c r="D46" s="3">
        <v>876</v>
      </c>
      <c r="E46" s="3">
        <v>0</v>
      </c>
      <c r="F46" s="12">
        <f t="shared" ref="F46:F55" si="11">C46/B46</f>
        <v>0.11871227364185111</v>
      </c>
      <c r="G46" s="12">
        <f t="shared" ref="G46:G55" si="12">D46/B46</f>
        <v>0.88128772635814889</v>
      </c>
      <c r="H46" s="12">
        <f t="shared" si="10"/>
        <v>0</v>
      </c>
      <c r="I46" s="2" t="s">
        <v>10</v>
      </c>
    </row>
    <row r="47" spans="1:9" ht="15">
      <c r="A47" s="2" t="s">
        <v>11</v>
      </c>
      <c r="B47" s="3">
        <v>884</v>
      </c>
      <c r="C47" s="3">
        <v>103</v>
      </c>
      <c r="D47" s="3">
        <v>774</v>
      </c>
      <c r="E47" s="3">
        <v>7</v>
      </c>
      <c r="F47" s="12">
        <f t="shared" si="11"/>
        <v>0.1165158371040724</v>
      </c>
      <c r="G47" s="12">
        <f t="shared" si="12"/>
        <v>0.8755656108597285</v>
      </c>
      <c r="H47" s="12">
        <f t="shared" si="10"/>
        <v>7.9185520361990946E-3</v>
      </c>
      <c r="I47" s="2" t="s">
        <v>11</v>
      </c>
    </row>
    <row r="48" spans="1:9" ht="15">
      <c r="A48" s="2" t="s">
        <v>12</v>
      </c>
      <c r="B48" s="3">
        <v>847</v>
      </c>
      <c r="C48" s="3">
        <v>30</v>
      </c>
      <c r="D48" s="3">
        <v>817</v>
      </c>
      <c r="E48" s="3">
        <v>0</v>
      </c>
      <c r="F48" s="12">
        <f t="shared" si="11"/>
        <v>3.541912632821724E-2</v>
      </c>
      <c r="G48" s="12">
        <f t="shared" si="12"/>
        <v>0.9645808736717828</v>
      </c>
      <c r="H48" s="12">
        <f t="shared" si="10"/>
        <v>0</v>
      </c>
      <c r="I48" s="2" t="s">
        <v>12</v>
      </c>
    </row>
    <row r="49" spans="1:9" ht="15">
      <c r="A49" s="2" t="s">
        <v>13</v>
      </c>
      <c r="B49" s="3">
        <v>1035</v>
      </c>
      <c r="C49" s="3">
        <v>18</v>
      </c>
      <c r="D49" s="3">
        <v>808</v>
      </c>
      <c r="E49" s="3">
        <v>209</v>
      </c>
      <c r="F49" s="12">
        <f t="shared" si="11"/>
        <v>1.7391304347826087E-2</v>
      </c>
      <c r="G49" s="12">
        <f t="shared" si="12"/>
        <v>0.78067632850241542</v>
      </c>
      <c r="H49" s="12">
        <f t="shared" si="10"/>
        <v>0.20193236714975846</v>
      </c>
      <c r="I49" s="2" t="s">
        <v>13</v>
      </c>
    </row>
    <row r="50" spans="1:9" ht="15">
      <c r="A50" s="2" t="s">
        <v>14</v>
      </c>
      <c r="B50" s="3">
        <v>1137</v>
      </c>
      <c r="C50" s="3">
        <v>282</v>
      </c>
      <c r="D50" s="3">
        <v>736</v>
      </c>
      <c r="E50" s="3">
        <v>119</v>
      </c>
      <c r="F50" s="12">
        <f t="shared" si="11"/>
        <v>0.24802110817941952</v>
      </c>
      <c r="G50" s="12">
        <f t="shared" si="12"/>
        <v>0.64731750219876871</v>
      </c>
      <c r="H50" s="12">
        <f t="shared" si="10"/>
        <v>0.10466138962181179</v>
      </c>
      <c r="I50" s="2" t="s">
        <v>14</v>
      </c>
    </row>
    <row r="51" spans="1:9" ht="15">
      <c r="A51" s="2" t="s">
        <v>15</v>
      </c>
      <c r="B51" s="3">
        <v>1031</v>
      </c>
      <c r="C51" s="3">
        <v>184</v>
      </c>
      <c r="D51" s="3">
        <v>828</v>
      </c>
      <c r="E51" s="3">
        <v>19</v>
      </c>
      <c r="F51" s="12">
        <f t="shared" si="11"/>
        <v>0.17846750727449079</v>
      </c>
      <c r="G51" s="12">
        <f t="shared" si="12"/>
        <v>0.80310378273520855</v>
      </c>
      <c r="H51" s="12">
        <f t="shared" si="10"/>
        <v>1.842870999030068E-2</v>
      </c>
      <c r="I51" s="2" t="s">
        <v>21</v>
      </c>
    </row>
    <row r="52" spans="1:9" ht="15">
      <c r="A52" s="2" t="s">
        <v>16</v>
      </c>
      <c r="B52" s="3">
        <v>816</v>
      </c>
      <c r="C52" s="3">
        <v>16</v>
      </c>
      <c r="D52" s="3">
        <v>751</v>
      </c>
      <c r="E52" s="3">
        <v>49</v>
      </c>
      <c r="F52" s="12">
        <f t="shared" si="11"/>
        <v>1.9607843137254902E-2</v>
      </c>
      <c r="G52" s="12">
        <f t="shared" si="12"/>
        <v>0.92034313725490191</v>
      </c>
      <c r="H52" s="12">
        <f t="shared" si="10"/>
        <v>6.0049019607843139E-2</v>
      </c>
      <c r="I52" s="2" t="s">
        <v>22</v>
      </c>
    </row>
    <row r="53" spans="1:9" ht="15">
      <c r="A53" s="2" t="s">
        <v>17</v>
      </c>
      <c r="B53" s="3">
        <v>1023</v>
      </c>
      <c r="C53" s="3">
        <v>0</v>
      </c>
      <c r="D53" s="3">
        <v>1023</v>
      </c>
      <c r="E53" s="3">
        <v>0</v>
      </c>
      <c r="F53" s="12">
        <f t="shared" si="11"/>
        <v>0</v>
      </c>
      <c r="G53" s="12">
        <f t="shared" si="12"/>
        <v>1</v>
      </c>
      <c r="H53" s="12">
        <f t="shared" si="10"/>
        <v>0</v>
      </c>
      <c r="I53" s="2" t="s">
        <v>23</v>
      </c>
    </row>
    <row r="54" spans="1:9" ht="15">
      <c r="A54" s="2" t="s">
        <v>18</v>
      </c>
      <c r="B54" s="3">
        <v>1212</v>
      </c>
      <c r="C54" s="3">
        <v>370</v>
      </c>
      <c r="D54" s="3">
        <v>478</v>
      </c>
      <c r="E54" s="17">
        <v>364</v>
      </c>
      <c r="F54" s="12">
        <f t="shared" si="11"/>
        <v>0.30528052805280526</v>
      </c>
      <c r="G54" s="12">
        <f t="shared" si="12"/>
        <v>0.39438943894389439</v>
      </c>
      <c r="H54" s="12">
        <f t="shared" si="10"/>
        <v>0.30033003300330036</v>
      </c>
      <c r="I54" s="2" t="s">
        <v>18</v>
      </c>
    </row>
    <row r="55" spans="1:9" ht="15">
      <c r="A55" s="2" t="s">
        <v>19</v>
      </c>
      <c r="B55" s="3">
        <f>SUM(B41:B54)</f>
        <v>13355</v>
      </c>
      <c r="C55" s="3">
        <f>SUM(C41:C54)</f>
        <v>1602</v>
      </c>
      <c r="D55" s="3">
        <f>SUM(D41:D54)</f>
        <v>10877</v>
      </c>
      <c r="E55" s="3">
        <f>SUM(E41:E54)</f>
        <v>876</v>
      </c>
      <c r="F55" s="12">
        <f t="shared" si="11"/>
        <v>0.11995507300636465</v>
      </c>
      <c r="G55" s="12">
        <f t="shared" si="12"/>
        <v>0.81445151628603518</v>
      </c>
      <c r="H55" s="12">
        <f t="shared" si="10"/>
        <v>6.559341070760015E-2</v>
      </c>
      <c r="I55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topLeftCell="G1" workbookViewId="0">
      <selection activeCell="O21" sqref="O21"/>
    </sheetView>
  </sheetViews>
  <sheetFormatPr defaultColWidth="9.140625" defaultRowHeight="12.75"/>
  <cols>
    <col min="1" max="1" width="26.28515625" customWidth="1"/>
    <col min="2" max="2" width="20" bestFit="1" customWidth="1"/>
    <col min="3" max="3" width="42.42578125" customWidth="1"/>
    <col min="5" max="5" width="23.140625" customWidth="1"/>
    <col min="6" max="6" width="20" bestFit="1" customWidth="1"/>
    <col min="7" max="7" width="30.42578125" customWidth="1"/>
    <col min="9" max="9" width="13.28515625" bestFit="1" customWidth="1"/>
    <col min="10" max="10" width="20" bestFit="1" customWidth="1"/>
    <col min="11" max="11" width="57.28515625" customWidth="1"/>
    <col min="13" max="13" width="14" bestFit="1" customWidth="1"/>
    <col min="14" max="14" width="20" bestFit="1" customWidth="1"/>
    <col min="15" max="15" width="19.7109375" customWidth="1"/>
  </cols>
  <sheetData>
    <row r="1" spans="1:15">
      <c r="A1" s="21" t="s">
        <v>47</v>
      </c>
      <c r="B1" s="21" t="s">
        <v>48</v>
      </c>
      <c r="C1" s="22">
        <v>42450.828831018516</v>
      </c>
      <c r="D1" s="21"/>
      <c r="E1" s="21" t="s">
        <v>49</v>
      </c>
      <c r="F1" s="21" t="s">
        <v>48</v>
      </c>
      <c r="G1" s="22">
        <v>42450.864421296297</v>
      </c>
      <c r="H1" s="21"/>
      <c r="I1" s="21" t="s">
        <v>50</v>
      </c>
      <c r="J1" s="21" t="s">
        <v>48</v>
      </c>
      <c r="K1" s="22">
        <v>42450.745995370373</v>
      </c>
      <c r="L1" s="21"/>
      <c r="M1" s="21" t="s">
        <v>51</v>
      </c>
      <c r="N1" s="21" t="s">
        <v>48</v>
      </c>
      <c r="O1" s="22">
        <v>42450.786932870367</v>
      </c>
    </row>
    <row r="2" spans="1:15">
      <c r="A2" s="21"/>
      <c r="B2" s="21" t="s">
        <v>52</v>
      </c>
      <c r="C2" s="22">
        <v>42450.861134259256</v>
      </c>
      <c r="D2" s="21"/>
      <c r="E2" s="21"/>
      <c r="F2" s="21" t="s">
        <v>52</v>
      </c>
      <c r="G2" s="22">
        <v>42450.891736111109</v>
      </c>
      <c r="H2" s="21"/>
      <c r="I2" s="21"/>
      <c r="J2" s="21" t="s">
        <v>52</v>
      </c>
      <c r="K2" s="22">
        <v>42450.77616898148</v>
      </c>
      <c r="L2" s="21"/>
      <c r="M2" s="21"/>
      <c r="N2" s="21" t="s">
        <v>52</v>
      </c>
      <c r="O2" s="22">
        <v>42450.82576388889</v>
      </c>
    </row>
    <row r="3" spans="1:15">
      <c r="A3" s="21"/>
      <c r="B3" s="21" t="s">
        <v>53</v>
      </c>
      <c r="C3" s="23">
        <f>C2-C1</f>
        <v>3.2303240739565808E-2</v>
      </c>
      <c r="D3" s="21"/>
      <c r="E3" s="21"/>
      <c r="F3" s="21" t="s">
        <v>53</v>
      </c>
      <c r="G3" s="23">
        <f>G2-G1</f>
        <v>2.7314814811688848E-2</v>
      </c>
      <c r="H3" s="21"/>
      <c r="I3" s="21"/>
      <c r="J3" s="21" t="s">
        <v>53</v>
      </c>
      <c r="K3" s="23">
        <f>K2-K1</f>
        <v>3.0173611106874887E-2</v>
      </c>
      <c r="L3" s="21"/>
      <c r="M3" s="21"/>
      <c r="N3" s="21" t="s">
        <v>53</v>
      </c>
      <c r="O3" s="23">
        <f>O2-O1</f>
        <v>3.8831018522614613E-2</v>
      </c>
    </row>
    <row r="4" spans="1:15">
      <c r="A4" s="21"/>
      <c r="B4" s="21" t="s">
        <v>54</v>
      </c>
      <c r="C4" s="24">
        <f>(HOUR(C3)*60*60)+(MINUTE(C3)*60)+SECOND(C3)</f>
        <v>2791</v>
      </c>
      <c r="D4" s="21"/>
      <c r="E4" s="21"/>
      <c r="F4" s="21" t="s">
        <v>54</v>
      </c>
      <c r="G4" s="24">
        <f>(HOUR(G3)*60*60)+(MINUTE(G3)*60)+SECOND(G3)</f>
        <v>2360</v>
      </c>
      <c r="H4" s="21"/>
      <c r="I4" s="21"/>
      <c r="J4" s="21" t="s">
        <v>54</v>
      </c>
      <c r="K4" s="24">
        <f>(HOUR(K3)*60*60)+(MINUTE(K3)*60)+SECOND(K3)</f>
        <v>2607</v>
      </c>
      <c r="L4" s="21"/>
      <c r="M4" s="21"/>
      <c r="N4" s="21" t="s">
        <v>54</v>
      </c>
      <c r="O4" s="24">
        <f>(HOUR(O3)*60*60)+(MINUTE(O3)*60)+SECOND(O3)</f>
        <v>3355</v>
      </c>
    </row>
    <row r="5" spans="1:15">
      <c r="A5" s="21"/>
      <c r="B5" s="21" t="s">
        <v>55</v>
      </c>
      <c r="C5" s="24">
        <v>1120</v>
      </c>
      <c r="D5" s="21"/>
      <c r="E5" s="21"/>
      <c r="F5" s="21" t="s">
        <v>55</v>
      </c>
      <c r="G5" s="24">
        <v>1120</v>
      </c>
      <c r="H5" s="21"/>
      <c r="I5" s="21"/>
      <c r="J5" s="21" t="s">
        <v>55</v>
      </c>
      <c r="K5" s="24">
        <v>1250</v>
      </c>
      <c r="L5" s="21"/>
      <c r="M5" s="21"/>
      <c r="N5" s="21" t="s">
        <v>55</v>
      </c>
      <c r="O5" s="24">
        <v>1490</v>
      </c>
    </row>
    <row r="6" spans="1:15">
      <c r="A6" s="21"/>
      <c r="B6" s="21" t="s">
        <v>56</v>
      </c>
      <c r="C6" s="24">
        <f>C4-C5</f>
        <v>1671</v>
      </c>
      <c r="D6" s="21"/>
      <c r="E6" s="21"/>
      <c r="F6" s="21" t="s">
        <v>56</v>
      </c>
      <c r="G6" s="24">
        <f>G4-G5</f>
        <v>1240</v>
      </c>
      <c r="H6" s="21"/>
      <c r="I6" s="21"/>
      <c r="J6" s="21" t="s">
        <v>56</v>
      </c>
      <c r="K6" s="24">
        <f>K4-K5</f>
        <v>1357</v>
      </c>
      <c r="L6" s="21"/>
      <c r="M6" s="21"/>
      <c r="N6" s="21" t="s">
        <v>56</v>
      </c>
      <c r="O6" s="24">
        <f>O4-O5</f>
        <v>1865</v>
      </c>
    </row>
    <row r="7" spans="1: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>
      <c r="A8" s="21"/>
      <c r="B8" s="21" t="s">
        <v>57</v>
      </c>
      <c r="C8" s="21">
        <v>3</v>
      </c>
      <c r="D8" s="21"/>
      <c r="E8" s="21"/>
      <c r="F8" s="21" t="s">
        <v>57</v>
      </c>
      <c r="G8" s="21">
        <v>19</v>
      </c>
      <c r="H8" s="21"/>
      <c r="I8" s="21"/>
      <c r="J8" s="21" t="s">
        <v>57</v>
      </c>
      <c r="K8" s="21">
        <v>23</v>
      </c>
      <c r="L8" s="21"/>
      <c r="M8" s="21"/>
      <c r="N8" s="21" t="s">
        <v>57</v>
      </c>
      <c r="O8" s="21">
        <v>93</v>
      </c>
    </row>
    <row r="9" spans="1:15">
      <c r="A9" s="21"/>
      <c r="B9" s="21" t="s">
        <v>58</v>
      </c>
      <c r="C9" s="21">
        <v>3</v>
      </c>
      <c r="D9" s="21"/>
      <c r="E9" s="21"/>
      <c r="F9" s="21" t="s">
        <v>58</v>
      </c>
      <c r="G9" s="21">
        <v>5</v>
      </c>
      <c r="H9" s="21"/>
      <c r="I9" s="21"/>
      <c r="J9" s="21" t="s">
        <v>58</v>
      </c>
      <c r="K9" s="21">
        <v>0</v>
      </c>
      <c r="L9" s="21"/>
      <c r="M9" s="21"/>
      <c r="N9" s="21" t="s">
        <v>58</v>
      </c>
      <c r="O9" s="21">
        <v>0</v>
      </c>
    </row>
    <row r="10" spans="1:15">
      <c r="A10" s="21"/>
      <c r="B10" s="21" t="s">
        <v>59</v>
      </c>
      <c r="C10" s="25">
        <f>C8/C6</f>
        <v>1.7953321364452424E-3</v>
      </c>
      <c r="D10" s="21"/>
      <c r="E10" s="21"/>
      <c r="F10" s="21" t="s">
        <v>59</v>
      </c>
      <c r="G10" s="25">
        <f>G8/G6</f>
        <v>1.532258064516129E-2</v>
      </c>
      <c r="H10" s="21"/>
      <c r="I10" s="21"/>
      <c r="J10" s="21" t="s">
        <v>59</v>
      </c>
      <c r="K10" s="25">
        <f>K8/K6</f>
        <v>1.6949152542372881E-2</v>
      </c>
      <c r="L10" s="21"/>
      <c r="M10" s="21"/>
      <c r="N10" s="21" t="s">
        <v>59</v>
      </c>
      <c r="O10" s="25">
        <f>O8/O6</f>
        <v>4.9865951742627347E-2</v>
      </c>
    </row>
    <row r="11" spans="1:15">
      <c r="A11" s="21"/>
      <c r="B11" s="21" t="s">
        <v>60</v>
      </c>
      <c r="C11" s="25">
        <f>C9/C6</f>
        <v>1.7953321364452424E-3</v>
      </c>
      <c r="D11" s="21"/>
      <c r="E11" s="21"/>
      <c r="F11" s="21" t="s">
        <v>60</v>
      </c>
      <c r="G11" s="25">
        <f>G9/G6</f>
        <v>4.0322580645161289E-3</v>
      </c>
      <c r="H11" s="21"/>
      <c r="I11" s="21"/>
      <c r="J11" s="21" t="s">
        <v>60</v>
      </c>
      <c r="K11" s="25">
        <f>K9/K6</f>
        <v>0</v>
      </c>
      <c r="L11" s="21"/>
      <c r="M11" s="21"/>
      <c r="N11" s="21" t="s">
        <v>60</v>
      </c>
      <c r="O11" s="25">
        <f>O9/O6</f>
        <v>0</v>
      </c>
    </row>
    <row r="12" spans="1: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 s="21"/>
      <c r="B13" s="21" t="s">
        <v>61</v>
      </c>
      <c r="C13" s="26">
        <v>2010.1131339999999</v>
      </c>
      <c r="D13" s="21"/>
      <c r="E13" s="21"/>
      <c r="F13" s="21" t="s">
        <v>61</v>
      </c>
      <c r="G13" s="26">
        <v>1835.8261849999999</v>
      </c>
      <c r="H13" s="21"/>
      <c r="I13" s="21"/>
      <c r="J13" s="21" t="s">
        <v>61</v>
      </c>
      <c r="K13" s="26">
        <v>1467.25326</v>
      </c>
      <c r="L13" s="21"/>
      <c r="M13" s="21"/>
      <c r="N13" s="21" t="s">
        <v>61</v>
      </c>
      <c r="O13" s="26">
        <v>1904.0432780000001</v>
      </c>
    </row>
    <row r="14" spans="1: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 s="21"/>
      <c r="B15" s="21" t="s">
        <v>62</v>
      </c>
      <c r="C15" s="21">
        <f>C10/C13</f>
        <v>8.9314979643590674E-7</v>
      </c>
      <c r="D15" s="21"/>
      <c r="E15" s="21"/>
      <c r="F15" s="21" t="s">
        <v>62</v>
      </c>
      <c r="G15" s="21">
        <f>G10/G13</f>
        <v>8.3464223194753545E-6</v>
      </c>
      <c r="H15" s="21"/>
      <c r="I15" s="21"/>
      <c r="J15" s="21" t="s">
        <v>62</v>
      </c>
      <c r="K15" s="21">
        <f>K10/K13</f>
        <v>1.1551620299261002E-5</v>
      </c>
      <c r="L15" s="21"/>
      <c r="M15" s="21"/>
      <c r="N15" s="21" t="s">
        <v>62</v>
      </c>
      <c r="O15" s="21">
        <f>O10/O13</f>
        <v>2.61895054166029E-5</v>
      </c>
    </row>
    <row r="16" spans="1:15">
      <c r="A16" s="21"/>
      <c r="B16" s="21" t="s">
        <v>63</v>
      </c>
      <c r="C16" s="21">
        <f>C11/C13</f>
        <v>8.9314979643590674E-7</v>
      </c>
      <c r="D16" s="21"/>
      <c r="E16" s="21"/>
      <c r="F16" s="21" t="s">
        <v>63</v>
      </c>
      <c r="G16" s="21">
        <f>G11/G13</f>
        <v>2.1964269261777248E-6</v>
      </c>
      <c r="H16" s="21"/>
      <c r="I16" s="21"/>
      <c r="J16" s="21" t="s">
        <v>63</v>
      </c>
      <c r="K16" s="21">
        <f>K11/K13</f>
        <v>0</v>
      </c>
      <c r="L16" s="21"/>
      <c r="M16" s="21"/>
      <c r="N16" s="21" t="s">
        <v>63</v>
      </c>
      <c r="O16" s="21">
        <f>O11/O13</f>
        <v>0</v>
      </c>
    </row>
    <row r="17" spans="1:15">
      <c r="A17" s="27"/>
      <c r="B17" s="27" t="s">
        <v>64</v>
      </c>
      <c r="C17" s="28">
        <f>5.2*10^-3</f>
        <v>5.2000000000000006E-3</v>
      </c>
      <c r="D17" s="27"/>
      <c r="E17" s="27"/>
      <c r="F17" s="27" t="s">
        <v>64</v>
      </c>
      <c r="G17" s="36">
        <f>0.4*10^(-3)</f>
        <v>4.0000000000000002E-4</v>
      </c>
      <c r="H17" s="27"/>
      <c r="I17" s="27"/>
      <c r="J17" s="27" t="s">
        <v>64</v>
      </c>
      <c r="K17" s="28">
        <f>2.1*10^(-3)</f>
        <v>2.1000000000000003E-3</v>
      </c>
      <c r="L17" s="27"/>
      <c r="M17" s="27"/>
      <c r="N17" s="27" t="s">
        <v>64</v>
      </c>
      <c r="O17" s="19">
        <f>0.6*10^(-3)</f>
        <v>5.9999999999999995E-4</v>
      </c>
    </row>
    <row r="18" spans="1:15">
      <c r="A18" s="21"/>
      <c r="B18" s="21" t="s">
        <v>65</v>
      </c>
      <c r="C18" s="21">
        <f>1/(C15*13)</f>
        <v>86125.616587538461</v>
      </c>
      <c r="D18" s="21"/>
      <c r="E18" s="21"/>
      <c r="F18" s="21" t="s">
        <v>65</v>
      </c>
      <c r="G18" s="21">
        <f>1/(G15*13)</f>
        <v>9216.2933983805669</v>
      </c>
      <c r="H18" s="21"/>
      <c r="I18" s="21"/>
      <c r="J18" s="21" t="s">
        <v>65</v>
      </c>
      <c r="K18" s="21">
        <f>1/(K15*13)</f>
        <v>6659.0724876923077</v>
      </c>
      <c r="L18" s="21"/>
      <c r="M18" s="21"/>
      <c r="N18" s="21" t="s">
        <v>65</v>
      </c>
      <c r="O18" s="21">
        <f>1/(O15*13)</f>
        <v>2937.1718060132343</v>
      </c>
    </row>
    <row r="19" spans="1:15">
      <c r="A19" s="21"/>
      <c r="B19" s="21" t="s">
        <v>66</v>
      </c>
      <c r="C19" s="21">
        <f>C18*60*60</f>
        <v>310052219.71513844</v>
      </c>
      <c r="D19" s="21"/>
      <c r="E19" s="21"/>
      <c r="F19" s="21" t="s">
        <v>66</v>
      </c>
      <c r="G19" s="21">
        <f>G18*60*60</f>
        <v>33178656.234170042</v>
      </c>
      <c r="H19" s="21"/>
      <c r="I19" s="21"/>
      <c r="J19" s="21" t="s">
        <v>66</v>
      </c>
      <c r="K19" s="21">
        <f>K18*60*60</f>
        <v>23972660.95569231</v>
      </c>
      <c r="L19" s="21"/>
      <c r="M19" s="21"/>
      <c r="N19" s="21" t="s">
        <v>66</v>
      </c>
      <c r="O19" s="21">
        <f>O18*60*60</f>
        <v>10573818.501647644</v>
      </c>
    </row>
    <row r="20" spans="1:15">
      <c r="A20" s="21"/>
      <c r="B20" s="21" t="s">
        <v>67</v>
      </c>
      <c r="C20" s="21">
        <f>C19/C17</f>
        <v>59625426868.295845</v>
      </c>
      <c r="D20" s="21"/>
      <c r="E20" s="21"/>
      <c r="F20" s="21" t="s">
        <v>67</v>
      </c>
      <c r="G20" s="21">
        <f>G19/G17</f>
        <v>82946640585.425095</v>
      </c>
      <c r="H20" s="21"/>
      <c r="I20" s="21"/>
      <c r="J20" s="21" t="s">
        <v>67</v>
      </c>
      <c r="K20" s="21">
        <f>K19/K17</f>
        <v>11415552836.043955</v>
      </c>
      <c r="L20" s="21"/>
      <c r="M20" s="21"/>
      <c r="N20" s="21" t="s">
        <v>67</v>
      </c>
      <c r="O20" s="21">
        <f>O19/O17</f>
        <v>17623030836.079407</v>
      </c>
    </row>
    <row r="21" spans="1:15">
      <c r="A21" s="21"/>
      <c r="B21" s="21" t="s">
        <v>44</v>
      </c>
      <c r="C21" s="21">
        <f>C20</f>
        <v>59625426868.295845</v>
      </c>
      <c r="D21" s="21"/>
      <c r="E21" s="21"/>
      <c r="F21" s="21" t="s">
        <v>44</v>
      </c>
      <c r="G21" s="21">
        <f>G20</f>
        <v>82946640585.425095</v>
      </c>
      <c r="H21" s="21"/>
      <c r="I21" s="21"/>
      <c r="J21" s="21" t="s">
        <v>44</v>
      </c>
      <c r="K21" s="21">
        <f>K20</f>
        <v>11415552836.043955</v>
      </c>
      <c r="L21" s="21"/>
      <c r="M21" s="21"/>
      <c r="N21" s="21" t="s">
        <v>44</v>
      </c>
      <c r="O21" s="21">
        <f>O20</f>
        <v>17623030836.079407</v>
      </c>
    </row>
    <row r="22" spans="1: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>
      <c r="A24" s="21"/>
      <c r="B24" s="21" t="s">
        <v>73</v>
      </c>
      <c r="C24" s="21"/>
      <c r="D24" s="21"/>
      <c r="E24" s="21"/>
      <c r="F24" s="21" t="s">
        <v>73</v>
      </c>
      <c r="G24" s="21"/>
      <c r="H24" s="21"/>
      <c r="I24" s="21"/>
      <c r="J24" s="21"/>
      <c r="L24" s="21"/>
      <c r="M24" s="21"/>
      <c r="N24" s="21"/>
      <c r="O24" s="21"/>
    </row>
    <row r="25" spans="1:15">
      <c r="B25" s="21" t="s">
        <v>65</v>
      </c>
      <c r="C25" s="21">
        <f>1/(C16*13)</f>
        <v>86125.616587538461</v>
      </c>
      <c r="D25" s="21"/>
      <c r="F25" s="21" t="s">
        <v>65</v>
      </c>
      <c r="G25" s="21">
        <f>1/(G16*13)</f>
        <v>35021.914913846158</v>
      </c>
    </row>
    <row r="26" spans="1:15">
      <c r="B26" s="21" t="s">
        <v>66</v>
      </c>
      <c r="C26" s="21">
        <f>C25*60*60</f>
        <v>310052219.71513844</v>
      </c>
      <c r="D26" s="21"/>
      <c r="F26" s="21" t="s">
        <v>66</v>
      </c>
      <c r="G26" s="21">
        <f>G25*60*60</f>
        <v>126078893.68984616</v>
      </c>
    </row>
    <row r="27" spans="1:15">
      <c r="B27" s="21" t="s">
        <v>67</v>
      </c>
      <c r="C27" s="34">
        <f>C26/C17</f>
        <v>59625426868.295845</v>
      </c>
      <c r="D27" s="21"/>
      <c r="F27" s="21" t="s">
        <v>67</v>
      </c>
      <c r="G27" s="34">
        <f>G26/G17</f>
        <v>315197234224.61536</v>
      </c>
    </row>
    <row r="28" spans="1:15">
      <c r="B28" s="21" t="s">
        <v>44</v>
      </c>
      <c r="C28" s="37">
        <f>C27</f>
        <v>59625426868.295845</v>
      </c>
      <c r="D28" s="21"/>
      <c r="F28" s="21" t="s">
        <v>44</v>
      </c>
      <c r="G28" s="21">
        <f>G27</f>
        <v>315197234224.61536</v>
      </c>
    </row>
    <row r="32" spans="1:15">
      <c r="B32" s="35"/>
    </row>
    <row r="35" spans="2:3">
      <c r="B35" s="35"/>
    </row>
    <row r="38" spans="2:3">
      <c r="C38" s="19"/>
    </row>
    <row r="39" spans="2:3">
      <c r="C39" s="18"/>
    </row>
    <row r="40" spans="2:3">
      <c r="C40" s="1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3:S28"/>
  <sheetViews>
    <sheetView zoomScale="85" zoomScaleNormal="85" workbookViewId="0">
      <selection activeCell="G35" sqref="G35"/>
    </sheetView>
  </sheetViews>
  <sheetFormatPr defaultColWidth="9.140625" defaultRowHeight="12.75"/>
  <cols>
    <col min="3" max="3" width="12.5703125" bestFit="1" customWidth="1"/>
    <col min="4" max="4" width="20" bestFit="1" customWidth="1"/>
    <col min="5" max="5" width="13.7109375" bestFit="1" customWidth="1"/>
    <col min="6" max="6" width="15.42578125" customWidth="1"/>
    <col min="7" max="7" width="11.5703125" bestFit="1" customWidth="1"/>
    <col min="8" max="8" width="13.85546875" bestFit="1" customWidth="1"/>
    <col min="9" max="9" width="29.28515625" customWidth="1"/>
    <col min="10" max="10" width="12.42578125" customWidth="1"/>
    <col min="11" max="12" width="23.5703125" customWidth="1"/>
    <col min="13" max="13" width="20" bestFit="1" customWidth="1"/>
    <col min="14" max="14" width="15.140625" bestFit="1" customWidth="1"/>
    <col min="15" max="15" width="21.5703125" bestFit="1" customWidth="1"/>
    <col min="16" max="16" width="21.28515625" bestFit="1" customWidth="1"/>
    <col min="19" max="19" width="12" bestFit="1" customWidth="1"/>
  </cols>
  <sheetData>
    <row r="3" spans="2:19">
      <c r="E3" t="s">
        <v>68</v>
      </c>
      <c r="H3" s="9"/>
      <c r="K3" s="35" t="s">
        <v>75</v>
      </c>
      <c r="P3" s="9"/>
      <c r="Q3" s="9"/>
      <c r="R3" s="9"/>
      <c r="S3" s="9"/>
    </row>
    <row r="4" spans="2:19">
      <c r="B4" s="18" t="s">
        <v>39</v>
      </c>
      <c r="C4" s="18" t="s">
        <v>43</v>
      </c>
      <c r="D4" s="18" t="s">
        <v>41</v>
      </c>
      <c r="E4" s="18" t="s">
        <v>42</v>
      </c>
      <c r="F4" s="18" t="s">
        <v>45</v>
      </c>
      <c r="G4" s="18" t="s">
        <v>46</v>
      </c>
      <c r="H4" s="18" t="s">
        <v>43</v>
      </c>
      <c r="I4" t="s">
        <v>69</v>
      </c>
      <c r="K4" t="s">
        <v>70</v>
      </c>
      <c r="M4" t="s">
        <v>71</v>
      </c>
      <c r="N4" t="s">
        <v>72</v>
      </c>
      <c r="O4" s="35" t="s">
        <v>76</v>
      </c>
      <c r="P4" s="30" t="s">
        <v>77</v>
      </c>
      <c r="Q4" s="9"/>
      <c r="R4" s="9"/>
      <c r="S4" s="9"/>
    </row>
    <row r="5" spans="2:19">
      <c r="B5" s="18" t="s">
        <v>32</v>
      </c>
      <c r="C5" s="31">
        <f>121.99*10^(-6)</f>
        <v>1.2198999999999999E-4</v>
      </c>
      <c r="D5">
        <v>0.12</v>
      </c>
      <c r="E5">
        <v>0</v>
      </c>
      <c r="F5" s="31">
        <f>1/(D5*C5)</f>
        <v>68311.610241276619</v>
      </c>
      <c r="G5" s="31">
        <v>0</v>
      </c>
      <c r="H5" s="36">
        <f>2.1*10^(-3)</f>
        <v>2.1000000000000003E-3</v>
      </c>
      <c r="I5" s="32">
        <v>1.15516E-5</v>
      </c>
      <c r="J5" s="32">
        <f>I5+I5*30/100</f>
        <v>1.5017079999999999E-5</v>
      </c>
      <c r="K5">
        <v>0</v>
      </c>
      <c r="L5" s="32">
        <f>K5+K5*30/100</f>
        <v>0</v>
      </c>
      <c r="M5" s="37">
        <v>11415552836</v>
      </c>
      <c r="N5" s="31">
        <v>0</v>
      </c>
      <c r="O5" s="21">
        <v>1.1551620299261002E-5</v>
      </c>
      <c r="P5" s="31">
        <v>0</v>
      </c>
      <c r="Q5" s="9"/>
      <c r="R5" s="9"/>
      <c r="S5" s="9"/>
    </row>
    <row r="6" spans="2:19">
      <c r="B6" s="18" t="s">
        <v>33</v>
      </c>
      <c r="C6" s="31">
        <f>24.04*10^(-6)</f>
        <v>2.4039999999999997E-5</v>
      </c>
      <c r="D6">
        <v>0.44</v>
      </c>
      <c r="E6">
        <v>0.13</v>
      </c>
      <c r="F6" s="31">
        <f>1/(D6*C6)</f>
        <v>94539.404023597046</v>
      </c>
      <c r="G6" s="31">
        <f>1/(E6*C6)</f>
        <v>319979.52131063613</v>
      </c>
      <c r="M6" s="32"/>
      <c r="O6" s="21"/>
      <c r="P6" s="9"/>
      <c r="Q6" s="9"/>
      <c r="R6" s="9"/>
      <c r="S6" s="9"/>
    </row>
    <row r="7" spans="2:19">
      <c r="B7" s="18" t="s">
        <v>34</v>
      </c>
      <c r="C7" s="31">
        <f>22.76*10^(-6)</f>
        <v>2.2759999999999999E-5</v>
      </c>
      <c r="D7">
        <v>0.37</v>
      </c>
      <c r="E7">
        <v>0.11</v>
      </c>
      <c r="F7" s="31">
        <f>1/(D7*C7)</f>
        <v>118747.92191136655</v>
      </c>
      <c r="G7" s="31">
        <f>1/(E7*C7)</f>
        <v>399424.82824732387</v>
      </c>
      <c r="H7" s="31">
        <f>0.6*10^(-3)</f>
        <v>5.9999999999999995E-4</v>
      </c>
      <c r="I7" s="32">
        <v>2.6189500000000001E-5</v>
      </c>
      <c r="J7" s="32">
        <f>I7+I7*20/100</f>
        <v>3.1427400000000003E-5</v>
      </c>
      <c r="K7">
        <v>0</v>
      </c>
      <c r="L7" s="32">
        <f>K7+K7*20/100</f>
        <v>0</v>
      </c>
      <c r="M7" s="32">
        <v>17623030836</v>
      </c>
      <c r="N7" s="31">
        <v>0</v>
      </c>
      <c r="O7" s="21">
        <v>2.61895054166029E-5</v>
      </c>
      <c r="P7" s="42">
        <v>0</v>
      </c>
      <c r="Q7" s="9"/>
      <c r="R7" s="29"/>
      <c r="S7" s="30"/>
    </row>
    <row r="8" spans="2:19">
      <c r="B8" s="18" t="s">
        <v>38</v>
      </c>
      <c r="C8" s="32"/>
      <c r="D8" s="18" t="s">
        <v>41</v>
      </c>
      <c r="E8" s="18" t="s">
        <v>42</v>
      </c>
      <c r="F8" s="32"/>
      <c r="G8" s="32"/>
      <c r="H8" s="32"/>
      <c r="M8" s="32"/>
      <c r="P8" s="9"/>
      <c r="Q8" s="9"/>
      <c r="R8" s="30"/>
      <c r="S8" s="9"/>
    </row>
    <row r="9" spans="2:19">
      <c r="B9" s="18" t="s">
        <v>32</v>
      </c>
      <c r="C9" s="31">
        <f>53.92*10^(-6)</f>
        <v>5.3919999999999999E-5</v>
      </c>
      <c r="D9">
        <v>0.12</v>
      </c>
      <c r="E9">
        <v>0.03</v>
      </c>
      <c r="F9" s="31">
        <f>1/(D9*C9)</f>
        <v>154549.95054401582</v>
      </c>
      <c r="G9" s="31">
        <f>1/(E9*C9)</f>
        <v>618199.8021760633</v>
      </c>
      <c r="H9" s="36">
        <f>5.2*10^-3</f>
        <v>5.2000000000000006E-3</v>
      </c>
      <c r="I9" s="32">
        <v>8.9314999999999997E-7</v>
      </c>
      <c r="J9" s="32">
        <f>I9+I9*50/100</f>
        <v>1.3397249999999999E-6</v>
      </c>
      <c r="K9" s="32">
        <v>8.9314999999999997E-7</v>
      </c>
      <c r="L9" s="32">
        <f>K9+K9*50/100</f>
        <v>1.3397249999999999E-6</v>
      </c>
      <c r="M9" s="32">
        <v>59625426868</v>
      </c>
      <c r="N9" s="32">
        <v>59625426868</v>
      </c>
      <c r="O9" s="32">
        <v>8.9314999999999997E-7</v>
      </c>
      <c r="P9" s="32">
        <v>8.9314999999999997E-7</v>
      </c>
      <c r="Q9" s="9"/>
      <c r="R9" s="30"/>
      <c r="S9" s="9"/>
    </row>
    <row r="10" spans="2:19">
      <c r="B10" s="18" t="s">
        <v>33</v>
      </c>
      <c r="C10" s="31">
        <f>13.38*10^(-6)</f>
        <v>1.3380000000000001E-5</v>
      </c>
      <c r="D10">
        <v>0.03</v>
      </c>
      <c r="E10">
        <v>0.11</v>
      </c>
      <c r="F10" s="31">
        <f>1/(D10*C10)</f>
        <v>2491280.518186348</v>
      </c>
      <c r="G10" s="31">
        <f>1/(E10*C10)</f>
        <v>679440.14132354932</v>
      </c>
      <c r="M10" s="32"/>
      <c r="Q10" s="9"/>
      <c r="R10" s="30"/>
      <c r="S10" s="9"/>
    </row>
    <row r="11" spans="2:19">
      <c r="B11" s="18" t="s">
        <v>34</v>
      </c>
      <c r="C11" s="31">
        <f>11.54*10^(-6)</f>
        <v>1.1539999999999998E-5</v>
      </c>
      <c r="D11">
        <v>0.04</v>
      </c>
      <c r="E11">
        <v>0.19</v>
      </c>
      <c r="F11" s="31">
        <f>1/(D11*C11)</f>
        <v>2166377.8162911613</v>
      </c>
      <c r="G11" s="31">
        <f>1/(E11*C11)</f>
        <v>456079.54027182353</v>
      </c>
      <c r="H11" s="36">
        <f>0.4*10^(-3)</f>
        <v>4.0000000000000002E-4</v>
      </c>
      <c r="I11" s="32">
        <v>8.34642E-6</v>
      </c>
      <c r="J11" s="32">
        <f>I11+I11*30/100</f>
        <v>1.0850345999999999E-5</v>
      </c>
      <c r="K11" s="32">
        <v>2.1964299999999998E-6</v>
      </c>
      <c r="L11" s="32">
        <f>K11+K11*30/100</f>
        <v>2.8553589999999997E-6</v>
      </c>
      <c r="M11" s="32">
        <v>82946640585</v>
      </c>
      <c r="N11" s="32">
        <v>315197000000</v>
      </c>
      <c r="O11" s="32">
        <v>8.34642E-6</v>
      </c>
      <c r="P11" s="41">
        <v>2.1964299999999998E-6</v>
      </c>
      <c r="Q11" s="9"/>
      <c r="R11" s="30"/>
      <c r="S11" s="9"/>
    </row>
    <row r="12" spans="2:19">
      <c r="F12" s="32"/>
      <c r="P12" s="9"/>
      <c r="Q12" s="9"/>
      <c r="R12" s="9"/>
      <c r="S12" s="9"/>
    </row>
    <row r="13" spans="2:19">
      <c r="F13" s="32"/>
      <c r="M13" s="18"/>
      <c r="O13" s="9"/>
      <c r="P13" s="9"/>
      <c r="Q13" s="9"/>
      <c r="R13" s="9"/>
      <c r="S13" s="9"/>
    </row>
    <row r="14" spans="2:19">
      <c r="M14" s="18"/>
      <c r="O14" s="9"/>
      <c r="P14" s="9"/>
      <c r="Q14" s="9"/>
      <c r="R14" s="9"/>
      <c r="S14" s="9"/>
    </row>
    <row r="15" spans="2:19">
      <c r="C15" s="35" t="s">
        <v>187</v>
      </c>
      <c r="E15" s="35" t="s">
        <v>75</v>
      </c>
      <c r="H15" s="20"/>
      <c r="I15" s="35" t="s">
        <v>187</v>
      </c>
      <c r="K15" s="35" t="s">
        <v>75</v>
      </c>
      <c r="N15" s="27"/>
      <c r="O15" s="27"/>
      <c r="P15" s="27"/>
      <c r="Q15" s="19"/>
    </row>
    <row r="16" spans="2:19">
      <c r="B16" s="18" t="s">
        <v>39</v>
      </c>
      <c r="C16" s="35" t="s">
        <v>186</v>
      </c>
      <c r="D16" s="35" t="s">
        <v>188</v>
      </c>
      <c r="E16" s="35" t="s">
        <v>186</v>
      </c>
      <c r="F16" s="35" t="s">
        <v>189</v>
      </c>
      <c r="H16" s="18" t="s">
        <v>39</v>
      </c>
      <c r="I16" s="35" t="s">
        <v>186</v>
      </c>
      <c r="J16" s="35" t="s">
        <v>188</v>
      </c>
      <c r="K16" s="35" t="s">
        <v>186</v>
      </c>
      <c r="L16" s="35" t="s">
        <v>189</v>
      </c>
      <c r="M16" s="18"/>
    </row>
    <row r="17" spans="2:13" ht="15">
      <c r="B17" s="18" t="s">
        <v>32</v>
      </c>
      <c r="C17" s="32">
        <f>SUM(F5:G5)</f>
        <v>68311.610241276619</v>
      </c>
      <c r="D17">
        <v>0.12</v>
      </c>
      <c r="E17" s="32">
        <f>SUM(M5,N5)</f>
        <v>11415552836</v>
      </c>
      <c r="F17" s="31">
        <f>SUM(O5,P5)</f>
        <v>1.1551620299261002E-5</v>
      </c>
      <c r="H17" s="18" t="s">
        <v>32</v>
      </c>
      <c r="I17" s="104" t="str">
        <f>LEFT(TEXT(C17,"0.00E+0"),4)&amp;"x10^"&amp;RIGHT(TEXT(C17,"0.00E+0"),1)</f>
        <v>6.83x10^4</v>
      </c>
      <c r="J17">
        <v>0.12</v>
      </c>
      <c r="K17" s="104" t="str">
        <f>LEFT(TEXT(E17,"0.00E+0"),4)&amp;"x10^"&amp;RIGHT(TEXT(E17,"0.00E+0"),1)</f>
        <v>1.14x10^0</v>
      </c>
      <c r="L17" s="104" t="str">
        <f>LEFT(TEXT(F17,"0.00E+0"),4)&amp;"x10^"&amp;RIGHT(TEXT(F17,"0.00E+0"),1)</f>
        <v>1.16x10^5</v>
      </c>
    </row>
    <row r="18" spans="2:13" ht="15">
      <c r="B18" s="18" t="s">
        <v>33</v>
      </c>
      <c r="C18" s="32">
        <f t="shared" ref="C18:C19" si="0">SUM(F6:G6)</f>
        <v>414518.92533423321</v>
      </c>
      <c r="D18">
        <v>0.44</v>
      </c>
      <c r="E18" s="32"/>
      <c r="F18" s="31"/>
      <c r="H18" s="18" t="s">
        <v>33</v>
      </c>
      <c r="I18" s="104" t="str">
        <f t="shared" ref="I18:I19" si="1">LEFT(TEXT(C18,"0.00E+0"),4)&amp;"x10^"&amp;RIGHT(TEXT(C18,"0.00E+0"),1)</f>
        <v>4.15x10^5</v>
      </c>
      <c r="J18">
        <v>0.44</v>
      </c>
      <c r="K18" s="104"/>
    </row>
    <row r="19" spans="2:13" ht="15">
      <c r="B19" s="18" t="s">
        <v>34</v>
      </c>
      <c r="C19" s="32">
        <f t="shared" si="0"/>
        <v>518172.75015869038</v>
      </c>
      <c r="D19">
        <v>0.37</v>
      </c>
      <c r="E19" s="32">
        <f>SUM(M7,N7)</f>
        <v>17623030836</v>
      </c>
      <c r="F19" s="31">
        <f t="shared" ref="F19" si="2">SUM(O7,P7)</f>
        <v>2.61895054166029E-5</v>
      </c>
      <c r="H19" s="18" t="s">
        <v>34</v>
      </c>
      <c r="I19" s="104" t="str">
        <f t="shared" si="1"/>
        <v>5.18x10^5</v>
      </c>
      <c r="J19">
        <v>0.37</v>
      </c>
      <c r="K19" s="104" t="str">
        <f t="shared" ref="K19:K28" si="3">LEFT(TEXT(E19,"0.00E+0"),4)&amp;"x10^"&amp;RIGHT(TEXT(E19,"0.00E+0"),1)</f>
        <v>1.76x10^0</v>
      </c>
      <c r="L19" s="104" t="str">
        <f>LEFT(TEXT(F19,"0.00E+0"),4)&amp;"x10^"&amp;RIGHT(TEXT(F19,"0.00E+0"),1)</f>
        <v>2.62x10^5</v>
      </c>
    </row>
    <row r="20" spans="2:13" ht="15">
      <c r="K20" s="104"/>
    </row>
    <row r="21" spans="2:13" ht="15">
      <c r="K21" s="104"/>
    </row>
    <row r="22" spans="2:13" ht="15">
      <c r="K22" s="104"/>
    </row>
    <row r="23" spans="2:13" ht="15">
      <c r="K23" s="104"/>
    </row>
    <row r="24" spans="2:13" ht="15">
      <c r="K24" s="104"/>
    </row>
    <row r="25" spans="2:13" ht="15">
      <c r="B25" s="18" t="s">
        <v>38</v>
      </c>
      <c r="C25" s="32"/>
      <c r="E25" s="32"/>
      <c r="F25" s="31"/>
      <c r="H25" s="18" t="s">
        <v>38</v>
      </c>
      <c r="K25" s="104"/>
    </row>
    <row r="26" spans="2:13" ht="15">
      <c r="B26" s="18" t="s">
        <v>32</v>
      </c>
      <c r="C26" s="32">
        <f>SUM(F9:G9)</f>
        <v>772749.75272007915</v>
      </c>
      <c r="D26">
        <v>0.12</v>
      </c>
      <c r="E26" s="32">
        <f>SUM(M9,N9)</f>
        <v>119250853736</v>
      </c>
      <c r="F26" s="31">
        <f>SUM(O9,P9)</f>
        <v>1.7862999999999999E-6</v>
      </c>
      <c r="H26" s="18" t="s">
        <v>32</v>
      </c>
      <c r="I26" s="104" t="str">
        <f>LEFT(TEXT(C26,"0.00E+0"),4)&amp;"x10^"&amp;RIGHT(TEXT(C26,"0.00E+0"),1)</f>
        <v>7.73x10^5</v>
      </c>
      <c r="J26">
        <v>0.12</v>
      </c>
      <c r="K26" s="104" t="str">
        <f t="shared" si="3"/>
        <v>1.19x10^1</v>
      </c>
      <c r="L26" s="104" t="str">
        <f>LEFT(TEXT(F26,"0.00E+0"),4)&amp;"x10^"&amp;RIGHT(TEXT(F26,"0.00E+0"),1)</f>
        <v>1.79x10^6</v>
      </c>
    </row>
    <row r="27" spans="2:13" ht="15">
      <c r="B27" s="18" t="s">
        <v>33</v>
      </c>
      <c r="C27" s="32">
        <f>SUM(F10:G10)</f>
        <v>3170720.6595098972</v>
      </c>
      <c r="D27">
        <v>0.03</v>
      </c>
      <c r="E27" s="32"/>
      <c r="F27" s="31"/>
      <c r="H27" s="18" t="s">
        <v>33</v>
      </c>
      <c r="I27" s="104" t="str">
        <f t="shared" ref="I27:I28" si="4">LEFT(TEXT(C27,"0.00E+0"),4)&amp;"x10^"&amp;RIGHT(TEXT(C27,"0.00E+0"),1)</f>
        <v>3.17x10^6</v>
      </c>
      <c r="J27">
        <v>0.03</v>
      </c>
      <c r="K27" s="104"/>
      <c r="M27" s="33"/>
    </row>
    <row r="28" spans="2:13" ht="15">
      <c r="B28" s="18" t="s">
        <v>34</v>
      </c>
      <c r="C28" s="32">
        <f>SUM(F11:G11)</f>
        <v>2622457.3565629851</v>
      </c>
      <c r="D28">
        <v>0.04</v>
      </c>
      <c r="E28" s="32">
        <f>SUM(M11,N11)</f>
        <v>398143640585</v>
      </c>
      <c r="F28" s="31">
        <f>SUM(O11,P11)</f>
        <v>1.054285E-5</v>
      </c>
      <c r="H28" s="18" t="s">
        <v>34</v>
      </c>
      <c r="I28" s="104" t="str">
        <f t="shared" si="4"/>
        <v>2.62x10^6</v>
      </c>
      <c r="J28">
        <v>0.04</v>
      </c>
      <c r="K28" s="104" t="str">
        <f t="shared" si="3"/>
        <v>3.98x10^1</v>
      </c>
      <c r="L28" s="104" t="str">
        <f>LEFT(TEXT(F28,"0.00E+0"),4)&amp;"x10^"&amp;RIGHT(TEXT(F28,"0.00E+0"),1)</f>
        <v>1.05x10^5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4:O87"/>
  <sheetViews>
    <sheetView zoomScale="85" zoomScaleNormal="85" workbookViewId="0">
      <selection activeCell="I6" sqref="I6"/>
    </sheetView>
  </sheetViews>
  <sheetFormatPr defaultColWidth="9.140625" defaultRowHeight="12.75"/>
  <cols>
    <col min="1" max="1" width="25" customWidth="1"/>
    <col min="2" max="2" width="13.140625" bestFit="1" customWidth="1"/>
    <col min="3" max="3" width="17.85546875" bestFit="1" customWidth="1"/>
    <col min="4" max="4" width="14.85546875" bestFit="1" customWidth="1"/>
    <col min="5" max="5" width="21" bestFit="1" customWidth="1"/>
    <col min="6" max="6" width="20.710937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4.42578125" bestFit="1" customWidth="1"/>
    <col min="11" max="11" width="15" bestFit="1" customWidth="1"/>
  </cols>
  <sheetData>
    <row r="4" spans="1:12">
      <c r="K4" s="35" t="s">
        <v>115</v>
      </c>
    </row>
    <row r="5" spans="1:12">
      <c r="A5" s="59" t="s">
        <v>91</v>
      </c>
      <c r="B5" s="59" t="s">
        <v>95</v>
      </c>
      <c r="C5" s="59" t="s">
        <v>100</v>
      </c>
      <c r="D5" s="59" t="s">
        <v>94</v>
      </c>
      <c r="E5" s="59" t="s">
        <v>98</v>
      </c>
      <c r="F5" s="59" t="s">
        <v>96</v>
      </c>
      <c r="G5" s="59" t="s">
        <v>97</v>
      </c>
      <c r="H5" s="59" t="s">
        <v>99</v>
      </c>
      <c r="I5" s="59" t="s">
        <v>45</v>
      </c>
      <c r="J5" s="59" t="s">
        <v>46</v>
      </c>
      <c r="K5" s="59" t="s">
        <v>110</v>
      </c>
    </row>
    <row r="6" spans="1:12" ht="15">
      <c r="A6" s="60" t="s">
        <v>39</v>
      </c>
      <c r="B6" s="69" t="s">
        <v>32</v>
      </c>
      <c r="C6" s="83">
        <v>1.218179962845511E-4</v>
      </c>
      <c r="D6" s="61">
        <v>40606</v>
      </c>
      <c r="E6" s="72">
        <v>94768</v>
      </c>
      <c r="F6" s="62">
        <f>4/13</f>
        <v>0.30769230769230771</v>
      </c>
      <c r="G6" s="62">
        <v>0.12052414376133216</v>
      </c>
      <c r="H6" s="62">
        <v>2.3359547937129447E-4</v>
      </c>
      <c r="I6" s="83">
        <f>400*4/G6*C6</f>
        <v>1.6171763430342201</v>
      </c>
      <c r="J6" s="83">
        <f>400*4/H6*C6</f>
        <v>834.38598460837022</v>
      </c>
      <c r="K6" s="61">
        <v>271473</v>
      </c>
    </row>
    <row r="7" spans="1:12" ht="15">
      <c r="A7" s="60"/>
      <c r="B7" s="69" t="s">
        <v>33</v>
      </c>
      <c r="C7" s="83">
        <v>2.4029999267085019E-5</v>
      </c>
      <c r="D7" s="61">
        <v>8010</v>
      </c>
      <c r="E7" s="72">
        <v>94332</v>
      </c>
      <c r="F7" s="62">
        <f>13/13</f>
        <v>1</v>
      </c>
      <c r="G7" s="62">
        <v>0.43706104808211776</v>
      </c>
      <c r="H7" s="62">
        <v>0.1277687736358725</v>
      </c>
      <c r="I7" s="83">
        <f t="shared" ref="I7:I8" si="0">400*4/G7*C7</f>
        <v>8.7969401519652657E-2</v>
      </c>
      <c r="J7" s="83">
        <f t="shared" ref="J7:J8" si="1">400*4/H7*C7</f>
        <v>0.30091858701648622</v>
      </c>
      <c r="K7" s="61">
        <v>73988</v>
      </c>
      <c r="L7" s="35" t="s">
        <v>114</v>
      </c>
    </row>
    <row r="8" spans="1:12" ht="15">
      <c r="A8" s="60"/>
      <c r="B8" s="69" t="s">
        <v>34</v>
      </c>
      <c r="C8" s="83">
        <v>2.2649999309175017E-5</v>
      </c>
      <c r="D8" s="61">
        <v>7550</v>
      </c>
      <c r="E8" s="72">
        <v>94948</v>
      </c>
      <c r="F8" s="62">
        <f>13/13</f>
        <v>1</v>
      </c>
      <c r="G8" s="62">
        <v>0.36624843161856963</v>
      </c>
      <c r="H8" s="62">
        <v>0.10501882057716437</v>
      </c>
      <c r="I8" s="83">
        <f t="shared" si="0"/>
        <v>9.8949226170126692E-2</v>
      </c>
      <c r="J8" s="83">
        <f t="shared" si="1"/>
        <v>0.34508099305925904</v>
      </c>
      <c r="K8" s="61">
        <v>73515</v>
      </c>
    </row>
    <row r="9" spans="1:12" ht="15">
      <c r="A9" s="63" t="s">
        <v>38</v>
      </c>
      <c r="B9" s="70" t="s">
        <v>32</v>
      </c>
      <c r="C9" s="85">
        <v>5.3873998356843042E-5</v>
      </c>
      <c r="D9" s="59">
        <v>17958</v>
      </c>
      <c r="E9" s="73">
        <v>110080</v>
      </c>
      <c r="F9" s="64">
        <f>5/13</f>
        <v>0.38461538461538464</v>
      </c>
      <c r="G9" s="64">
        <v>0.11679463326432746</v>
      </c>
      <c r="H9" s="64">
        <v>3.3725531301590631E-2</v>
      </c>
      <c r="I9" s="87">
        <f>32*4/G9*C9</f>
        <v>5.9042711098456893E-2</v>
      </c>
      <c r="J9" s="87">
        <f>32*4/H9*C9</f>
        <v>0.20447036780561179</v>
      </c>
      <c r="K9" s="59">
        <v>97782</v>
      </c>
    </row>
    <row r="10" spans="1:12" ht="15">
      <c r="A10" s="63"/>
      <c r="B10" s="70" t="s">
        <v>33</v>
      </c>
      <c r="C10" s="85">
        <v>1.3205999597217011E-5</v>
      </c>
      <c r="D10" s="59">
        <v>4402</v>
      </c>
      <c r="E10" s="73">
        <v>97972</v>
      </c>
      <c r="F10" s="65">
        <f>4/13</f>
        <v>0.30769230769230771</v>
      </c>
      <c r="G10" s="65">
        <v>3.466428287644021E-2</v>
      </c>
      <c r="H10" s="65">
        <v>0.10826380611839491</v>
      </c>
      <c r="I10" s="87">
        <f t="shared" ref="I10:I11" si="2">32*4/G10*C10</f>
        <v>4.8763967062842258E-2</v>
      </c>
      <c r="J10" s="87">
        <f t="shared" ref="J10:J11" si="3">32*4/H10*C10</f>
        <v>1.561341697700179E-2</v>
      </c>
      <c r="K10" s="59">
        <v>33066</v>
      </c>
      <c r="L10" s="35" t="s">
        <v>114</v>
      </c>
    </row>
    <row r="11" spans="1:12" ht="15">
      <c r="A11" s="63"/>
      <c r="B11" s="70" t="s">
        <v>34</v>
      </c>
      <c r="C11" s="85">
        <v>1.146899965019551E-5</v>
      </c>
      <c r="D11" s="59">
        <v>3823</v>
      </c>
      <c r="E11" s="73">
        <v>101056</v>
      </c>
      <c r="F11" s="64">
        <f>5/13</f>
        <v>0.38461538461538464</v>
      </c>
      <c r="G11" s="64">
        <v>4.4001476559616094E-2</v>
      </c>
      <c r="H11" s="64">
        <v>0.18634182355112588</v>
      </c>
      <c r="I11" s="87">
        <f t="shared" si="2"/>
        <v>3.3363243009266727E-2</v>
      </c>
      <c r="J11" s="87">
        <f t="shared" si="3"/>
        <v>7.8781667327745501E-3</v>
      </c>
      <c r="K11" s="59">
        <v>31757</v>
      </c>
    </row>
    <row r="12" spans="1:12" ht="15">
      <c r="A12" s="66" t="s">
        <v>92</v>
      </c>
      <c r="B12" s="71" t="s">
        <v>32</v>
      </c>
      <c r="C12" s="84">
        <v>1.6197999999999999E-4</v>
      </c>
      <c r="D12" s="67">
        <v>107882</v>
      </c>
      <c r="E12" s="74">
        <v>48504</v>
      </c>
      <c r="F12" s="68">
        <f>4/13</f>
        <v>0.30769230769230771</v>
      </c>
      <c r="G12" s="68">
        <v>4.1170853139049543E-2</v>
      </c>
      <c r="H12" s="68">
        <v>2.6674678369475412E-2</v>
      </c>
      <c r="I12" s="68">
        <f>400*4/G12*C12</f>
        <v>6.2949387792546254</v>
      </c>
      <c r="J12" s="68">
        <f>400*4/H12*C12</f>
        <v>9.7158809718423171</v>
      </c>
      <c r="K12" s="67">
        <v>330946</v>
      </c>
    </row>
    <row r="13" spans="1:12" ht="15">
      <c r="A13" s="66"/>
      <c r="B13" s="71" t="s">
        <v>33</v>
      </c>
      <c r="C13" s="84">
        <v>5.7210000000000003E-5</v>
      </c>
      <c r="D13" s="67">
        <v>38104</v>
      </c>
      <c r="E13" s="74">
        <v>48164</v>
      </c>
      <c r="F13" s="68">
        <f>12/13</f>
        <v>0.92307692307692313</v>
      </c>
      <c r="G13" s="68">
        <v>0.35041618135848412</v>
      </c>
      <c r="H13" s="68">
        <v>3.1646828215107524E-2</v>
      </c>
      <c r="I13" s="68">
        <f t="shared" ref="I13:I14" si="4">400*4/G13*C13</f>
        <v>0.26122081361978111</v>
      </c>
      <c r="J13" s="68">
        <f t="shared" ref="J13:J14" si="5">400*4/H13*C13</f>
        <v>2.8924225637342915</v>
      </c>
      <c r="K13" s="67">
        <v>148302</v>
      </c>
      <c r="L13" s="35" t="s">
        <v>114</v>
      </c>
    </row>
    <row r="14" spans="1:12" ht="15">
      <c r="A14" s="66"/>
      <c r="B14" s="71" t="s">
        <v>34</v>
      </c>
      <c r="C14" s="84">
        <v>6.0460000000000001E-5</v>
      </c>
      <c r="D14" s="67">
        <v>40264</v>
      </c>
      <c r="E14" s="74">
        <v>50492</v>
      </c>
      <c r="F14" s="68">
        <f>11/13</f>
        <v>0.84615384615384615</v>
      </c>
      <c r="G14" s="68">
        <v>0.35841386442249401</v>
      </c>
      <c r="H14" s="68">
        <v>3.3199015797168635E-2</v>
      </c>
      <c r="I14" s="68">
        <f t="shared" si="4"/>
        <v>0.26990027340563133</v>
      </c>
      <c r="J14" s="68">
        <f t="shared" si="5"/>
        <v>2.9138213190118152</v>
      </c>
      <c r="K14" s="67">
        <v>166582</v>
      </c>
    </row>
    <row r="15" spans="1:12" ht="15">
      <c r="A15" s="63" t="s">
        <v>78</v>
      </c>
      <c r="B15" s="70" t="s">
        <v>32</v>
      </c>
      <c r="C15" s="85">
        <v>1.218179962845511E-4</v>
      </c>
      <c r="D15" s="59">
        <v>14496</v>
      </c>
      <c r="E15" s="73">
        <v>94040</v>
      </c>
      <c r="F15" s="64">
        <f>5/13</f>
        <v>0.38461538461538464</v>
      </c>
      <c r="G15" s="64">
        <v>6.3068920676202858E-2</v>
      </c>
      <c r="H15" s="64">
        <v>2.8010403120936282E-2</v>
      </c>
      <c r="I15" s="87">
        <f>512*4/G15*C15</f>
        <v>3.9557242095772156</v>
      </c>
      <c r="J15" s="87">
        <f>512*4/H15*C15</f>
        <v>8.9068070642755313</v>
      </c>
      <c r="K15" s="59"/>
    </row>
    <row r="16" spans="1:12" ht="15">
      <c r="A16" s="63"/>
      <c r="B16" s="70" t="s">
        <v>33</v>
      </c>
      <c r="C16" s="85">
        <v>2.4029999267085019E-5</v>
      </c>
      <c r="D16" s="59">
        <v>6782</v>
      </c>
      <c r="E16" s="73">
        <v>92604</v>
      </c>
      <c r="F16" s="64">
        <f>13/13</f>
        <v>1</v>
      </c>
      <c r="G16" s="64">
        <v>0.39232409381663114</v>
      </c>
      <c r="H16" s="64">
        <v>0.2386121341345222</v>
      </c>
      <c r="I16" s="87">
        <f t="shared" ref="I16:I17" si="6">512*4/G16*C16</f>
        <v>0.1254407753044911</v>
      </c>
      <c r="J16" s="87">
        <f t="shared" ref="J16:J17" si="7">512*4/H16*C16</f>
        <v>0.2062486833601056</v>
      </c>
      <c r="K16" s="59"/>
      <c r="L16" s="35" t="s">
        <v>113</v>
      </c>
    </row>
    <row r="17" spans="1:12" ht="15">
      <c r="A17" s="63"/>
      <c r="B17" s="70" t="s">
        <v>34</v>
      </c>
      <c r="C17" s="85">
        <v>2.2649999309175017E-5</v>
      </c>
      <c r="D17" s="59">
        <v>6738</v>
      </c>
      <c r="E17" s="73">
        <v>92668</v>
      </c>
      <c r="F17" s="75">
        <f>13/13</f>
        <v>1</v>
      </c>
      <c r="G17" s="64">
        <v>0.35952566703073802</v>
      </c>
      <c r="H17" s="64">
        <v>0.23491964425027306</v>
      </c>
      <c r="I17" s="87">
        <f t="shared" si="6"/>
        <v>0.1290233294559871</v>
      </c>
      <c r="J17" s="87">
        <f t="shared" si="7"/>
        <v>0.19745985370117261</v>
      </c>
      <c r="K17" s="59"/>
    </row>
    <row r="18" spans="1:12">
      <c r="A18" s="60" t="s">
        <v>93</v>
      </c>
      <c r="B18" s="69" t="s">
        <v>32</v>
      </c>
      <c r="C18" s="83">
        <v>3.3983299999999998E-3</v>
      </c>
      <c r="D18" s="61">
        <v>1131645</v>
      </c>
      <c r="E18" s="72">
        <v>46516</v>
      </c>
      <c r="F18" s="77">
        <f>4/13</f>
        <v>0.30769230769230771</v>
      </c>
      <c r="G18" s="61">
        <v>0.08</v>
      </c>
      <c r="H18" s="61">
        <v>0.03</v>
      </c>
      <c r="I18" s="83">
        <f>25*4/G18*C18</f>
        <v>4.2479125</v>
      </c>
      <c r="J18" s="83">
        <f>25*4/H18*C18</f>
        <v>11.327766666666667</v>
      </c>
      <c r="K18" s="61">
        <v>10577461</v>
      </c>
    </row>
    <row r="19" spans="1:12">
      <c r="A19" s="60"/>
      <c r="B19" s="69" t="s">
        <v>33</v>
      </c>
      <c r="C19" s="83">
        <v>2.11941E-3</v>
      </c>
      <c r="D19" s="61">
        <v>705765</v>
      </c>
      <c r="E19" s="72">
        <v>46348</v>
      </c>
      <c r="F19" s="77">
        <f>8/13</f>
        <v>0.61538461538461542</v>
      </c>
      <c r="G19" s="77">
        <v>0.22775086505190312</v>
      </c>
      <c r="H19" s="77">
        <v>6.9198149575944487E-2</v>
      </c>
      <c r="I19" s="83">
        <f t="shared" ref="I19:I20" si="8">25*4/G19*C19</f>
        <v>0.93058263445761158</v>
      </c>
      <c r="J19" s="83">
        <f t="shared" ref="J19:J20" si="9">25*4/H19*C19</f>
        <v>3.0628131142061279</v>
      </c>
      <c r="K19" s="61">
        <v>4806704</v>
      </c>
      <c r="L19" s="35" t="s">
        <v>114</v>
      </c>
    </row>
    <row r="20" spans="1:12">
      <c r="A20" s="60"/>
      <c r="B20" s="69" t="s">
        <v>34</v>
      </c>
      <c r="C20" s="83">
        <v>1.3022699999999999E-3</v>
      </c>
      <c r="D20" s="61">
        <v>433657</v>
      </c>
      <c r="E20" s="72">
        <v>47352</v>
      </c>
      <c r="F20" s="77">
        <f>11/13</f>
        <v>0.84615384615384615</v>
      </c>
      <c r="G20" s="77">
        <v>0.12</v>
      </c>
      <c r="H20" s="77">
        <v>6.559341070760015E-2</v>
      </c>
      <c r="I20" s="83">
        <f t="shared" si="8"/>
        <v>1.0852249999999999</v>
      </c>
      <c r="J20" s="83">
        <f t="shared" si="9"/>
        <v>1.9853671061643834</v>
      </c>
      <c r="K20" s="61">
        <v>4217336</v>
      </c>
    </row>
    <row r="21" spans="1:12" ht="15">
      <c r="A21" s="63" t="s">
        <v>85</v>
      </c>
      <c r="B21" s="70" t="s">
        <v>32</v>
      </c>
      <c r="C21" s="85">
        <v>2.1748699999999998E-3</v>
      </c>
      <c r="D21" s="76">
        <v>724533</v>
      </c>
      <c r="E21" s="73">
        <v>112432</v>
      </c>
      <c r="F21" s="64">
        <f>13/13</f>
        <v>1</v>
      </c>
      <c r="G21" s="64">
        <v>0.1113558492413118</v>
      </c>
      <c r="H21" s="64">
        <v>6.1184532550171318E-2</v>
      </c>
      <c r="I21" s="87">
        <f>5207*4/G21*C21</f>
        <v>406.7877230394725</v>
      </c>
      <c r="J21" s="87">
        <f>5207*4/H21*C21</f>
        <v>740.35365593183985</v>
      </c>
      <c r="K21" s="59">
        <v>5008939</v>
      </c>
    </row>
    <row r="22" spans="1:12" ht="15">
      <c r="A22" s="63"/>
      <c r="B22" s="70" t="s">
        <v>33</v>
      </c>
      <c r="C22" s="85">
        <v>7.5565999999999994E-2</v>
      </c>
      <c r="D22" s="76">
        <v>251634</v>
      </c>
      <c r="E22" s="73">
        <v>107764</v>
      </c>
      <c r="F22" s="64">
        <f>13/13</f>
        <v>1</v>
      </c>
      <c r="G22" s="64">
        <v>0.39878442073927067</v>
      </c>
      <c r="H22" s="64">
        <v>0.12928967171090713</v>
      </c>
      <c r="I22" s="87">
        <f t="shared" ref="I22:I23" si="10">5207*4/G22*C22</f>
        <v>3946.7154837250382</v>
      </c>
      <c r="J22" s="87">
        <f>5207*4/H22*C22</f>
        <v>12173.351723865686</v>
      </c>
      <c r="K22" s="59">
        <v>21514145</v>
      </c>
      <c r="L22" s="35" t="s">
        <v>114</v>
      </c>
    </row>
    <row r="23" spans="1:12" ht="15">
      <c r="A23" s="63"/>
      <c r="B23" s="70" t="s">
        <v>34</v>
      </c>
      <c r="C23" s="85">
        <v>6.9043999999999994E-2</v>
      </c>
      <c r="D23" s="76">
        <v>229917</v>
      </c>
      <c r="E23" s="73">
        <v>121692</v>
      </c>
      <c r="F23" s="64">
        <f>13/13</f>
        <v>1</v>
      </c>
      <c r="G23" s="64">
        <v>0.33832439990678165</v>
      </c>
      <c r="H23" s="64">
        <v>0.18489279888137963</v>
      </c>
      <c r="I23" s="87">
        <f t="shared" si="10"/>
        <v>4250.5016853535381</v>
      </c>
      <c r="J23" s="87">
        <f>5207*4/H23*C23</f>
        <v>7777.7417005980778</v>
      </c>
      <c r="K23" s="59">
        <v>2452638</v>
      </c>
    </row>
    <row r="27" spans="1:12">
      <c r="B27" s="35"/>
    </row>
    <row r="47" spans="1:15">
      <c r="A47" s="59" t="s">
        <v>109</v>
      </c>
    </row>
    <row r="48" spans="1:15">
      <c r="A48" s="59" t="s">
        <v>107</v>
      </c>
      <c r="B48" s="59" t="s">
        <v>95</v>
      </c>
      <c r="C48" s="59" t="s">
        <v>5</v>
      </c>
      <c r="D48" s="59" t="s">
        <v>6</v>
      </c>
      <c r="E48" s="59" t="s">
        <v>7</v>
      </c>
      <c r="F48" s="59" t="s">
        <v>8</v>
      </c>
      <c r="G48" s="59" t="s">
        <v>9</v>
      </c>
      <c r="H48" s="59" t="s">
        <v>10</v>
      </c>
      <c r="I48" s="59" t="s">
        <v>11</v>
      </c>
      <c r="J48" s="59" t="s">
        <v>12</v>
      </c>
      <c r="K48" s="59" t="s">
        <v>13</v>
      </c>
      <c r="L48" s="59" t="s">
        <v>14</v>
      </c>
      <c r="M48" s="59" t="s">
        <v>15</v>
      </c>
      <c r="N48" s="59" t="s">
        <v>16</v>
      </c>
      <c r="O48" s="59" t="s">
        <v>17</v>
      </c>
    </row>
    <row r="49" spans="1:15" ht="15">
      <c r="A49" s="132" t="s">
        <v>39</v>
      </c>
      <c r="B49" s="69" t="s">
        <v>32</v>
      </c>
      <c r="C49" s="77">
        <v>0</v>
      </c>
      <c r="D49" s="77">
        <v>0.35074261465643869</v>
      </c>
      <c r="E49" s="78">
        <v>0.1056923076923077</v>
      </c>
      <c r="F49" s="62">
        <v>0.31248968817026895</v>
      </c>
      <c r="G49" s="62">
        <v>0</v>
      </c>
      <c r="H49" s="62">
        <v>0</v>
      </c>
      <c r="I49" s="77">
        <v>0</v>
      </c>
      <c r="J49" s="77">
        <v>0</v>
      </c>
      <c r="K49" s="62">
        <v>0</v>
      </c>
      <c r="L49" s="62">
        <v>0</v>
      </c>
      <c r="M49" s="62">
        <v>0</v>
      </c>
      <c r="N49" s="77">
        <v>0</v>
      </c>
      <c r="O49" s="77">
        <v>0</v>
      </c>
    </row>
    <row r="50" spans="1:15" ht="15">
      <c r="A50" s="133"/>
      <c r="B50" s="69" t="s">
        <v>33</v>
      </c>
      <c r="C50" s="77">
        <v>0.81176470588235294</v>
      </c>
      <c r="D50" s="77">
        <v>0.90946502057613166</v>
      </c>
      <c r="E50" s="78">
        <v>0.9642857142857143</v>
      </c>
      <c r="F50" s="62">
        <v>7.0833333333333331E-2</v>
      </c>
      <c r="G50" s="62">
        <v>0.67397260273972603</v>
      </c>
      <c r="H50" s="62">
        <v>0.34799999999999998</v>
      </c>
      <c r="I50" s="77">
        <v>0</v>
      </c>
      <c r="J50" s="77">
        <v>8.8105726872246704E-3</v>
      </c>
      <c r="K50" s="62">
        <v>0.19537275064267351</v>
      </c>
      <c r="L50" s="62">
        <v>0.89615384615384619</v>
      </c>
      <c r="M50" s="62">
        <v>0.9285714285714286</v>
      </c>
      <c r="N50" s="77">
        <v>0</v>
      </c>
      <c r="O50" s="77">
        <v>0</v>
      </c>
    </row>
    <row r="51" spans="1:15" ht="15">
      <c r="A51" s="134"/>
      <c r="B51" s="69" t="s">
        <v>34</v>
      </c>
      <c r="C51" s="77">
        <v>0.3503787878787879</v>
      </c>
      <c r="D51" s="77">
        <v>0.68200000000000005</v>
      </c>
      <c r="E51" s="78">
        <v>0.78969072164948451</v>
      </c>
      <c r="F51" s="62">
        <v>0.1095890410958904</v>
      </c>
      <c r="G51" s="62">
        <v>0.20528455284552846</v>
      </c>
      <c r="H51" s="62">
        <v>0.65052631578947373</v>
      </c>
      <c r="I51" s="77">
        <v>7.8602620087336247E-2</v>
      </c>
      <c r="J51" s="77">
        <v>7.7504725897920609E-2</v>
      </c>
      <c r="K51" s="62">
        <v>0.94408602150537635</v>
      </c>
      <c r="L51" s="62">
        <v>0.77328646748681895</v>
      </c>
      <c r="M51" s="62">
        <v>6.3524590163934427E-2</v>
      </c>
      <c r="N51" s="77">
        <v>0.11790393013100436</v>
      </c>
      <c r="O51" s="77">
        <v>9.9403578528827044E-2</v>
      </c>
    </row>
    <row r="52" spans="1:15" ht="15">
      <c r="A52" s="129" t="s">
        <v>38</v>
      </c>
      <c r="B52" s="70" t="s">
        <v>32</v>
      </c>
      <c r="C52" s="75">
        <v>0.12789927104042412</v>
      </c>
      <c r="D52" s="75">
        <v>0.23655913978494625</v>
      </c>
      <c r="E52" s="79">
        <v>0.31824146981627299</v>
      </c>
      <c r="F52" s="64">
        <v>0.32168421052631579</v>
      </c>
      <c r="G52" s="64">
        <v>0.30618892508143325</v>
      </c>
      <c r="H52" s="64">
        <v>0</v>
      </c>
      <c r="I52" s="75">
        <v>0</v>
      </c>
      <c r="J52" s="75">
        <v>0</v>
      </c>
      <c r="K52" s="64">
        <v>0</v>
      </c>
      <c r="L52" s="64">
        <v>0</v>
      </c>
      <c r="M52" s="64">
        <v>0</v>
      </c>
      <c r="N52" s="75">
        <v>0</v>
      </c>
      <c r="O52" s="75">
        <v>0</v>
      </c>
    </row>
    <row r="53" spans="1:15" ht="15">
      <c r="A53" s="130"/>
      <c r="B53" s="70" t="s">
        <v>33</v>
      </c>
      <c r="C53" s="75">
        <v>0</v>
      </c>
      <c r="D53" s="75">
        <v>0</v>
      </c>
      <c r="E53" s="79">
        <v>0</v>
      </c>
      <c r="F53" s="65">
        <v>0</v>
      </c>
      <c r="G53" s="65">
        <v>0</v>
      </c>
      <c r="H53" s="65">
        <v>0</v>
      </c>
      <c r="I53" s="75">
        <v>0</v>
      </c>
      <c r="J53" s="75">
        <v>0</v>
      </c>
      <c r="K53" s="65">
        <v>1.2269938650306749E-2</v>
      </c>
      <c r="L53" s="65">
        <v>0.13307984790874525</v>
      </c>
      <c r="M53" s="65">
        <v>2.302158273381295E-2</v>
      </c>
      <c r="N53" s="75">
        <v>0</v>
      </c>
      <c r="O53" s="75">
        <v>0</v>
      </c>
    </row>
    <row r="54" spans="1:15" ht="15">
      <c r="A54" s="131"/>
      <c r="B54" s="70" t="s">
        <v>34</v>
      </c>
      <c r="C54" s="75">
        <v>0</v>
      </c>
      <c r="D54" s="75">
        <v>0</v>
      </c>
      <c r="E54" s="79">
        <v>0</v>
      </c>
      <c r="F54" s="64">
        <v>0</v>
      </c>
      <c r="G54" s="64">
        <v>0</v>
      </c>
      <c r="H54" s="64">
        <v>0</v>
      </c>
      <c r="I54" s="75">
        <v>0</v>
      </c>
      <c r="J54" s="75">
        <v>0</v>
      </c>
      <c r="K54" s="64">
        <v>4.5512010113780026E-2</v>
      </c>
      <c r="L54" s="64">
        <v>8.3257918552036195E-2</v>
      </c>
      <c r="M54" s="64">
        <v>4.3312101910828023E-2</v>
      </c>
      <c r="N54" s="75">
        <v>0</v>
      </c>
      <c r="O54" s="75">
        <v>0</v>
      </c>
    </row>
    <row r="55" spans="1:15" ht="15">
      <c r="A55" s="135" t="s">
        <v>92</v>
      </c>
      <c r="B55" s="71" t="s">
        <v>32</v>
      </c>
      <c r="C55" s="80">
        <v>2.1126760563380281E-2</v>
      </c>
      <c r="D55" s="80">
        <v>5.1157697121401752E-2</v>
      </c>
      <c r="E55" s="81">
        <v>0.10550792036041273</v>
      </c>
      <c r="F55" s="68">
        <v>6.9324090121317156E-2</v>
      </c>
      <c r="G55" s="68">
        <v>0</v>
      </c>
      <c r="H55" s="68">
        <v>0</v>
      </c>
      <c r="I55" s="80">
        <v>0</v>
      </c>
      <c r="J55" s="80">
        <v>0</v>
      </c>
      <c r="K55" s="68">
        <v>0</v>
      </c>
      <c r="L55" s="68">
        <v>0</v>
      </c>
      <c r="M55" s="68">
        <v>0</v>
      </c>
      <c r="N55" s="80">
        <v>0</v>
      </c>
      <c r="O55" s="80">
        <v>0</v>
      </c>
    </row>
    <row r="56" spans="1:15" ht="15">
      <c r="A56" s="136"/>
      <c r="B56" s="71" t="s">
        <v>33</v>
      </c>
      <c r="C56" s="80">
        <v>5.4940549405494053E-2</v>
      </c>
      <c r="D56" s="80">
        <v>0.11052446321717704</v>
      </c>
      <c r="E56" s="81">
        <v>2.1878536401357979E-2</v>
      </c>
      <c r="F56" s="68">
        <v>5.6463068181818184E-2</v>
      </c>
      <c r="G56" s="68">
        <v>0.21435594886922321</v>
      </c>
      <c r="H56" s="68">
        <v>0.7688984881209503</v>
      </c>
      <c r="I56" s="80">
        <v>0.58728606356968216</v>
      </c>
      <c r="J56" s="80">
        <v>0.79046293073442397</v>
      </c>
      <c r="K56" s="68">
        <v>0.3958427474017171</v>
      </c>
      <c r="L56" s="68">
        <v>0.67096560846560849</v>
      </c>
      <c r="M56" s="68">
        <v>0.12930344275420336</v>
      </c>
      <c r="N56" s="80">
        <v>0.95518565941101152</v>
      </c>
      <c r="O56" s="80">
        <v>0</v>
      </c>
    </row>
    <row r="57" spans="1:15" ht="15">
      <c r="A57" s="137"/>
      <c r="B57" s="71" t="s">
        <v>34</v>
      </c>
      <c r="C57" s="80">
        <v>3.1413612565445025E-2</v>
      </c>
      <c r="D57" s="80">
        <v>0.10443037974683544</v>
      </c>
      <c r="E57" s="81">
        <v>3.2507739938080496E-2</v>
      </c>
      <c r="F57" s="68">
        <v>4.6221248630887182E-2</v>
      </c>
      <c r="G57" s="68">
        <v>0.181640625</v>
      </c>
      <c r="H57" s="68">
        <v>0.87051282051282053</v>
      </c>
      <c r="I57" s="80">
        <v>0.18586789554531491</v>
      </c>
      <c r="J57" s="80">
        <v>0.37403712589973481</v>
      </c>
      <c r="K57" s="68">
        <v>6.1023622047244097E-2</v>
      </c>
      <c r="L57" s="68">
        <v>0.7939759036144578</v>
      </c>
      <c r="M57" s="68">
        <v>0.89819004524886881</v>
      </c>
      <c r="N57" s="80">
        <v>0.93942338840298023</v>
      </c>
      <c r="O57" s="80">
        <v>0</v>
      </c>
    </row>
    <row r="58" spans="1:15" ht="15">
      <c r="A58" s="129" t="s">
        <v>78</v>
      </c>
      <c r="B58" s="70" t="s">
        <v>32</v>
      </c>
      <c r="C58" s="75">
        <v>4.2066420664206641E-2</v>
      </c>
      <c r="D58" s="75">
        <v>4.6326456749909518E-2</v>
      </c>
      <c r="E58" s="79">
        <v>0.12605042016806722</v>
      </c>
      <c r="F58" s="64">
        <v>0.25237592397043296</v>
      </c>
      <c r="G58" s="64">
        <v>0</v>
      </c>
      <c r="H58" s="64">
        <v>0</v>
      </c>
      <c r="I58" s="75">
        <v>0</v>
      </c>
      <c r="J58" s="75">
        <v>0</v>
      </c>
      <c r="K58" s="64">
        <v>0</v>
      </c>
      <c r="L58" s="64">
        <v>0</v>
      </c>
      <c r="M58" s="64">
        <v>0</v>
      </c>
      <c r="N58" s="75">
        <v>1.1755783086841108E-2</v>
      </c>
      <c r="O58" s="75">
        <v>0</v>
      </c>
    </row>
    <row r="59" spans="1:15" ht="15">
      <c r="A59" s="130"/>
      <c r="B59" s="70" t="s">
        <v>33</v>
      </c>
      <c r="C59" s="75">
        <v>0.36005994754589732</v>
      </c>
      <c r="D59" s="75">
        <v>0.27971753628874069</v>
      </c>
      <c r="E59" s="79">
        <v>0.29072872949256007</v>
      </c>
      <c r="F59" s="64">
        <v>0.2847058823529412</v>
      </c>
      <c r="G59" s="64">
        <v>0.77676447264076132</v>
      </c>
      <c r="H59" s="64">
        <v>0.39606633243347472</v>
      </c>
      <c r="I59" s="75">
        <v>0.46613226452905809</v>
      </c>
      <c r="J59" s="75">
        <v>0.27570954662734981</v>
      </c>
      <c r="K59" s="64">
        <v>0.23522683949675943</v>
      </c>
      <c r="L59" s="64">
        <v>0.8995667585663647</v>
      </c>
      <c r="M59" s="64">
        <v>0.43802311677959349</v>
      </c>
      <c r="N59" s="75">
        <v>0.1872805306281701</v>
      </c>
      <c r="O59" s="75">
        <v>0.10946271050521252</v>
      </c>
    </row>
    <row r="60" spans="1:15" ht="15">
      <c r="A60" s="131"/>
      <c r="B60" s="70" t="s">
        <v>34</v>
      </c>
      <c r="C60" s="75">
        <v>0.35864485981308414</v>
      </c>
      <c r="D60" s="75">
        <v>0.2736220472440945</v>
      </c>
      <c r="E60" s="79">
        <v>0.29227323628219487</v>
      </c>
      <c r="F60" s="75">
        <v>0.30230675839740995</v>
      </c>
      <c r="G60" s="64">
        <v>0.7080610021786492</v>
      </c>
      <c r="H60" s="64">
        <v>0.32477876106194692</v>
      </c>
      <c r="I60" s="75">
        <v>0.38119499768411302</v>
      </c>
      <c r="J60" s="75">
        <v>0.22067510548523206</v>
      </c>
      <c r="K60" s="75">
        <v>0.27619934792734047</v>
      </c>
      <c r="L60" s="64">
        <v>0.83801554094441122</v>
      </c>
      <c r="M60" s="64">
        <v>0.5004549590536852</v>
      </c>
      <c r="N60" s="75">
        <v>0.17917235106866758</v>
      </c>
      <c r="O60" s="75">
        <v>9.4371561574269999E-2</v>
      </c>
    </row>
    <row r="61" spans="1:15">
      <c r="A61" s="132" t="s">
        <v>93</v>
      </c>
      <c r="B61" s="69" t="s">
        <v>32</v>
      </c>
      <c r="C61" s="77">
        <v>8.7591240875912413E-2</v>
      </c>
      <c r="D61" s="77">
        <v>0.10064553990610328</v>
      </c>
      <c r="E61" s="78">
        <v>0.24571228561428071</v>
      </c>
      <c r="F61" s="77">
        <v>0.12885825591848965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</row>
    <row r="62" spans="1:15">
      <c r="A62" s="133"/>
      <c r="B62" s="69" t="s">
        <v>33</v>
      </c>
      <c r="C62" s="77">
        <v>0.5506607929515418</v>
      </c>
      <c r="D62" s="77">
        <v>7.1132596685082872E-2</v>
      </c>
      <c r="E62" s="78">
        <v>0.10828729281767956</v>
      </c>
      <c r="F62" s="77">
        <v>0.13398692810457516</v>
      </c>
      <c r="G62" s="77">
        <v>0.73987398739873989</v>
      </c>
      <c r="H62" s="77">
        <v>0.72797356828193838</v>
      </c>
      <c r="I62" s="77">
        <v>0.94964871194379397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</row>
    <row r="63" spans="1:15">
      <c r="A63" s="134"/>
      <c r="B63" s="69" t="s">
        <v>34</v>
      </c>
      <c r="C63" s="77">
        <v>0.13499480789200416</v>
      </c>
      <c r="D63" s="77">
        <v>0.15777525539160045</v>
      </c>
      <c r="E63" s="78">
        <v>0.12147239263803682</v>
      </c>
      <c r="F63" s="77">
        <v>6.0921248142644872E-2</v>
      </c>
      <c r="G63" s="77">
        <v>7.7005347593582893E-2</v>
      </c>
      <c r="H63" s="77">
        <v>0.11871227364185111</v>
      </c>
      <c r="I63" s="77">
        <v>0.11744583808437856</v>
      </c>
      <c r="J63" s="77">
        <v>3.541912632821724E-2</v>
      </c>
      <c r="K63" s="77">
        <v>2.1791767554479417E-2</v>
      </c>
      <c r="L63" s="77">
        <v>0.27701375245579568</v>
      </c>
      <c r="M63" s="77">
        <v>0.18181818181818182</v>
      </c>
      <c r="N63" s="77">
        <v>2.0860495436766623E-2</v>
      </c>
      <c r="O63" s="77">
        <v>0</v>
      </c>
    </row>
    <row r="64" spans="1:15" ht="15">
      <c r="A64" s="129" t="s">
        <v>85</v>
      </c>
      <c r="B64" s="70" t="s">
        <v>32</v>
      </c>
      <c r="C64" s="75">
        <v>9.499136442141623E-2</v>
      </c>
      <c r="D64" s="82">
        <v>4.8865619546247817E-2</v>
      </c>
      <c r="E64" s="79">
        <v>0.1875</v>
      </c>
      <c r="F64" s="64">
        <v>0.31534569983136596</v>
      </c>
      <c r="G64" s="64">
        <v>0.13310580204778158</v>
      </c>
      <c r="H64" s="64">
        <v>2.1201413427561839E-2</v>
      </c>
      <c r="I64" s="75">
        <v>1.601423487544484E-2</v>
      </c>
      <c r="J64" s="75">
        <v>3.3391915641476276E-2</v>
      </c>
      <c r="K64" s="64">
        <v>1.9097222222222224E-2</v>
      </c>
      <c r="L64" s="64">
        <v>5.2188552188552187E-2</v>
      </c>
      <c r="M64" s="64">
        <v>2.0477815699658702E-2</v>
      </c>
      <c r="N64" s="75">
        <v>0.12959999999999999</v>
      </c>
      <c r="O64" s="75">
        <v>3.4542314335060449E-2</v>
      </c>
    </row>
    <row r="65" spans="1:15" ht="15">
      <c r="A65" s="130"/>
      <c r="B65" s="70" t="s">
        <v>33</v>
      </c>
      <c r="C65" s="75">
        <v>0.36213757816941444</v>
      </c>
      <c r="D65" s="82">
        <v>0.34454756380510443</v>
      </c>
      <c r="E65" s="79">
        <v>0.34544405997693195</v>
      </c>
      <c r="F65" s="64">
        <v>0.39277899343544859</v>
      </c>
      <c r="G65" s="64">
        <v>0.4580152671755725</v>
      </c>
      <c r="H65" s="64">
        <v>0.25066137566137564</v>
      </c>
      <c r="I65" s="75">
        <v>0.33549146556798115</v>
      </c>
      <c r="J65" s="75">
        <v>0.57723112128146448</v>
      </c>
      <c r="K65" s="64">
        <v>0.4434931506849315</v>
      </c>
      <c r="L65" s="64">
        <v>0.55726092089728452</v>
      </c>
      <c r="M65" s="64">
        <v>0.16395283548568221</v>
      </c>
      <c r="N65" s="75">
        <v>0.64864864864864868</v>
      </c>
      <c r="O65" s="75">
        <v>0.22908011869436201</v>
      </c>
    </row>
    <row r="66" spans="1:15" ht="15">
      <c r="A66" s="131"/>
      <c r="B66" s="70" t="s">
        <v>34</v>
      </c>
      <c r="C66" s="75">
        <v>0.36168455821635015</v>
      </c>
      <c r="D66" s="82">
        <v>0.30731306491372229</v>
      </c>
      <c r="E66" s="79">
        <v>0.29558701082431305</v>
      </c>
      <c r="F66" s="64">
        <v>0.40560593569661996</v>
      </c>
      <c r="G66" s="64">
        <v>0.25050751116524561</v>
      </c>
      <c r="H66" s="64">
        <v>0.23497053045186642</v>
      </c>
      <c r="I66" s="75">
        <v>0.34225700164744643</v>
      </c>
      <c r="J66" s="75">
        <v>0.29050279329608941</v>
      </c>
      <c r="K66" s="64">
        <v>0.34213836477987419</v>
      </c>
      <c r="L66" s="64">
        <v>0.41190667739340303</v>
      </c>
      <c r="M66" s="64">
        <v>0.20243710691823899</v>
      </c>
      <c r="N66" s="75">
        <v>0.40670059372349449</v>
      </c>
      <c r="O66" s="75">
        <v>0.39052287581699346</v>
      </c>
    </row>
    <row r="68" spans="1:15">
      <c r="A68" s="59" t="s">
        <v>108</v>
      </c>
    </row>
    <row r="69" spans="1:15">
      <c r="A69" s="59" t="s">
        <v>107</v>
      </c>
      <c r="B69" s="59" t="s">
        <v>95</v>
      </c>
      <c r="C69" s="59" t="s">
        <v>5</v>
      </c>
      <c r="D69" s="59" t="s">
        <v>6</v>
      </c>
      <c r="E69" s="59" t="s">
        <v>7</v>
      </c>
      <c r="F69" s="59" t="s">
        <v>8</v>
      </c>
      <c r="G69" s="59" t="s">
        <v>9</v>
      </c>
      <c r="H69" s="59" t="s">
        <v>10</v>
      </c>
      <c r="I69" s="59" t="s">
        <v>11</v>
      </c>
      <c r="J69" s="59" t="s">
        <v>12</v>
      </c>
      <c r="K69" s="59" t="s">
        <v>13</v>
      </c>
      <c r="L69" s="59" t="s">
        <v>14</v>
      </c>
      <c r="M69" s="59" t="s">
        <v>15</v>
      </c>
      <c r="N69" s="59" t="s">
        <v>16</v>
      </c>
      <c r="O69" s="59" t="s">
        <v>17</v>
      </c>
    </row>
    <row r="70" spans="1:15" ht="15">
      <c r="A70" s="132" t="s">
        <v>39</v>
      </c>
      <c r="B70" s="69" t="s">
        <v>32</v>
      </c>
      <c r="C70" s="77">
        <v>4.5303533675626698E-4</v>
      </c>
      <c r="D70" s="77">
        <v>1.6321201240411295E-3</v>
      </c>
      <c r="E70" s="78">
        <v>1.5384615384615385E-4</v>
      </c>
      <c r="F70" s="62">
        <v>6.5995710278831873E-4</v>
      </c>
      <c r="G70" s="62">
        <v>0</v>
      </c>
      <c r="H70" s="62">
        <v>0</v>
      </c>
      <c r="I70" s="77">
        <v>0</v>
      </c>
      <c r="J70" s="77">
        <v>0</v>
      </c>
      <c r="K70" s="62">
        <v>0</v>
      </c>
      <c r="L70" s="62">
        <v>0</v>
      </c>
      <c r="M70" s="62">
        <v>0</v>
      </c>
      <c r="N70" s="77">
        <v>0</v>
      </c>
      <c r="O70" s="77">
        <v>0</v>
      </c>
    </row>
    <row r="71" spans="1:15" ht="15">
      <c r="A71" s="133"/>
      <c r="B71" s="69" t="s">
        <v>33</v>
      </c>
      <c r="C71" s="77">
        <v>0</v>
      </c>
      <c r="D71" s="77">
        <v>1.2345679012345678E-2</v>
      </c>
      <c r="E71" s="78">
        <v>0</v>
      </c>
      <c r="F71" s="62">
        <v>0.7</v>
      </c>
      <c r="G71" s="62">
        <v>0</v>
      </c>
      <c r="H71" s="62">
        <v>0.04</v>
      </c>
      <c r="I71" s="77">
        <v>0</v>
      </c>
      <c r="J71" s="77">
        <v>0</v>
      </c>
      <c r="K71" s="62">
        <v>0.75064267352185088</v>
      </c>
      <c r="L71" s="62">
        <v>0</v>
      </c>
      <c r="M71" s="62">
        <v>0</v>
      </c>
      <c r="N71" s="77">
        <v>0</v>
      </c>
      <c r="O71" s="77">
        <v>0</v>
      </c>
    </row>
    <row r="72" spans="1:15" ht="15">
      <c r="A72" s="134"/>
      <c r="B72" s="69" t="s">
        <v>34</v>
      </c>
      <c r="C72" s="77">
        <v>0</v>
      </c>
      <c r="D72" s="77">
        <v>0</v>
      </c>
      <c r="E72" s="78">
        <v>1.8556701030927835E-2</v>
      </c>
      <c r="F72" s="62">
        <v>0.48923679060665359</v>
      </c>
      <c r="G72" s="62">
        <v>0.39227642276422764</v>
      </c>
      <c r="H72" s="62">
        <v>0.1368421052631579</v>
      </c>
      <c r="I72" s="77">
        <v>0</v>
      </c>
      <c r="J72" s="77">
        <v>0</v>
      </c>
      <c r="K72" s="62">
        <v>0</v>
      </c>
      <c r="L72" s="62">
        <v>9.1388400702987704E-2</v>
      </c>
      <c r="M72" s="62">
        <v>0.53688524590163933</v>
      </c>
      <c r="N72" s="77">
        <v>1.3100436681222707E-2</v>
      </c>
      <c r="O72" s="77">
        <v>0</v>
      </c>
    </row>
    <row r="73" spans="1:15" ht="15">
      <c r="A73" s="129" t="s">
        <v>38</v>
      </c>
      <c r="B73" s="70" t="s">
        <v>32</v>
      </c>
      <c r="C73" s="75">
        <v>1.7229953611663355E-2</v>
      </c>
      <c r="D73" s="75">
        <v>6.0215053763440864E-2</v>
      </c>
      <c r="E73" s="79">
        <v>0.11778215223097113</v>
      </c>
      <c r="F73" s="64">
        <v>0.20589473684210527</v>
      </c>
      <c r="G73" s="64">
        <v>0</v>
      </c>
      <c r="H73" s="64">
        <v>0</v>
      </c>
      <c r="I73" s="75">
        <v>9.2478421701602961E-4</v>
      </c>
      <c r="J73" s="75">
        <v>0</v>
      </c>
      <c r="K73" s="64">
        <v>4.5016077170418004E-3</v>
      </c>
      <c r="L73" s="64">
        <v>0</v>
      </c>
      <c r="M73" s="64">
        <v>0</v>
      </c>
      <c r="N73" s="75">
        <v>0</v>
      </c>
      <c r="O73" s="75">
        <v>0</v>
      </c>
    </row>
    <row r="74" spans="1:15" ht="15">
      <c r="A74" s="130"/>
      <c r="B74" s="70" t="s">
        <v>33</v>
      </c>
      <c r="C74" s="75">
        <v>0</v>
      </c>
      <c r="D74" s="75">
        <v>1.5698587127158557E-3</v>
      </c>
      <c r="E74" s="79">
        <v>1.4044943820224719E-3</v>
      </c>
      <c r="F74" s="65">
        <v>0</v>
      </c>
      <c r="G74" s="65">
        <v>0</v>
      </c>
      <c r="H74" s="65">
        <v>1.3947001394700139E-3</v>
      </c>
      <c r="I74" s="75">
        <v>0</v>
      </c>
      <c r="J74" s="75">
        <v>0</v>
      </c>
      <c r="K74" s="65">
        <v>0.18711656441717792</v>
      </c>
      <c r="L74" s="65">
        <v>0.2902408111533587</v>
      </c>
      <c r="M74" s="65">
        <v>0.62589928057553956</v>
      </c>
      <c r="N74" s="75">
        <v>1.4367816091954023E-3</v>
      </c>
      <c r="O74" s="75">
        <v>0.1349527665317139</v>
      </c>
    </row>
    <row r="75" spans="1:15" ht="15">
      <c r="A75" s="131"/>
      <c r="B75" s="70" t="s">
        <v>34</v>
      </c>
      <c r="C75" s="75">
        <v>0</v>
      </c>
      <c r="D75" s="75">
        <v>0</v>
      </c>
      <c r="E75" s="79">
        <v>0</v>
      </c>
      <c r="F75" s="64">
        <v>0</v>
      </c>
      <c r="G75" s="64">
        <v>0</v>
      </c>
      <c r="H75" s="64">
        <v>0</v>
      </c>
      <c r="I75" s="75">
        <v>0</v>
      </c>
      <c r="J75" s="75">
        <v>0</v>
      </c>
      <c r="K75" s="64">
        <v>0.69279393173198478</v>
      </c>
      <c r="L75" s="64">
        <v>0.33665158371040727</v>
      </c>
      <c r="M75" s="64">
        <v>4.0764331210191081E-2</v>
      </c>
      <c r="N75" s="75">
        <v>1</v>
      </c>
      <c r="O75" s="75">
        <v>0</v>
      </c>
    </row>
    <row r="76" spans="1:15" ht="15">
      <c r="A76" s="135" t="s">
        <v>92</v>
      </c>
      <c r="B76" s="71" t="s">
        <v>32</v>
      </c>
      <c r="C76" s="80">
        <v>0</v>
      </c>
      <c r="D76" s="80">
        <v>1.767834793491865E-2</v>
      </c>
      <c r="E76" s="81">
        <v>1.2062200261589886E-2</v>
      </c>
      <c r="F76" s="68">
        <v>1.5282810776744919E-2</v>
      </c>
      <c r="G76" s="68">
        <v>0</v>
      </c>
      <c r="H76" s="68">
        <v>0</v>
      </c>
      <c r="I76" s="80">
        <v>0</v>
      </c>
      <c r="J76" s="80">
        <v>0</v>
      </c>
      <c r="K76" s="68">
        <v>0</v>
      </c>
      <c r="L76" s="68">
        <v>0</v>
      </c>
      <c r="M76" s="68">
        <v>0</v>
      </c>
      <c r="N76" s="80">
        <v>0</v>
      </c>
      <c r="O76" s="80">
        <v>0</v>
      </c>
    </row>
    <row r="77" spans="1:15" ht="15">
      <c r="A77" s="136"/>
      <c r="B77" s="71" t="s">
        <v>33</v>
      </c>
      <c r="C77" s="80">
        <v>0</v>
      </c>
      <c r="D77" s="80">
        <v>2.9567053854276663E-2</v>
      </c>
      <c r="E77" s="81">
        <v>7.9215390418709928E-3</v>
      </c>
      <c r="F77" s="68">
        <v>0</v>
      </c>
      <c r="G77" s="68">
        <v>4.3264503441494594E-2</v>
      </c>
      <c r="H77" s="68">
        <v>7.0194384449244057E-3</v>
      </c>
      <c r="I77" s="80">
        <v>4.8899755501222489E-4</v>
      </c>
      <c r="J77" s="80">
        <v>0</v>
      </c>
      <c r="K77" s="68">
        <v>0.12607320379575238</v>
      </c>
      <c r="L77" s="68">
        <v>0.19874338624338625</v>
      </c>
      <c r="M77" s="68">
        <v>0</v>
      </c>
      <c r="N77" s="80">
        <v>0</v>
      </c>
      <c r="O77" s="80">
        <v>0</v>
      </c>
    </row>
    <row r="78" spans="1:15" ht="15">
      <c r="A78" s="137"/>
      <c r="B78" s="71" t="s">
        <v>34</v>
      </c>
      <c r="C78" s="80">
        <v>3.4904013961605585E-3</v>
      </c>
      <c r="D78" s="80">
        <v>1.4767932489451477E-2</v>
      </c>
      <c r="E78" s="81">
        <v>3.0959752321981426E-3</v>
      </c>
      <c r="F78" s="68">
        <v>6.5717415115005477E-4</v>
      </c>
      <c r="G78" s="68">
        <v>3.90625E-2</v>
      </c>
      <c r="H78" s="68">
        <v>0</v>
      </c>
      <c r="I78" s="80">
        <v>4.608294930875576E-3</v>
      </c>
      <c r="J78" s="80">
        <v>0</v>
      </c>
      <c r="K78" s="68">
        <v>0.60629921259842523</v>
      </c>
      <c r="L78" s="68">
        <v>6.6265060240963861E-2</v>
      </c>
      <c r="M78" s="68">
        <v>2.2624434389140271E-2</v>
      </c>
      <c r="N78" s="80">
        <v>1.7168772270813086E-2</v>
      </c>
      <c r="O78" s="80">
        <v>0</v>
      </c>
    </row>
    <row r="79" spans="1:15" ht="15">
      <c r="A79" s="129" t="s">
        <v>78</v>
      </c>
      <c r="B79" s="70" t="s">
        <v>32</v>
      </c>
      <c r="C79" s="75">
        <v>7.3800738007380072E-4</v>
      </c>
      <c r="D79" s="75">
        <v>0</v>
      </c>
      <c r="E79" s="79">
        <v>4.5670442089879429E-2</v>
      </c>
      <c r="F79" s="64">
        <v>0.10102076733544527</v>
      </c>
      <c r="G79" s="64">
        <v>0</v>
      </c>
      <c r="H79" s="64">
        <v>1.8684872439813153E-2</v>
      </c>
      <c r="I79" s="75">
        <v>0</v>
      </c>
      <c r="J79" s="75">
        <v>1.4461315979754157E-3</v>
      </c>
      <c r="K79" s="64">
        <v>0</v>
      </c>
      <c r="L79" s="64">
        <v>0</v>
      </c>
      <c r="M79" s="64">
        <v>0</v>
      </c>
      <c r="N79" s="75">
        <v>0.18354190367842246</v>
      </c>
      <c r="O79" s="75">
        <v>0</v>
      </c>
    </row>
    <row r="80" spans="1:15" ht="15">
      <c r="A80" s="130"/>
      <c r="B80" s="70" t="s">
        <v>33</v>
      </c>
      <c r="C80" s="75">
        <v>6.7815661296365681E-2</v>
      </c>
      <c r="D80" s="75">
        <v>0.21067085131424088</v>
      </c>
      <c r="E80" s="79">
        <v>0.25333842045020982</v>
      </c>
      <c r="F80" s="64">
        <v>0.24392156862745099</v>
      </c>
      <c r="G80" s="64">
        <v>3.8858049167327519E-2</v>
      </c>
      <c r="H80" s="64">
        <v>0.16274585422290783</v>
      </c>
      <c r="I80" s="75">
        <v>7.4148296593186377E-2</v>
      </c>
      <c r="J80" s="75">
        <v>0.40398083302617027</v>
      </c>
      <c r="K80" s="64">
        <v>0.55203964925657645</v>
      </c>
      <c r="L80" s="64">
        <v>2.7569909413154787E-3</v>
      </c>
      <c r="M80" s="64">
        <v>0.47508967716221601</v>
      </c>
      <c r="N80" s="75">
        <v>0.67342957471712839</v>
      </c>
      <c r="O80" s="75">
        <v>0.14995990376904572</v>
      </c>
    </row>
    <row r="81" spans="1:15" ht="15">
      <c r="A81" s="131"/>
      <c r="B81" s="70" t="s">
        <v>34</v>
      </c>
      <c r="C81" s="75">
        <v>5.4517133956386292E-2</v>
      </c>
      <c r="D81" s="75">
        <v>0.21614173228346456</v>
      </c>
      <c r="E81" s="79">
        <v>0.26241134751773049</v>
      </c>
      <c r="F81" s="75">
        <v>0.21125050586806962</v>
      </c>
      <c r="G81" s="64">
        <v>3.9760348583877995E-2</v>
      </c>
      <c r="H81" s="64">
        <v>0.16902654867256636</v>
      </c>
      <c r="I81" s="75">
        <v>8.7540528022232514E-2</v>
      </c>
      <c r="J81" s="75">
        <v>0.41898734177215191</v>
      </c>
      <c r="K81" s="75">
        <v>0.57289240801117836</v>
      </c>
      <c r="L81" s="64">
        <v>1.3747758517632994E-2</v>
      </c>
      <c r="M81" s="64">
        <v>0.40172884440400364</v>
      </c>
      <c r="N81" s="75">
        <v>0.65939063210550253</v>
      </c>
      <c r="O81" s="75">
        <v>0.12399492170969106</v>
      </c>
    </row>
    <row r="82" spans="1:15">
      <c r="A82" s="132" t="s">
        <v>93</v>
      </c>
      <c r="B82" s="69" t="s">
        <v>32</v>
      </c>
      <c r="C82" s="77">
        <v>0</v>
      </c>
      <c r="D82" s="77">
        <v>3.3157276995305164E-2</v>
      </c>
      <c r="E82" s="78">
        <v>2.905145257262863E-2</v>
      </c>
      <c r="F82" s="77">
        <v>2.9068025172310458E-2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</row>
    <row r="83" spans="1:15">
      <c r="A83" s="133"/>
      <c r="B83" s="69" t="s">
        <v>33</v>
      </c>
      <c r="C83" s="77">
        <v>0</v>
      </c>
      <c r="D83" s="77">
        <v>7.18232044198895E-2</v>
      </c>
      <c r="E83" s="78">
        <v>4.5303867403314914E-2</v>
      </c>
      <c r="F83" s="77">
        <v>0</v>
      </c>
      <c r="G83" s="77">
        <v>7.1107110711071106E-2</v>
      </c>
      <c r="H83" s="77">
        <v>1.8722466960352423E-2</v>
      </c>
      <c r="I83" s="77">
        <v>1.17096018735363E-3</v>
      </c>
      <c r="J83" s="77">
        <v>0</v>
      </c>
      <c r="K83" s="77">
        <v>0.23160762942779292</v>
      </c>
      <c r="L83" s="77">
        <v>0.29878438899552145</v>
      </c>
      <c r="M83" s="77">
        <v>0</v>
      </c>
      <c r="N83" s="77">
        <v>0</v>
      </c>
      <c r="O83" s="77">
        <v>0</v>
      </c>
    </row>
    <row r="84" spans="1:15">
      <c r="A84" s="134"/>
      <c r="B84" s="69" t="s">
        <v>34</v>
      </c>
      <c r="C84" s="77">
        <v>9.2592592592592587E-3</v>
      </c>
      <c r="D84" s="77">
        <v>6.2765957446808504E-2</v>
      </c>
      <c r="E84" s="78">
        <v>9.7205346294046164E-3</v>
      </c>
      <c r="F84" s="77">
        <v>1.8950437317784258E-2</v>
      </c>
      <c r="G84" s="77">
        <v>2.0942408376963352E-2</v>
      </c>
      <c r="H84" s="77">
        <v>0</v>
      </c>
      <c r="I84" s="77">
        <v>7.9185520361990946E-3</v>
      </c>
      <c r="J84" s="77">
        <v>0</v>
      </c>
      <c r="K84" s="77">
        <v>0.20193236714975846</v>
      </c>
      <c r="L84" s="77">
        <v>0.10466138962181179</v>
      </c>
      <c r="M84" s="77">
        <v>1.842870999030068E-2</v>
      </c>
      <c r="N84" s="77">
        <v>6.0049019607843139E-2</v>
      </c>
      <c r="O84" s="77">
        <v>0</v>
      </c>
    </row>
    <row r="85" spans="1:15" ht="15">
      <c r="A85" s="129" t="s">
        <v>85</v>
      </c>
      <c r="B85" s="70" t="s">
        <v>32</v>
      </c>
      <c r="C85" s="75">
        <v>1.8998272884283247E-2</v>
      </c>
      <c r="D85" s="82">
        <v>3.1413612565445025E-2</v>
      </c>
      <c r="E85" s="79">
        <v>1.8581081081081082E-2</v>
      </c>
      <c r="F85" s="64">
        <v>0</v>
      </c>
      <c r="G85" s="64">
        <v>4.778156996587031E-2</v>
      </c>
      <c r="H85" s="64">
        <v>0</v>
      </c>
      <c r="I85" s="75">
        <v>0</v>
      </c>
      <c r="J85" s="75">
        <v>1.7574692442882249E-3</v>
      </c>
      <c r="K85" s="64">
        <v>0</v>
      </c>
      <c r="L85" s="64">
        <v>0</v>
      </c>
      <c r="M85" s="64">
        <v>0</v>
      </c>
      <c r="N85" s="75">
        <v>0.64639999999999997</v>
      </c>
      <c r="O85" s="75">
        <v>5.1813471502590676E-3</v>
      </c>
    </row>
    <row r="86" spans="1:15" ht="15">
      <c r="A86" s="130"/>
      <c r="B86" s="70" t="s">
        <v>33</v>
      </c>
      <c r="C86" s="75">
        <v>0.11768050028425242</v>
      </c>
      <c r="D86" s="82">
        <v>9.2807424593967514E-2</v>
      </c>
      <c r="E86" s="79">
        <v>7.0357554786620535E-2</v>
      </c>
      <c r="F86" s="64">
        <v>0.12472647702407003</v>
      </c>
      <c r="G86" s="64">
        <v>0.10305343511450382</v>
      </c>
      <c r="H86" s="64">
        <v>0.13822751322751323</v>
      </c>
      <c r="I86" s="75">
        <v>0.20659211300765157</v>
      </c>
      <c r="J86" s="75">
        <v>0.15503432494279176</v>
      </c>
      <c r="K86" s="64">
        <v>0.12157534246575342</v>
      </c>
      <c r="L86" s="64">
        <v>6.7886658795749705E-2</v>
      </c>
      <c r="M86" s="64">
        <v>0.37450870297585626</v>
      </c>
      <c r="N86" s="75">
        <v>0.10350776308223117</v>
      </c>
      <c r="O86" s="75">
        <v>1.7210682492581602E-2</v>
      </c>
    </row>
    <row r="87" spans="1:15" ht="15">
      <c r="A87" s="131"/>
      <c r="B87" s="70" t="s">
        <v>34</v>
      </c>
      <c r="C87" s="75">
        <v>7.5557390586292322E-2</v>
      </c>
      <c r="D87" s="82">
        <v>0.23336072308956451</v>
      </c>
      <c r="E87" s="79">
        <v>0.29392173189009158</v>
      </c>
      <c r="F87" s="64">
        <v>0.20362737015663643</v>
      </c>
      <c r="G87" s="64">
        <v>0.1372310190824198</v>
      </c>
      <c r="H87" s="64">
        <v>0.22357563850687623</v>
      </c>
      <c r="I87" s="75">
        <v>0.11490939044481055</v>
      </c>
      <c r="J87" s="75">
        <v>0.18555466879489227</v>
      </c>
      <c r="K87" s="64">
        <v>0.30524109014675055</v>
      </c>
      <c r="L87" s="64">
        <v>0.19951729686242961</v>
      </c>
      <c r="M87" s="64">
        <v>0.28773584905660377</v>
      </c>
      <c r="N87" s="75">
        <v>0.15351993214588636</v>
      </c>
      <c r="O87" s="75">
        <v>6.4950980392156868E-2</v>
      </c>
    </row>
  </sheetData>
  <mergeCells count="12">
    <mergeCell ref="A85:A87"/>
    <mergeCell ref="A49:A51"/>
    <mergeCell ref="A52:A54"/>
    <mergeCell ref="A58:A60"/>
    <mergeCell ref="A64:A66"/>
    <mergeCell ref="A61:A63"/>
    <mergeCell ref="A55:A57"/>
    <mergeCell ref="A70:A72"/>
    <mergeCell ref="A73:A75"/>
    <mergeCell ref="A76:A78"/>
    <mergeCell ref="A79:A81"/>
    <mergeCell ref="A82:A84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F10:F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MxM</vt:lpstr>
      <vt:lpstr>AES</vt:lpstr>
      <vt:lpstr>QuickSort</vt:lpstr>
      <vt:lpstr>FFT</vt:lpstr>
      <vt:lpstr>JPEG</vt:lpstr>
      <vt:lpstr>fibonacci</vt:lpstr>
      <vt:lpstr>OptimizationsBeamResults</vt:lpstr>
      <vt:lpstr>MWBF</vt:lpstr>
      <vt:lpstr>TNS Results</vt:lpstr>
      <vt:lpstr>MxM OVP</vt:lpstr>
      <vt:lpstr>AES OVP</vt:lpstr>
      <vt:lpstr>Quicksort OVP</vt:lpstr>
      <vt:lpstr>MxMNeonDoubleUnroll</vt:lpstr>
      <vt:lpstr>MxM roll Neon Double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filipelins</cp:lastModifiedBy>
  <dcterms:created xsi:type="dcterms:W3CDTF">2016-03-29T18:47:46Z</dcterms:created>
  <dcterms:modified xsi:type="dcterms:W3CDTF">2017-05-25T13:37:25Z</dcterms:modified>
</cp:coreProperties>
</file>